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M:\SC\FRUIT\YRBOOK\Yrbook2019\"/>
    </mc:Choice>
  </mc:AlternateContent>
  <bookViews>
    <workbookView xWindow="0" yWindow="0" windowWidth="28800" windowHeight="11835" activeTab="7"/>
  </bookViews>
  <sheets>
    <sheet name="Content" sheetId="23" r:id="rId1"/>
    <sheet name="taba-1a" sheetId="32" r:id="rId2"/>
    <sheet name="taba-1b" sheetId="33" r:id="rId3"/>
    <sheet name="taba-1c" sheetId="34" r:id="rId4"/>
    <sheet name="taba-1d" sheetId="35" r:id="rId5"/>
    <sheet name="taba-1e" sheetId="36" r:id="rId6"/>
    <sheet name="taba-2" sheetId="6" r:id="rId7"/>
    <sheet name="taba-3" sheetId="7" r:id="rId8"/>
    <sheet name="taba-4" sheetId="8" r:id="rId9"/>
    <sheet name="taba-5" sheetId="9" r:id="rId10"/>
    <sheet name="taba-6" sheetId="10" r:id="rId11"/>
    <sheet name="taba-7" sheetId="11" r:id="rId12"/>
    <sheet name="taba-8" sheetId="12" r:id="rId13"/>
    <sheet name="taba-9" sheetId="13" r:id="rId14"/>
    <sheet name="taba-10" sheetId="14" r:id="rId15"/>
    <sheet name="taba-11" sheetId="15" r:id="rId16"/>
    <sheet name="taba-12" sheetId="16" r:id="rId17"/>
    <sheet name="taba-13" sheetId="17" r:id="rId18"/>
    <sheet name="taba-14" sheetId="18" r:id="rId19"/>
    <sheet name="taba-15" sheetId="19" r:id="rId20"/>
    <sheet name="taba-16" sheetId="20" r:id="rId21"/>
    <sheet name="taba-17" sheetId="30" r:id="rId22"/>
    <sheet name="Taba-18" sheetId="31" r:id="rId23"/>
  </sheets>
  <definedNames>
    <definedName name="CHART" localSheetId="14">#REF!</definedName>
    <definedName name="CHART" localSheetId="15">#REF!</definedName>
    <definedName name="CHART" localSheetId="16">#REF!</definedName>
    <definedName name="CHART" localSheetId="17">#REF!</definedName>
    <definedName name="CHART" localSheetId="18">#REF!</definedName>
    <definedName name="CHART" localSheetId="19">#REF!</definedName>
    <definedName name="CHART" localSheetId="20">#REF!</definedName>
    <definedName name="CHART" localSheetId="21">#REF!</definedName>
    <definedName name="CHART" localSheetId="1">#REF!</definedName>
    <definedName name="CHART" localSheetId="2">#REF!</definedName>
    <definedName name="CHART" localSheetId="3">#REF!</definedName>
    <definedName name="CHART" localSheetId="4">#REF!</definedName>
    <definedName name="CHART" localSheetId="5">#REF!</definedName>
    <definedName name="CHART" localSheetId="6">#REF!</definedName>
    <definedName name="CHART" localSheetId="7">#REF!</definedName>
    <definedName name="CHART" localSheetId="8">#REF!</definedName>
    <definedName name="CHART" localSheetId="9">#REF!</definedName>
    <definedName name="CHART" localSheetId="10">#REF!</definedName>
    <definedName name="CHART" localSheetId="11">#REF!</definedName>
    <definedName name="CHART" localSheetId="12">#REF!</definedName>
    <definedName name="CHART" localSheetId="13">#REF!</definedName>
    <definedName name="CHART">#REF!</definedName>
    <definedName name="_xlnm.Print_Area" localSheetId="0">Content!$A$1:$A$25</definedName>
    <definedName name="_xlnm.Print_Area" localSheetId="14">'taba-10'!$A$1:$G$42</definedName>
    <definedName name="_xlnm.Print_Area" localSheetId="15">'taba-11'!$A$1:$G$41</definedName>
    <definedName name="_xlnm.Print_Area" localSheetId="16">'taba-12'!$A$1:$G$35</definedName>
    <definedName name="_xlnm.Print_Area" localSheetId="17">'taba-13'!$A$1:$G$41</definedName>
    <definedName name="_xlnm.Print_Area" localSheetId="18">'taba-14'!$A$1:$G$41</definedName>
    <definedName name="_xlnm.Print_Area" localSheetId="19">'taba-15'!$A$1:$G$41</definedName>
    <definedName name="_xlnm.Print_Area" localSheetId="20">'taba-16'!$A$1:$G$42</definedName>
    <definedName name="_xlnm.Print_Area" localSheetId="21">'taba-17'!$A$1:$AL$56</definedName>
    <definedName name="_xlnm.Print_Area" localSheetId="1">#REF!</definedName>
    <definedName name="_xlnm.Print_Area" localSheetId="2">#REF!</definedName>
    <definedName name="_xlnm.Print_Area" localSheetId="3">#REF!</definedName>
    <definedName name="_xlnm.Print_Area" localSheetId="4">'taba-1d'!$A$1:$J$95</definedName>
    <definedName name="_xlnm.Print_Area" localSheetId="5">'taba-1e'!$A$1:$F$96</definedName>
    <definedName name="_xlnm.Print_Area" localSheetId="6">'taba-2'!$A$1:$F$55</definedName>
    <definedName name="_xlnm.Print_Area" localSheetId="7">'taba-3'!$A$1:$J$51</definedName>
    <definedName name="_xlnm.Print_Area" localSheetId="8">'taba-4'!$A$1:$O$96</definedName>
    <definedName name="_xlnm.Print_Area" localSheetId="9">'taba-5'!$A$1:$O$95</definedName>
    <definedName name="_xlnm.Print_Area" localSheetId="10">'taba-6'!$A$1:$J$54</definedName>
    <definedName name="_xlnm.Print_Area" localSheetId="11">'taba-7'!$A$1:$I$52</definedName>
    <definedName name="_xlnm.Print_Area" localSheetId="12">'taba-8'!$A$1:$L$101</definedName>
    <definedName name="_xlnm.Print_Area" localSheetId="13">'taba-9'!$A$1:$H$42</definedName>
    <definedName name="_xlnm.Print_Area">#REF!</definedName>
    <definedName name="PRINT_AREA_MI" localSheetId="14">#REF!</definedName>
    <definedName name="PRINT_AREA_MI" localSheetId="15">#REF!</definedName>
    <definedName name="PRINT_AREA_MI" localSheetId="16">#REF!</definedName>
    <definedName name="PRINT_AREA_MI" localSheetId="17">#REF!</definedName>
    <definedName name="PRINT_AREA_MI" localSheetId="18">#REF!</definedName>
    <definedName name="PRINT_AREA_MI" localSheetId="19">#REF!</definedName>
    <definedName name="PRINT_AREA_MI" localSheetId="20">#REF!</definedName>
    <definedName name="PRINT_AREA_MI" localSheetId="21">#REF!</definedName>
    <definedName name="PRINT_AREA_MI" localSheetId="1">'taba-1a'!$A$1:$S$87</definedName>
    <definedName name="PRINT_AREA_MI" localSheetId="2">'taba-1b'!$A$1:$I$87</definedName>
    <definedName name="PRINT_AREA_MI" localSheetId="3">'taba-1c'!$A$1:$A$95</definedName>
    <definedName name="PRINT_AREA_MI" localSheetId="4">'taba-1d'!$A$1:$A$95</definedName>
    <definedName name="PRINT_AREA_MI" localSheetId="5">'taba-1e'!$A$1:$A$95</definedName>
    <definedName name="PRINT_AREA_MI" localSheetId="6">#REF!</definedName>
    <definedName name="Print_Area_MI" localSheetId="7">'taba-3'!$A$1:$L$51</definedName>
    <definedName name="Print_Area_MI" localSheetId="8">'taba-4'!$A$1:$O$97</definedName>
    <definedName name="Print_Area_MI" localSheetId="9">'taba-5'!$A$1:$O$95</definedName>
    <definedName name="Print_Area_MI" localSheetId="10">'taba-6'!$A$1:$K$49</definedName>
    <definedName name="Print_Area_MI" localSheetId="11">'taba-7'!$A$1:$I$52</definedName>
    <definedName name="PRINT_AREA_MI" localSheetId="12">#REF!</definedName>
    <definedName name="PRINT_AREA_MI" localSheetId="13">#REF!</definedName>
    <definedName name="PRINT_AREA_MI">#REF!</definedName>
    <definedName name="tablea_1e">#REF!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 i="30" l="1"/>
  <c r="B10" i="30"/>
  <c r="AK15" i="31" l="1"/>
  <c r="AA51" i="31"/>
  <c r="AA10" i="31"/>
  <c r="AK15" i="30"/>
  <c r="AG51" i="30"/>
  <c r="AG43" i="30"/>
  <c r="AG37" i="30"/>
  <c r="AG33" i="30"/>
  <c r="AG22" i="30"/>
  <c r="AG14" i="30"/>
  <c r="AG10" i="30"/>
  <c r="AG8" i="30"/>
  <c r="AG7" i="30"/>
  <c r="AB51" i="30"/>
  <c r="AB47" i="30"/>
  <c r="AB38" i="30"/>
  <c r="AB35" i="30"/>
  <c r="AB34" i="30"/>
  <c r="AB13" i="30"/>
  <c r="AB10" i="30"/>
  <c r="AA51" i="30"/>
  <c r="AA10" i="30"/>
  <c r="Q51" i="30" l="1"/>
  <c r="Q49" i="30"/>
  <c r="Q38" i="30"/>
  <c r="Q32" i="30"/>
  <c r="Q25" i="30"/>
  <c r="P51" i="30" l="1"/>
  <c r="P49" i="30"/>
  <c r="P44" i="30"/>
  <c r="P26" i="30"/>
  <c r="N51" i="30"/>
  <c r="N47" i="30"/>
  <c r="N10" i="30"/>
  <c r="L23" i="30"/>
  <c r="L51" i="30"/>
  <c r="L47" i="30"/>
  <c r="L38" i="30"/>
  <c r="L35" i="30"/>
  <c r="L32" i="30"/>
  <c r="L26" i="30"/>
  <c r="L14" i="30"/>
  <c r="L13" i="30"/>
  <c r="L10" i="30"/>
  <c r="G51" i="30"/>
  <c r="G47" i="30"/>
  <c r="G46" i="30"/>
  <c r="G39" i="30"/>
  <c r="G38" i="30"/>
  <c r="G34" i="30"/>
  <c r="G26" i="30"/>
  <c r="G10" i="30"/>
  <c r="D8" i="30"/>
  <c r="E13" i="30"/>
  <c r="E10" i="30"/>
  <c r="D10" i="30"/>
  <c r="C43" i="30"/>
  <c r="C13" i="30"/>
  <c r="B43" i="30"/>
  <c r="B13" i="30"/>
  <c r="H46" i="9" l="1"/>
  <c r="H45" i="9"/>
  <c r="H44" i="9"/>
  <c r="Q46" i="8"/>
  <c r="Q45" i="8"/>
  <c r="F50" i="6"/>
  <c r="O92" i="8"/>
  <c r="J47" i="7"/>
  <c r="E47" i="7"/>
  <c r="O91" i="9" l="1"/>
  <c r="F43" i="31" l="1"/>
  <c r="F13" i="31"/>
  <c r="F10" i="31"/>
  <c r="F8" i="31"/>
  <c r="O90" i="9"/>
  <c r="O89" i="9"/>
  <c r="O88" i="9"/>
  <c r="O91" i="8"/>
  <c r="F43" i="30" l="1"/>
  <c r="F13" i="30"/>
  <c r="F8" i="30"/>
  <c r="F10" i="30"/>
  <c r="F51" i="31" l="1"/>
  <c r="J46" i="7" l="1"/>
  <c r="J45" i="7"/>
  <c r="E45" i="7"/>
  <c r="E44" i="7"/>
  <c r="E46" i="7"/>
  <c r="F49" i="6"/>
  <c r="AJ51" i="31" l="1"/>
  <c r="AK51" i="31" s="1"/>
  <c r="AJ49" i="31"/>
  <c r="AC49" i="31"/>
  <c r="AJ48" i="31"/>
  <c r="AC48" i="31"/>
  <c r="AJ47" i="31"/>
  <c r="AC47" i="31"/>
  <c r="AJ46" i="31"/>
  <c r="AC46" i="31"/>
  <c r="AJ45" i="31"/>
  <c r="AC45" i="31"/>
  <c r="AK45" i="31" s="1"/>
  <c r="AJ44" i="31"/>
  <c r="AC44" i="31"/>
  <c r="AJ43" i="31"/>
  <c r="AC43" i="31"/>
  <c r="AJ42" i="31"/>
  <c r="AC42" i="31"/>
  <c r="AJ41" i="31"/>
  <c r="AC41" i="31"/>
  <c r="AJ40" i="31"/>
  <c r="AC40" i="31"/>
  <c r="AJ39" i="31"/>
  <c r="AC39" i="31"/>
  <c r="AJ38" i="31"/>
  <c r="AC38" i="31"/>
  <c r="AJ37" i="31"/>
  <c r="AC37" i="31"/>
  <c r="AJ36" i="31"/>
  <c r="AC36" i="31"/>
  <c r="AJ35" i="31"/>
  <c r="AC35" i="31"/>
  <c r="AJ34" i="31"/>
  <c r="AC34" i="31"/>
  <c r="AJ33" i="31"/>
  <c r="AC33" i="31"/>
  <c r="AJ32" i="31"/>
  <c r="AC32" i="31"/>
  <c r="AJ31" i="31"/>
  <c r="AC31" i="31"/>
  <c r="AJ30" i="31"/>
  <c r="AC30" i="31"/>
  <c r="AJ29" i="31"/>
  <c r="AC29" i="31"/>
  <c r="AJ28" i="31"/>
  <c r="AC28" i="31"/>
  <c r="AJ27" i="31"/>
  <c r="AC27" i="31"/>
  <c r="AJ26" i="31"/>
  <c r="AC26" i="31"/>
  <c r="AJ25" i="31"/>
  <c r="AC25" i="31"/>
  <c r="AK25" i="31" s="1"/>
  <c r="AJ24" i="31"/>
  <c r="AC24" i="31"/>
  <c r="AJ23" i="31"/>
  <c r="AC23" i="31"/>
  <c r="AJ22" i="31"/>
  <c r="AC22" i="31"/>
  <c r="AJ21" i="31"/>
  <c r="AC21" i="31"/>
  <c r="AK21" i="31" s="1"/>
  <c r="AJ20" i="31"/>
  <c r="AC20" i="31"/>
  <c r="AJ19" i="31"/>
  <c r="AC19" i="31"/>
  <c r="AJ18" i="31"/>
  <c r="AC18" i="31"/>
  <c r="AK18" i="31" s="1"/>
  <c r="AJ17" i="31"/>
  <c r="AC17" i="31"/>
  <c r="AJ16" i="31"/>
  <c r="AC16" i="31"/>
  <c r="AK16" i="31" s="1"/>
  <c r="AJ15" i="31"/>
  <c r="AC15" i="31"/>
  <c r="AJ14" i="31"/>
  <c r="AC14" i="31"/>
  <c r="AJ13" i="31"/>
  <c r="AC13" i="31"/>
  <c r="AJ12" i="31"/>
  <c r="AC12" i="31"/>
  <c r="AK12" i="31" s="1"/>
  <c r="AJ11" i="31"/>
  <c r="AC11" i="31"/>
  <c r="AJ10" i="31"/>
  <c r="AC10" i="31"/>
  <c r="AJ9" i="31"/>
  <c r="AC9" i="31"/>
  <c r="AJ8" i="31"/>
  <c r="AC8" i="31"/>
  <c r="AJ7" i="31"/>
  <c r="AC7" i="31"/>
  <c r="AK41" i="31" l="1"/>
  <c r="AK37" i="31"/>
  <c r="AK29" i="31"/>
  <c r="AK19" i="31"/>
  <c r="AL19" i="31" s="1"/>
  <c r="AK23" i="31"/>
  <c r="AL23" i="31" s="1"/>
  <c r="AK27" i="31"/>
  <c r="AL27" i="31" s="1"/>
  <c r="AK31" i="31"/>
  <c r="AL31" i="31" s="1"/>
  <c r="AK35" i="31"/>
  <c r="AL35" i="31" s="1"/>
  <c r="AK39" i="31"/>
  <c r="AL39" i="31" s="1"/>
  <c r="AK47" i="31"/>
  <c r="AL47" i="31" s="1"/>
  <c r="AK9" i="31"/>
  <c r="AL9" i="31" s="1"/>
  <c r="AK49" i="31"/>
  <c r="AL49" i="31" s="1"/>
  <c r="AK20" i="31"/>
  <c r="AK24" i="31"/>
  <c r="AL24" i="31" s="1"/>
  <c r="AK28" i="31"/>
  <c r="AL28" i="31" s="1"/>
  <c r="AK32" i="31"/>
  <c r="AL32" i="31" s="1"/>
  <c r="AK36" i="31"/>
  <c r="AL36" i="31" s="1"/>
  <c r="AK40" i="31"/>
  <c r="AL40" i="31" s="1"/>
  <c r="AK44" i="31"/>
  <c r="AL44" i="31" s="1"/>
  <c r="AK48" i="31"/>
  <c r="AL48" i="31" s="1"/>
  <c r="AK13" i="31"/>
  <c r="AL13" i="31" s="1"/>
  <c r="AK17" i="31"/>
  <c r="AK7" i="31"/>
  <c r="AL7" i="31" s="1"/>
  <c r="AK11" i="31"/>
  <c r="AL11" i="31" s="1"/>
  <c r="AK26" i="31"/>
  <c r="AL26" i="31" s="1"/>
  <c r="AK30" i="31"/>
  <c r="AL30" i="31" s="1"/>
  <c r="AK34" i="31"/>
  <c r="AL34" i="31" s="1"/>
  <c r="AK42" i="31"/>
  <c r="AL42" i="31" s="1"/>
  <c r="AK46" i="31"/>
  <c r="AL46" i="31" s="1"/>
  <c r="AK43" i="31"/>
  <c r="AL43" i="31" s="1"/>
  <c r="AK33" i="31"/>
  <c r="AL33" i="31" s="1"/>
  <c r="AK22" i="31"/>
  <c r="AL22" i="31" s="1"/>
  <c r="AK14" i="31"/>
  <c r="AL14" i="31" s="1"/>
  <c r="AK8" i="31"/>
  <c r="AL8" i="31" s="1"/>
  <c r="AK10" i="31"/>
  <c r="AL10" i="31" s="1"/>
  <c r="AL15" i="31"/>
  <c r="AL18" i="31"/>
  <c r="AL16" i="31"/>
  <c r="AL12" i="31"/>
  <c r="AK38" i="31"/>
  <c r="AL38" i="31" s="1"/>
  <c r="AL45" i="31"/>
  <c r="AL17" i="31"/>
  <c r="AL20" i="31"/>
  <c r="AL21" i="31"/>
  <c r="AL25" i="31"/>
  <c r="AL29" i="31"/>
  <c r="AL37" i="31"/>
  <c r="AL41" i="31"/>
  <c r="AL51" i="31" l="1"/>
  <c r="AJ51" i="30" l="1"/>
  <c r="F51" i="30"/>
  <c r="AJ49" i="30"/>
  <c r="AC49" i="30"/>
  <c r="AK49" i="30" s="1"/>
  <c r="AJ48" i="30"/>
  <c r="AC48" i="30"/>
  <c r="AK48" i="30" s="1"/>
  <c r="AJ47" i="30"/>
  <c r="AC47" i="30"/>
  <c r="AK47" i="30" s="1"/>
  <c r="AJ46" i="30"/>
  <c r="AC46" i="30"/>
  <c r="AJ45" i="30"/>
  <c r="AC45" i="30"/>
  <c r="AK45" i="30" s="1"/>
  <c r="AJ44" i="30"/>
  <c r="AC44" i="30"/>
  <c r="AK44" i="30" s="1"/>
  <c r="AJ43" i="30"/>
  <c r="AC43" i="30"/>
  <c r="AJ42" i="30"/>
  <c r="AC42" i="30"/>
  <c r="AK42" i="30" s="1"/>
  <c r="AJ41" i="30"/>
  <c r="AC41" i="30"/>
  <c r="AJ40" i="30"/>
  <c r="AC40" i="30"/>
  <c r="AK40" i="30" s="1"/>
  <c r="AJ39" i="30"/>
  <c r="AC39" i="30"/>
  <c r="AJ38" i="30"/>
  <c r="AC38" i="30"/>
  <c r="AJ37" i="30"/>
  <c r="AC37" i="30"/>
  <c r="AJ36" i="30"/>
  <c r="AC36" i="30"/>
  <c r="AK36" i="30" s="1"/>
  <c r="AJ35" i="30"/>
  <c r="AC35" i="30"/>
  <c r="AJ34" i="30"/>
  <c r="AC34" i="30"/>
  <c r="AK34" i="30" s="1"/>
  <c r="AJ33" i="30"/>
  <c r="AK33" i="30" s="1"/>
  <c r="AC33" i="30"/>
  <c r="AJ32" i="30"/>
  <c r="AC32" i="30"/>
  <c r="AK32" i="30" s="1"/>
  <c r="AJ31" i="30"/>
  <c r="AC31" i="30"/>
  <c r="AJ30" i="30"/>
  <c r="AC30" i="30"/>
  <c r="AK30" i="30" s="1"/>
  <c r="AJ29" i="30"/>
  <c r="AC29" i="30"/>
  <c r="AJ28" i="30"/>
  <c r="AC28" i="30"/>
  <c r="AK28" i="30" s="1"/>
  <c r="AJ27" i="30"/>
  <c r="AC27" i="30"/>
  <c r="AJ26" i="30"/>
  <c r="AC26" i="30"/>
  <c r="AK26" i="30" s="1"/>
  <c r="AJ25" i="30"/>
  <c r="AC25" i="30"/>
  <c r="AJ24" i="30"/>
  <c r="AC24" i="30"/>
  <c r="AK24" i="30" s="1"/>
  <c r="AJ23" i="30"/>
  <c r="AC23" i="30"/>
  <c r="AJ22" i="30"/>
  <c r="AC22" i="30"/>
  <c r="AJ21" i="30"/>
  <c r="AC21" i="30"/>
  <c r="AJ20" i="30"/>
  <c r="AC20" i="30"/>
  <c r="AJ19" i="30"/>
  <c r="AC19" i="30"/>
  <c r="AJ18" i="30"/>
  <c r="AC18" i="30"/>
  <c r="AK18" i="30" s="1"/>
  <c r="AJ17" i="30"/>
  <c r="AC17" i="30"/>
  <c r="AJ16" i="30"/>
  <c r="AC16" i="30"/>
  <c r="AK16" i="30" s="1"/>
  <c r="AJ15" i="30"/>
  <c r="AC15" i="30"/>
  <c r="AJ14" i="30"/>
  <c r="AC14" i="30"/>
  <c r="AJ13" i="30"/>
  <c r="AC13" i="30"/>
  <c r="AJ12" i="30"/>
  <c r="AC12" i="30"/>
  <c r="AK12" i="30" s="1"/>
  <c r="AJ11" i="30"/>
  <c r="AC11" i="30"/>
  <c r="AJ10" i="30"/>
  <c r="AC10" i="30"/>
  <c r="AJ9" i="30"/>
  <c r="AC9" i="30"/>
  <c r="AJ8" i="30"/>
  <c r="AC8" i="30"/>
  <c r="AJ7" i="30"/>
  <c r="AC7" i="30"/>
  <c r="AK20" i="30" l="1"/>
  <c r="AK38" i="30"/>
  <c r="AK31" i="30"/>
  <c r="AK9" i="30"/>
  <c r="AK13" i="30"/>
  <c r="AK17" i="30"/>
  <c r="AK21" i="30"/>
  <c r="AK25" i="30"/>
  <c r="AK41" i="30"/>
  <c r="AK22" i="30"/>
  <c r="AK46" i="30"/>
  <c r="AK19" i="30"/>
  <c r="AK23" i="30"/>
  <c r="AK27" i="30"/>
  <c r="AK35" i="30"/>
  <c r="AK39" i="30"/>
  <c r="AK43" i="30"/>
  <c r="AK37" i="30"/>
  <c r="AK14" i="30"/>
  <c r="AK51" i="30"/>
  <c r="AK11" i="30"/>
  <c r="AK7" i="30"/>
  <c r="AK29" i="30"/>
  <c r="AK8" i="30"/>
  <c r="AK10" i="30"/>
  <c r="H43" i="9"/>
  <c r="H42" i="9"/>
  <c r="O90" i="8"/>
  <c r="F48" i="6"/>
  <c r="AL22" i="30" l="1"/>
  <c r="AL20" i="30"/>
  <c r="AL33" i="30"/>
  <c r="AL14" i="30"/>
  <c r="AL18" i="30"/>
  <c r="AL10" i="30"/>
  <c r="AL49" i="30"/>
  <c r="AL29" i="30"/>
  <c r="AL39" i="30"/>
  <c r="AL47" i="30"/>
  <c r="AL36" i="30"/>
  <c r="AL38" i="30"/>
  <c r="AL17" i="30"/>
  <c r="AL32" i="30"/>
  <c r="AL12" i="30"/>
  <c r="AL43" i="30"/>
  <c r="AL16" i="30"/>
  <c r="AL9" i="30"/>
  <c r="AL8" i="30"/>
  <c r="AL11" i="30"/>
  <c r="AL45" i="30"/>
  <c r="AL48" i="30"/>
  <c r="AL46" i="30"/>
  <c r="AL21" i="30"/>
  <c r="AL41" i="30"/>
  <c r="AL7" i="30"/>
  <c r="AL42" i="30"/>
  <c r="AL28" i="30"/>
  <c r="AL35" i="30"/>
  <c r="AL37" i="30"/>
  <c r="AL13" i="30"/>
  <c r="AL15" i="30"/>
  <c r="AL23" i="30"/>
  <c r="AL26" i="30"/>
  <c r="AL30" i="30"/>
  <c r="AL34" i="30"/>
  <c r="AL31" i="30"/>
  <c r="AL27" i="30"/>
  <c r="AL44" i="30"/>
  <c r="AL40" i="30"/>
  <c r="AL25" i="30"/>
  <c r="AL24" i="30"/>
  <c r="AL19" i="30"/>
  <c r="AL51" i="30" l="1"/>
  <c r="O89" i="8"/>
  <c r="J44" i="7"/>
  <c r="F47" i="6" l="1"/>
  <c r="N70" i="9" l="1"/>
  <c r="N69" i="9"/>
  <c r="O69" i="9" s="1"/>
  <c r="N68" i="9"/>
  <c r="O64" i="9"/>
  <c r="L63" i="9"/>
  <c r="I63" i="9"/>
  <c r="O63" i="9" s="1"/>
  <c r="L62" i="9"/>
  <c r="I62" i="9"/>
  <c r="H62" i="9"/>
  <c r="L61" i="9"/>
  <c r="I61" i="9"/>
  <c r="H61" i="9"/>
  <c r="D61" i="9"/>
  <c r="L60" i="9"/>
  <c r="I60" i="9"/>
  <c r="H60" i="9"/>
  <c r="O58" i="9"/>
  <c r="O57" i="9"/>
  <c r="O56" i="9"/>
  <c r="O55" i="9"/>
  <c r="O54" i="9"/>
  <c r="O53" i="9"/>
  <c r="O87" i="9"/>
  <c r="H41" i="9"/>
  <c r="O86" i="9" s="1"/>
  <c r="H40" i="9"/>
  <c r="O85" i="9" s="1"/>
  <c r="H39" i="9"/>
  <c r="O84" i="9" s="1"/>
  <c r="H38" i="9"/>
  <c r="O83" i="9" s="1"/>
  <c r="H37" i="9"/>
  <c r="O82" i="9" s="1"/>
  <c r="H36" i="9"/>
  <c r="O81" i="9" s="1"/>
  <c r="H35" i="9"/>
  <c r="O80" i="9" s="1"/>
  <c r="H34" i="9"/>
  <c r="O79" i="9" s="1"/>
  <c r="H33" i="9"/>
  <c r="O78" i="9" s="1"/>
  <c r="H32" i="9"/>
  <c r="O77" i="9" s="1"/>
  <c r="H31" i="9"/>
  <c r="O76" i="9" s="1"/>
  <c r="H30" i="9"/>
  <c r="O75" i="9" s="1"/>
  <c r="H29" i="9"/>
  <c r="O74" i="9" s="1"/>
  <c r="H28" i="9"/>
  <c r="O73" i="9" s="1"/>
  <c r="H27" i="9"/>
  <c r="O72" i="9" s="1"/>
  <c r="H26" i="9"/>
  <c r="O71" i="9" s="1"/>
  <c r="H25" i="9"/>
  <c r="O70" i="9" s="1"/>
  <c r="H23" i="9"/>
  <c r="H22" i="9"/>
  <c r="O67" i="9" s="1"/>
  <c r="H21" i="9"/>
  <c r="O66" i="9" s="1"/>
  <c r="H20" i="9"/>
  <c r="O65" i="9" s="1"/>
  <c r="H17" i="9"/>
  <c r="O16" i="9"/>
  <c r="H15" i="9"/>
  <c r="B15" i="9"/>
  <c r="O60" i="9" s="1"/>
  <c r="H14" i="9"/>
  <c r="O59" i="9" s="1"/>
  <c r="O62" i="9" l="1"/>
  <c r="O68" i="9"/>
  <c r="O61" i="9"/>
  <c r="O88" i="8"/>
  <c r="O81" i="8"/>
  <c r="O65" i="8"/>
  <c r="O55" i="8"/>
  <c r="O54" i="8"/>
  <c r="O87" i="8"/>
  <c r="O86" i="8"/>
  <c r="O85" i="8"/>
  <c r="O84" i="8"/>
  <c r="O83" i="8"/>
  <c r="O82" i="8"/>
  <c r="H35" i="8"/>
  <c r="O80" i="8" s="1"/>
  <c r="H34" i="8"/>
  <c r="O79" i="8" s="1"/>
  <c r="H33" i="8"/>
  <c r="O78" i="8" s="1"/>
  <c r="H32" i="8"/>
  <c r="O77" i="8" s="1"/>
  <c r="H31" i="8"/>
  <c r="O76" i="8" s="1"/>
  <c r="H30" i="8"/>
  <c r="O75" i="8" s="1"/>
  <c r="H29" i="8"/>
  <c r="O74" i="8" s="1"/>
  <c r="H28" i="8"/>
  <c r="O73" i="8" s="1"/>
  <c r="H27" i="8"/>
  <c r="O72" i="8" s="1"/>
  <c r="H26" i="8"/>
  <c r="O71" i="8" s="1"/>
  <c r="H25" i="8"/>
  <c r="O70" i="8" s="1"/>
  <c r="H24" i="8"/>
  <c r="O69" i="8" s="1"/>
  <c r="H23" i="8"/>
  <c r="O68" i="8" s="1"/>
  <c r="H22" i="8"/>
  <c r="O67" i="8" s="1"/>
  <c r="H21" i="8"/>
  <c r="O66" i="8" s="1"/>
  <c r="H18" i="8"/>
  <c r="O63" i="8" s="1"/>
  <c r="H17" i="8"/>
  <c r="O62" i="8" s="1"/>
  <c r="H16" i="8"/>
  <c r="O61" i="8" s="1"/>
  <c r="H15" i="8"/>
  <c r="O60" i="8" s="1"/>
  <c r="H14" i="8"/>
  <c r="O59" i="8" s="1"/>
  <c r="H13" i="8"/>
  <c r="O58" i="8" s="1"/>
  <c r="H12" i="8"/>
  <c r="O57" i="8" s="1"/>
  <c r="H11" i="8"/>
  <c r="O56" i="8" s="1"/>
  <c r="J43" i="7" l="1"/>
  <c r="E43" i="7"/>
  <c r="J42" i="7"/>
  <c r="E42" i="7"/>
  <c r="J41" i="7"/>
  <c r="E41" i="7"/>
  <c r="J40" i="7"/>
  <c r="E40" i="7"/>
  <c r="J39" i="7"/>
  <c r="E39" i="7"/>
  <c r="J38" i="7"/>
  <c r="E38" i="7"/>
  <c r="J37" i="7"/>
  <c r="E37" i="7"/>
  <c r="J36" i="7"/>
  <c r="E36" i="7"/>
  <c r="J35" i="7"/>
  <c r="E35" i="7"/>
  <c r="J34" i="7"/>
  <c r="E34" i="7"/>
  <c r="J33" i="7"/>
  <c r="E33" i="7"/>
  <c r="J32" i="7"/>
  <c r="E32" i="7"/>
  <c r="J31" i="7"/>
  <c r="E31" i="7"/>
  <c r="J30" i="7"/>
  <c r="E30" i="7"/>
  <c r="J29" i="7"/>
  <c r="E29" i="7"/>
  <c r="J28" i="7"/>
  <c r="E28" i="7"/>
  <c r="J27" i="7"/>
  <c r="E27" i="7"/>
  <c r="J26" i="7"/>
  <c r="E26" i="7"/>
  <c r="J25" i="7"/>
  <c r="E25" i="7"/>
  <c r="J24" i="7"/>
  <c r="E24" i="7"/>
  <c r="J23" i="7"/>
  <c r="E23" i="7"/>
  <c r="J22" i="7"/>
  <c r="E22" i="7"/>
  <c r="J21" i="7"/>
  <c r="E21" i="7"/>
  <c r="J20" i="7"/>
  <c r="E20" i="7"/>
  <c r="J19" i="7"/>
  <c r="E19" i="7"/>
  <c r="J18" i="7"/>
  <c r="E18" i="7"/>
  <c r="J17" i="7"/>
  <c r="E17" i="7"/>
  <c r="J16" i="7"/>
  <c r="E16" i="7"/>
  <c r="H15" i="7"/>
  <c r="J15" i="7" s="1"/>
  <c r="C15" i="7"/>
  <c r="E15" i="7" s="1"/>
  <c r="H14" i="7"/>
  <c r="J14" i="7" s="1"/>
  <c r="C14" i="7"/>
  <c r="E14" i="7" s="1"/>
  <c r="H13" i="7"/>
  <c r="J13" i="7" s="1"/>
  <c r="C13" i="7"/>
  <c r="E13" i="7" s="1"/>
  <c r="H12" i="7"/>
  <c r="J12" i="7" s="1"/>
  <c r="C12" i="7"/>
  <c r="E12" i="7" s="1"/>
  <c r="H11" i="7"/>
  <c r="J11" i="7" s="1"/>
  <c r="C11" i="7"/>
  <c r="E11" i="7" s="1"/>
  <c r="H10" i="7"/>
  <c r="J10" i="7" s="1"/>
  <c r="C10" i="7"/>
  <c r="E10" i="7" s="1"/>
  <c r="H9" i="7"/>
  <c r="J9" i="7" s="1"/>
  <c r="C9" i="7"/>
  <c r="E9" i="7" s="1"/>
  <c r="F46" i="6" l="1"/>
  <c r="F45" i="6"/>
  <c r="F44" i="6"/>
  <c r="F42" i="6"/>
  <c r="F41" i="6"/>
  <c r="F40" i="6"/>
  <c r="F39" i="6"/>
  <c r="D38" i="6"/>
  <c r="C38" i="6"/>
  <c r="D37" i="6"/>
  <c r="C37" i="6"/>
  <c r="D36" i="6"/>
  <c r="C36" i="6"/>
  <c r="F36" i="6" s="1"/>
  <c r="D34" i="6"/>
  <c r="C34" i="6"/>
  <c r="F34" i="6" s="1"/>
  <c r="D33" i="6"/>
  <c r="C33" i="6"/>
  <c r="F33" i="6" s="1"/>
  <c r="F32" i="6"/>
  <c r="F31" i="6"/>
  <c r="E22" i="6"/>
  <c r="D22" i="6"/>
  <c r="F37" i="6" l="1"/>
  <c r="F38" i="6"/>
</calcChain>
</file>

<file path=xl/sharedStrings.xml><?xml version="1.0" encoding="utf-8"?>
<sst xmlns="http://schemas.openxmlformats.org/spreadsheetml/2006/main" count="1715" uniqueCount="476">
  <si>
    <t xml:space="preserve">  Crop</t>
  </si>
  <si>
    <t>1977</t>
  </si>
  <si>
    <t>1978</t>
  </si>
  <si>
    <t>1979</t>
  </si>
  <si>
    <t>1980</t>
  </si>
  <si>
    <t>1981</t>
  </si>
  <si>
    <t>1982</t>
  </si>
  <si>
    <t>1983</t>
  </si>
  <si>
    <t>1984</t>
  </si>
  <si>
    <t>1985</t>
  </si>
  <si>
    <t>Apples, all</t>
  </si>
  <si>
    <t xml:space="preserve">  Fresh</t>
  </si>
  <si>
    <t xml:space="preserve">  Canning</t>
  </si>
  <si>
    <t xml:space="preserve">  Freezing</t>
  </si>
  <si>
    <t xml:space="preserve">  Juice</t>
  </si>
  <si>
    <t xml:space="preserve">  Dried</t>
  </si>
  <si>
    <t xml:space="preserve">  Other processed</t>
  </si>
  <si>
    <t>Grapes, all</t>
  </si>
  <si>
    <t xml:space="preserve">  Dried (raisins)</t>
  </si>
  <si>
    <t xml:space="preserve">  Wine</t>
  </si>
  <si>
    <t>Bananas, fresh</t>
  </si>
  <si>
    <t xml:space="preserve">Oranges, all  </t>
  </si>
  <si>
    <r>
      <t xml:space="preserve">  Juice </t>
    </r>
    <r>
      <rPr>
        <vertAlign val="superscript"/>
        <sz val="7"/>
        <rFont val="Helvetica"/>
      </rPr>
      <t>2</t>
    </r>
  </si>
  <si>
    <t xml:space="preserve">Grapefruit, all </t>
  </si>
  <si>
    <t xml:space="preserve">Lemons, all </t>
  </si>
  <si>
    <r>
      <t xml:space="preserve">Other citrus, all </t>
    </r>
    <r>
      <rPr>
        <vertAlign val="superscript"/>
        <sz val="7"/>
        <rFont val="Helvetica"/>
      </rPr>
      <t>3</t>
    </r>
  </si>
  <si>
    <r>
      <t xml:space="preserve">Pears, all  </t>
    </r>
    <r>
      <rPr>
        <vertAlign val="superscript"/>
        <sz val="7"/>
        <rFont val="Helvetica"/>
      </rPr>
      <t>5</t>
    </r>
  </si>
  <si>
    <t>Cherries, all</t>
  </si>
  <si>
    <t>Strawberries</t>
  </si>
  <si>
    <t>Pineapples, all</t>
  </si>
  <si>
    <t xml:space="preserve">Olives, canned </t>
  </si>
  <si>
    <t xml:space="preserve">Avocados, fresh </t>
  </si>
  <si>
    <t>Other noncitrus, all</t>
  </si>
  <si>
    <r>
      <t xml:space="preserve">  Fresh </t>
    </r>
    <r>
      <rPr>
        <vertAlign val="superscript"/>
        <sz val="7"/>
        <rFont val="Helvetica"/>
      </rPr>
      <t>6</t>
    </r>
  </si>
  <si>
    <r>
      <t xml:space="preserve">  Canning </t>
    </r>
    <r>
      <rPr>
        <vertAlign val="superscript"/>
        <sz val="7"/>
        <rFont val="Helvetica"/>
      </rPr>
      <t>7</t>
    </r>
  </si>
  <si>
    <r>
      <t xml:space="preserve">  Freezing </t>
    </r>
    <r>
      <rPr>
        <vertAlign val="superscript"/>
        <sz val="7"/>
        <rFont val="Helvetica"/>
      </rPr>
      <t>8</t>
    </r>
  </si>
  <si>
    <r>
      <t xml:space="preserve">  Juice </t>
    </r>
    <r>
      <rPr>
        <vertAlign val="superscript"/>
        <sz val="7"/>
        <rFont val="Helvetica"/>
      </rPr>
      <t>9</t>
    </r>
  </si>
  <si>
    <r>
      <t xml:space="preserve">  Dried </t>
    </r>
    <r>
      <rPr>
        <vertAlign val="superscript"/>
        <sz val="7"/>
        <rFont val="Helvetica"/>
      </rPr>
      <t>10</t>
    </r>
  </si>
  <si>
    <t xml:space="preserve">   Fresh</t>
  </si>
  <si>
    <t xml:space="preserve">   Canning </t>
  </si>
  <si>
    <t xml:space="preserve">   Freezing</t>
  </si>
  <si>
    <t xml:space="preserve">   Juice </t>
  </si>
  <si>
    <t xml:space="preserve">   Dried</t>
  </si>
  <si>
    <t xml:space="preserve">  Almonds</t>
  </si>
  <si>
    <t xml:space="preserve">  Pecans</t>
  </si>
  <si>
    <t xml:space="preserve">  Walnuts</t>
  </si>
  <si>
    <t>Total, all items*</t>
  </si>
  <si>
    <t xml:space="preserve">  Citrus </t>
  </si>
  <si>
    <t xml:space="preserve">  Noncitrus &amp; nuts</t>
  </si>
  <si>
    <t xml:space="preserve">  Melons</t>
  </si>
  <si>
    <t>--Continued</t>
  </si>
  <si>
    <t>1986</t>
  </si>
  <si>
    <t>1987</t>
  </si>
  <si>
    <t>1988</t>
  </si>
  <si>
    <t>1989</t>
  </si>
  <si>
    <t>1990</t>
  </si>
  <si>
    <t>1991</t>
  </si>
  <si>
    <t>1992</t>
  </si>
  <si>
    <t>1993</t>
  </si>
  <si>
    <t>1994</t>
  </si>
  <si>
    <t xml:space="preserve">  --Continued</t>
  </si>
  <si>
    <t>1996</t>
  </si>
  <si>
    <t>1997</t>
  </si>
  <si>
    <t>1998</t>
  </si>
  <si>
    <t>1999</t>
  </si>
  <si>
    <t>2000</t>
  </si>
  <si>
    <t>2001</t>
  </si>
  <si>
    <t>2002</t>
  </si>
  <si>
    <r>
      <t xml:space="preserve">processed products.  </t>
    </r>
    <r>
      <rPr>
        <vertAlign val="superscript"/>
        <sz val="7"/>
        <rFont val="Helvetica"/>
      </rPr>
      <t>6</t>
    </r>
    <r>
      <rPr>
        <sz val="7"/>
        <rFont val="Helvetica"/>
        <family val="2"/>
      </rPr>
      <t xml:space="preserve"> Includes apricots, blueberries, cranberries, kiwifruit,  mangoes, papayas, and plums and prunes. </t>
    </r>
    <r>
      <rPr>
        <vertAlign val="superscript"/>
        <sz val="7"/>
        <rFont val="Helvetica"/>
      </rPr>
      <t>7</t>
    </r>
    <r>
      <rPr>
        <sz val="7"/>
        <rFont val="Helvetica"/>
        <family val="2"/>
      </rPr>
      <t xml:space="preserve"> Includes apricots and plums and prunes. </t>
    </r>
  </si>
  <si>
    <r>
      <rPr>
        <vertAlign val="superscript"/>
        <sz val="7"/>
        <rFont val="Helvetica"/>
      </rPr>
      <t>10</t>
    </r>
    <r>
      <rPr>
        <sz val="7"/>
        <rFont val="Helvetica"/>
        <family val="2"/>
      </rPr>
      <t xml:space="preserve"> Includes apricots, dates, figs, peaches, pears, and plums and prunes. </t>
    </r>
    <r>
      <rPr>
        <vertAlign val="superscript"/>
        <sz val="7"/>
        <rFont val="Helvetica"/>
      </rPr>
      <t>11</t>
    </r>
    <r>
      <rPr>
        <sz val="7"/>
        <rFont val="Helvetica"/>
        <family val="2"/>
      </rPr>
      <t xml:space="preserve"> Also includes other processed apples and wine. </t>
    </r>
    <r>
      <rPr>
        <vertAlign val="superscript"/>
        <sz val="7"/>
        <rFont val="Helvetica"/>
      </rPr>
      <t>12</t>
    </r>
    <r>
      <rPr>
        <sz val="7"/>
        <rFont val="Helvetica"/>
        <family val="2"/>
      </rPr>
      <t xml:space="preserve"> Shelled basis.  </t>
    </r>
    <r>
      <rPr>
        <vertAlign val="superscript"/>
        <sz val="7"/>
        <rFont val="Helvetica"/>
      </rPr>
      <t>13</t>
    </r>
    <r>
      <rPr>
        <sz val="7"/>
        <rFont val="Helvetica"/>
        <family val="2"/>
      </rPr>
      <t xml:space="preserve"> Includes hazelnuts, macadamias, </t>
    </r>
  </si>
  <si>
    <t>pistachios, Brazil nuts, cashews, and mixed nuts.</t>
  </si>
  <si>
    <t>Source: USDA, Economic Research Service calculations based on U.S. production data from USDA, National Agricultural Statistics Service and U.S. trade and population data from</t>
  </si>
  <si>
    <t>U.S. Department of Commerce, U.S. Census Bureau.</t>
  </si>
  <si>
    <t>Table A-2--Bearing acreage for fruit and tree nuts, United States, 1980 to date</t>
  </si>
  <si>
    <t>Major noncitrus</t>
  </si>
  <si>
    <t>Miscellaneous</t>
  </si>
  <si>
    <t xml:space="preserve">  Year</t>
  </si>
  <si>
    <r>
      <t xml:space="preserve">Citrus </t>
    </r>
    <r>
      <rPr>
        <vertAlign val="superscript"/>
        <sz val="8"/>
        <rFont val="Helvetica"/>
      </rPr>
      <t>1</t>
    </r>
  </si>
  <si>
    <r>
      <t xml:space="preserve">fruits </t>
    </r>
    <r>
      <rPr>
        <vertAlign val="superscript"/>
        <sz val="8"/>
        <rFont val="Helvetica"/>
      </rPr>
      <t>2</t>
    </r>
  </si>
  <si>
    <r>
      <t xml:space="preserve">noncitrus </t>
    </r>
    <r>
      <rPr>
        <vertAlign val="superscript"/>
        <sz val="8"/>
        <rFont val="Helvetica"/>
      </rPr>
      <t>3</t>
    </r>
  </si>
  <si>
    <r>
      <t xml:space="preserve">Tree nuts  </t>
    </r>
    <r>
      <rPr>
        <vertAlign val="superscript"/>
        <sz val="8"/>
        <rFont val="Helvetica"/>
      </rPr>
      <t>4</t>
    </r>
  </si>
  <si>
    <r>
      <t xml:space="preserve">Total </t>
    </r>
    <r>
      <rPr>
        <vertAlign val="superscript"/>
        <sz val="8"/>
        <rFont val="Helvetica"/>
      </rPr>
      <t>5</t>
    </r>
  </si>
  <si>
    <t>--1,000 acres--</t>
  </si>
  <si>
    <t>2003</t>
  </si>
  <si>
    <t>2004</t>
  </si>
  <si>
    <t xml:space="preserve">2012 </t>
  </si>
  <si>
    <t xml:space="preserve">2013 </t>
  </si>
  <si>
    <r>
      <rPr>
        <vertAlign val="superscript"/>
        <sz val="7"/>
        <rFont val="Helvetica"/>
      </rPr>
      <t>2</t>
    </r>
    <r>
      <rPr>
        <sz val="7"/>
        <rFont val="Helvetica"/>
        <family val="2"/>
      </rPr>
      <t xml:space="preserve"> Commercial apples, apricots, cherries, grapes, nectarines, peaches, pears, plums, and prunes.  </t>
    </r>
    <r>
      <rPr>
        <vertAlign val="superscript"/>
        <sz val="7"/>
        <rFont val="Helvetica"/>
      </rPr>
      <t>3</t>
    </r>
    <r>
      <rPr>
        <sz val="7"/>
        <rFont val="Helvetica"/>
        <family val="2"/>
      </rPr>
      <t xml:space="preserve"> Avocados, bananas, berries (until 1979 and</t>
    </r>
  </si>
  <si>
    <t>after 1992), cranberries, dates, figs, guavas, kiwifruit, olives, papayas, pineapples (until 2006), pomegranates (until 1989), and strawberries.</t>
  </si>
  <si>
    <r>
      <rPr>
        <vertAlign val="superscript"/>
        <sz val="7"/>
        <rFont val="Helvetica"/>
      </rPr>
      <t>4</t>
    </r>
    <r>
      <rPr>
        <sz val="7"/>
        <rFont val="Helvetica"/>
        <family val="2"/>
      </rPr>
      <t xml:space="preserve"> Almonds, hazelnuts, macadamias, walnuts, and pistachios.  </t>
    </r>
    <r>
      <rPr>
        <vertAlign val="superscript"/>
        <sz val="7"/>
        <rFont val="Helvetica"/>
      </rPr>
      <t>5</t>
    </r>
    <r>
      <rPr>
        <sz val="7"/>
        <rFont val="Helvetica"/>
        <family val="2"/>
      </rPr>
      <t xml:space="preserve"> Some figures may not add due to rounding.</t>
    </r>
  </si>
  <si>
    <r>
      <t xml:space="preserve">Source: USDA, National Agricultural Statistics Service, </t>
    </r>
    <r>
      <rPr>
        <i/>
        <sz val="7"/>
        <rFont val="Helvetica"/>
        <family val="2"/>
      </rPr>
      <t xml:space="preserve">Citrus Fruits Summary </t>
    </r>
    <r>
      <rPr>
        <sz val="7"/>
        <rFont val="Helvetica"/>
        <family val="2"/>
      </rPr>
      <t>and</t>
    </r>
    <r>
      <rPr>
        <i/>
        <sz val="7"/>
        <rFont val="Helvetica"/>
        <family val="2"/>
      </rPr>
      <t xml:space="preserve"> Noncitrus Fruits and Nuts Summary, </t>
    </r>
    <r>
      <rPr>
        <sz val="7"/>
        <rFont val="Helvetica"/>
        <family val="2"/>
      </rPr>
      <t>various years.</t>
    </r>
  </si>
  <si>
    <t>Table A-3--Utilized production and value of production of citrus and noncitrus fruit, United States, 1980 to date</t>
  </si>
  <si>
    <t>Utilized production</t>
  </si>
  <si>
    <t>Value of production</t>
  </si>
  <si>
    <r>
      <t xml:space="preserve">Noncitrus </t>
    </r>
    <r>
      <rPr>
        <vertAlign val="superscript"/>
        <sz val="8"/>
        <rFont val="Helvetica"/>
      </rPr>
      <t>2</t>
    </r>
  </si>
  <si>
    <r>
      <t xml:space="preserve">Tree nuts </t>
    </r>
    <r>
      <rPr>
        <vertAlign val="superscript"/>
        <sz val="8"/>
        <rFont val="Helvetica"/>
      </rPr>
      <t>3</t>
    </r>
  </si>
  <si>
    <t>Total</t>
  </si>
  <si>
    <t>Tree nuts</t>
  </si>
  <si>
    <r>
      <t xml:space="preserve">2012 </t>
    </r>
    <r>
      <rPr>
        <vertAlign val="superscript"/>
        <sz val="8"/>
        <rFont val="Helvetica"/>
      </rPr>
      <t>4</t>
    </r>
  </si>
  <si>
    <r>
      <rPr>
        <vertAlign val="superscript"/>
        <sz val="7"/>
        <rFont val="Helvetica"/>
      </rPr>
      <t>1</t>
    </r>
    <r>
      <rPr>
        <sz val="7"/>
        <rFont val="Helvetica"/>
        <family val="2"/>
      </rPr>
      <t xml:space="preserve"> Year harvest was completed.  </t>
    </r>
    <r>
      <rPr>
        <vertAlign val="superscript"/>
        <sz val="7"/>
        <rFont val="Helvetica"/>
      </rPr>
      <t>2</t>
    </r>
    <r>
      <rPr>
        <sz val="7"/>
        <rFont val="Helvetica"/>
        <family val="2"/>
      </rPr>
      <t xml:space="preserve"> Includes berries (beginning 1992), cranberries, and strawberries.  </t>
    </r>
    <r>
      <rPr>
        <vertAlign val="superscript"/>
        <sz val="7"/>
        <rFont val="Helvetica"/>
      </rPr>
      <t>3</t>
    </r>
    <r>
      <rPr>
        <sz val="7"/>
        <rFont val="Helvetica"/>
        <family val="2"/>
      </rPr>
      <t xml:space="preserve"> Tree nuts are on an in-shell equivalent basis.</t>
    </r>
  </si>
  <si>
    <r>
      <rPr>
        <vertAlign val="superscript"/>
        <sz val="7"/>
        <rFont val="Helvetica"/>
      </rPr>
      <t>4</t>
    </r>
    <r>
      <rPr>
        <sz val="7"/>
        <rFont val="Helvetica"/>
        <family val="2"/>
      </rPr>
      <t xml:space="preserve"> 2012 value of production estimates for avocados, bananas, figs, guavas, kiwifruit, and papayas were not included in the total.</t>
    </r>
  </si>
  <si>
    <r>
      <t>Source: USDA, National Agricultural Statistics Service,</t>
    </r>
    <r>
      <rPr>
        <i/>
        <sz val="7"/>
        <rFont val="Helvetica"/>
        <family val="2"/>
      </rPr>
      <t xml:space="preserve">Citrus Fruits Summary </t>
    </r>
    <r>
      <rPr>
        <sz val="7"/>
        <rFont val="Helvetica"/>
        <family val="2"/>
      </rPr>
      <t>and</t>
    </r>
    <r>
      <rPr>
        <i/>
        <sz val="7"/>
        <rFont val="Helvetica"/>
        <family val="2"/>
      </rPr>
      <t xml:space="preserve"> Noncitrus Fruits and Nuts Summary,</t>
    </r>
    <r>
      <rPr>
        <sz val="7"/>
        <rFont val="Helvetica"/>
        <family val="2"/>
      </rPr>
      <t>various years.</t>
    </r>
  </si>
  <si>
    <t>Table A-4--Bearing acreage for selected citrus and noncitrus fruit, United States, 1980 to date</t>
  </si>
  <si>
    <t>Cherries</t>
  </si>
  <si>
    <t>Prunes</t>
  </si>
  <si>
    <t>Tanger-</t>
  </si>
  <si>
    <t>Grape-</t>
  </si>
  <si>
    <t>Year</t>
  </si>
  <si>
    <t>Apples</t>
  </si>
  <si>
    <t>Peaches</t>
  </si>
  <si>
    <t>Pears</t>
  </si>
  <si>
    <t>Grapes</t>
  </si>
  <si>
    <t>Sweet</t>
  </si>
  <si>
    <t>Tart</t>
  </si>
  <si>
    <t>and plums</t>
  </si>
  <si>
    <t>Apricots</t>
  </si>
  <si>
    <t>Figs</t>
  </si>
  <si>
    <r>
      <t xml:space="preserve">Oranges </t>
    </r>
    <r>
      <rPr>
        <vertAlign val="superscript"/>
        <sz val="8"/>
        <rFont val="Helvetica"/>
      </rPr>
      <t>1</t>
    </r>
  </si>
  <si>
    <r>
      <t xml:space="preserve">     ines  </t>
    </r>
    <r>
      <rPr>
        <vertAlign val="superscript"/>
        <sz val="8"/>
        <rFont val="Helvetica"/>
      </rPr>
      <t>1</t>
    </r>
  </si>
  <si>
    <r>
      <t xml:space="preserve">fruit </t>
    </r>
    <r>
      <rPr>
        <vertAlign val="superscript"/>
        <sz val="8"/>
        <rFont val="Helvetica"/>
      </rPr>
      <t>1</t>
    </r>
  </si>
  <si>
    <r>
      <t xml:space="preserve">Lemons </t>
    </r>
    <r>
      <rPr>
        <vertAlign val="superscript"/>
        <sz val="8"/>
        <rFont val="Helvetica"/>
      </rPr>
      <t>1</t>
    </r>
  </si>
  <si>
    <r>
      <t xml:space="preserve">Limes </t>
    </r>
    <r>
      <rPr>
        <vertAlign val="superscript"/>
        <sz val="8"/>
        <rFont val="Helvetica"/>
      </rPr>
      <t>1</t>
    </r>
  </si>
  <si>
    <t>1995</t>
  </si>
  <si>
    <t>Tange-</t>
  </si>
  <si>
    <t>Straw-</t>
  </si>
  <si>
    <t>Pine-</t>
  </si>
  <si>
    <t>Nectar-</t>
  </si>
  <si>
    <t>Pome-</t>
  </si>
  <si>
    <r>
      <t xml:space="preserve">los </t>
    </r>
    <r>
      <rPr>
        <vertAlign val="superscript"/>
        <sz val="8"/>
        <rFont val="Helvetica"/>
      </rPr>
      <t>1</t>
    </r>
  </si>
  <si>
    <r>
      <t xml:space="preserve">Temples </t>
    </r>
    <r>
      <rPr>
        <vertAlign val="superscript"/>
        <sz val="8"/>
        <rFont val="Helvetica"/>
      </rPr>
      <t>1</t>
    </r>
  </si>
  <si>
    <t>berries</t>
  </si>
  <si>
    <t>apples</t>
  </si>
  <si>
    <t>Avocados</t>
  </si>
  <si>
    <t>ines</t>
  </si>
  <si>
    <t>Cranberries</t>
  </si>
  <si>
    <t>Bananas</t>
  </si>
  <si>
    <t>Kiwifruit</t>
  </si>
  <si>
    <t>Dates</t>
  </si>
  <si>
    <t>Papayas</t>
  </si>
  <si>
    <t>granates</t>
  </si>
  <si>
    <r>
      <t xml:space="preserve">Mangoes </t>
    </r>
    <r>
      <rPr>
        <vertAlign val="superscript"/>
        <sz val="8"/>
        <rFont val="Helvetica"/>
      </rPr>
      <t>2</t>
    </r>
  </si>
  <si>
    <r>
      <t xml:space="preserve">2012 </t>
    </r>
    <r>
      <rPr>
        <vertAlign val="superscript"/>
        <sz val="8"/>
        <rFont val="Helvetica"/>
      </rPr>
      <t>6</t>
    </r>
  </si>
  <si>
    <t xml:space="preserve">    na</t>
  </si>
  <si>
    <t xml:space="preserve">       na</t>
  </si>
  <si>
    <t>na = not available.</t>
  </si>
  <si>
    <r>
      <rPr>
        <vertAlign val="superscript"/>
        <sz val="8"/>
        <rFont val="Helvetica"/>
      </rPr>
      <t>1</t>
    </r>
    <r>
      <rPr>
        <sz val="8"/>
        <rFont val="Helvetica"/>
        <family val="2"/>
      </rPr>
      <t xml:space="preserve"> Year harvest was completed. </t>
    </r>
    <r>
      <rPr>
        <vertAlign val="superscript"/>
        <sz val="8"/>
        <rFont val="Helvetica"/>
      </rPr>
      <t>2</t>
    </r>
    <r>
      <rPr>
        <sz val="8"/>
        <rFont val="Helvetica"/>
        <family val="2"/>
      </rPr>
      <t xml:space="preserve"> Florida only. </t>
    </r>
    <r>
      <rPr>
        <vertAlign val="superscript"/>
        <sz val="8"/>
        <rFont val="Helvetica"/>
      </rPr>
      <t>3</t>
    </r>
    <r>
      <rPr>
        <sz val="8"/>
        <rFont val="Helvetica"/>
        <family val="2"/>
      </rPr>
      <t xml:space="preserve"> Discontinued. </t>
    </r>
    <r>
      <rPr>
        <vertAlign val="superscript"/>
        <sz val="8"/>
        <rFont val="Helvetica"/>
      </rPr>
      <t>4</t>
    </r>
    <r>
      <rPr>
        <sz val="8"/>
        <rFont val="Helvetica"/>
        <family val="2"/>
      </rPr>
      <t xml:space="preserve"> As of 2007, data included with oranges. </t>
    </r>
    <r>
      <rPr>
        <vertAlign val="superscript"/>
        <sz val="8"/>
        <rFont val="Helvetica"/>
      </rPr>
      <t>5</t>
    </r>
    <r>
      <rPr>
        <sz val="8"/>
        <rFont val="Helvetica"/>
        <family val="2"/>
      </rPr>
      <t xml:space="preserve"> Not published to avoid disclosure of individual operations.</t>
    </r>
  </si>
  <si>
    <r>
      <t xml:space="preserve">Sources: USDA, National Agricultural Statistics Service, </t>
    </r>
    <r>
      <rPr>
        <i/>
        <sz val="8"/>
        <rFont val="Helvetica"/>
        <family val="2"/>
      </rPr>
      <t xml:space="preserve">Citrus Fruits Summary </t>
    </r>
    <r>
      <rPr>
        <sz val="8"/>
        <rFont val="Helvetica"/>
        <family val="2"/>
      </rPr>
      <t>and</t>
    </r>
    <r>
      <rPr>
        <i/>
        <sz val="8"/>
        <rFont val="Helvetica"/>
        <family val="2"/>
      </rPr>
      <t xml:space="preserve"> Noncitrus Fruits and Nuts Summary, </t>
    </r>
    <r>
      <rPr>
        <sz val="8"/>
        <rFont val="Helvetica"/>
        <family val="2"/>
      </rPr>
      <t>various years.</t>
    </r>
  </si>
  <si>
    <t>Table A-5--Total commercial production for selected citrus and noncitrus fruit, United States, 1980 to date</t>
  </si>
  <si>
    <r>
      <t xml:space="preserve">apples </t>
    </r>
    <r>
      <rPr>
        <vertAlign val="superscript"/>
        <sz val="8"/>
        <rFont val="Helvetica"/>
      </rPr>
      <t>2</t>
    </r>
  </si>
  <si>
    <r>
      <t xml:space="preserve">Bananas </t>
    </r>
    <r>
      <rPr>
        <vertAlign val="superscript"/>
        <sz val="8"/>
        <rFont val="Helvetica"/>
      </rPr>
      <t>2</t>
    </r>
  </si>
  <si>
    <r>
      <t xml:space="preserve">Papayas </t>
    </r>
    <r>
      <rPr>
        <vertAlign val="superscript"/>
        <sz val="8"/>
        <rFont val="Helvetica"/>
      </rPr>
      <t>2</t>
    </r>
  </si>
  <si>
    <r>
      <t xml:space="preserve">Mangoes </t>
    </r>
    <r>
      <rPr>
        <vertAlign val="superscript"/>
        <sz val="8"/>
        <rFont val="Helvetica"/>
      </rPr>
      <t>3</t>
    </r>
  </si>
  <si>
    <t>Table A-6--Average price indexes for fruit, United States, 1980 to date</t>
  </si>
  <si>
    <t>Index of fruit and</t>
  </si>
  <si>
    <t xml:space="preserve">Producer price index </t>
  </si>
  <si>
    <t>Consumer price index</t>
  </si>
  <si>
    <t>nut prices received</t>
  </si>
  <si>
    <t>Fresh</t>
  </si>
  <si>
    <t>Dried</t>
  </si>
  <si>
    <t>Canned fruit</t>
  </si>
  <si>
    <t>Frozen fruit</t>
  </si>
  <si>
    <t>Processed</t>
  </si>
  <si>
    <t xml:space="preserve">by growers </t>
  </si>
  <si>
    <r>
      <t xml:space="preserve">by growers </t>
    </r>
    <r>
      <rPr>
        <vertAlign val="superscript"/>
        <sz val="8"/>
        <rFont val="Helvetica"/>
      </rPr>
      <t>1</t>
    </r>
  </si>
  <si>
    <t xml:space="preserve">fruit </t>
  </si>
  <si>
    <t>fruit</t>
  </si>
  <si>
    <r>
      <t xml:space="preserve">and juices </t>
    </r>
    <r>
      <rPr>
        <vertAlign val="superscript"/>
        <sz val="8"/>
        <rFont val="Helvetica"/>
      </rPr>
      <t>2</t>
    </r>
  </si>
  <si>
    <r>
      <t xml:space="preserve">and juices </t>
    </r>
    <r>
      <rPr>
        <vertAlign val="superscript"/>
        <sz val="8"/>
        <rFont val="Helvetica"/>
      </rPr>
      <t>3</t>
    </r>
  </si>
  <si>
    <r>
      <t xml:space="preserve">fruit </t>
    </r>
    <r>
      <rPr>
        <vertAlign val="superscript"/>
        <sz val="8"/>
        <rFont val="Helvetica"/>
      </rPr>
      <t>4</t>
    </r>
  </si>
  <si>
    <t>Bureau of Labor Statistics.</t>
  </si>
  <si>
    <t>Table A-7--Annual average retail prices for selected fresh fruit, United States, 1980 to date</t>
  </si>
  <si>
    <t>Red Delicious</t>
  </si>
  <si>
    <t>Anjou</t>
  </si>
  <si>
    <t>Thompson</t>
  </si>
  <si>
    <t>Oranges</t>
  </si>
  <si>
    <t xml:space="preserve"> Year</t>
  </si>
  <si>
    <t>pears</t>
  </si>
  <si>
    <t>seedless grapes</t>
  </si>
  <si>
    <t>Lemons</t>
  </si>
  <si>
    <t>Grapefruit</t>
  </si>
  <si>
    <t>Navel</t>
  </si>
  <si>
    <t>Valencia</t>
  </si>
  <si>
    <t>--Dollars/pound--</t>
  </si>
  <si>
    <t xml:space="preserve">Source: U.S. Department of Labor, Bureau of Labor Statistics. </t>
  </si>
  <si>
    <t>Table A-8--Fruit and tree nuts: U.S. cash receipts, 1980 to date</t>
  </si>
  <si>
    <t xml:space="preserve"> Oranges</t>
  </si>
  <si>
    <t>Tangerines</t>
  </si>
  <si>
    <t xml:space="preserve">   Apples</t>
  </si>
  <si>
    <t xml:space="preserve">  Avocados</t>
  </si>
  <si>
    <t>Nectarines</t>
  </si>
  <si>
    <t>Olives</t>
  </si>
  <si>
    <t>--$1,000--</t>
  </si>
  <si>
    <t>2005</t>
  </si>
  <si>
    <t>2006</t>
  </si>
  <si>
    <t>2007</t>
  </si>
  <si>
    <t>2008</t>
  </si>
  <si>
    <t>2009</t>
  </si>
  <si>
    <t>2010</t>
  </si>
  <si>
    <t>2011</t>
  </si>
  <si>
    <t>2012</t>
  </si>
  <si>
    <t>2013</t>
  </si>
  <si>
    <t>2014</t>
  </si>
  <si>
    <t>Plums and</t>
  </si>
  <si>
    <t>Blue-</t>
  </si>
  <si>
    <t>Other  fruit</t>
  </si>
  <si>
    <t xml:space="preserve">      Total</t>
  </si>
  <si>
    <t xml:space="preserve">apples </t>
  </si>
  <si>
    <t xml:space="preserve">   prunes</t>
  </si>
  <si>
    <r>
      <t xml:space="preserve">berries </t>
    </r>
    <r>
      <rPr>
        <vertAlign val="superscript"/>
        <sz val="8"/>
        <rFont val="Helvetica"/>
      </rPr>
      <t>1</t>
    </r>
  </si>
  <si>
    <t>Almonds</t>
  </si>
  <si>
    <t>Pecans</t>
  </si>
  <si>
    <t>Walnuts</t>
  </si>
  <si>
    <r>
      <t xml:space="preserve">and nuts </t>
    </r>
    <r>
      <rPr>
        <vertAlign val="superscript"/>
        <sz val="8"/>
        <rFont val="Helvetica"/>
      </rPr>
      <t>2</t>
    </r>
  </si>
  <si>
    <t>fruit and nuts</t>
  </si>
  <si>
    <t>Source:  USDA, Economic Research Service.</t>
  </si>
  <si>
    <r>
      <t xml:space="preserve">Table A-9--Fresh apples:  U.S. monthly average retail price, marketing spread, and grower price, 1989 to date </t>
    </r>
    <r>
      <rPr>
        <vertAlign val="superscript"/>
        <sz val="8"/>
        <rFont val="Helvetica"/>
      </rPr>
      <t>1</t>
    </r>
  </si>
  <si>
    <t>Marketing spread</t>
  </si>
  <si>
    <t>Grower price</t>
  </si>
  <si>
    <t>Portion of</t>
  </si>
  <si>
    <r>
      <t xml:space="preserve">Retail value </t>
    </r>
    <r>
      <rPr>
        <vertAlign val="superscript"/>
        <sz val="8"/>
        <rFont val="Helvetica"/>
      </rPr>
      <t>2</t>
    </r>
  </si>
  <si>
    <t>Actual</t>
  </si>
  <si>
    <t>retail</t>
  </si>
  <si>
    <t>Portion of retail</t>
  </si>
  <si>
    <t>----Dollars/pound----</t>
  </si>
  <si>
    <t>Percent</t>
  </si>
  <si>
    <t>Dollars/pound</t>
  </si>
  <si>
    <t>3</t>
  </si>
  <si>
    <r>
      <rPr>
        <vertAlign val="superscript"/>
        <sz val="7"/>
        <rFont val="Helvetica"/>
      </rPr>
      <t>1</t>
    </r>
    <r>
      <rPr>
        <sz val="7"/>
        <rFont val="Helvetica"/>
        <family val="2"/>
      </rPr>
      <t xml:space="preserve"> Prices are simple 12-month averages.</t>
    </r>
  </si>
  <si>
    <r>
      <rPr>
        <vertAlign val="superscript"/>
        <sz val="7"/>
        <rFont val="Helvetica"/>
      </rPr>
      <t>2</t>
    </r>
    <r>
      <rPr>
        <sz val="7"/>
        <rFont val="Helvetica"/>
        <family val="2"/>
      </rPr>
      <t xml:space="preserve"> Retail prices are for Red Delicious apples and are adjusted to allow 4 percent for waste and spoilage incurred during marketing.</t>
    </r>
  </si>
  <si>
    <r>
      <rPr>
        <vertAlign val="superscript"/>
        <sz val="7"/>
        <rFont val="Helvetica"/>
      </rPr>
      <t>3</t>
    </r>
    <r>
      <rPr>
        <sz val="7"/>
        <rFont val="Helvetica"/>
        <family val="2"/>
      </rPr>
      <t xml:space="preserve"> Grower-retail marketing spread and percent share of retail cannot be estimated because monthly U.S. grower prices for fresh apples in 2013 were not available from the   </t>
    </r>
  </si>
  <si>
    <r>
      <t xml:space="preserve">Sources: U.S. Department of Labor, Bureau of Labor Statistics; USDA, National Agricultural Statistics Service, </t>
    </r>
    <r>
      <rPr>
        <i/>
        <sz val="7"/>
        <rFont val="Helvetica"/>
        <family val="2"/>
      </rPr>
      <t>Agricultural</t>
    </r>
    <r>
      <rPr>
        <sz val="7"/>
        <rFont val="Helvetica"/>
        <family val="2"/>
      </rPr>
      <t xml:space="preserve"> </t>
    </r>
    <r>
      <rPr>
        <i/>
        <sz val="7"/>
        <rFont val="Helvetica"/>
        <family val="2"/>
      </rPr>
      <t>Prices;</t>
    </r>
    <r>
      <rPr>
        <sz val="7"/>
        <rFont val="Helvetica"/>
        <family val="2"/>
      </rPr>
      <t xml:space="preserve"> and USDA, Economic Research Service.</t>
    </r>
  </si>
  <si>
    <r>
      <t xml:space="preserve">Table A-10--Fresh peaches:  U.S. monthly average retail price, marketing spread, and grower price, 1989 to date </t>
    </r>
    <r>
      <rPr>
        <vertAlign val="superscript"/>
        <sz val="8"/>
        <rFont val="Helvetica"/>
      </rPr>
      <t>1</t>
    </r>
  </si>
  <si>
    <r>
      <rPr>
        <vertAlign val="superscript"/>
        <sz val="7"/>
        <rFont val="Helvetica"/>
      </rPr>
      <t>1</t>
    </r>
    <r>
      <rPr>
        <sz val="7"/>
        <rFont val="Helvetica"/>
        <family val="2"/>
      </rPr>
      <t xml:space="preserve"> Prices are simple 12-month averages. </t>
    </r>
  </si>
  <si>
    <r>
      <rPr>
        <vertAlign val="superscript"/>
        <sz val="7"/>
        <rFont val="Helvetica"/>
      </rPr>
      <t>2</t>
    </r>
    <r>
      <rPr>
        <sz val="7"/>
        <rFont val="Helvetica"/>
        <family val="2"/>
      </rPr>
      <t xml:space="preserve"> Adjusted to allow 6 percent for waste and spoilage incurred during marketing.</t>
    </r>
  </si>
  <si>
    <r>
      <rPr>
        <vertAlign val="superscript"/>
        <sz val="7"/>
        <rFont val="Helvetica"/>
      </rPr>
      <t>3</t>
    </r>
    <r>
      <rPr>
        <sz val="7"/>
        <rFont val="Helvetica"/>
        <family val="2"/>
      </rPr>
      <t xml:space="preserve"> Grower-retail marketing spread and percent share of retail cannot be estimated because monthly U.S. grower prices for fresh peaches in 2013 were not available from the   </t>
    </r>
  </si>
  <si>
    <r>
      <t xml:space="preserve">Table A-11-- Fresh pears: U.S. monthly average retail price, marketing spread, and grower price, 1989 to date </t>
    </r>
    <r>
      <rPr>
        <vertAlign val="superscript"/>
        <sz val="8"/>
        <rFont val="Helvetica"/>
      </rPr>
      <t>1</t>
    </r>
  </si>
  <si>
    <t xml:space="preserve">na = not available.  </t>
  </si>
  <si>
    <r>
      <rPr>
        <vertAlign val="superscript"/>
        <sz val="7"/>
        <rFont val="Helvetica"/>
      </rPr>
      <t>1</t>
    </r>
    <r>
      <rPr>
        <sz val="7"/>
        <rFont val="Helvetica"/>
        <family val="2"/>
      </rPr>
      <t xml:space="preserve"> Prices are simple 12-month averages.  </t>
    </r>
  </si>
  <si>
    <r>
      <rPr>
        <vertAlign val="superscript"/>
        <sz val="7"/>
        <rFont val="Helvetica"/>
      </rPr>
      <t>2</t>
    </r>
    <r>
      <rPr>
        <sz val="7"/>
        <rFont val="Helvetica"/>
        <family val="2"/>
      </rPr>
      <t xml:space="preserve"> Retail prices are for Anjou pears and are adjusted to allow 5 percent for waste and spoilage incurred during marketing.</t>
    </r>
  </si>
  <si>
    <r>
      <t xml:space="preserve">Sources: U.S. Department of Labor, Bureau of Labor Statistics; USDA, National Agricultural Statistics Service, </t>
    </r>
    <r>
      <rPr>
        <i/>
        <sz val="7"/>
        <rFont val="Helvetica"/>
        <family val="2"/>
      </rPr>
      <t>Agricultural</t>
    </r>
    <r>
      <rPr>
        <sz val="7"/>
        <rFont val="Helvetica"/>
        <family val="2"/>
      </rPr>
      <t xml:space="preserve"> </t>
    </r>
    <r>
      <rPr>
        <i/>
        <sz val="7"/>
        <rFont val="Helvetica"/>
        <family val="2"/>
      </rPr>
      <t>Prices;</t>
    </r>
    <r>
      <rPr>
        <sz val="7"/>
        <rFont val="Helvetica"/>
        <family val="2"/>
      </rPr>
      <t>and USDA, Economic Research Service.</t>
    </r>
  </si>
  <si>
    <r>
      <t xml:space="preserve">Table A-12--Fresh grapes: U.S. monthly average retail price, marketing spread, and grower price, 1995 to date </t>
    </r>
    <r>
      <rPr>
        <vertAlign val="superscript"/>
        <sz val="8"/>
        <rFont val="Helvetica"/>
      </rPr>
      <t>1</t>
    </r>
  </si>
  <si>
    <r>
      <rPr>
        <vertAlign val="superscript"/>
        <sz val="7"/>
        <rFont val="Helvetica"/>
      </rPr>
      <t>1</t>
    </r>
    <r>
      <rPr>
        <sz val="7"/>
        <rFont val="Helvetica"/>
        <family val="2"/>
      </rPr>
      <t xml:space="preserve">  Prices are simple 12-month averages. </t>
    </r>
  </si>
  <si>
    <r>
      <rPr>
        <vertAlign val="superscript"/>
        <sz val="7"/>
        <rFont val="Helvetica"/>
      </rPr>
      <t>3</t>
    </r>
    <r>
      <rPr>
        <sz val="7"/>
        <rFont val="Helvetica"/>
        <family val="2"/>
      </rPr>
      <t xml:space="preserve"> Grower-retail marketing spread and percent share of retail cannot be estimated because monthly U.S. grower prices for fresh grapes in 2013 were not available from the   </t>
    </r>
  </si>
  <si>
    <r>
      <rPr>
        <vertAlign val="superscript"/>
        <sz val="7"/>
        <rFont val="Helvetica"/>
      </rPr>
      <t>3</t>
    </r>
    <r>
      <rPr>
        <sz val="7"/>
        <rFont val="Helvetica"/>
        <family val="2"/>
      </rPr>
      <t xml:space="preserve"> Grower-retail marketing spread and percent share of retail cannot be estimated because monthly U.S. grower prices</t>
    </r>
  </si>
  <si>
    <r>
      <t>Table A-14--Fresh oranges: U.S. monthly average retail price, marketing spread, and grower price, 1989/90 to date</t>
    </r>
    <r>
      <rPr>
        <vertAlign val="superscript"/>
        <sz val="8"/>
        <rFont val="Helvetica"/>
      </rPr>
      <t>1</t>
    </r>
  </si>
  <si>
    <r>
      <t xml:space="preserve">Year </t>
    </r>
    <r>
      <rPr>
        <vertAlign val="superscript"/>
        <sz val="8"/>
        <rFont val="Helvetica"/>
      </rPr>
      <t>2</t>
    </r>
  </si>
  <si>
    <r>
      <t xml:space="preserve">Retail value </t>
    </r>
    <r>
      <rPr>
        <vertAlign val="superscript"/>
        <sz val="8"/>
        <rFont val="Helvetica"/>
      </rPr>
      <t>3</t>
    </r>
  </si>
  <si>
    <t>1989/90</t>
  </si>
  <si>
    <t>1990/91</t>
  </si>
  <si>
    <t>1991/92</t>
  </si>
  <si>
    <t>1992/93</t>
  </si>
  <si>
    <t>1993/94</t>
  </si>
  <si>
    <t>1994/95</t>
  </si>
  <si>
    <t>1995/96</t>
  </si>
  <si>
    <t>1996/97</t>
  </si>
  <si>
    <t>1997/98</t>
  </si>
  <si>
    <t>1998/99</t>
  </si>
  <si>
    <t>1999/2000</t>
  </si>
  <si>
    <t>2000/01</t>
  </si>
  <si>
    <t>2001/02</t>
  </si>
  <si>
    <t>2002/03</t>
  </si>
  <si>
    <t>2003/04</t>
  </si>
  <si>
    <t>2004/05</t>
  </si>
  <si>
    <t>2005/06</t>
  </si>
  <si>
    <t xml:space="preserve">2006/07 </t>
  </si>
  <si>
    <t>2007/08</t>
  </si>
  <si>
    <t xml:space="preserve">2008/09 </t>
  </si>
  <si>
    <t xml:space="preserve">2009/10 </t>
  </si>
  <si>
    <t xml:space="preserve">2010/11 </t>
  </si>
  <si>
    <t>2011/12</t>
  </si>
  <si>
    <t>2012/13</t>
  </si>
  <si>
    <t>2013/14</t>
  </si>
  <si>
    <t>2014/15</t>
  </si>
  <si>
    <r>
      <rPr>
        <vertAlign val="superscript"/>
        <sz val="7"/>
        <rFont val="Helvetica"/>
      </rPr>
      <t>1</t>
    </r>
    <r>
      <rPr>
        <sz val="7"/>
        <rFont val="Helvetica"/>
        <family val="2"/>
      </rPr>
      <t xml:space="preserve">Prices are simple 12-month averages.  </t>
    </r>
  </si>
  <si>
    <r>
      <rPr>
        <vertAlign val="superscript"/>
        <sz val="7"/>
        <rFont val="Helvetica"/>
      </rPr>
      <t>2</t>
    </r>
    <r>
      <rPr>
        <sz val="7"/>
        <rFont val="Helvetica"/>
        <family val="2"/>
      </rPr>
      <t>Market year is November of first year through October of second year shown.</t>
    </r>
  </si>
  <si>
    <r>
      <rPr>
        <vertAlign val="superscript"/>
        <sz val="7"/>
        <rFont val="Helvetica"/>
      </rPr>
      <t>3</t>
    </r>
    <r>
      <rPr>
        <sz val="7"/>
        <rFont val="Helvetica"/>
        <family val="2"/>
      </rPr>
      <t>Adjusted to allow 3 percent for waste and spoilage incurred during marketing.</t>
    </r>
  </si>
  <si>
    <r>
      <t>Table A-15--Fresh grapefruit:  U.S. monthly average retail price, marketing spread, and grower price, 1989/90 to date</t>
    </r>
    <r>
      <rPr>
        <vertAlign val="superscript"/>
        <sz val="8"/>
        <rFont val="Helvetica"/>
      </rPr>
      <t>1</t>
    </r>
  </si>
  <si>
    <t>2006/07</t>
  </si>
  <si>
    <t xml:space="preserve">2007/08  </t>
  </si>
  <si>
    <t>2008/09</t>
  </si>
  <si>
    <t>2009/10</t>
  </si>
  <si>
    <t>2010/11</t>
  </si>
  <si>
    <r>
      <rPr>
        <vertAlign val="superscript"/>
        <sz val="7"/>
        <rFont val="Helvetica"/>
      </rPr>
      <t xml:space="preserve">1 </t>
    </r>
    <r>
      <rPr>
        <sz val="7"/>
        <rFont val="Helvetica"/>
        <family val="2"/>
      </rPr>
      <t xml:space="preserve">Prices are simple 12-month averages.  </t>
    </r>
  </si>
  <si>
    <r>
      <rPr>
        <vertAlign val="superscript"/>
        <sz val="7"/>
        <rFont val="Helvetica"/>
      </rPr>
      <t>2</t>
    </r>
    <r>
      <rPr>
        <sz val="7"/>
        <rFont val="Helvetica"/>
        <family val="2"/>
      </rPr>
      <t xml:space="preserve"> Marketing year is September of first year through August of second year shown.</t>
    </r>
  </si>
  <si>
    <r>
      <rPr>
        <vertAlign val="superscript"/>
        <sz val="7"/>
        <rFont val="Helvetica"/>
      </rPr>
      <t>3</t>
    </r>
    <r>
      <rPr>
        <sz val="7"/>
        <rFont val="Helvetica"/>
        <family val="2"/>
      </rPr>
      <t xml:space="preserve"> Adjusted to allow 3 percent for waste and spoilage incurred during marketing.</t>
    </r>
  </si>
  <si>
    <r>
      <rPr>
        <vertAlign val="superscript"/>
        <sz val="7"/>
        <rFont val="Helvetica"/>
      </rPr>
      <t>3</t>
    </r>
    <r>
      <rPr>
        <sz val="7"/>
        <rFont val="Helvetica"/>
        <family val="2"/>
      </rPr>
      <t xml:space="preserve"> Adjusted to allow 4 percent for waste and spoilage incurred during marketing.</t>
    </r>
  </si>
  <si>
    <r>
      <rPr>
        <vertAlign val="superscript"/>
        <sz val="7"/>
        <rFont val="Helvetica"/>
      </rPr>
      <t>2</t>
    </r>
    <r>
      <rPr>
        <sz val="7"/>
        <rFont val="Helvetica"/>
        <family val="2"/>
      </rPr>
      <t xml:space="preserve"> Marketing year is August of first year through July of second year shown.</t>
    </r>
  </si>
  <si>
    <r>
      <t xml:space="preserve">Table A-16--Fresh lemons: U.S. monthly retail price, marketing spread, and grower price, 1989/90 to date </t>
    </r>
    <r>
      <rPr>
        <vertAlign val="superscript"/>
        <sz val="8"/>
        <rFont val="Helvetica"/>
      </rPr>
      <t>1</t>
    </r>
  </si>
  <si>
    <t>Prunes &amp;</t>
  </si>
  <si>
    <t xml:space="preserve">Total </t>
  </si>
  <si>
    <t>(in-shell)</t>
  </si>
  <si>
    <t>Total fruit</t>
  </si>
  <si>
    <t xml:space="preserve">Share of U.S. </t>
  </si>
  <si>
    <t>State</t>
  </si>
  <si>
    <t>citrus fruit</t>
  </si>
  <si>
    <t>Blackberries</t>
  </si>
  <si>
    <t>Blueberries</t>
  </si>
  <si>
    <t>Boysenberries</t>
  </si>
  <si>
    <t>Raspberries</t>
  </si>
  <si>
    <t>cherries</t>
  </si>
  <si>
    <t>Plums</t>
  </si>
  <si>
    <t>noncitrus fruit</t>
  </si>
  <si>
    <t>Hazelnuts</t>
  </si>
  <si>
    <t>Macadamia</t>
  </si>
  <si>
    <t>Pistachios</t>
  </si>
  <si>
    <t>tree nuts</t>
  </si>
  <si>
    <t>&amp; tree nuts</t>
  </si>
  <si>
    <t>fruit &amp; tree nuts</t>
  </si>
  <si>
    <t xml:space="preserve">      ------------------------------------------------------------------------------------------------------------------------------------------------------------------------------------------------------------------------------------------------------------------------------------------------- 1,000 tons fresh equivalent ------------------------------------------------------------------------------------------------------------------------------------------------------------------------------------------------------------------------------------------------------------------------</t>
  </si>
  <si>
    <t xml:space="preserve">         -------------------------------------------------- 1,000 Tons in-shell equivalent -------------------------------------------------</t>
  </si>
  <si>
    <t>Alabama</t>
  </si>
  <si>
    <t>Arizona</t>
  </si>
  <si>
    <t xml:space="preserve">                             2</t>
  </si>
  <si>
    <t>Arkansas</t>
  </si>
  <si>
    <t>California</t>
  </si>
  <si>
    <t>Colorado</t>
  </si>
  <si>
    <t>Connecticut</t>
  </si>
  <si>
    <t>Florida</t>
  </si>
  <si>
    <t>Georgia</t>
  </si>
  <si>
    <t>Idaho</t>
  </si>
  <si>
    <t>Illinois</t>
  </si>
  <si>
    <t>Indiana</t>
  </si>
  <si>
    <t>Iowa</t>
  </si>
  <si>
    <t>Kansas</t>
  </si>
  <si>
    <t>Kentucky</t>
  </si>
  <si>
    <t>Louisiana</t>
  </si>
  <si>
    <t>Maine</t>
  </si>
  <si>
    <t>Maryland</t>
  </si>
  <si>
    <t>Massachusetts</t>
  </si>
  <si>
    <t>Michigan</t>
  </si>
  <si>
    <t>Minnesota</t>
  </si>
  <si>
    <t>Mississippi</t>
  </si>
  <si>
    <t>Missouri</t>
  </si>
  <si>
    <t>Montana</t>
  </si>
  <si>
    <t>New Hampshire</t>
  </si>
  <si>
    <t>New Jersey</t>
  </si>
  <si>
    <t>New Mexico</t>
  </si>
  <si>
    <t>New York</t>
  </si>
  <si>
    <t>North Carolina</t>
  </si>
  <si>
    <t>Ohio</t>
  </si>
  <si>
    <t>Oklahoma</t>
  </si>
  <si>
    <t>Oregon</t>
  </si>
  <si>
    <t>Pennsylvania</t>
  </si>
  <si>
    <t>Rhode Island</t>
  </si>
  <si>
    <t>South Carolina</t>
  </si>
  <si>
    <t>Tennessee</t>
  </si>
  <si>
    <t>Texas</t>
  </si>
  <si>
    <t>Utah</t>
  </si>
  <si>
    <t>Vermont</t>
  </si>
  <si>
    <t>Virginia</t>
  </si>
  <si>
    <t>Washington</t>
  </si>
  <si>
    <t>West Virginia</t>
  </si>
  <si>
    <t>Wisconsin</t>
  </si>
  <si>
    <t>United States</t>
  </si>
  <si>
    <r>
      <rPr>
        <vertAlign val="superscript"/>
        <sz val="8"/>
        <color indexed="8"/>
        <rFont val="Arial"/>
        <family val="2"/>
      </rPr>
      <t>2</t>
    </r>
    <r>
      <rPr>
        <sz val="8"/>
        <color indexed="8"/>
        <rFont val="Arial"/>
        <family val="2"/>
      </rPr>
      <t xml:space="preserve"> Estimates discontinued.</t>
    </r>
  </si>
  <si>
    <t>Tangerines &amp;</t>
  </si>
  <si>
    <t>Share of U.S.</t>
  </si>
  <si>
    <r>
      <t xml:space="preserve">mandarins </t>
    </r>
    <r>
      <rPr>
        <vertAlign val="superscript"/>
        <sz val="8"/>
        <color theme="1"/>
        <rFont val="Arial"/>
        <family val="2"/>
      </rPr>
      <t>2</t>
    </r>
  </si>
  <si>
    <t xml:space="preserve"> </t>
  </si>
  <si>
    <t>2</t>
  </si>
  <si>
    <r>
      <t xml:space="preserve"> Subtotal, all </t>
    </r>
    <r>
      <rPr>
        <vertAlign val="superscript"/>
        <sz val="7"/>
        <rFont val="Helvetica"/>
      </rPr>
      <t>11</t>
    </r>
  </si>
  <si>
    <r>
      <t xml:space="preserve">Tree nuts, all </t>
    </r>
    <r>
      <rPr>
        <vertAlign val="superscript"/>
        <sz val="7"/>
        <rFont val="Helvetica"/>
      </rPr>
      <t>12</t>
    </r>
  </si>
  <si>
    <r>
      <t xml:space="preserve">  Others </t>
    </r>
    <r>
      <rPr>
        <vertAlign val="superscript"/>
        <sz val="7"/>
        <rFont val="Helvetica"/>
      </rPr>
      <t>13</t>
    </r>
  </si>
  <si>
    <r>
      <rPr>
        <vertAlign val="superscript"/>
        <sz val="8"/>
        <rFont val="Helvetica"/>
      </rPr>
      <t>2</t>
    </r>
    <r>
      <rPr>
        <sz val="8"/>
        <rFont val="Helvetica"/>
        <family val="2"/>
      </rPr>
      <t xml:space="preserve"> Beginning in 1990, data are an average of canned fruit and canned juice. </t>
    </r>
  </si>
  <si>
    <r>
      <rPr>
        <vertAlign val="superscript"/>
        <sz val="8"/>
        <rFont val="Helvetica"/>
      </rPr>
      <t xml:space="preserve">3 </t>
    </r>
    <r>
      <rPr>
        <sz val="8"/>
        <rFont val="Helvetica"/>
        <family val="2"/>
      </rPr>
      <t xml:space="preserve">Beginning in 1991, data are only for frozen juice.  As of 2003, data are for frozen noncarbonated juices and drinks (December 1997=100). </t>
    </r>
    <r>
      <rPr>
        <vertAlign val="superscript"/>
        <sz val="8"/>
        <rFont val="Helvetica"/>
      </rPr>
      <t>4</t>
    </r>
    <r>
      <rPr>
        <sz val="8"/>
        <rFont val="Helvetica"/>
        <family val="2"/>
      </rPr>
      <t xml:space="preserve"> Beginning in 1991,</t>
    </r>
  </si>
  <si>
    <r>
      <t xml:space="preserve">processed fruit data are for canned and dried fruit only. Beginning in 2007, processed fruit data for canned fruit only (December 1997=100). </t>
    </r>
    <r>
      <rPr>
        <vertAlign val="superscript"/>
        <sz val="8"/>
        <rFont val="Helvetica"/>
      </rPr>
      <t>5</t>
    </r>
    <r>
      <rPr>
        <sz val="8"/>
        <rFont val="Helvetica"/>
        <family val="2"/>
      </rPr>
      <t xml:space="preserve"> Data no longer available.</t>
    </r>
  </si>
  <si>
    <r>
      <t xml:space="preserve">Sources: USDA, National Agricultural Statistics Service, </t>
    </r>
    <r>
      <rPr>
        <i/>
        <sz val="8"/>
        <rFont val="Helvetica"/>
        <family val="2"/>
      </rPr>
      <t xml:space="preserve">Agricultural Prices; </t>
    </r>
    <r>
      <rPr>
        <sz val="8"/>
        <rFont val="Helvetica"/>
      </rPr>
      <t>USDA, Economic Research Service;</t>
    </r>
    <r>
      <rPr>
        <sz val="8"/>
        <rFont val="Helvetica"/>
        <family val="2"/>
      </rPr>
      <t xml:space="preserve"> and U.S. Department of Labor, </t>
    </r>
  </si>
  <si>
    <r>
      <t xml:space="preserve">           </t>
    </r>
    <r>
      <rPr>
        <vertAlign val="superscript"/>
        <sz val="8"/>
        <rFont val="Helvetica"/>
      </rPr>
      <t>3</t>
    </r>
  </si>
  <si>
    <r>
      <t xml:space="preserve">         </t>
    </r>
    <r>
      <rPr>
        <vertAlign val="superscript"/>
        <sz val="8"/>
        <rFont val="Helvetica"/>
      </rPr>
      <t>3</t>
    </r>
  </si>
  <si>
    <r>
      <t xml:space="preserve">         </t>
    </r>
    <r>
      <rPr>
        <vertAlign val="superscript"/>
        <sz val="8"/>
        <rFont val="Helvetica"/>
      </rPr>
      <t>5</t>
    </r>
  </si>
  <si>
    <r>
      <t xml:space="preserve">           </t>
    </r>
    <r>
      <rPr>
        <vertAlign val="superscript"/>
        <sz val="8"/>
        <rFont val="Helvetica"/>
      </rPr>
      <t>4</t>
    </r>
  </si>
  <si>
    <t xml:space="preserve">                 4</t>
  </si>
  <si>
    <t xml:space="preserve">               5</t>
  </si>
  <si>
    <t xml:space="preserve">               6</t>
  </si>
  <si>
    <t xml:space="preserve">              4</t>
  </si>
  <si>
    <t xml:space="preserve">                   4</t>
  </si>
  <si>
    <t xml:space="preserve">                  4</t>
  </si>
  <si>
    <t xml:space="preserve">         5</t>
  </si>
  <si>
    <t xml:space="preserve">                    3</t>
  </si>
  <si>
    <t xml:space="preserve">                       3</t>
  </si>
  <si>
    <t xml:space="preserve">                        3</t>
  </si>
  <si>
    <t xml:space="preserve">                     3</t>
  </si>
  <si>
    <t xml:space="preserve">Table A-1--U.S. per capita use of selected, commercially produced, fresh, and processing fruit and tree nuts, 1976 to date </t>
  </si>
  <si>
    <t>Table A-6--Average price indexes, for fruit, Unites States, 1980 to date</t>
  </si>
  <si>
    <t>Table A-7--Annual average retail prices for selected fresh fruit, Unites States, 1980 to date</t>
  </si>
  <si>
    <t>Table A-9--Fresh apples: U.S. monthly average retail price, marketing spread, and grower price, 1989 to date</t>
  </si>
  <si>
    <t>Table A-10--Fresh peaches: U.S. monthly average retail price, marketing spread, and grower price, 1989 to date</t>
  </si>
  <si>
    <t>Table A-11-- Fresh pears: U.S. monthly average retail price, marketing spread, and grower price, 1989 to date</t>
  </si>
  <si>
    <t>Table A-12--Fresh grapes: U.S. monthly average retail price, marketing spread, and grower price, 1995 to date</t>
  </si>
  <si>
    <t>Table A-14--Fresh oranges: U.S. monthly average retail price, marketing spread, and grower price, 1989/90 to date</t>
  </si>
  <si>
    <t>Table A-15--Fresh grapefruit: U.S. monthly average retail price, marketing spread, and grower price, 1989/90 to date</t>
  </si>
  <si>
    <t>Table A-16--Fresh lemons: U.S. monthly retail price, marketing spread, and grower price, 1989/90 to date</t>
  </si>
  <si>
    <t xml:space="preserve">     Table A-1A--U.S. per capita use of selected, commercially produced, fresh, and processing fruit and tree nuts, 1976 to 1985</t>
  </si>
  <si>
    <t xml:space="preserve">     Table A-1B--U.S. per capita use of selected, commercially produced, fresh, and processing fruit and tree nuts, 1986 to 1995 </t>
  </si>
  <si>
    <t xml:space="preserve">     Table A-1C--U.S. per capita use of selected, commercially produced, fresh, and processing fruit and tree nuts, 1996 to 2005 </t>
  </si>
  <si>
    <t xml:space="preserve">         na</t>
  </si>
  <si>
    <t xml:space="preserve">            na</t>
  </si>
  <si>
    <t xml:space="preserve">           na</t>
  </si>
  <si>
    <t>na  = not available.</t>
  </si>
  <si>
    <t xml:space="preserve">   na</t>
  </si>
  <si>
    <t xml:space="preserve"> na  = not available. </t>
  </si>
  <si>
    <t>-------------- 1,000 short tons --------------</t>
  </si>
  <si>
    <t>---------------------- $1,000 ----------------------</t>
  </si>
  <si>
    <t>------------ 1,000 acres -----------</t>
  </si>
  <si>
    <t>------------ 1,000 acres ------------</t>
  </si>
  <si>
    <t>------------ 1,000 short tons -----------</t>
  </si>
  <si>
    <t>----------- 1,000 short tons -----------</t>
  </si>
  <si>
    <t>------- 1982=100 -------</t>
  </si>
  <si>
    <t>------- 1982-84=100 -------</t>
  </si>
  <si>
    <t>--- 1990-92=100 ---</t>
  </si>
  <si>
    <t>--- 2011=100 ---</t>
  </si>
  <si>
    <t xml:space="preserve">                                       ----- Pounds, farm weight -----</t>
  </si>
  <si>
    <t xml:space="preserve">                                                ----- Pounds, farm weight -----</t>
  </si>
  <si>
    <r>
      <t xml:space="preserve"> Subtotal, all</t>
    </r>
    <r>
      <rPr>
        <vertAlign val="superscript"/>
        <sz val="7"/>
        <rFont val="Helvetica"/>
      </rPr>
      <t xml:space="preserve"> 11</t>
    </r>
  </si>
  <si>
    <r>
      <rPr>
        <vertAlign val="superscript"/>
        <sz val="8"/>
        <rFont val="Helvetica"/>
      </rPr>
      <t>1</t>
    </r>
    <r>
      <rPr>
        <sz val="8"/>
        <rFont val="Helvetica"/>
        <family val="2"/>
      </rPr>
      <t xml:space="preserve"> Beginning in 2014, the calculation of the index from 1990 onward changed from using the base period from 1990-92=100 to 2011=100.  </t>
    </r>
  </si>
  <si>
    <t>na</t>
  </si>
  <si>
    <t xml:space="preserve">    ------------------------------------------------------------------------------------------------------------------------------------------------------------------------------------------------------------------------------------------------------------------------------------------------------------------------------------------------------------------------------------ 1,000 dollars -----------------------------------------------------------------------------------------------------------------------------------------------------------------------------------------------------------------------------------------------------------------------------------------------------------------------------------------------------------------------------------</t>
  </si>
  <si>
    <t>2015/16</t>
  </si>
  <si>
    <t>2015</t>
  </si>
  <si>
    <t xml:space="preserve">                  na</t>
  </si>
  <si>
    <t xml:space="preserve">                   na</t>
  </si>
  <si>
    <t>National Agricultural Statistics Service.</t>
  </si>
  <si>
    <r>
      <t xml:space="preserve">Table A-13--Fresh strawberries: U.S. monthly average retail price, marketing spread, and grower price, 1990 to date </t>
    </r>
    <r>
      <rPr>
        <vertAlign val="superscript"/>
        <sz val="8"/>
        <rFont val="Helvetica"/>
      </rPr>
      <t>1</t>
    </r>
  </si>
  <si>
    <t>Table A-13--Fresh strawberries: U.S. monthly average retail price, marketing spread, and grower price, 1990 to date</t>
  </si>
  <si>
    <t>for fresh strawberries in 2013 were not available from the National Agricultural Statistics Service.</t>
  </si>
  <si>
    <r>
      <rPr>
        <vertAlign val="superscript"/>
        <sz val="8"/>
        <rFont val="Helvetica"/>
      </rPr>
      <t xml:space="preserve">1 </t>
    </r>
    <r>
      <rPr>
        <sz val="8"/>
        <rFont val="Helvetica"/>
        <family val="2"/>
      </rPr>
      <t xml:space="preserve">Year harvest was completed. </t>
    </r>
    <r>
      <rPr>
        <vertAlign val="superscript"/>
        <sz val="8"/>
        <rFont val="Helvetica"/>
      </rPr>
      <t>2</t>
    </r>
    <r>
      <rPr>
        <sz val="8"/>
        <rFont val="Helvetica"/>
        <family val="2"/>
      </rPr>
      <t xml:space="preserve"> Only utilized production estimated until 2016. </t>
    </r>
    <r>
      <rPr>
        <vertAlign val="superscript"/>
        <sz val="8"/>
        <rFont val="Helvetica"/>
      </rPr>
      <t>3</t>
    </r>
    <r>
      <rPr>
        <sz val="8"/>
        <rFont val="Helvetica"/>
        <family val="2"/>
      </rPr>
      <t xml:space="preserve"> Florida only. </t>
    </r>
    <r>
      <rPr>
        <vertAlign val="superscript"/>
        <sz val="8"/>
        <rFont val="Helvetica"/>
      </rPr>
      <t>4</t>
    </r>
    <r>
      <rPr>
        <sz val="8"/>
        <rFont val="Helvetica"/>
        <family val="2"/>
      </rPr>
      <t xml:space="preserve"> Discontinued. </t>
    </r>
    <r>
      <rPr>
        <vertAlign val="superscript"/>
        <sz val="8"/>
        <rFont val="Helvetica"/>
      </rPr>
      <t>5</t>
    </r>
    <r>
      <rPr>
        <sz val="8"/>
        <rFont val="Helvetica"/>
        <family val="2"/>
      </rPr>
      <t xml:space="preserve"> As of 2007, data included with oranges.   </t>
    </r>
  </si>
  <si>
    <t>2016/17</t>
  </si>
  <si>
    <t>2016</t>
  </si>
  <si>
    <t xml:space="preserve">raspberries, blackberries, other berries, hazelnuts, pistachios, macadamias, and miscellaneous fruit and tree nuts (raspberry data not available until 1993; lime data discontinued </t>
  </si>
  <si>
    <t>beginning in 2002; mango data unavailable as of 1999).</t>
  </si>
  <si>
    <r>
      <rPr>
        <vertAlign val="superscript"/>
        <sz val="7"/>
        <rFont val="Helvetica"/>
      </rPr>
      <t>1</t>
    </r>
    <r>
      <rPr>
        <sz val="7"/>
        <rFont val="Helvetica"/>
        <family val="2"/>
      </rPr>
      <t xml:space="preserve"> Grapefruit, lemons, limes, oranges, tangelos, tangerines, temples, and K-early citrus from 1992/93-2002/03.  Acreage is for the year harvest was completed.</t>
    </r>
  </si>
  <si>
    <r>
      <rPr>
        <vertAlign val="superscript"/>
        <sz val="7"/>
        <rFont val="Helvetica"/>
      </rPr>
      <t>2</t>
    </r>
    <r>
      <rPr>
        <sz val="7"/>
        <rFont val="Helvetica"/>
        <family val="2"/>
      </rPr>
      <t xml:space="preserve"> Retail prices are for Thompson seedless grapes and are adjusted to allow 9 percent for waste and spoilage incurred during marketing.</t>
    </r>
  </si>
  <si>
    <r>
      <rPr>
        <vertAlign val="superscript"/>
        <sz val="7"/>
        <rFont val="Helvetica"/>
      </rPr>
      <t>2</t>
    </r>
    <r>
      <rPr>
        <sz val="7"/>
        <rFont val="Helvetica"/>
        <family val="2"/>
      </rPr>
      <t xml:space="preserve"> Adjusted to allow 8 percent for waste and spoilage incurred during marketing.</t>
    </r>
  </si>
  <si>
    <t>General: U.S. per capita use, production and value, bearing acreage, cash receipts, price, and marketing spreads</t>
  </si>
  <si>
    <r>
      <t xml:space="preserve">           </t>
    </r>
    <r>
      <rPr>
        <vertAlign val="superscript"/>
        <sz val="8"/>
        <rFont val="Helvetica"/>
      </rPr>
      <t>7</t>
    </r>
  </si>
  <si>
    <r>
      <rPr>
        <vertAlign val="superscript"/>
        <sz val="8"/>
        <rFont val="Helvetica"/>
      </rPr>
      <t>6</t>
    </r>
    <r>
      <rPr>
        <sz val="8"/>
        <rFont val="Helvetica"/>
        <family val="2"/>
      </rPr>
      <t xml:space="preserve"> 2011 bearing acreage for avocados,  bananas, and papayas was carried forward. </t>
    </r>
    <r>
      <rPr>
        <vertAlign val="superscript"/>
        <sz val="8"/>
        <rFont val="Helvetica"/>
      </rPr>
      <t>7</t>
    </r>
    <r>
      <rPr>
        <sz val="8"/>
        <rFont val="Helvetica"/>
        <family val="2"/>
      </rPr>
      <t>As of 2017, data included in tangerines and mandarins.</t>
    </r>
  </si>
  <si>
    <r>
      <rPr>
        <vertAlign val="superscript"/>
        <sz val="8"/>
        <rFont val="Helvetica"/>
      </rPr>
      <t>6</t>
    </r>
    <r>
      <rPr>
        <sz val="8"/>
        <rFont val="Helvetica"/>
        <family val="2"/>
      </rPr>
      <t xml:space="preserve"> Data not published to avoid disclosure of individual operations.</t>
    </r>
    <r>
      <rPr>
        <vertAlign val="superscript"/>
        <sz val="8"/>
        <rFont val="Helvetica"/>
      </rPr>
      <t xml:space="preserve"> 7</t>
    </r>
    <r>
      <rPr>
        <sz val="8"/>
        <rFont val="Helvetica"/>
        <family val="2"/>
      </rPr>
      <t>As of 2017, data included in tangerines and mandarins.</t>
    </r>
  </si>
  <si>
    <t xml:space="preserve">                   7</t>
  </si>
  <si>
    <t xml:space="preserve">               7</t>
  </si>
  <si>
    <r>
      <t>Grapefruit</t>
    </r>
    <r>
      <rPr>
        <vertAlign val="superscript"/>
        <sz val="8"/>
        <color theme="1"/>
        <rFont val="Arial"/>
        <family val="2"/>
      </rPr>
      <t xml:space="preserve"> 1</t>
    </r>
  </si>
  <si>
    <r>
      <t>&amp; mandarins</t>
    </r>
    <r>
      <rPr>
        <vertAlign val="superscript"/>
        <sz val="8"/>
        <color indexed="8"/>
        <rFont val="Arial"/>
        <family val="2"/>
      </rPr>
      <t xml:space="preserve"> 1</t>
    </r>
  </si>
  <si>
    <t xml:space="preserve">Oranges </t>
  </si>
  <si>
    <r>
      <rPr>
        <vertAlign val="superscript"/>
        <sz val="8"/>
        <color indexed="8"/>
        <rFont val="Arial"/>
        <family val="2"/>
      </rPr>
      <t>1</t>
    </r>
    <r>
      <rPr>
        <sz val="8"/>
        <color indexed="8"/>
        <rFont val="Arial"/>
        <family val="2"/>
      </rPr>
      <t xml:space="preserve"> Includes tangelos and tangors. Includes only Fallglo, Sunburst, and Honey varieties, Temples and tangelos in Florida.</t>
    </r>
  </si>
  <si>
    <t>Table A-18--Value of production for selected fruit and tree nuts in the United States, by State, 2017</t>
  </si>
  <si>
    <r>
      <rPr>
        <vertAlign val="superscript"/>
        <sz val="8"/>
        <color indexed="8"/>
        <rFont val="Arial"/>
        <family val="2"/>
      </rPr>
      <t xml:space="preserve">1 </t>
    </r>
    <r>
      <rPr>
        <sz val="8"/>
        <color indexed="8"/>
        <rFont val="Arial"/>
        <family val="2"/>
      </rPr>
      <t xml:space="preserve">Includes pummelos in California. </t>
    </r>
  </si>
  <si>
    <r>
      <rPr>
        <vertAlign val="superscript"/>
        <sz val="8"/>
        <color indexed="8"/>
        <rFont val="Arial"/>
        <family val="2"/>
      </rPr>
      <t xml:space="preserve">2 </t>
    </r>
    <r>
      <rPr>
        <sz val="8"/>
        <color indexed="8"/>
        <rFont val="Arial"/>
        <family val="2"/>
      </rPr>
      <t>Includes tangelos and tangors. Includes only Fallglo, Sunburst, and Honey varieties, Temples and tangelos in Florida.</t>
    </r>
  </si>
  <si>
    <r>
      <rPr>
        <vertAlign val="superscript"/>
        <sz val="8"/>
        <color indexed="8"/>
        <rFont val="Arial"/>
        <family val="2"/>
      </rPr>
      <t xml:space="preserve">3 </t>
    </r>
    <r>
      <rPr>
        <sz val="8"/>
        <color indexed="8"/>
        <rFont val="Arial"/>
        <family val="2"/>
      </rPr>
      <t>Estimates discontinued.</t>
    </r>
  </si>
  <si>
    <r>
      <rPr>
        <vertAlign val="superscript"/>
        <sz val="8"/>
        <color indexed="8"/>
        <rFont val="Arial"/>
        <family val="2"/>
      </rPr>
      <t>3</t>
    </r>
    <r>
      <rPr>
        <sz val="8"/>
        <color indexed="8"/>
        <rFont val="Arial"/>
        <family val="2"/>
      </rPr>
      <t xml:space="preserve"> Total for the State includes coffee utilized production.</t>
    </r>
  </si>
  <si>
    <r>
      <t xml:space="preserve"> Hawaii </t>
    </r>
    <r>
      <rPr>
        <vertAlign val="superscript"/>
        <sz val="8"/>
        <color indexed="8"/>
        <rFont val="Arial"/>
        <family val="2"/>
      </rPr>
      <t>3</t>
    </r>
  </si>
  <si>
    <r>
      <t xml:space="preserve"> Hawaii </t>
    </r>
    <r>
      <rPr>
        <vertAlign val="superscript"/>
        <sz val="8"/>
        <color indexed="8"/>
        <rFont val="Arial"/>
        <family val="2"/>
      </rPr>
      <t>4</t>
    </r>
  </si>
  <si>
    <r>
      <rPr>
        <vertAlign val="superscript"/>
        <sz val="8"/>
        <color indexed="8"/>
        <rFont val="Arial"/>
        <family val="2"/>
      </rPr>
      <t>4</t>
    </r>
    <r>
      <rPr>
        <sz val="8"/>
        <color indexed="8"/>
        <rFont val="Arial"/>
        <family val="2"/>
      </rPr>
      <t xml:space="preserve"> Total value for the State includes the value of coffee production. </t>
    </r>
  </si>
  <si>
    <t>2017</t>
  </si>
  <si>
    <t>2017/18</t>
  </si>
  <si>
    <r>
      <rPr>
        <vertAlign val="superscript"/>
        <sz val="7"/>
        <rFont val="Helvetica"/>
      </rPr>
      <t>1</t>
    </r>
    <r>
      <rPr>
        <sz val="7"/>
        <rFont val="Helvetica"/>
        <family val="2"/>
      </rPr>
      <t xml:space="preserve"> Beginning in 1996 includes cultivated and wild blueberries. </t>
    </r>
    <r>
      <rPr>
        <vertAlign val="superscript"/>
        <sz val="7"/>
        <rFont val="Helvetica"/>
      </rPr>
      <t>2</t>
    </r>
    <r>
      <rPr>
        <sz val="7"/>
        <rFont val="Helvetica"/>
        <family val="2"/>
      </rPr>
      <t xml:space="preserve"> Includes limes, tangelos, K-early citrus, apricots, coffee, dates, figs, bananas, papayas, kiwifruit, mangos, guavas, </t>
    </r>
  </si>
  <si>
    <r>
      <t>2018</t>
    </r>
    <r>
      <rPr>
        <vertAlign val="superscript"/>
        <sz val="8"/>
        <rFont val="Helvetica"/>
      </rPr>
      <t xml:space="preserve"> 5</t>
    </r>
  </si>
  <si>
    <r>
      <rPr>
        <vertAlign val="superscript"/>
        <sz val="7"/>
        <rFont val="Helvetica"/>
      </rPr>
      <t xml:space="preserve">5 </t>
    </r>
    <r>
      <rPr>
        <sz val="7"/>
        <rFont val="Helvetica"/>
        <family val="2"/>
      </rPr>
      <t xml:space="preserve">Some commodity estimates under "Noncitrus" were discontinued in 2018, including bananas, cultivated blackberries, boysenberries, and figs. </t>
    </r>
  </si>
  <si>
    <r>
      <t xml:space="preserve">            </t>
    </r>
    <r>
      <rPr>
        <vertAlign val="superscript"/>
        <sz val="8"/>
        <rFont val="Helvetica"/>
      </rPr>
      <t>3</t>
    </r>
  </si>
  <si>
    <t>Table A-17--Utilized production of selected fruit and tree nuts in the United States, by State, 2018</t>
  </si>
  <si>
    <t>- = not available.   D=Withheld to avoid disclosing data for individual operations.</t>
  </si>
  <si>
    <t>D</t>
  </si>
  <si>
    <r>
      <t xml:space="preserve">Source: USDA, National Agricultural Statistics Service, </t>
    </r>
    <r>
      <rPr>
        <i/>
        <sz val="8"/>
        <color indexed="8"/>
        <rFont val="Arial"/>
        <family val="2"/>
      </rPr>
      <t>Citrus Fruits 2019 Summary</t>
    </r>
    <r>
      <rPr>
        <sz val="8"/>
        <color indexed="8"/>
        <rFont val="Arial"/>
        <family val="2"/>
      </rPr>
      <t xml:space="preserve"> and </t>
    </r>
    <r>
      <rPr>
        <i/>
        <sz val="8"/>
        <color indexed="8"/>
        <rFont val="Arial"/>
        <family val="2"/>
      </rPr>
      <t>Noncitrus Fruit and Nuts 2018 Summary</t>
    </r>
    <r>
      <rPr>
        <sz val="8"/>
        <color indexed="8"/>
        <rFont val="Arial"/>
        <family val="2"/>
      </rPr>
      <t>.</t>
    </r>
  </si>
  <si>
    <t xml:space="preserve">Table A-18--Value of production for selected fruit and tree nuts in the United States, by State, 2018 </t>
  </si>
  <si>
    <r>
      <t xml:space="preserve">Source: USDA, NASS, </t>
    </r>
    <r>
      <rPr>
        <i/>
        <sz val="8"/>
        <color indexed="8"/>
        <rFont val="Arial"/>
        <family val="2"/>
      </rPr>
      <t>Citrus Fruits 2018 Summary</t>
    </r>
    <r>
      <rPr>
        <sz val="8"/>
        <color indexed="8"/>
        <rFont val="Arial"/>
        <family val="2"/>
      </rPr>
      <t xml:space="preserve"> and </t>
    </r>
    <r>
      <rPr>
        <i/>
        <sz val="8"/>
        <color indexed="8"/>
        <rFont val="Arial"/>
        <family val="2"/>
      </rPr>
      <t>Noncitrus Fruit and Nuts 2018 Summary</t>
    </r>
    <r>
      <rPr>
        <sz val="8"/>
        <color indexed="8"/>
        <rFont val="Arial"/>
        <family val="2"/>
      </rPr>
      <t>.</t>
    </r>
  </si>
  <si>
    <t>2018</t>
  </si>
  <si>
    <t>National Agricultural Statistics Service and monthly U.S. retail prices for Red Delicious apples in 2018 were not available from the Bureau of  Labor Statistics.</t>
  </si>
  <si>
    <t>2018/19</t>
  </si>
  <si>
    <r>
      <t xml:space="preserve">Table A-1--U.S. per capita use of selected, commercially produced, fresh, and processing fruit and tree nuts, 1976 to date </t>
    </r>
    <r>
      <rPr>
        <vertAlign val="superscript"/>
        <sz val="7"/>
        <rFont val="Helvetica"/>
      </rPr>
      <t>1</t>
    </r>
  </si>
  <si>
    <r>
      <t xml:space="preserve">Peaches, all  </t>
    </r>
    <r>
      <rPr>
        <vertAlign val="superscript"/>
        <sz val="7"/>
        <rFont val="Helvetica"/>
      </rPr>
      <t>4 5</t>
    </r>
  </si>
  <si>
    <r>
      <t xml:space="preserve">Table A-1--U.S. per capita use of selected, commercially produced, fresh, and processing fruit and tree nuts, 1976 to date </t>
    </r>
    <r>
      <rPr>
        <vertAlign val="superscript"/>
        <sz val="7"/>
        <rFont val="Helvetica"/>
      </rPr>
      <t>1</t>
    </r>
    <r>
      <rPr>
        <sz val="7"/>
        <rFont val="Helvetica"/>
        <family val="2"/>
      </rPr>
      <t>--Continued</t>
    </r>
  </si>
  <si>
    <t xml:space="preserve">                                               d</t>
  </si>
  <si>
    <t>* Total for all items will not match previous Yearbook issues due to the inclusion of melons. d = discontinued.</t>
  </si>
  <si>
    <r>
      <rPr>
        <vertAlign val="superscript"/>
        <sz val="7"/>
        <rFont val="Helvetica"/>
      </rPr>
      <t>1</t>
    </r>
    <r>
      <rPr>
        <sz val="7"/>
        <rFont val="Helvetica"/>
        <family val="2"/>
      </rPr>
      <t xml:space="preserve"> Data may not match other tables due to rounding.  Year reflects end of harvest for citrus and beginning year of harvest for noncitrus. </t>
    </r>
    <r>
      <rPr>
        <vertAlign val="superscript"/>
        <sz val="7"/>
        <rFont val="Helvetica"/>
      </rPr>
      <t>2</t>
    </r>
    <r>
      <rPr>
        <sz val="7"/>
        <rFont val="Helvetica"/>
        <family val="2"/>
      </rPr>
      <t xml:space="preserve"> Method for calculating orange</t>
    </r>
  </si>
  <si>
    <t xml:space="preserve">     Table A-1E--U.S. per capita use of selected, commercially produced, fresh, and processing fruit and tree nuts, 2016 to 2018 </t>
  </si>
  <si>
    <t xml:space="preserve">     Table A-1D--U.S. per capita use of selected, commercially produced, fresh, and processing fruit and tree nuts, 2006 to 2015 </t>
  </si>
  <si>
    <r>
      <t xml:space="preserve">juice changed in 1987.  </t>
    </r>
    <r>
      <rPr>
        <vertAlign val="superscript"/>
        <sz val="7"/>
        <rFont val="Helvetica"/>
      </rPr>
      <t>3</t>
    </r>
    <r>
      <rPr>
        <sz val="7"/>
        <rFont val="Helvetica"/>
        <family val="2"/>
      </rPr>
      <t xml:space="preserve"> Includes tangerines, tangelos, other mandarins, and limes.  </t>
    </r>
    <r>
      <rPr>
        <vertAlign val="superscript"/>
        <sz val="7"/>
        <rFont val="Helvetica"/>
      </rPr>
      <t>4</t>
    </r>
    <r>
      <rPr>
        <sz val="7"/>
        <rFont val="Helvetica"/>
        <family val="2"/>
      </rPr>
      <t xml:space="preserve"> Includes nectarines.  </t>
    </r>
    <r>
      <rPr>
        <vertAlign val="superscript"/>
        <sz val="7"/>
        <rFont val="Helvetica"/>
      </rPr>
      <t>5</t>
    </r>
    <r>
      <rPr>
        <sz val="7"/>
        <rFont val="Helvetica"/>
        <family val="2"/>
      </rPr>
      <t xml:space="preserve">  Does not include small quantities of dried and other </t>
    </r>
  </si>
  <si>
    <r>
      <rPr>
        <vertAlign val="superscript"/>
        <sz val="7"/>
        <rFont val="Helvetica"/>
      </rPr>
      <t>8</t>
    </r>
    <r>
      <rPr>
        <sz val="7"/>
        <rFont val="Helvetica"/>
        <family val="2"/>
      </rPr>
      <t xml:space="preserve"> Includes blackberries, blueberries, raspberries, boysenberries, loganberries and apricots.  </t>
    </r>
    <r>
      <rPr>
        <vertAlign val="superscript"/>
        <sz val="7"/>
        <rFont val="Helvetica"/>
      </rPr>
      <t>9</t>
    </r>
    <r>
      <rPr>
        <sz val="7"/>
        <rFont val="Helvetica"/>
        <family val="2"/>
      </rPr>
      <t xml:space="preserve"> Includes prunes and cranberries.  Estimates for cranberries begin in 1989. </t>
    </r>
  </si>
</sst>
</file>

<file path=xl/styles.xml><?xml version="1.0" encoding="utf-8"?>
<styleSheet xmlns="http://schemas.openxmlformats.org/spreadsheetml/2006/main" xmlns:mc="http://schemas.openxmlformats.org/markup-compatibility/2006" xmlns:x14ac="http://schemas.microsoft.com/office/spreadsheetml/2009/9/ac" mc:Ignorable="x14ac">
  <numFmts count="30">
    <numFmt numFmtId="41" formatCode="_(* #,##0_);_(* \(#,##0\);_(* &quot;-&quot;_);_(@_)"/>
    <numFmt numFmtId="43" formatCode="_(* #,##0.00_);_(* \(#,##0.00\);_(* &quot;-&quot;??_);_(@_)"/>
    <numFmt numFmtId="164" formatCode="0.0_)"/>
    <numFmt numFmtId="165" formatCode="0.00_)"/>
    <numFmt numFmtId="166" formatCode="_(* #,##0.0_);_(* \(#,##0.0\);_(* &quot;-&quot;??_);_(@_)"/>
    <numFmt numFmtId="167" formatCode="0.0"/>
    <numFmt numFmtId="168" formatCode="0.000"/>
    <numFmt numFmtId="169" formatCode="0.000000000000"/>
    <numFmt numFmtId="170" formatCode="#,##0.0_____________)"/>
    <numFmt numFmtId="171" formatCode="#,##0_____)"/>
    <numFmt numFmtId="172" formatCode="#,##0_________)"/>
    <numFmt numFmtId="173" formatCode="#,##0___)"/>
    <numFmt numFmtId="174" formatCode="_(* #,##0_);_(* \(#,##0\);_(* &quot;-&quot;??_);_(@_)"/>
    <numFmt numFmtId="175" formatCode="0.0___)"/>
    <numFmt numFmtId="176" formatCode="0.0_____)"/>
    <numFmt numFmtId="177" formatCode="#,##0.0___)"/>
    <numFmt numFmtId="178" formatCode="0___________________)"/>
    <numFmt numFmtId="179" formatCode="0.0_______)"/>
    <numFmt numFmtId="180" formatCode="0.000_________)"/>
    <numFmt numFmtId="181" formatCode="0.00000"/>
    <numFmt numFmtId="182" formatCode="0.00_______________)"/>
    <numFmt numFmtId="183" formatCode="0.00_____________)"/>
    <numFmt numFmtId="184" formatCode="0.0000"/>
    <numFmt numFmtId="185" formatCode="0.000_____________)"/>
    <numFmt numFmtId="186" formatCode="_(* #,##0.0_);_(* \(#,##0.0\);_(* &quot;-&quot;_);_(@_)"/>
    <numFmt numFmtId="187" formatCode="_(* #,##0.0_);_(* \(#,##0.0\);_(* &quot;-&quot;?_);_(@_)"/>
    <numFmt numFmtId="188" formatCode="0.000_______________)"/>
    <numFmt numFmtId="189" formatCode="_(* #,##0.000_);_(* \(#,##0.000\);_(* &quot;-&quot;???_);_(@_)"/>
    <numFmt numFmtId="190" formatCode="0.0000_)"/>
    <numFmt numFmtId="191" formatCode="_(* #,##0.0_);_(* \(#,##0.0\);_(* &quot;-&quot;???_);_(@_)"/>
  </numFmts>
  <fonts count="52">
    <font>
      <sz val="11"/>
      <color theme="1"/>
      <name val="Calibri"/>
      <family val="2"/>
      <scheme val="minor"/>
    </font>
    <font>
      <sz val="12"/>
      <name val="Arial"/>
      <family val="2"/>
    </font>
    <font>
      <sz val="7"/>
      <name val="Helvetica"/>
      <family val="2"/>
    </font>
    <font>
      <vertAlign val="superscript"/>
      <sz val="7"/>
      <name val="Helvetica"/>
    </font>
    <font>
      <sz val="7"/>
      <name val="Arial"/>
      <family val="2"/>
    </font>
    <font>
      <i/>
      <sz val="7"/>
      <name val="Helvetica"/>
      <family val="2"/>
    </font>
    <font>
      <i/>
      <sz val="7"/>
      <name val="Arial"/>
      <family val="2"/>
    </font>
    <font>
      <sz val="10"/>
      <name val="Arial"/>
      <family val="2"/>
    </font>
    <font>
      <sz val="7"/>
      <color theme="1"/>
      <name val="Arial"/>
      <family val="2"/>
    </font>
    <font>
      <sz val="7"/>
      <color theme="1"/>
      <name val="Helvetica"/>
      <family val="2"/>
    </font>
    <font>
      <sz val="7"/>
      <color rgb="FFFF0000"/>
      <name val="Arial"/>
      <family val="2"/>
    </font>
    <font>
      <sz val="7"/>
      <name val="Helvetica"/>
    </font>
    <font>
      <sz val="9"/>
      <name val="Arial MT"/>
    </font>
    <font>
      <sz val="8"/>
      <name val="Helvetica"/>
      <family val="2"/>
    </font>
    <font>
      <vertAlign val="superscript"/>
      <sz val="8"/>
      <name val="Helvetica"/>
    </font>
    <font>
      <i/>
      <sz val="8"/>
      <name val="Helvetica"/>
      <family val="2"/>
    </font>
    <font>
      <i/>
      <sz val="9"/>
      <name val="Arial MT"/>
    </font>
    <font>
      <sz val="9"/>
      <name val="Helvetica"/>
      <family val="2"/>
    </font>
    <font>
      <sz val="9"/>
      <name val="Arial"/>
      <family val="2"/>
    </font>
    <font>
      <sz val="8"/>
      <name val="Helvetica"/>
    </font>
    <font>
      <sz val="8"/>
      <name val="Arial"/>
      <family val="2"/>
    </font>
    <font>
      <i/>
      <sz val="9"/>
      <name val="Helvetica"/>
      <family val="2"/>
    </font>
    <font>
      <sz val="9"/>
      <color indexed="10"/>
      <name val="Helvetica"/>
      <family val="2"/>
    </font>
    <font>
      <sz val="12"/>
      <name val="Arial MT"/>
    </font>
    <font>
      <sz val="7.5"/>
      <name val="Helvetica"/>
      <family val="2"/>
    </font>
    <font>
      <sz val="7.5"/>
      <color indexed="8"/>
      <name val="Helvetica"/>
      <family val="2"/>
    </font>
    <font>
      <sz val="8"/>
      <color theme="1"/>
      <name val="Arial"/>
      <family val="2"/>
    </font>
    <font>
      <sz val="8"/>
      <color theme="1"/>
      <name val="Helvetica"/>
      <family val="2"/>
    </font>
    <font>
      <vertAlign val="superscript"/>
      <sz val="8"/>
      <name val="Helvetica"/>
      <family val="2"/>
    </font>
    <font>
      <sz val="8"/>
      <color rgb="FFFF0000"/>
      <name val="Helvetica"/>
      <family val="2"/>
    </font>
    <font>
      <sz val="8"/>
      <name val="Arial MT"/>
    </font>
    <font>
      <i/>
      <sz val="8"/>
      <name val="Arial MT"/>
    </font>
    <font>
      <sz val="10"/>
      <color indexed="10"/>
      <name val="Arial"/>
      <family val="2"/>
    </font>
    <font>
      <sz val="10"/>
      <name val="Arial"/>
      <family val="2"/>
    </font>
    <font>
      <sz val="8"/>
      <color rgb="FFFF0000"/>
      <name val="Arial"/>
      <family val="2"/>
    </font>
    <font>
      <sz val="8"/>
      <color indexed="8"/>
      <name val="Arial"/>
      <family val="2"/>
    </font>
    <font>
      <sz val="8"/>
      <color indexed="10"/>
      <name val="Arial"/>
      <family val="2"/>
    </font>
    <font>
      <vertAlign val="superscript"/>
      <sz val="8"/>
      <color indexed="8"/>
      <name val="Arial"/>
      <family val="2"/>
    </font>
    <font>
      <i/>
      <sz val="8"/>
      <color indexed="8"/>
      <name val="Arial"/>
      <family val="2"/>
    </font>
    <font>
      <i/>
      <sz val="8"/>
      <color theme="1"/>
      <name val="Arial"/>
      <family val="2"/>
    </font>
    <font>
      <i/>
      <sz val="8"/>
      <color indexed="10"/>
      <name val="Arial"/>
      <family val="2"/>
    </font>
    <font>
      <vertAlign val="superscript"/>
      <sz val="8"/>
      <color theme="1"/>
      <name val="Arial"/>
      <family val="2"/>
    </font>
    <font>
      <sz val="10"/>
      <color indexed="8"/>
      <name val="Arial"/>
      <family val="2"/>
    </font>
    <font>
      <sz val="10"/>
      <color theme="1"/>
      <name val="Arial"/>
      <family val="2"/>
    </font>
    <font>
      <b/>
      <sz val="11"/>
      <color theme="1"/>
      <name val="Calibri"/>
      <family val="2"/>
      <scheme val="minor"/>
    </font>
    <font>
      <u/>
      <sz val="11"/>
      <color theme="10"/>
      <name val="Calibri"/>
      <family val="2"/>
      <scheme val="minor"/>
    </font>
    <font>
      <sz val="11"/>
      <color theme="1"/>
      <name val="Calibri"/>
      <family val="2"/>
      <scheme val="minor"/>
    </font>
    <font>
      <sz val="8"/>
      <color rgb="FFFF0000"/>
      <name val="Helvetica"/>
    </font>
    <font>
      <sz val="11"/>
      <color rgb="FFFF0000"/>
      <name val="Calibri"/>
      <family val="2"/>
      <scheme val="minor"/>
    </font>
    <font>
      <sz val="9"/>
      <color theme="1"/>
      <name val="Arial MT"/>
    </font>
    <font>
      <sz val="8"/>
      <name val="Calibri"/>
      <family val="2"/>
    </font>
    <font>
      <sz val="7"/>
      <color rgb="FFFF0000"/>
      <name val="Helvetica"/>
      <family val="2"/>
    </font>
  </fonts>
  <fills count="3">
    <fill>
      <patternFill patternType="none"/>
    </fill>
    <fill>
      <patternFill patternType="gray125"/>
    </fill>
    <fill>
      <patternFill patternType="solid">
        <fgColor theme="0"/>
        <bgColor indexed="64"/>
      </patternFill>
    </fill>
  </fills>
  <borders count="7">
    <border>
      <left/>
      <right/>
      <top/>
      <bottom/>
      <diagonal/>
    </border>
    <border>
      <left/>
      <right/>
      <top style="thin">
        <color indexed="8"/>
      </top>
      <bottom style="thin">
        <color indexed="8"/>
      </bottom>
      <diagonal/>
    </border>
    <border>
      <left/>
      <right/>
      <top/>
      <bottom style="thin">
        <color indexed="64"/>
      </bottom>
      <diagonal/>
    </border>
    <border>
      <left/>
      <right/>
      <top style="thin">
        <color indexed="64"/>
      </top>
      <bottom style="thin">
        <color indexed="64"/>
      </bottom>
      <diagonal/>
    </border>
    <border>
      <left/>
      <right/>
      <top/>
      <bottom style="thin">
        <color indexed="8"/>
      </bottom>
      <diagonal/>
    </border>
    <border>
      <left/>
      <right/>
      <top style="thin">
        <color indexed="8"/>
      </top>
      <bottom style="thin">
        <color indexed="64"/>
      </bottom>
      <diagonal/>
    </border>
    <border>
      <left/>
      <right/>
      <top style="thin">
        <color indexed="64"/>
      </top>
      <bottom/>
      <diagonal/>
    </border>
  </borders>
  <cellStyleXfs count="13">
    <xf numFmtId="0" fontId="0" fillId="0" borderId="0"/>
    <xf numFmtId="0" fontId="1" fillId="0" borderId="0"/>
    <xf numFmtId="43" fontId="7" fillId="0" borderId="0" applyFont="0" applyFill="0" applyBorder="0" applyAlignment="0" applyProtection="0"/>
    <xf numFmtId="0" fontId="12" fillId="0" borderId="0"/>
    <xf numFmtId="0" fontId="18" fillId="0" borderId="0"/>
    <xf numFmtId="43" fontId="12" fillId="0" borderId="0" applyFont="0" applyFill="0" applyBorder="0" applyAlignment="0" applyProtection="0"/>
    <xf numFmtId="0" fontId="23" fillId="0" borderId="0"/>
    <xf numFmtId="0" fontId="7" fillId="0" borderId="0"/>
    <xf numFmtId="0" fontId="7" fillId="0" borderId="0"/>
    <xf numFmtId="0" fontId="33" fillId="0" borderId="0"/>
    <xf numFmtId="0" fontId="45" fillId="0" borderId="0" applyNumberFormat="0" applyFill="0" applyBorder="0" applyAlignment="0" applyProtection="0"/>
    <xf numFmtId="0" fontId="7" fillId="0" borderId="0"/>
    <xf numFmtId="43" fontId="46" fillId="0" borderId="0" applyFont="0" applyFill="0" applyBorder="0" applyAlignment="0" applyProtection="0"/>
  </cellStyleXfs>
  <cellXfs count="544">
    <xf numFmtId="0" fontId="0" fillId="0" borderId="0" xfId="0"/>
    <xf numFmtId="0" fontId="2" fillId="0" borderId="0" xfId="1" applyFont="1" applyProtection="1"/>
    <xf numFmtId="0" fontId="2" fillId="0" borderId="0" xfId="1" applyFont="1" applyBorder="1" applyProtection="1"/>
    <xf numFmtId="0" fontId="2" fillId="0" borderId="0" xfId="1" applyFont="1" applyBorder="1"/>
    <xf numFmtId="0" fontId="4" fillId="0" borderId="0" xfId="1" applyFont="1" applyBorder="1"/>
    <xf numFmtId="0" fontId="2" fillId="0" borderId="1" xfId="1" applyFont="1" applyBorder="1" applyProtection="1"/>
    <xf numFmtId="0" fontId="2" fillId="0" borderId="1" xfId="1" applyFont="1" applyBorder="1" applyAlignment="1" applyProtection="1">
      <alignment horizontal="right"/>
    </xf>
    <xf numFmtId="0" fontId="2" fillId="0" borderId="0" xfId="1" applyFont="1" applyBorder="1" applyAlignment="1" applyProtection="1">
      <alignment horizontal="right"/>
    </xf>
    <xf numFmtId="0" fontId="5" fillId="0" borderId="0" xfId="1" applyFont="1" applyAlignment="1" applyProtection="1">
      <alignment horizontal="centerContinuous"/>
    </xf>
    <xf numFmtId="0" fontId="2" fillId="0" borderId="0" xfId="1" applyFont="1" applyAlignment="1" applyProtection="1">
      <alignment horizontal="centerContinuous"/>
    </xf>
    <xf numFmtId="0" fontId="4" fillId="0" borderId="0" xfId="1" applyFont="1" applyAlignment="1">
      <alignment horizontal="centerContinuous"/>
    </xf>
    <xf numFmtId="164" fontId="2" fillId="0" borderId="0" xfId="1" applyNumberFormat="1" applyFont="1" applyProtection="1"/>
    <xf numFmtId="164" fontId="2" fillId="0" borderId="0" xfId="1" applyNumberFormat="1" applyFont="1" applyBorder="1" applyProtection="1"/>
    <xf numFmtId="165" fontId="2" fillId="0" borderId="0" xfId="1" applyNumberFormat="1" applyFont="1" applyBorder="1" applyProtection="1"/>
    <xf numFmtId="164" fontId="4" fillId="0" borderId="0" xfId="1" applyNumberFormat="1" applyFont="1" applyBorder="1" applyProtection="1"/>
    <xf numFmtId="164" fontId="4" fillId="0" borderId="0" xfId="1" applyNumberFormat="1" applyFont="1" applyBorder="1"/>
    <xf numFmtId="164" fontId="4" fillId="0" borderId="2" xfId="1" applyNumberFormat="1" applyFont="1" applyBorder="1" applyProtection="1"/>
    <xf numFmtId="0" fontId="4" fillId="0" borderId="0" xfId="1" applyFont="1"/>
    <xf numFmtId="164" fontId="4" fillId="0" borderId="0" xfId="1" applyNumberFormat="1" applyFont="1"/>
    <xf numFmtId="164" fontId="6" fillId="0" borderId="0" xfId="1" quotePrefix="1" applyNumberFormat="1" applyFont="1" applyProtection="1"/>
    <xf numFmtId="166" fontId="4" fillId="0" borderId="0" xfId="2" applyNumberFormat="1" applyFont="1"/>
    <xf numFmtId="166" fontId="4" fillId="0" borderId="0" xfId="2" applyNumberFormat="1" applyFont="1" applyBorder="1"/>
    <xf numFmtId="167" fontId="4" fillId="0" borderId="0" xfId="1" applyNumberFormat="1" applyFont="1"/>
    <xf numFmtId="165" fontId="2" fillId="0" borderId="0" xfId="1" applyNumberFormat="1" applyFont="1" applyProtection="1"/>
    <xf numFmtId="2" fontId="4" fillId="0" borderId="0" xfId="1" applyNumberFormat="1" applyFont="1"/>
    <xf numFmtId="164" fontId="6" fillId="0" borderId="0" xfId="1" applyNumberFormat="1" applyFont="1" applyProtection="1"/>
    <xf numFmtId="0" fontId="2" fillId="0" borderId="0" xfId="1" applyFont="1"/>
    <xf numFmtId="0" fontId="4" fillId="0" borderId="3" xfId="1" applyFont="1" applyBorder="1"/>
    <xf numFmtId="0" fontId="2" fillId="0" borderId="0" xfId="1" applyFont="1" applyAlignment="1">
      <alignment horizontal="centerContinuous"/>
    </xf>
    <xf numFmtId="0" fontId="2" fillId="0" borderId="0" xfId="1" quotePrefix="1" applyFont="1" applyProtection="1"/>
    <xf numFmtId="164" fontId="4" fillId="0" borderId="0" xfId="1" applyNumberFormat="1" applyFont="1" applyProtection="1"/>
    <xf numFmtId="0" fontId="4" fillId="0" borderId="0" xfId="1" applyFont="1" applyProtection="1"/>
    <xf numFmtId="0" fontId="8" fillId="0" borderId="0" xfId="1" applyFont="1"/>
    <xf numFmtId="164" fontId="9" fillId="0" borderId="0" xfId="1" applyNumberFormat="1" applyFont="1" applyProtection="1"/>
    <xf numFmtId="168" fontId="4" fillId="0" borderId="0" xfId="1" applyNumberFormat="1" applyFont="1"/>
    <xf numFmtId="164" fontId="8" fillId="0" borderId="0" xfId="1" applyNumberFormat="1" applyFont="1"/>
    <xf numFmtId="164" fontId="2" fillId="2" borderId="0" xfId="1" applyNumberFormat="1" applyFont="1" applyFill="1" applyProtection="1"/>
    <xf numFmtId="164" fontId="9" fillId="2" borderId="0" xfId="1" applyNumberFormat="1" applyFont="1" applyFill="1" applyProtection="1"/>
    <xf numFmtId="164" fontId="10" fillId="0" borderId="0" xfId="1" applyNumberFormat="1" applyFont="1"/>
    <xf numFmtId="165" fontId="4" fillId="0" borderId="0" xfId="1" applyNumberFormat="1" applyFont="1"/>
    <xf numFmtId="0" fontId="11" fillId="0" borderId="0" xfId="1" applyFont="1" applyProtection="1"/>
    <xf numFmtId="169" fontId="4" fillId="0" borderId="0" xfId="1" applyNumberFormat="1" applyFont="1"/>
    <xf numFmtId="0" fontId="13" fillId="0" borderId="4" xfId="3" quotePrefix="1" applyFont="1" applyBorder="1" applyAlignment="1">
      <alignment horizontal="left"/>
    </xf>
    <xf numFmtId="0" fontId="13" fillId="0" borderId="4" xfId="3" applyFont="1" applyBorder="1"/>
    <xf numFmtId="0" fontId="12" fillId="0" borderId="0" xfId="3"/>
    <xf numFmtId="0" fontId="13" fillId="0" borderId="0" xfId="3" quotePrefix="1" applyFont="1" applyBorder="1" applyAlignment="1">
      <alignment horizontal="left"/>
    </xf>
    <xf numFmtId="0" fontId="13" fillId="0" borderId="0" xfId="3" applyFont="1" applyBorder="1"/>
    <xf numFmtId="0" fontId="13" fillId="0" borderId="0" xfId="3" applyFont="1" applyAlignment="1">
      <alignment horizontal="center"/>
    </xf>
    <xf numFmtId="0" fontId="13" fillId="0" borderId="2" xfId="3" applyFont="1" applyBorder="1" applyAlignment="1">
      <alignment horizontal="left"/>
    </xf>
    <xf numFmtId="0" fontId="13" fillId="0" borderId="2" xfId="3" applyFont="1" applyBorder="1" applyAlignment="1">
      <alignment horizontal="center"/>
    </xf>
    <xf numFmtId="0" fontId="12" fillId="0" borderId="0" xfId="3" applyBorder="1"/>
    <xf numFmtId="0" fontId="13" fillId="0" borderId="0" xfId="3" applyFont="1" applyBorder="1" applyAlignment="1">
      <alignment horizontal="left"/>
    </xf>
    <xf numFmtId="0" fontId="13" fillId="0" borderId="0" xfId="3" applyFont="1" applyBorder="1" applyAlignment="1">
      <alignment horizontal="center"/>
    </xf>
    <xf numFmtId="0" fontId="13" fillId="0" borderId="0" xfId="3" applyFont="1"/>
    <xf numFmtId="0" fontId="15" fillId="0" borderId="0" xfId="3" quotePrefix="1" applyFont="1" applyAlignment="1">
      <alignment horizontal="centerContinuous"/>
    </xf>
    <xf numFmtId="0" fontId="13" fillId="0" borderId="0" xfId="3" applyFont="1" applyAlignment="1">
      <alignment horizontal="centerContinuous"/>
    </xf>
    <xf numFmtId="0" fontId="12" fillId="0" borderId="0" xfId="3" applyAlignment="1">
      <alignment horizontal="centerContinuous"/>
    </xf>
    <xf numFmtId="0" fontId="13" fillId="0" borderId="0" xfId="3" applyFont="1" applyAlignment="1">
      <alignment horizontal="left"/>
    </xf>
    <xf numFmtId="170" fontId="13" fillId="0" borderId="0" xfId="3" applyNumberFormat="1" applyFont="1" applyProtection="1"/>
    <xf numFmtId="170" fontId="13" fillId="0" borderId="0" xfId="3" applyNumberFormat="1" applyFont="1"/>
    <xf numFmtId="167" fontId="12" fillId="0" borderId="0" xfId="3" applyNumberFormat="1"/>
    <xf numFmtId="170" fontId="13" fillId="0" borderId="0" xfId="3" applyNumberFormat="1" applyFont="1" applyBorder="1"/>
    <xf numFmtId="170" fontId="13" fillId="0" borderId="0" xfId="3" applyNumberFormat="1" applyFont="1" applyFill="1" applyBorder="1"/>
    <xf numFmtId="170" fontId="12" fillId="0" borderId="0" xfId="3" applyNumberFormat="1"/>
    <xf numFmtId="0" fontId="12" fillId="0" borderId="0" xfId="3" applyFill="1"/>
    <xf numFmtId="0" fontId="13" fillId="0" borderId="2" xfId="3" quotePrefix="1" applyFont="1" applyBorder="1" applyAlignment="1">
      <alignment horizontal="left"/>
    </xf>
    <xf numFmtId="170" fontId="13" fillId="0" borderId="2" xfId="3" applyNumberFormat="1" applyFont="1" applyBorder="1"/>
    <xf numFmtId="0" fontId="11" fillId="0" borderId="0" xfId="3" applyFont="1" applyAlignment="1">
      <alignment horizontal="left"/>
    </xf>
    <xf numFmtId="0" fontId="2" fillId="0" borderId="0" xfId="3" applyFont="1" applyAlignment="1">
      <alignment horizontal="left"/>
    </xf>
    <xf numFmtId="0" fontId="2" fillId="0" borderId="0" xfId="3" quotePrefix="1" applyFont="1" applyAlignment="1">
      <alignment horizontal="left"/>
    </xf>
    <xf numFmtId="168" fontId="12" fillId="0" borderId="0" xfId="3" applyNumberFormat="1"/>
    <xf numFmtId="0" fontId="13" fillId="0" borderId="2" xfId="3" applyFont="1" applyBorder="1"/>
    <xf numFmtId="0" fontId="13" fillId="0" borderId="2" xfId="3" applyNumberFormat="1" applyFont="1" applyBorder="1" applyAlignment="1">
      <alignment horizontal="centerContinuous"/>
    </xf>
    <xf numFmtId="0" fontId="12" fillId="0" borderId="2" xfId="3" applyNumberFormat="1" applyBorder="1" applyAlignment="1">
      <alignment horizontal="centerContinuous"/>
    </xf>
    <xf numFmtId="0" fontId="13" fillId="0" borderId="0" xfId="3" applyNumberFormat="1" applyFont="1" applyBorder="1" applyAlignment="1">
      <alignment horizontal="centerContinuous"/>
    </xf>
    <xf numFmtId="0" fontId="12" fillId="0" borderId="0" xfId="3" applyNumberFormat="1" applyBorder="1" applyAlignment="1">
      <alignment horizontal="centerContinuous"/>
    </xf>
    <xf numFmtId="0" fontId="13" fillId="0" borderId="4" xfId="3" applyFont="1" applyBorder="1" applyAlignment="1">
      <alignment horizontal="left"/>
    </xf>
    <xf numFmtId="0" fontId="13" fillId="0" borderId="4" xfId="3" applyFont="1" applyBorder="1" applyAlignment="1">
      <alignment horizontal="center"/>
    </xf>
    <xf numFmtId="0" fontId="13" fillId="0" borderId="4" xfId="3" quotePrefix="1" applyFont="1" applyBorder="1" applyAlignment="1">
      <alignment horizontal="center"/>
    </xf>
    <xf numFmtId="0" fontId="13" fillId="0" borderId="0" xfId="3" quotePrefix="1" applyFont="1" applyBorder="1" applyAlignment="1">
      <alignment horizontal="center"/>
    </xf>
    <xf numFmtId="0" fontId="15" fillId="0" borderId="0" xfId="3" applyFont="1"/>
    <xf numFmtId="0" fontId="16" fillId="0" borderId="0" xfId="3" applyFont="1" applyAlignment="1">
      <alignment horizontal="centerContinuous"/>
    </xf>
    <xf numFmtId="0" fontId="15" fillId="0" borderId="0" xfId="3" applyFont="1" applyAlignment="1">
      <alignment horizontal="centerContinuous"/>
    </xf>
    <xf numFmtId="0" fontId="16" fillId="0" borderId="0" xfId="3" applyFont="1" applyBorder="1"/>
    <xf numFmtId="0" fontId="16" fillId="0" borderId="0" xfId="3" applyFont="1"/>
    <xf numFmtId="171" fontId="13" fillId="0" borderId="0" xfId="3" applyNumberFormat="1" applyFont="1" applyProtection="1"/>
    <xf numFmtId="172" fontId="13" fillId="0" borderId="0" xfId="3" applyNumberFormat="1" applyFont="1" applyProtection="1"/>
    <xf numFmtId="3" fontId="13" fillId="0" borderId="0" xfId="3" applyNumberFormat="1" applyFont="1" applyProtection="1"/>
    <xf numFmtId="173" fontId="13" fillId="0" borderId="0" xfId="3" applyNumberFormat="1" applyFont="1" applyProtection="1"/>
    <xf numFmtId="37" fontId="12" fillId="0" borderId="0" xfId="3" applyNumberFormat="1" applyProtection="1"/>
    <xf numFmtId="171" fontId="13" fillId="0" borderId="0" xfId="3" applyNumberFormat="1" applyFont="1" applyBorder="1" applyProtection="1"/>
    <xf numFmtId="172" fontId="13" fillId="0" borderId="0" xfId="3" applyNumberFormat="1" applyFont="1" applyBorder="1" applyProtection="1"/>
    <xf numFmtId="3" fontId="13" fillId="0" borderId="0" xfId="3" applyNumberFormat="1" applyFont="1" applyBorder="1" applyProtection="1"/>
    <xf numFmtId="173" fontId="13" fillId="0" borderId="0" xfId="3" applyNumberFormat="1" applyFont="1" applyBorder="1" applyProtection="1"/>
    <xf numFmtId="174" fontId="0" fillId="0" borderId="0" xfId="2" applyNumberFormat="1" applyFont="1"/>
    <xf numFmtId="171" fontId="13" fillId="0" borderId="0" xfId="3" applyNumberFormat="1" applyFont="1" applyFill="1" applyBorder="1" applyProtection="1"/>
    <xf numFmtId="173" fontId="13" fillId="0" borderId="0" xfId="3" applyNumberFormat="1" applyFont="1" applyFill="1" applyBorder="1" applyProtection="1"/>
    <xf numFmtId="0" fontId="13" fillId="0" borderId="0" xfId="3" applyFont="1" applyFill="1" applyBorder="1" applyAlignment="1">
      <alignment horizontal="left"/>
    </xf>
    <xf numFmtId="172" fontId="13" fillId="0" borderId="0" xfId="3" applyNumberFormat="1" applyFont="1" applyFill="1" applyBorder="1" applyProtection="1"/>
    <xf numFmtId="171" fontId="13" fillId="2" borderId="0" xfId="3" applyNumberFormat="1" applyFont="1" applyFill="1" applyBorder="1" applyProtection="1"/>
    <xf numFmtId="174" fontId="12" fillId="0" borderId="0" xfId="3" applyNumberFormat="1"/>
    <xf numFmtId="0" fontId="13" fillId="0" borderId="2" xfId="3" applyFont="1" applyFill="1" applyBorder="1" applyAlignment="1">
      <alignment horizontal="left"/>
    </xf>
    <xf numFmtId="171" fontId="13" fillId="0" borderId="2" xfId="3" applyNumberFormat="1" applyFont="1" applyFill="1" applyBorder="1" applyProtection="1"/>
    <xf numFmtId="0" fontId="12" fillId="0" borderId="2" xfId="3" applyBorder="1"/>
    <xf numFmtId="173" fontId="13" fillId="0" borderId="2" xfId="3" applyNumberFormat="1" applyFont="1" applyFill="1" applyBorder="1" applyProtection="1"/>
    <xf numFmtId="173" fontId="13" fillId="0" borderId="2" xfId="3" applyNumberFormat="1" applyFont="1" applyBorder="1" applyProtection="1"/>
    <xf numFmtId="0" fontId="17" fillId="0" borderId="0" xfId="3" applyFont="1"/>
    <xf numFmtId="174" fontId="17" fillId="0" borderId="0" xfId="3" applyNumberFormat="1" applyFont="1"/>
    <xf numFmtId="0" fontId="13" fillId="0" borderId="4" xfId="4" quotePrefix="1" applyFont="1" applyBorder="1" applyAlignment="1">
      <alignment horizontal="left"/>
    </xf>
    <xf numFmtId="0" fontId="13" fillId="0" borderId="4" xfId="4" applyFont="1" applyBorder="1"/>
    <xf numFmtId="0" fontId="13" fillId="0" borderId="2" xfId="4" applyFont="1" applyBorder="1"/>
    <xf numFmtId="0" fontId="17" fillId="0" borderId="0" xfId="4" applyFont="1"/>
    <xf numFmtId="0" fontId="13" fillId="0" borderId="0" xfId="4" quotePrefix="1" applyFont="1" applyBorder="1" applyAlignment="1">
      <alignment horizontal="left"/>
    </xf>
    <xf numFmtId="0" fontId="13" fillId="0" borderId="0" xfId="4" applyFont="1" applyBorder="1"/>
    <xf numFmtId="0" fontId="13" fillId="0" borderId="0" xfId="4" applyFont="1"/>
    <xf numFmtId="0" fontId="13" fillId="0" borderId="4" xfId="4" applyFont="1" applyBorder="1" applyAlignment="1">
      <alignment horizontal="centerContinuous"/>
    </xf>
    <xf numFmtId="0" fontId="13" fillId="0" borderId="0" xfId="4" applyFont="1" applyBorder="1" applyAlignment="1">
      <alignment horizontal="centerContinuous"/>
    </xf>
    <xf numFmtId="0" fontId="13" fillId="0" borderId="0" xfId="4" applyFont="1" applyAlignment="1">
      <alignment horizontal="center"/>
    </xf>
    <xf numFmtId="0" fontId="13" fillId="0" borderId="0" xfId="4" applyFont="1" applyBorder="1" applyAlignment="1">
      <alignment horizontal="center"/>
    </xf>
    <xf numFmtId="0" fontId="13" fillId="0" borderId="0" xfId="4" applyFont="1" applyAlignment="1">
      <alignment horizontal="left"/>
    </xf>
    <xf numFmtId="0" fontId="13" fillId="0" borderId="2" xfId="4" applyFont="1" applyBorder="1" applyAlignment="1">
      <alignment horizontal="center"/>
    </xf>
    <xf numFmtId="0" fontId="15" fillId="0" borderId="0" xfId="4" quotePrefix="1" applyFont="1" applyAlignment="1">
      <alignment horizontal="centerContinuous"/>
    </xf>
    <xf numFmtId="0" fontId="13" fillId="0" borderId="0" xfId="4" applyFont="1" applyAlignment="1">
      <alignment horizontal="centerContinuous"/>
    </xf>
    <xf numFmtId="0" fontId="17" fillId="0" borderId="0" xfId="4" applyFont="1" applyAlignment="1">
      <alignment horizontal="centerContinuous"/>
    </xf>
    <xf numFmtId="175" fontId="13" fillId="0" borderId="0" xfId="4" applyNumberFormat="1" applyFont="1" applyProtection="1"/>
    <xf numFmtId="176" fontId="13" fillId="0" borderId="0" xfId="4" applyNumberFormat="1" applyFont="1" applyProtection="1"/>
    <xf numFmtId="164" fontId="17" fillId="0" borderId="0" xfId="4" applyNumberFormat="1" applyFont="1" applyProtection="1"/>
    <xf numFmtId="176" fontId="13" fillId="0" borderId="0" xfId="4" applyNumberFormat="1" applyFont="1"/>
    <xf numFmtId="0" fontId="13" fillId="0" borderId="0" xfId="4" applyFont="1" applyBorder="1" applyAlignment="1">
      <alignment horizontal="left"/>
    </xf>
    <xf numFmtId="175" fontId="13" fillId="0" borderId="0" xfId="4" applyNumberFormat="1" applyFont="1" applyBorder="1" applyProtection="1"/>
    <xf numFmtId="176" fontId="13" fillId="0" borderId="0" xfId="4" applyNumberFormat="1" applyFont="1" applyBorder="1"/>
    <xf numFmtId="176" fontId="13" fillId="0" borderId="0" xfId="4" applyNumberFormat="1" applyFont="1" applyBorder="1" applyProtection="1"/>
    <xf numFmtId="175" fontId="13" fillId="0" borderId="0" xfId="4" applyNumberFormat="1" applyFont="1" applyFill="1" applyBorder="1" applyProtection="1"/>
    <xf numFmtId="176" fontId="13" fillId="0" borderId="0" xfId="4" applyNumberFormat="1" applyFont="1" applyFill="1" applyBorder="1"/>
    <xf numFmtId="176" fontId="13" fillId="0" borderId="0" xfId="4" applyNumberFormat="1" applyFont="1" applyFill="1" applyBorder="1" applyProtection="1"/>
    <xf numFmtId="175" fontId="13" fillId="2" borderId="0" xfId="4" applyNumberFormat="1" applyFont="1" applyFill="1" applyBorder="1" applyProtection="1"/>
    <xf numFmtId="176" fontId="13" fillId="2" borderId="0" xfId="4" applyNumberFormat="1" applyFont="1" applyFill="1" applyBorder="1" applyProtection="1"/>
    <xf numFmtId="175" fontId="13" fillId="0" borderId="0" xfId="4" applyNumberFormat="1" applyFont="1" applyBorder="1" applyAlignment="1" applyProtection="1">
      <alignment horizontal="center"/>
    </xf>
    <xf numFmtId="0" fontId="17" fillId="0" borderId="0" xfId="4" applyFont="1" applyAlignment="1">
      <alignment horizontal="center"/>
    </xf>
    <xf numFmtId="0" fontId="13" fillId="0" borderId="4" xfId="4" applyFont="1" applyBorder="1" applyAlignment="1">
      <alignment horizontal="center"/>
    </xf>
    <xf numFmtId="0" fontId="13" fillId="0" borderId="0" xfId="4" quotePrefix="1" applyFont="1" applyAlignment="1">
      <alignment horizontal="centerContinuous"/>
    </xf>
    <xf numFmtId="177" fontId="13" fillId="0" borderId="0" xfId="4" applyNumberFormat="1" applyFont="1" applyProtection="1"/>
    <xf numFmtId="175" fontId="13" fillId="0" borderId="0" xfId="4" applyNumberFormat="1" applyFont="1"/>
    <xf numFmtId="0" fontId="17" fillId="0" borderId="0" xfId="4" applyFont="1" applyProtection="1"/>
    <xf numFmtId="177" fontId="13" fillId="0" borderId="0" xfId="4" applyNumberFormat="1" applyFont="1" applyBorder="1" applyProtection="1"/>
    <xf numFmtId="166" fontId="17" fillId="0" borderId="0" xfId="5" applyNumberFormat="1" applyFont="1"/>
    <xf numFmtId="175" fontId="13" fillId="0" borderId="0" xfId="4" applyNumberFormat="1" applyFont="1" applyBorder="1" applyAlignment="1" applyProtection="1"/>
    <xf numFmtId="176" fontId="13" fillId="0" borderId="0" xfId="4" applyNumberFormat="1" applyFont="1" applyBorder="1" applyAlignment="1" applyProtection="1"/>
    <xf numFmtId="177" fontId="13" fillId="0" borderId="0" xfId="4" applyNumberFormat="1" applyFont="1" applyBorder="1" applyAlignment="1" applyProtection="1"/>
    <xf numFmtId="166" fontId="17" fillId="0" borderId="0" xfId="5" applyNumberFormat="1" applyFont="1" applyAlignment="1"/>
    <xf numFmtId="0" fontId="17" fillId="0" borderId="0" xfId="4" applyFont="1" applyAlignment="1"/>
    <xf numFmtId="175" fontId="13" fillId="0" borderId="0" xfId="4" quotePrefix="1" applyNumberFormat="1" applyFont="1" applyFill="1" applyBorder="1" applyAlignment="1" applyProtection="1">
      <alignment horizontal="center"/>
    </xf>
    <xf numFmtId="175" fontId="13" fillId="0" borderId="0" xfId="4" quotePrefix="1" applyNumberFormat="1" applyFont="1" applyFill="1" applyBorder="1" applyAlignment="1" applyProtection="1">
      <alignment horizontal="right"/>
    </xf>
    <xf numFmtId="0" fontId="13" fillId="0" borderId="2" xfId="4" quotePrefix="1" applyFont="1" applyBorder="1" applyAlignment="1">
      <alignment horizontal="left"/>
    </xf>
    <xf numFmtId="175" fontId="13" fillId="0" borderId="2" xfId="4" applyNumberFormat="1" applyFont="1" applyBorder="1" applyProtection="1"/>
    <xf numFmtId="175" fontId="13" fillId="0" borderId="2" xfId="4" quotePrefix="1" applyNumberFormat="1" applyFont="1" applyFill="1" applyBorder="1" applyAlignment="1" applyProtection="1">
      <alignment horizontal="right"/>
    </xf>
    <xf numFmtId="176" fontId="13" fillId="0" borderId="2" xfId="4" applyNumberFormat="1" applyFont="1" applyBorder="1" applyProtection="1"/>
    <xf numFmtId="177" fontId="13" fillId="0" borderId="2" xfId="4" applyNumberFormat="1" applyFont="1" applyBorder="1" applyProtection="1"/>
    <xf numFmtId="177" fontId="13" fillId="0" borderId="0" xfId="4" applyNumberFormat="1" applyFont="1" applyFill="1" applyBorder="1" applyProtection="1"/>
    <xf numFmtId="0" fontId="13" fillId="0" borderId="0" xfId="4" quotePrefix="1" applyFont="1" applyAlignment="1">
      <alignment horizontal="left"/>
    </xf>
    <xf numFmtId="0" fontId="18" fillId="0" borderId="0" xfId="4"/>
    <xf numFmtId="173" fontId="13" fillId="0" borderId="0" xfId="4" applyNumberFormat="1" applyFont="1" applyProtection="1"/>
    <xf numFmtId="171" fontId="13" fillId="0" borderId="0" xfId="4" applyNumberFormat="1" applyFont="1" applyProtection="1"/>
    <xf numFmtId="171" fontId="13" fillId="0" borderId="0" xfId="4" applyNumberFormat="1" applyFont="1"/>
    <xf numFmtId="3" fontId="13" fillId="0" borderId="0" xfId="4" applyNumberFormat="1" applyFont="1" applyProtection="1"/>
    <xf numFmtId="173" fontId="13" fillId="0" borderId="0" xfId="4" applyNumberFormat="1" applyFont="1" applyBorder="1" applyProtection="1"/>
    <xf numFmtId="171" fontId="13" fillId="0" borderId="0" xfId="4" applyNumberFormat="1" applyFont="1" applyBorder="1" applyProtection="1"/>
    <xf numFmtId="171" fontId="13" fillId="0" borderId="0" xfId="4" applyNumberFormat="1" applyFont="1" applyBorder="1"/>
    <xf numFmtId="3" fontId="13" fillId="0" borderId="0" xfId="4" applyNumberFormat="1" applyFont="1" applyBorder="1" applyProtection="1"/>
    <xf numFmtId="0" fontId="17" fillId="0" borderId="0" xfId="4" applyFont="1" applyBorder="1"/>
    <xf numFmtId="173" fontId="13" fillId="0" borderId="0" xfId="4" applyNumberFormat="1" applyFont="1" applyFill="1" applyBorder="1" applyProtection="1"/>
    <xf numFmtId="171" fontId="13" fillId="0" borderId="0" xfId="4" applyNumberFormat="1" applyFont="1" applyFill="1" applyBorder="1" applyProtection="1"/>
    <xf numFmtId="171" fontId="13" fillId="0" borderId="0" xfId="4" applyNumberFormat="1" applyFont="1" applyFill="1" applyBorder="1"/>
    <xf numFmtId="173" fontId="13" fillId="2" borderId="0" xfId="4" applyNumberFormat="1" applyFont="1" applyFill="1" applyBorder="1" applyProtection="1"/>
    <xf numFmtId="173" fontId="13" fillId="0" borderId="0" xfId="4" quotePrefix="1" applyNumberFormat="1" applyFont="1" applyBorder="1" applyAlignment="1" applyProtection="1">
      <alignment horizontal="center"/>
    </xf>
    <xf numFmtId="0" fontId="13" fillId="0" borderId="0" xfId="4" applyNumberFormat="1" applyFont="1" applyAlignment="1">
      <alignment horizontal="left"/>
    </xf>
    <xf numFmtId="173" fontId="13" fillId="0" borderId="0" xfId="4" applyNumberFormat="1" applyFont="1"/>
    <xf numFmtId="3" fontId="13" fillId="0" borderId="0" xfId="4" applyNumberFormat="1" applyFont="1"/>
    <xf numFmtId="0" fontId="13" fillId="0" borderId="0" xfId="4" applyNumberFormat="1" applyFont="1" applyBorder="1" applyAlignment="1">
      <alignment horizontal="left"/>
    </xf>
    <xf numFmtId="173" fontId="13" fillId="0" borderId="0" xfId="4" applyNumberFormat="1" applyFont="1" applyBorder="1"/>
    <xf numFmtId="174" fontId="17" fillId="0" borderId="0" xfId="5" applyNumberFormat="1" applyFont="1"/>
    <xf numFmtId="0" fontId="13" fillId="0" borderId="0" xfId="4" applyNumberFormat="1" applyFont="1" applyFill="1" applyBorder="1" applyAlignment="1">
      <alignment horizontal="left"/>
    </xf>
    <xf numFmtId="173" fontId="13" fillId="0" borderId="0" xfId="4" applyNumberFormat="1" applyFont="1" applyFill="1" applyBorder="1"/>
    <xf numFmtId="171" fontId="13" fillId="0" borderId="0" xfId="4" quotePrefix="1" applyNumberFormat="1" applyFont="1" applyBorder="1" applyProtection="1"/>
    <xf numFmtId="0" fontId="13" fillId="0" borderId="2" xfId="4" applyNumberFormat="1" applyFont="1" applyBorder="1" applyAlignment="1">
      <alignment horizontal="left"/>
    </xf>
    <xf numFmtId="173" fontId="13" fillId="0" borderId="2" xfId="4" applyNumberFormat="1" applyFont="1" applyFill="1" applyBorder="1" applyProtection="1"/>
    <xf numFmtId="173" fontId="13" fillId="0" borderId="2" xfId="4" applyNumberFormat="1" applyFont="1" applyBorder="1" applyProtection="1"/>
    <xf numFmtId="171" fontId="13" fillId="0" borderId="2" xfId="4" quotePrefix="1" applyNumberFormat="1" applyFont="1" applyBorder="1" applyProtection="1"/>
    <xf numFmtId="171" fontId="13" fillId="0" borderId="2" xfId="4" applyNumberFormat="1" applyFont="1" applyBorder="1"/>
    <xf numFmtId="171" fontId="13" fillId="0" borderId="2" xfId="4" applyNumberFormat="1" applyFont="1" applyBorder="1" applyProtection="1"/>
    <xf numFmtId="173" fontId="13" fillId="0" borderId="2" xfId="4" applyNumberFormat="1" applyFont="1" applyBorder="1"/>
    <xf numFmtId="0" fontId="13" fillId="0" borderId="0" xfId="4" quotePrefix="1" applyNumberFormat="1" applyFont="1" applyBorder="1" applyAlignment="1">
      <alignment horizontal="left"/>
    </xf>
    <xf numFmtId="173" fontId="13" fillId="0" borderId="0" xfId="4" applyNumberFormat="1" applyFont="1" applyBorder="1" applyAlignment="1" applyProtection="1">
      <alignment horizontal="left"/>
    </xf>
    <xf numFmtId="0" fontId="19" fillId="0" borderId="0" xfId="4" applyFont="1" applyBorder="1" applyAlignment="1">
      <alignment horizontal="left"/>
    </xf>
    <xf numFmtId="0" fontId="20" fillId="0" borderId="0" xfId="4" applyFont="1"/>
    <xf numFmtId="0" fontId="18" fillId="0" borderId="0" xfId="4" applyFill="1"/>
    <xf numFmtId="0" fontId="13" fillId="0" borderId="4" xfId="3" applyFont="1" applyBorder="1" applyAlignment="1">
      <alignment horizontal="centerContinuous"/>
    </xf>
    <xf numFmtId="0" fontId="17" fillId="0" borderId="5" xfId="3" applyFont="1" applyBorder="1" applyAlignment="1">
      <alignment horizontal="centerContinuous"/>
    </xf>
    <xf numFmtId="0" fontId="13" fillId="0" borderId="5" xfId="3" applyFont="1" applyBorder="1" applyAlignment="1">
      <alignment horizontal="centerContinuous"/>
    </xf>
    <xf numFmtId="0" fontId="15" fillId="0" borderId="0" xfId="3" quotePrefix="1" applyFont="1" applyAlignment="1">
      <alignment horizontal="center"/>
    </xf>
    <xf numFmtId="0" fontId="21" fillId="0" borderId="0" xfId="3" applyFont="1" applyAlignment="1">
      <alignment horizontal="centerContinuous"/>
    </xf>
    <xf numFmtId="0" fontId="21" fillId="0" borderId="0" xfId="3" applyFont="1"/>
    <xf numFmtId="178" fontId="13" fillId="0" borderId="0" xfId="3" applyNumberFormat="1" applyFont="1" applyProtection="1"/>
    <xf numFmtId="179" fontId="13" fillId="0" borderId="0" xfId="3" applyNumberFormat="1" applyFont="1" applyProtection="1"/>
    <xf numFmtId="178" fontId="13" fillId="0" borderId="0" xfId="3" quotePrefix="1" applyNumberFormat="1" applyFont="1" applyProtection="1"/>
    <xf numFmtId="1" fontId="17" fillId="0" borderId="0" xfId="3" applyNumberFormat="1" applyFont="1"/>
    <xf numFmtId="179" fontId="13" fillId="0" borderId="0" xfId="3" applyNumberFormat="1" applyFont="1" applyBorder="1" applyProtection="1"/>
    <xf numFmtId="179" fontId="12" fillId="0" borderId="0" xfId="3" applyNumberFormat="1" applyBorder="1"/>
    <xf numFmtId="0" fontId="13" fillId="0" borderId="0" xfId="3" quotePrefix="1" applyNumberFormat="1" applyFont="1" applyBorder="1" applyAlignment="1">
      <alignment horizontal="left"/>
    </xf>
    <xf numFmtId="178" fontId="13" fillId="0" borderId="0" xfId="3" applyNumberFormat="1" applyFont="1" applyBorder="1" applyProtection="1"/>
    <xf numFmtId="0" fontId="13" fillId="2" borderId="0" xfId="3" quotePrefix="1" applyNumberFormat="1" applyFont="1" applyFill="1" applyBorder="1" applyAlignment="1">
      <alignment horizontal="left"/>
    </xf>
    <xf numFmtId="178" fontId="13" fillId="2" borderId="0" xfId="3" applyNumberFormat="1" applyFont="1" applyFill="1" applyBorder="1" applyProtection="1"/>
    <xf numFmtId="179" fontId="13" fillId="2" borderId="0" xfId="3" applyNumberFormat="1" applyFont="1" applyFill="1" applyBorder="1" applyProtection="1"/>
    <xf numFmtId="179" fontId="12" fillId="2" borderId="0" xfId="3" applyNumberFormat="1" applyFill="1" applyBorder="1"/>
    <xf numFmtId="0" fontId="13" fillId="0" borderId="2" xfId="3" quotePrefix="1" applyNumberFormat="1" applyFont="1" applyBorder="1" applyAlignment="1">
      <alignment horizontal="left"/>
    </xf>
    <xf numFmtId="178" fontId="13" fillId="0" borderId="2" xfId="3" applyNumberFormat="1" applyFont="1" applyBorder="1" applyProtection="1"/>
    <xf numFmtId="179" fontId="13" fillId="0" borderId="2" xfId="3" applyNumberFormat="1" applyFont="1" applyBorder="1" applyProtection="1"/>
    <xf numFmtId="179" fontId="12" fillId="0" borderId="2" xfId="3" applyNumberFormat="1" applyBorder="1"/>
    <xf numFmtId="179" fontId="13" fillId="2" borderId="2" xfId="3" applyNumberFormat="1" applyFont="1" applyFill="1" applyBorder="1" applyProtection="1"/>
    <xf numFmtId="178" fontId="13" fillId="0" borderId="0" xfId="3" quotePrefix="1" applyNumberFormat="1" applyFont="1" applyBorder="1" applyAlignment="1" applyProtection="1">
      <alignment horizontal="left"/>
    </xf>
    <xf numFmtId="167" fontId="17" fillId="0" borderId="0" xfId="3" applyNumberFormat="1" applyFont="1"/>
    <xf numFmtId="0" fontId="22" fillId="0" borderId="0" xfId="3" applyFont="1"/>
    <xf numFmtId="180" fontId="13" fillId="0" borderId="0" xfId="3" applyNumberFormat="1" applyFont="1" applyAlignment="1" applyProtection="1"/>
    <xf numFmtId="180" fontId="13" fillId="0" borderId="0" xfId="3" applyNumberFormat="1" applyFont="1" applyAlignment="1"/>
    <xf numFmtId="180" fontId="13" fillId="0" borderId="0" xfId="3" applyNumberFormat="1" applyFont="1" applyBorder="1" applyAlignment="1"/>
    <xf numFmtId="180" fontId="13" fillId="0" borderId="0" xfId="3" applyNumberFormat="1" applyFont="1" applyBorder="1" applyAlignment="1" applyProtection="1"/>
    <xf numFmtId="180" fontId="13" fillId="0" borderId="0" xfId="3" quotePrefix="1" applyNumberFormat="1" applyFont="1" applyBorder="1" applyAlignment="1"/>
    <xf numFmtId="180" fontId="13" fillId="0" borderId="0" xfId="3" quotePrefix="1" applyNumberFormat="1" applyFont="1" applyBorder="1" applyAlignment="1" applyProtection="1"/>
    <xf numFmtId="180" fontId="13" fillId="0" borderId="0" xfId="3" quotePrefix="1" applyNumberFormat="1" applyFont="1" applyBorder="1" applyAlignment="1">
      <alignment horizontal="right"/>
    </xf>
    <xf numFmtId="0" fontId="23" fillId="0" borderId="0" xfId="6"/>
    <xf numFmtId="180" fontId="13" fillId="0" borderId="2" xfId="3" quotePrefix="1" applyNumberFormat="1" applyFont="1" applyBorder="1" applyAlignment="1"/>
    <xf numFmtId="0" fontId="24" fillId="0" borderId="0" xfId="3" quotePrefix="1" applyNumberFormat="1" applyFont="1" applyBorder="1" applyAlignment="1">
      <alignment horizontal="left"/>
    </xf>
    <xf numFmtId="0" fontId="25" fillId="0" borderId="0" xfId="3" applyFont="1" applyAlignment="1">
      <alignment horizontal="left"/>
    </xf>
    <xf numFmtId="181" fontId="12" fillId="0" borderId="0" xfId="3" applyNumberFormat="1"/>
    <xf numFmtId="0" fontId="13" fillId="0" borderId="0" xfId="3" quotePrefix="1" applyFont="1" applyAlignment="1">
      <alignment horizontal="left"/>
    </xf>
    <xf numFmtId="3" fontId="17" fillId="0" borderId="0" xfId="3" applyNumberFormat="1" applyFont="1"/>
    <xf numFmtId="0" fontId="13" fillId="0" borderId="6" xfId="3" quotePrefix="1" applyFont="1" applyBorder="1" applyAlignment="1">
      <alignment horizontal="left"/>
    </xf>
    <xf numFmtId="0" fontId="17" fillId="0" borderId="6" xfId="3" applyFont="1" applyBorder="1"/>
    <xf numFmtId="174" fontId="13" fillId="0" borderId="2" xfId="2" applyNumberFormat="1" applyFont="1" applyBorder="1" applyAlignment="1" applyProtection="1">
      <alignment horizontal="left"/>
    </xf>
    <xf numFmtId="174" fontId="13" fillId="0" borderId="2" xfId="2" applyNumberFormat="1" applyFont="1" applyBorder="1"/>
    <xf numFmtId="174" fontId="13" fillId="0" borderId="2" xfId="2" applyNumberFormat="1" applyFont="1" applyBorder="1" applyAlignment="1">
      <alignment horizontal="left"/>
    </xf>
    <xf numFmtId="174" fontId="13" fillId="0" borderId="2" xfId="2" applyNumberFormat="1" applyFont="1" applyBorder="1" applyAlignment="1">
      <alignment horizontal="center"/>
    </xf>
    <xf numFmtId="174" fontId="13" fillId="0" borderId="2" xfId="2" quotePrefix="1" applyNumberFormat="1" applyFont="1" applyBorder="1" applyAlignment="1">
      <alignment horizontal="center"/>
    </xf>
    <xf numFmtId="174" fontId="13" fillId="0" borderId="0" xfId="2" applyNumberFormat="1" applyFont="1" applyBorder="1"/>
    <xf numFmtId="174" fontId="13" fillId="0" borderId="0" xfId="2" applyNumberFormat="1" applyFont="1" applyBorder="1" applyAlignment="1" applyProtection="1">
      <alignment horizontal="left"/>
    </xf>
    <xf numFmtId="174" fontId="13" fillId="0" borderId="0" xfId="2" applyNumberFormat="1" applyFont="1" applyBorder="1" applyAlignment="1">
      <alignment horizontal="left"/>
    </xf>
    <xf numFmtId="174" fontId="13" fillId="0" borderId="0" xfId="2" applyNumberFormat="1" applyFont="1" applyBorder="1" applyAlignment="1">
      <alignment horizontal="center"/>
    </xf>
    <xf numFmtId="174" fontId="13" fillId="0" borderId="0" xfId="2" quotePrefix="1" applyNumberFormat="1" applyFont="1" applyBorder="1" applyAlignment="1">
      <alignment horizontal="center"/>
    </xf>
    <xf numFmtId="174" fontId="15" fillId="0" borderId="0" xfId="2" quotePrefix="1" applyNumberFormat="1" applyFont="1" applyBorder="1"/>
    <xf numFmtId="174" fontId="13" fillId="0" borderId="0" xfId="2" quotePrefix="1" applyNumberFormat="1" applyFont="1" applyAlignment="1" applyProtection="1">
      <alignment horizontal="center"/>
    </xf>
    <xf numFmtId="3" fontId="13" fillId="0" borderId="0" xfId="2" applyNumberFormat="1" applyFont="1"/>
    <xf numFmtId="174" fontId="13" fillId="0" borderId="0" xfId="2" quotePrefix="1" applyNumberFormat="1" applyFont="1" applyAlignment="1">
      <alignment horizontal="center"/>
    </xf>
    <xf numFmtId="3" fontId="20" fillId="0" borderId="0" xfId="3" applyNumberFormat="1" applyFont="1" applyAlignment="1"/>
    <xf numFmtId="3" fontId="20" fillId="0" borderId="0" xfId="3" applyNumberFormat="1" applyFont="1" applyBorder="1" applyAlignment="1"/>
    <xf numFmtId="43" fontId="17" fillId="0" borderId="0" xfId="3" applyNumberFormat="1" applyFont="1"/>
    <xf numFmtId="3" fontId="26" fillId="0" borderId="0" xfId="3" applyNumberFormat="1" applyFont="1" applyBorder="1" applyAlignment="1"/>
    <xf numFmtId="174" fontId="17" fillId="0" borderId="0" xfId="2" applyNumberFormat="1" applyFont="1"/>
    <xf numFmtId="174" fontId="20" fillId="0" borderId="0" xfId="2" applyNumberFormat="1" applyFont="1" applyBorder="1" applyAlignment="1"/>
    <xf numFmtId="174" fontId="13" fillId="0" borderId="0" xfId="2" applyNumberFormat="1" applyFont="1"/>
    <xf numFmtId="3" fontId="20" fillId="0" borderId="2" xfId="3" applyNumberFormat="1" applyFont="1" applyBorder="1" applyAlignment="1"/>
    <xf numFmtId="3" fontId="26" fillId="0" borderId="2" xfId="3" applyNumberFormat="1" applyFont="1" applyBorder="1" applyAlignment="1"/>
    <xf numFmtId="174" fontId="13" fillId="0" borderId="0" xfId="2" quotePrefix="1" applyNumberFormat="1" applyFont="1" applyBorder="1" applyAlignment="1">
      <alignment horizontal="left"/>
    </xf>
    <xf numFmtId="174" fontId="13" fillId="0" borderId="0" xfId="2" applyNumberFormat="1" applyFont="1" applyAlignment="1">
      <alignment horizontal="center"/>
    </xf>
    <xf numFmtId="49" fontId="13" fillId="0" borderId="2" xfId="2" applyNumberFormat="1" applyFont="1" applyBorder="1" applyAlignment="1">
      <alignment horizontal="center"/>
    </xf>
    <xf numFmtId="49" fontId="13" fillId="0" borderId="2" xfId="2" quotePrefix="1" applyNumberFormat="1" applyFont="1" applyBorder="1" applyAlignment="1">
      <alignment horizontal="center"/>
    </xf>
    <xf numFmtId="3" fontId="2" fillId="0" borderId="0" xfId="3" applyNumberFormat="1" applyFont="1"/>
    <xf numFmtId="0" fontId="2" fillId="0" borderId="0" xfId="3" applyFont="1"/>
    <xf numFmtId="174" fontId="13" fillId="0" borderId="0" xfId="3" applyNumberFormat="1" applyFont="1"/>
    <xf numFmtId="3" fontId="13" fillId="0" borderId="0" xfId="2" applyNumberFormat="1" applyFont="1" applyAlignment="1"/>
    <xf numFmtId="3" fontId="26" fillId="0" borderId="0" xfId="3" quotePrefix="1" applyNumberFormat="1" applyFont="1" applyBorder="1" applyAlignment="1">
      <alignment horizontal="center"/>
    </xf>
    <xf numFmtId="174" fontId="27" fillId="0" borderId="0" xfId="3" applyNumberFormat="1" applyFont="1"/>
    <xf numFmtId="174" fontId="27" fillId="0" borderId="0" xfId="3" applyNumberFormat="1" applyFont="1" applyBorder="1"/>
    <xf numFmtId="3" fontId="13" fillId="0" borderId="0" xfId="2" applyNumberFormat="1" applyFont="1" applyBorder="1" applyAlignment="1"/>
    <xf numFmtId="3" fontId="26" fillId="0" borderId="2" xfId="3" quotePrefix="1" applyNumberFormat="1" applyFont="1" applyBorder="1" applyAlignment="1">
      <alignment horizontal="center"/>
    </xf>
    <xf numFmtId="0" fontId="17" fillId="2" borderId="0" xfId="3" applyFont="1" applyFill="1"/>
    <xf numFmtId="0" fontId="17" fillId="0" borderId="0" xfId="3" applyFont="1" applyBorder="1"/>
    <xf numFmtId="0" fontId="13" fillId="0" borderId="3" xfId="3" applyFont="1" applyBorder="1" applyAlignment="1">
      <alignment horizontal="centerContinuous"/>
    </xf>
    <xf numFmtId="0" fontId="15" fillId="0" borderId="0" xfId="3" applyFont="1" applyAlignment="1">
      <alignment horizontal="center"/>
    </xf>
    <xf numFmtId="182" fontId="13" fillId="0" borderId="0" xfId="3" applyNumberFormat="1" applyFont="1"/>
    <xf numFmtId="167" fontId="13" fillId="0" borderId="0" xfId="3" applyNumberFormat="1" applyFont="1"/>
    <xf numFmtId="43" fontId="13" fillId="0" borderId="0" xfId="2" applyNumberFormat="1" applyFont="1"/>
    <xf numFmtId="2" fontId="13" fillId="0" borderId="0" xfId="3" applyNumberFormat="1" applyFont="1"/>
    <xf numFmtId="2" fontId="17" fillId="0" borderId="0" xfId="3" applyNumberFormat="1" applyFont="1"/>
    <xf numFmtId="182" fontId="13" fillId="0" borderId="0" xfId="3" applyNumberFormat="1" applyFont="1" applyBorder="1"/>
    <xf numFmtId="167" fontId="13" fillId="0" borderId="0" xfId="3" applyNumberFormat="1" applyFont="1" applyBorder="1"/>
    <xf numFmtId="182" fontId="13" fillId="0" borderId="2" xfId="3" applyNumberFormat="1" applyFont="1" applyBorder="1"/>
    <xf numFmtId="0" fontId="17" fillId="0" borderId="2" xfId="3" applyFont="1" applyBorder="1"/>
    <xf numFmtId="0" fontId="11" fillId="0" borderId="0" xfId="3" applyFont="1"/>
    <xf numFmtId="0" fontId="17" fillId="0" borderId="0" xfId="3" applyFont="1" applyAlignment="1">
      <alignment horizontal="left"/>
    </xf>
    <xf numFmtId="181" fontId="17" fillId="0" borderId="0" xfId="3" applyNumberFormat="1" applyFont="1" applyAlignment="1">
      <alignment horizontal="left"/>
    </xf>
    <xf numFmtId="181" fontId="17" fillId="0" borderId="0" xfId="3" applyNumberFormat="1" applyFont="1"/>
    <xf numFmtId="168" fontId="17" fillId="0" borderId="0" xfId="3" applyNumberFormat="1" applyFont="1"/>
    <xf numFmtId="183" fontId="13" fillId="0" borderId="0" xfId="3" applyNumberFormat="1" applyFont="1"/>
    <xf numFmtId="183" fontId="13" fillId="0" borderId="0" xfId="3" applyNumberFormat="1" applyFont="1" applyBorder="1"/>
    <xf numFmtId="183" fontId="27" fillId="0" borderId="0" xfId="3" applyNumberFormat="1" applyFont="1" applyBorder="1"/>
    <xf numFmtId="183" fontId="17" fillId="0" borderId="0" xfId="3" applyNumberFormat="1" applyFont="1"/>
    <xf numFmtId="183" fontId="13" fillId="0" borderId="2" xfId="3" applyNumberFormat="1" applyFont="1" applyBorder="1"/>
    <xf numFmtId="167" fontId="13" fillId="0" borderId="2" xfId="3" applyNumberFormat="1" applyFont="1" applyBorder="1"/>
    <xf numFmtId="183" fontId="27" fillId="0" borderId="2" xfId="3" applyNumberFormat="1" applyFont="1" applyBorder="1"/>
    <xf numFmtId="184" fontId="17" fillId="0" borderId="0" xfId="3" applyNumberFormat="1" applyFont="1" applyAlignment="1">
      <alignment horizontal="left"/>
    </xf>
    <xf numFmtId="0" fontId="17" fillId="0" borderId="0" xfId="3" applyFont="1" applyAlignment="1">
      <alignment horizontal="centerContinuous"/>
    </xf>
    <xf numFmtId="168" fontId="13" fillId="0" borderId="0" xfId="3" applyNumberFormat="1" applyFont="1"/>
    <xf numFmtId="181" fontId="13" fillId="0" borderId="0" xfId="3" applyNumberFormat="1" applyFont="1"/>
    <xf numFmtId="168" fontId="17" fillId="0" borderId="0" xfId="3" applyNumberFormat="1" applyFont="1" applyAlignment="1">
      <alignment horizontal="left"/>
    </xf>
    <xf numFmtId="0" fontId="30" fillId="0" borderId="0" xfId="3" applyFont="1" applyBorder="1"/>
    <xf numFmtId="0" fontId="30" fillId="0" borderId="0" xfId="3" applyFont="1"/>
    <xf numFmtId="0" fontId="31" fillId="0" borderId="0" xfId="3" applyFont="1"/>
    <xf numFmtId="2" fontId="12" fillId="0" borderId="0" xfId="3" applyNumberFormat="1"/>
    <xf numFmtId="168" fontId="32" fillId="0" borderId="0" xfId="3" applyNumberFormat="1" applyFont="1"/>
    <xf numFmtId="168" fontId="30" fillId="0" borderId="0" xfId="3" applyNumberFormat="1" applyFont="1"/>
    <xf numFmtId="0" fontId="11" fillId="0" borderId="0" xfId="3" applyFont="1" applyBorder="1" applyAlignment="1">
      <alignment horizontal="left"/>
    </xf>
    <xf numFmtId="0" fontId="2" fillId="0" borderId="0" xfId="3" quotePrefix="1" applyFont="1" applyBorder="1" applyAlignment="1">
      <alignment horizontal="left"/>
    </xf>
    <xf numFmtId="184" fontId="13" fillId="0" borderId="0" xfId="3" applyNumberFormat="1" applyFont="1"/>
    <xf numFmtId="183" fontId="20" fillId="0" borderId="0" xfId="7" applyNumberFormat="1" applyFont="1" applyAlignment="1">
      <alignment horizontal="right"/>
    </xf>
    <xf numFmtId="183" fontId="20" fillId="0" borderId="0" xfId="8" applyNumberFormat="1" applyFont="1" applyBorder="1" applyAlignment="1">
      <alignment horizontal="right"/>
    </xf>
    <xf numFmtId="183" fontId="20" fillId="0" borderId="0" xfId="7" applyNumberFormat="1" applyFont="1" applyBorder="1" applyAlignment="1">
      <alignment horizontal="right"/>
    </xf>
    <xf numFmtId="183" fontId="20" fillId="0" borderId="2" xfId="8" applyNumberFormat="1" applyFont="1" applyBorder="1" applyAlignment="1">
      <alignment horizontal="right"/>
    </xf>
    <xf numFmtId="183" fontId="20" fillId="0" borderId="2" xfId="7" applyNumberFormat="1" applyFont="1" applyBorder="1" applyAlignment="1">
      <alignment horizontal="right"/>
    </xf>
    <xf numFmtId="184" fontId="17" fillId="0" borderId="0" xfId="3" applyNumberFormat="1" applyFont="1"/>
    <xf numFmtId="185" fontId="20" fillId="0" borderId="2" xfId="7" applyNumberFormat="1" applyFont="1" applyBorder="1" applyAlignment="1">
      <alignment horizontal="right"/>
    </xf>
    <xf numFmtId="185" fontId="20" fillId="0" borderId="0" xfId="7" applyNumberFormat="1" applyFont="1" applyBorder="1" applyAlignment="1">
      <alignment horizontal="right"/>
    </xf>
    <xf numFmtId="185" fontId="13" fillId="0" borderId="0" xfId="3" applyNumberFormat="1" applyFont="1" applyBorder="1"/>
    <xf numFmtId="185" fontId="13" fillId="0" borderId="0" xfId="3" applyNumberFormat="1" applyFont="1"/>
    <xf numFmtId="174" fontId="35" fillId="0" borderId="0" xfId="2" applyNumberFormat="1" applyFont="1"/>
    <xf numFmtId="0" fontId="34" fillId="0" borderId="0" xfId="8" quotePrefix="1" applyFont="1" applyAlignment="1">
      <alignment horizontal="left"/>
    </xf>
    <xf numFmtId="0" fontId="35" fillId="0" borderId="0" xfId="8" quotePrefix="1" applyFont="1" applyAlignment="1">
      <alignment horizontal="left"/>
    </xf>
    <xf numFmtId="0" fontId="35" fillId="0" borderId="0" xfId="8" applyFont="1"/>
    <xf numFmtId="0" fontId="36" fillId="0" borderId="0" xfId="8" applyFont="1"/>
    <xf numFmtId="0" fontId="7" fillId="0" borderId="0" xfId="8"/>
    <xf numFmtId="0" fontId="35" fillId="0" borderId="2" xfId="8" applyFont="1" applyBorder="1" applyAlignment="1">
      <alignment horizontal="left"/>
    </xf>
    <xf numFmtId="0" fontId="35" fillId="0" borderId="2" xfId="8" quotePrefix="1" applyFont="1" applyBorder="1" applyAlignment="1">
      <alignment horizontal="left"/>
    </xf>
    <xf numFmtId="0" fontId="35" fillId="0" borderId="2" xfId="8" applyFont="1" applyBorder="1" applyAlignment="1">
      <alignment horizontal="center"/>
    </xf>
    <xf numFmtId="0" fontId="35" fillId="0" borderId="2" xfId="8" applyFont="1" applyBorder="1"/>
    <xf numFmtId="0" fontId="36" fillId="0" borderId="2" xfId="8" applyFont="1" applyBorder="1"/>
    <xf numFmtId="0" fontId="35" fillId="0" borderId="0" xfId="8" applyFont="1" applyAlignment="1">
      <alignment horizontal="center"/>
    </xf>
    <xf numFmtId="0" fontId="26" fillId="0" borderId="0" xfId="8" applyFont="1" applyAlignment="1">
      <alignment horizontal="center"/>
    </xf>
    <xf numFmtId="0" fontId="26" fillId="0" borderId="2" xfId="8" applyFont="1" applyBorder="1" applyAlignment="1">
      <alignment horizontal="center"/>
    </xf>
    <xf numFmtId="0" fontId="39" fillId="0" borderId="0" xfId="8" quotePrefix="1" applyFont="1" applyAlignment="1">
      <alignment horizontal="left"/>
    </xf>
    <xf numFmtId="41" fontId="26" fillId="0" borderId="0" xfId="8" applyNumberFormat="1" applyFont="1"/>
    <xf numFmtId="41" fontId="35" fillId="0" borderId="0" xfId="8" applyNumberFormat="1" applyFont="1"/>
    <xf numFmtId="41" fontId="26" fillId="0" borderId="0" xfId="8" applyNumberFormat="1" applyFont="1" applyFill="1"/>
    <xf numFmtId="41" fontId="26" fillId="0" borderId="0" xfId="8" applyNumberFormat="1" applyFont="1" applyAlignment="1">
      <alignment horizontal="right"/>
    </xf>
    <xf numFmtId="41" fontId="7" fillId="0" borderId="0" xfId="8" applyNumberFormat="1"/>
    <xf numFmtId="41" fontId="34" fillId="0" borderId="0" xfId="8" applyNumberFormat="1" applyFont="1"/>
    <xf numFmtId="41" fontId="35" fillId="0" borderId="2" xfId="8" applyNumberFormat="1" applyFont="1" applyBorder="1"/>
    <xf numFmtId="41" fontId="26" fillId="0" borderId="2" xfId="8" applyNumberFormat="1" applyFont="1" applyBorder="1"/>
    <xf numFmtId="41" fontId="26" fillId="0" borderId="2" xfId="8" applyNumberFormat="1" applyFont="1" applyBorder="1" applyAlignment="1">
      <alignment horizontal="right"/>
    </xf>
    <xf numFmtId="41" fontId="35" fillId="0" borderId="0" xfId="8" quotePrefix="1" applyNumberFormat="1" applyFont="1"/>
    <xf numFmtId="41" fontId="26" fillId="0" borderId="0" xfId="8" applyNumberFormat="1" applyFont="1" applyBorder="1"/>
    <xf numFmtId="41" fontId="34" fillId="0" borderId="0" xfId="8" applyNumberFormat="1" applyFont="1" applyBorder="1"/>
    <xf numFmtId="186" fontId="34" fillId="0" borderId="0" xfId="8" applyNumberFormat="1" applyFont="1" applyBorder="1"/>
    <xf numFmtId="0" fontId="42" fillId="0" borderId="0" xfId="8" applyFont="1"/>
    <xf numFmtId="174" fontId="42" fillId="0" borderId="0" xfId="2" applyNumberFormat="1" applyFont="1"/>
    <xf numFmtId="41" fontId="32" fillId="0" borderId="0" xfId="8" applyNumberFormat="1" applyFont="1"/>
    <xf numFmtId="41" fontId="35" fillId="0" borderId="0" xfId="8" applyNumberFormat="1" applyFont="1" applyFill="1"/>
    <xf numFmtId="167" fontId="42" fillId="0" borderId="0" xfId="8" applyNumberFormat="1" applyFont="1" applyFill="1"/>
    <xf numFmtId="167" fontId="42" fillId="0" borderId="0" xfId="8" applyNumberFormat="1" applyFont="1"/>
    <xf numFmtId="0" fontId="7" fillId="0" borderId="0" xfId="8" applyFill="1"/>
    <xf numFmtId="0" fontId="42" fillId="0" borderId="0" xfId="8" applyFont="1" applyFill="1"/>
    <xf numFmtId="41" fontId="42" fillId="0" borderId="0" xfId="8" applyNumberFormat="1" applyFont="1"/>
    <xf numFmtId="0" fontId="32" fillId="0" borderId="0" xfId="8" applyFont="1"/>
    <xf numFmtId="49" fontId="13" fillId="0" borderId="0" xfId="4" applyNumberFormat="1" applyFont="1" applyFill="1" applyBorder="1" applyAlignment="1" applyProtection="1">
      <alignment horizontal="left" shrinkToFit="1"/>
    </xf>
    <xf numFmtId="49" fontId="13" fillId="0" borderId="0" xfId="4" applyNumberFormat="1" applyFont="1" applyBorder="1" applyAlignment="1" applyProtection="1">
      <alignment horizontal="left"/>
    </xf>
    <xf numFmtId="49" fontId="13" fillId="0" borderId="2" xfId="4" applyNumberFormat="1" applyFont="1" applyBorder="1" applyAlignment="1" applyProtection="1">
      <alignment horizontal="left"/>
    </xf>
    <xf numFmtId="49" fontId="14" fillId="0" borderId="0" xfId="4" quotePrefix="1" applyNumberFormat="1" applyFont="1" applyBorder="1" applyAlignment="1" applyProtection="1">
      <alignment horizontal="left"/>
    </xf>
    <xf numFmtId="49" fontId="14" fillId="0" borderId="0" xfId="4" applyNumberFormat="1" applyFont="1" applyBorder="1" applyAlignment="1" applyProtection="1">
      <alignment horizontal="left"/>
    </xf>
    <xf numFmtId="49" fontId="14" fillId="0" borderId="2" xfId="4" applyNumberFormat="1" applyFont="1" applyBorder="1" applyAlignment="1" applyProtection="1">
      <alignment horizontal="left"/>
    </xf>
    <xf numFmtId="49" fontId="14" fillId="0" borderId="2" xfId="4" quotePrefix="1" applyNumberFormat="1" applyFont="1" applyBorder="1" applyAlignment="1" applyProtection="1">
      <alignment horizontal="left"/>
    </xf>
    <xf numFmtId="0" fontId="19" fillId="0" borderId="0" xfId="3" applyFont="1" applyAlignment="1">
      <alignment horizontal="left"/>
    </xf>
    <xf numFmtId="49" fontId="28" fillId="0" borderId="0" xfId="3" quotePrefix="1" applyNumberFormat="1" applyFont="1" applyBorder="1" applyAlignment="1">
      <alignment horizontal="left"/>
    </xf>
    <xf numFmtId="0" fontId="44" fillId="0" borderId="0" xfId="0" applyFont="1"/>
    <xf numFmtId="0" fontId="45" fillId="0" borderId="0" xfId="10"/>
    <xf numFmtId="180" fontId="13" fillId="0" borderId="0" xfId="3" quotePrefix="1" applyNumberFormat="1" applyFont="1" applyBorder="1" applyAlignment="1">
      <alignment horizontal="left"/>
    </xf>
    <xf numFmtId="180" fontId="13" fillId="0" borderId="2" xfId="3" quotePrefix="1" applyNumberFormat="1" applyFont="1" applyBorder="1" applyAlignment="1">
      <alignment horizontal="left"/>
    </xf>
    <xf numFmtId="0" fontId="5" fillId="0" borderId="0" xfId="1" applyFont="1" applyAlignment="1" applyProtection="1">
      <alignment horizontal="center"/>
    </xf>
    <xf numFmtId="0" fontId="45" fillId="0" borderId="0" xfId="10" applyFont="1"/>
    <xf numFmtId="41" fontId="13" fillId="0" borderId="0" xfId="3" quotePrefix="1" applyNumberFormat="1" applyFont="1" applyAlignment="1" applyProtection="1">
      <alignment horizontal="center"/>
    </xf>
    <xf numFmtId="178" fontId="13" fillId="0" borderId="0" xfId="3" quotePrefix="1" applyNumberFormat="1" applyFont="1" applyAlignment="1" applyProtection="1">
      <alignment horizontal="right"/>
    </xf>
    <xf numFmtId="41" fontId="13" fillId="0" borderId="0" xfId="3" quotePrefix="1" applyNumberFormat="1" applyFont="1" applyBorder="1" applyAlignment="1" applyProtection="1">
      <alignment horizontal="center"/>
    </xf>
    <xf numFmtId="41" fontId="13" fillId="0" borderId="2" xfId="3" quotePrefix="1" applyNumberFormat="1" applyFont="1" applyBorder="1" applyAlignment="1" applyProtection="1">
      <alignment horizontal="center"/>
    </xf>
    <xf numFmtId="0" fontId="19" fillId="0" borderId="0" xfId="3" applyFont="1"/>
    <xf numFmtId="167" fontId="17" fillId="0" borderId="0" xfId="4" applyNumberFormat="1" applyFont="1"/>
    <xf numFmtId="1" fontId="17" fillId="0" borderId="0" xfId="4" applyNumberFormat="1" applyFont="1"/>
    <xf numFmtId="188" fontId="13" fillId="0" borderId="0" xfId="3" applyNumberFormat="1" applyFont="1" applyBorder="1"/>
    <xf numFmtId="188" fontId="28" fillId="0" borderId="0" xfId="3" quotePrefix="1" applyNumberFormat="1" applyFont="1" applyBorder="1" applyAlignment="1">
      <alignment horizontal="left"/>
    </xf>
    <xf numFmtId="182" fontId="28" fillId="0" borderId="0" xfId="3" quotePrefix="1" applyNumberFormat="1" applyFont="1" applyBorder="1" applyAlignment="1">
      <alignment horizontal="left"/>
    </xf>
    <xf numFmtId="185" fontId="28" fillId="0" borderId="0" xfId="3" quotePrefix="1" applyNumberFormat="1" applyFont="1" applyBorder="1" applyAlignment="1">
      <alignment horizontal="left"/>
    </xf>
    <xf numFmtId="185" fontId="13" fillId="0" borderId="2" xfId="3" applyNumberFormat="1" applyFont="1" applyBorder="1"/>
    <xf numFmtId="183" fontId="28" fillId="0" borderId="0" xfId="3" quotePrefix="1" applyNumberFormat="1" applyFont="1" applyBorder="1" applyAlignment="1">
      <alignment horizontal="left"/>
    </xf>
    <xf numFmtId="183" fontId="29" fillId="0" borderId="0" xfId="3" applyNumberFormat="1" applyFont="1" applyBorder="1"/>
    <xf numFmtId="185" fontId="29" fillId="0" borderId="2" xfId="3" applyNumberFormat="1" applyFont="1" applyBorder="1"/>
    <xf numFmtId="185" fontId="29" fillId="0" borderId="0" xfId="3" applyNumberFormat="1" applyFont="1" applyBorder="1"/>
    <xf numFmtId="0" fontId="34" fillId="0" borderId="0" xfId="11" quotePrefix="1" applyFont="1" applyBorder="1" applyAlignment="1">
      <alignment horizontal="left"/>
    </xf>
    <xf numFmtId="186" fontId="35" fillId="0" borderId="0" xfId="11" quotePrefix="1" applyNumberFormat="1" applyFont="1" applyBorder="1" applyAlignment="1">
      <alignment horizontal="left"/>
    </xf>
    <xf numFmtId="0" fontId="35" fillId="0" borderId="0" xfId="11" applyFont="1" applyBorder="1"/>
    <xf numFmtId="16" fontId="35" fillId="0" borderId="0" xfId="11" applyNumberFormat="1" applyFont="1" applyBorder="1"/>
    <xf numFmtId="0" fontId="36" fillId="0" borderId="0" xfId="11" applyFont="1" applyBorder="1"/>
    <xf numFmtId="0" fontId="7" fillId="0" borderId="0" xfId="11"/>
    <xf numFmtId="0" fontId="35" fillId="0" borderId="2" xfId="11" applyFont="1" applyBorder="1" applyAlignment="1">
      <alignment horizontal="left"/>
    </xf>
    <xf numFmtId="0" fontId="35" fillId="0" borderId="2" xfId="11" quotePrefix="1" applyFont="1" applyBorder="1" applyAlignment="1">
      <alignment horizontal="left"/>
    </xf>
    <xf numFmtId="0" fontId="35" fillId="0" borderId="2" xfId="11" applyFont="1" applyBorder="1" applyAlignment="1">
      <alignment horizontal="center"/>
    </xf>
    <xf numFmtId="0" fontId="35" fillId="0" borderId="2" xfId="11" applyFont="1" applyBorder="1"/>
    <xf numFmtId="0" fontId="36" fillId="0" borderId="2" xfId="11" applyFont="1" applyBorder="1"/>
    <xf numFmtId="0" fontId="20" fillId="0" borderId="2" xfId="11" applyFont="1" applyBorder="1"/>
    <xf numFmtId="0" fontId="35" fillId="0" borderId="0" xfId="11" applyFont="1" applyAlignment="1">
      <alignment horizontal="center"/>
    </xf>
    <xf numFmtId="0" fontId="26" fillId="0" borderId="0" xfId="11" applyFont="1" applyAlignment="1">
      <alignment horizontal="center"/>
    </xf>
    <xf numFmtId="0" fontId="26" fillId="0" borderId="2" xfId="11" applyFont="1" applyBorder="1" applyAlignment="1">
      <alignment horizontal="center"/>
    </xf>
    <xf numFmtId="0" fontId="38" fillId="0" borderId="0" xfId="11" quotePrefix="1" applyFont="1" applyAlignment="1">
      <alignment horizontal="left"/>
    </xf>
    <xf numFmtId="0" fontId="38" fillId="0" borderId="0" xfId="11" applyFont="1" applyAlignment="1">
      <alignment horizontal="center"/>
    </xf>
    <xf numFmtId="0" fontId="39" fillId="0" borderId="0" xfId="11" applyFont="1" applyAlignment="1">
      <alignment horizontal="center"/>
    </xf>
    <xf numFmtId="0" fontId="39" fillId="0" borderId="0" xfId="11" quotePrefix="1" applyFont="1" applyAlignment="1">
      <alignment horizontal="left"/>
    </xf>
    <xf numFmtId="0" fontId="38" fillId="0" borderId="0" xfId="11" quotePrefix="1" applyFont="1" applyAlignment="1">
      <alignment horizontal="center"/>
    </xf>
    <xf numFmtId="0" fontId="40" fillId="0" borderId="0" xfId="11" applyFont="1" applyAlignment="1">
      <alignment horizontal="center"/>
    </xf>
    <xf numFmtId="0" fontId="26" fillId="0" borderId="0" xfId="11" applyFont="1"/>
    <xf numFmtId="41" fontId="35" fillId="0" borderId="0" xfId="11" applyNumberFormat="1" applyFont="1"/>
    <xf numFmtId="186" fontId="26" fillId="0" borderId="0" xfId="11" applyNumberFormat="1" applyFont="1"/>
    <xf numFmtId="49" fontId="41" fillId="0" borderId="0" xfId="11" applyNumberFormat="1" applyFont="1" applyAlignment="1">
      <alignment horizontal="center"/>
    </xf>
    <xf numFmtId="186" fontId="26" fillId="0" borderId="0" xfId="11" applyNumberFormat="1" applyFont="1" applyAlignment="1">
      <alignment horizontal="right"/>
    </xf>
    <xf numFmtId="41" fontId="7" fillId="0" borderId="0" xfId="11" applyNumberFormat="1"/>
    <xf numFmtId="41" fontId="35" fillId="0" borderId="2" xfId="11" applyNumberFormat="1" applyFont="1" applyBorder="1"/>
    <xf numFmtId="41" fontId="35" fillId="0" borderId="0" xfId="11" quotePrefix="1" applyNumberFormat="1" applyFont="1" applyBorder="1" applyAlignment="1"/>
    <xf numFmtId="186" fontId="26" fillId="0" borderId="0" xfId="11" applyNumberFormat="1" applyFont="1" applyBorder="1"/>
    <xf numFmtId="186" fontId="26" fillId="0" borderId="0" xfId="11" applyNumberFormat="1" applyFont="1" applyBorder="1" applyAlignment="1">
      <alignment horizontal="right"/>
    </xf>
    <xf numFmtId="186" fontId="26" fillId="0" borderId="0" xfId="11" applyNumberFormat="1" applyFont="1" applyFill="1" applyBorder="1"/>
    <xf numFmtId="186" fontId="34" fillId="0" borderId="0" xfId="11" applyNumberFormat="1" applyFont="1" applyBorder="1"/>
    <xf numFmtId="49" fontId="35" fillId="0" borderId="0" xfId="11" quotePrefix="1" applyNumberFormat="1" applyFont="1"/>
    <xf numFmtId="41" fontId="35" fillId="0" borderId="0" xfId="11" quotePrefix="1" applyNumberFormat="1" applyFont="1"/>
    <xf numFmtId="0" fontId="35" fillId="0" borderId="0" xfId="11" applyFont="1"/>
    <xf numFmtId="186" fontId="35" fillId="0" borderId="0" xfId="11" applyNumberFormat="1" applyFont="1"/>
    <xf numFmtId="41" fontId="36" fillId="0" borderId="0" xfId="11" applyNumberFormat="1" applyFont="1"/>
    <xf numFmtId="2" fontId="26" fillId="0" borderId="0" xfId="11" applyNumberFormat="1" applyFont="1"/>
    <xf numFmtId="49" fontId="35" fillId="0" borderId="0" xfId="11" applyNumberFormat="1" applyFont="1"/>
    <xf numFmtId="0" fontId="36" fillId="0" borderId="0" xfId="11" applyFont="1"/>
    <xf numFmtId="174" fontId="35" fillId="0" borderId="0" xfId="11" applyNumberFormat="1" applyFont="1"/>
    <xf numFmtId="41" fontId="34" fillId="0" borderId="0" xfId="11" applyNumberFormat="1" applyFont="1"/>
    <xf numFmtId="43" fontId="35" fillId="0" borderId="0" xfId="11" applyNumberFormat="1" applyFont="1"/>
    <xf numFmtId="187" fontId="35" fillId="0" borderId="0" xfId="11" applyNumberFormat="1" applyFont="1"/>
    <xf numFmtId="41" fontId="34" fillId="0" borderId="0" xfId="11" applyNumberFormat="1" applyFont="1" applyFill="1"/>
    <xf numFmtId="167" fontId="35" fillId="0" borderId="0" xfId="11" applyNumberFormat="1" applyFont="1" applyFill="1"/>
    <xf numFmtId="167" fontId="35" fillId="0" borderId="0" xfId="11" applyNumberFormat="1" applyFont="1"/>
    <xf numFmtId="167" fontId="26" fillId="0" borderId="0" xfId="11" applyNumberFormat="1" applyFont="1"/>
    <xf numFmtId="0" fontId="42" fillId="0" borderId="0" xfId="11" applyFont="1" applyFill="1"/>
    <xf numFmtId="0" fontId="42" fillId="0" borderId="0" xfId="11" applyFont="1"/>
    <xf numFmtId="0" fontId="32" fillId="0" borderId="0" xfId="11" applyFont="1"/>
    <xf numFmtId="0" fontId="43" fillId="0" borderId="0" xfId="11" applyFont="1"/>
    <xf numFmtId="49" fontId="41" fillId="0" borderId="0" xfId="8" applyNumberFormat="1" applyFont="1" applyAlignment="1">
      <alignment horizontal="right"/>
    </xf>
    <xf numFmtId="41" fontId="34" fillId="0" borderId="0" xfId="8" applyNumberFormat="1" applyFont="1" applyFill="1"/>
    <xf numFmtId="2" fontId="13" fillId="0" borderId="0" xfId="3" applyNumberFormat="1" applyFont="1" applyBorder="1"/>
    <xf numFmtId="0" fontId="35" fillId="0" borderId="0" xfId="11" applyFont="1" applyFill="1" applyAlignment="1">
      <alignment horizontal="center"/>
    </xf>
    <xf numFmtId="0" fontId="35" fillId="0" borderId="2" xfId="11" applyFont="1" applyFill="1" applyBorder="1" applyAlignment="1">
      <alignment horizontal="center"/>
    </xf>
    <xf numFmtId="43" fontId="42" fillId="0" borderId="0" xfId="11" applyNumberFormat="1" applyFont="1"/>
    <xf numFmtId="0" fontId="35" fillId="0" borderId="0" xfId="8" applyFont="1" applyFill="1" applyAlignment="1">
      <alignment horizontal="center"/>
    </xf>
    <xf numFmtId="0" fontId="26" fillId="0" borderId="0" xfId="8" applyFont="1" applyFill="1" applyAlignment="1">
      <alignment horizontal="center"/>
    </xf>
    <xf numFmtId="0" fontId="35" fillId="0" borderId="2" xfId="8" applyFont="1" applyFill="1" applyBorder="1" applyAlignment="1">
      <alignment horizontal="center"/>
    </xf>
    <xf numFmtId="0" fontId="26" fillId="0" borderId="2" xfId="8" applyFont="1" applyFill="1" applyBorder="1" applyAlignment="1">
      <alignment horizontal="center"/>
    </xf>
    <xf numFmtId="186" fontId="26" fillId="0" borderId="0" xfId="8" applyNumberFormat="1" applyFont="1" applyBorder="1"/>
    <xf numFmtId="174" fontId="0" fillId="0" borderId="0" xfId="2" applyNumberFormat="1" applyFont="1" applyFill="1"/>
    <xf numFmtId="41" fontId="7" fillId="0" borderId="0" xfId="8" applyNumberFormat="1" applyFill="1"/>
    <xf numFmtId="3" fontId="20" fillId="0" borderId="2" xfId="3" applyNumberFormat="1" applyFont="1" applyFill="1" applyBorder="1" applyAlignment="1"/>
    <xf numFmtId="174" fontId="27" fillId="0" borderId="2" xfId="3" applyNumberFormat="1" applyFont="1" applyFill="1" applyBorder="1"/>
    <xf numFmtId="3" fontId="13" fillId="0" borderId="2" xfId="2" applyNumberFormat="1" applyFont="1" applyFill="1" applyBorder="1" applyAlignment="1"/>
    <xf numFmtId="174" fontId="17" fillId="0" borderId="0" xfId="5" applyNumberFormat="1" applyFont="1" applyBorder="1"/>
    <xf numFmtId="0" fontId="34" fillId="0" borderId="0" xfId="8" applyFont="1" applyAlignment="1">
      <alignment horizontal="center"/>
    </xf>
    <xf numFmtId="186" fontId="26" fillId="0" borderId="2" xfId="11" applyNumberFormat="1" applyFont="1" applyBorder="1"/>
    <xf numFmtId="186" fontId="26" fillId="0" borderId="2" xfId="11" applyNumberFormat="1" applyFont="1" applyBorder="1" applyAlignment="1">
      <alignment horizontal="right"/>
    </xf>
    <xf numFmtId="49" fontId="41" fillId="0" borderId="0" xfId="11" applyNumberFormat="1" applyFont="1" applyAlignment="1">
      <alignment horizontal="right"/>
    </xf>
    <xf numFmtId="41" fontId="26" fillId="0" borderId="0" xfId="11" applyNumberFormat="1" applyFont="1" applyAlignment="1">
      <alignment horizontal="right"/>
    </xf>
    <xf numFmtId="41" fontId="26" fillId="0" borderId="2" xfId="11" applyNumberFormat="1" applyFont="1" applyBorder="1"/>
    <xf numFmtId="171" fontId="19" fillId="0" borderId="0" xfId="3" applyNumberFormat="1" applyFont="1"/>
    <xf numFmtId="49" fontId="13" fillId="0" borderId="2" xfId="4" applyNumberFormat="1" applyFont="1" applyFill="1" applyBorder="1" applyAlignment="1" applyProtection="1">
      <alignment horizontal="left"/>
    </xf>
    <xf numFmtId="49" fontId="14" fillId="0" borderId="0" xfId="4" quotePrefix="1" applyNumberFormat="1" applyFont="1" applyFill="1" applyBorder="1" applyAlignment="1" applyProtection="1">
      <alignment horizontal="left"/>
    </xf>
    <xf numFmtId="49" fontId="14" fillId="0" borderId="2" xfId="4" quotePrefix="1" applyNumberFormat="1" applyFont="1" applyFill="1" applyBorder="1" applyAlignment="1" applyProtection="1">
      <alignment horizontal="left"/>
    </xf>
    <xf numFmtId="49" fontId="17" fillId="0" borderId="0" xfId="4" applyNumberFormat="1" applyFont="1"/>
    <xf numFmtId="174" fontId="26" fillId="0" borderId="0" xfId="12" applyNumberFormat="1" applyFont="1" applyAlignment="1">
      <alignment horizontal="right"/>
    </xf>
    <xf numFmtId="174" fontId="26" fillId="0" borderId="0" xfId="12" applyNumberFormat="1" applyFont="1"/>
    <xf numFmtId="0" fontId="43" fillId="0" borderId="0" xfId="8" applyFont="1"/>
    <xf numFmtId="41" fontId="26" fillId="0" borderId="0" xfId="8" applyNumberFormat="1" applyFont="1" applyFill="1" applyBorder="1"/>
    <xf numFmtId="167" fontId="43" fillId="0" borderId="0" xfId="8" applyNumberFormat="1" applyFont="1" applyBorder="1"/>
    <xf numFmtId="0" fontId="43" fillId="0" borderId="0" xfId="8" applyFont="1" applyBorder="1"/>
    <xf numFmtId="0" fontId="26" fillId="0" borderId="0" xfId="8" applyFont="1"/>
    <xf numFmtId="0" fontId="39" fillId="0" borderId="0" xfId="8" applyFont="1" applyAlignment="1">
      <alignment horizontal="center"/>
    </xf>
    <xf numFmtId="186" fontId="26" fillId="0" borderId="2" xfId="8" applyNumberFormat="1" applyFont="1" applyBorder="1"/>
    <xf numFmtId="49" fontId="35" fillId="0" borderId="0" xfId="8" quotePrefix="1" applyNumberFormat="1" applyFont="1"/>
    <xf numFmtId="3" fontId="20" fillId="0" borderId="0" xfId="3" applyNumberFormat="1" applyFont="1" applyFill="1" applyBorder="1" applyAlignment="1"/>
    <xf numFmtId="174" fontId="27" fillId="0" borderId="0" xfId="3" applyNumberFormat="1" applyFont="1" applyFill="1" applyBorder="1"/>
    <xf numFmtId="3" fontId="13" fillId="0" borderId="0" xfId="2" applyNumberFormat="1" applyFont="1" applyFill="1" applyBorder="1" applyAlignment="1"/>
    <xf numFmtId="174" fontId="12" fillId="0" borderId="0" xfId="12" applyNumberFormat="1" applyFont="1"/>
    <xf numFmtId="174" fontId="12" fillId="0" borderId="0" xfId="12" applyNumberFormat="1" applyFont="1" applyFill="1"/>
    <xf numFmtId="43" fontId="12" fillId="0" borderId="0" xfId="3" applyNumberFormat="1"/>
    <xf numFmtId="166" fontId="12" fillId="0" borderId="0" xfId="3" applyNumberFormat="1"/>
    <xf numFmtId="174" fontId="13" fillId="0" borderId="0" xfId="12" applyNumberFormat="1" applyFont="1" applyFill="1" applyBorder="1" applyProtection="1"/>
    <xf numFmtId="0" fontId="47" fillId="0" borderId="0" xfId="3" applyFont="1"/>
    <xf numFmtId="174" fontId="0" fillId="0" borderId="0" xfId="12" applyNumberFormat="1" applyFont="1"/>
    <xf numFmtId="49" fontId="13" fillId="0" borderId="0" xfId="4" applyNumberFormat="1" applyFont="1" applyFill="1" applyBorder="1" applyAlignment="1" applyProtection="1">
      <alignment horizontal="left"/>
    </xf>
    <xf numFmtId="166" fontId="17" fillId="0" borderId="0" xfId="4" applyNumberFormat="1" applyFont="1"/>
    <xf numFmtId="174" fontId="17" fillId="0" borderId="0" xfId="12" applyNumberFormat="1" applyFont="1"/>
    <xf numFmtId="176" fontId="27" fillId="0" borderId="0" xfId="4" applyNumberFormat="1" applyFont="1" applyFill="1" applyBorder="1"/>
    <xf numFmtId="174" fontId="17" fillId="0" borderId="0" xfId="4" applyNumberFormat="1" applyFont="1"/>
    <xf numFmtId="189" fontId="17" fillId="0" borderId="0" xfId="4" applyNumberFormat="1" applyFont="1"/>
    <xf numFmtId="173" fontId="27" fillId="0" borderId="0" xfId="4" applyNumberFormat="1" applyFont="1" applyFill="1" applyBorder="1" applyProtection="1"/>
    <xf numFmtId="0" fontId="48" fillId="0" borderId="0" xfId="0" applyFont="1"/>
    <xf numFmtId="171" fontId="27" fillId="0" borderId="0" xfId="3" applyNumberFormat="1" applyFont="1" applyFill="1" applyBorder="1" applyProtection="1"/>
    <xf numFmtId="171" fontId="27" fillId="0" borderId="2" xfId="3" applyNumberFormat="1" applyFont="1" applyFill="1" applyBorder="1" applyProtection="1"/>
    <xf numFmtId="173" fontId="27" fillId="0" borderId="0" xfId="3" applyNumberFormat="1" applyFont="1" applyFill="1" applyBorder="1" applyProtection="1"/>
    <xf numFmtId="173" fontId="27" fillId="0" borderId="2" xfId="3" applyNumberFormat="1" applyFont="1" applyFill="1" applyBorder="1" applyProtection="1"/>
    <xf numFmtId="172" fontId="27" fillId="0" borderId="0" xfId="3" applyNumberFormat="1" applyFont="1" applyFill="1" applyBorder="1" applyProtection="1"/>
    <xf numFmtId="172" fontId="27" fillId="0" borderId="2" xfId="3" applyNumberFormat="1" applyFont="1" applyFill="1" applyBorder="1" applyProtection="1"/>
    <xf numFmtId="171" fontId="27" fillId="0" borderId="0" xfId="3" applyNumberFormat="1" applyFont="1" applyBorder="1" applyProtection="1"/>
    <xf numFmtId="171" fontId="27" fillId="0" borderId="2" xfId="3" applyNumberFormat="1" applyFont="1" applyBorder="1" applyProtection="1"/>
    <xf numFmtId="0" fontId="49" fillId="0" borderId="0" xfId="3" applyFont="1" applyBorder="1"/>
    <xf numFmtId="173" fontId="27" fillId="2" borderId="0" xfId="3" applyNumberFormat="1" applyFont="1" applyFill="1" applyBorder="1" applyProtection="1"/>
    <xf numFmtId="171" fontId="27" fillId="0" borderId="0" xfId="4" applyNumberFormat="1" applyFont="1" applyFill="1" applyBorder="1" applyProtection="1"/>
    <xf numFmtId="171" fontId="27" fillId="0" borderId="2" xfId="4" applyNumberFormat="1" applyFont="1" applyBorder="1" applyProtection="1"/>
    <xf numFmtId="49" fontId="41" fillId="0" borderId="2" xfId="11" applyNumberFormat="1" applyFont="1" applyBorder="1" applyAlignment="1">
      <alignment horizontal="center"/>
    </xf>
    <xf numFmtId="49" fontId="41" fillId="0" borderId="0" xfId="11" applyNumberFormat="1" applyFont="1" applyBorder="1" applyAlignment="1">
      <alignment horizontal="center"/>
    </xf>
    <xf numFmtId="186" fontId="26" fillId="0" borderId="0" xfId="11" applyNumberFormat="1" applyFont="1" applyFill="1"/>
    <xf numFmtId="186" fontId="26" fillId="0" borderId="2" xfId="11" applyNumberFormat="1" applyFont="1" applyFill="1" applyBorder="1"/>
    <xf numFmtId="49" fontId="41" fillId="0" borderId="2" xfId="8" applyNumberFormat="1" applyFont="1" applyBorder="1" applyAlignment="1">
      <alignment horizontal="right"/>
    </xf>
    <xf numFmtId="41" fontId="26" fillId="0" borderId="0" xfId="8" applyNumberFormat="1" applyFont="1" applyBorder="1" applyAlignment="1">
      <alignment horizontal="right"/>
    </xf>
    <xf numFmtId="49" fontId="41" fillId="0" borderId="0" xfId="8" applyNumberFormat="1" applyFont="1" applyBorder="1" applyAlignment="1">
      <alignment horizontal="right"/>
    </xf>
    <xf numFmtId="41" fontId="34" fillId="0" borderId="0" xfId="8" applyNumberFormat="1" applyFont="1" applyBorder="1" applyAlignment="1">
      <alignment horizontal="right"/>
    </xf>
    <xf numFmtId="0" fontId="0" fillId="0" borderId="0" xfId="0" applyFill="1"/>
    <xf numFmtId="188" fontId="28" fillId="0" borderId="2" xfId="3" quotePrefix="1" applyNumberFormat="1" applyFont="1" applyBorder="1" applyAlignment="1">
      <alignment horizontal="left"/>
    </xf>
    <xf numFmtId="166" fontId="4" fillId="0" borderId="2" xfId="2" applyNumberFormat="1" applyFont="1" applyBorder="1"/>
    <xf numFmtId="190" fontId="2" fillId="0" borderId="0" xfId="1" applyNumberFormat="1" applyFont="1" applyProtection="1"/>
    <xf numFmtId="0" fontId="51" fillId="0" borderId="0" xfId="1" applyFont="1" applyProtection="1"/>
    <xf numFmtId="0" fontId="8" fillId="0" borderId="3" xfId="1" applyFont="1" applyBorder="1"/>
    <xf numFmtId="0" fontId="10" fillId="0" borderId="0" xfId="1" applyFont="1"/>
    <xf numFmtId="165" fontId="9" fillId="0" borderId="0" xfId="1" applyNumberFormat="1" applyFont="1" applyProtection="1"/>
    <xf numFmtId="167" fontId="10" fillId="0" borderId="0" xfId="1" applyNumberFormat="1" applyFont="1"/>
    <xf numFmtId="0" fontId="4" fillId="2" borderId="0" xfId="1" applyFont="1" applyFill="1"/>
    <xf numFmtId="0" fontId="10" fillId="2" borderId="0" xfId="1" applyFont="1" applyFill="1"/>
    <xf numFmtId="165" fontId="10" fillId="0" borderId="0" xfId="1" applyNumberFormat="1" applyFont="1"/>
    <xf numFmtId="164" fontId="9" fillId="0" borderId="0" xfId="1" applyNumberFormat="1" applyFont="1" applyBorder="1" applyProtection="1"/>
    <xf numFmtId="164" fontId="4" fillId="0" borderId="2" xfId="1" applyNumberFormat="1" applyFont="1" applyBorder="1"/>
    <xf numFmtId="164" fontId="8" fillId="0" borderId="2" xfId="1" applyNumberFormat="1" applyFont="1" applyBorder="1"/>
    <xf numFmtId="164" fontId="9" fillId="0" borderId="0" xfId="1" quotePrefix="1" applyNumberFormat="1" applyFont="1" applyFill="1" applyAlignment="1" applyProtection="1">
      <alignment horizontal="center"/>
    </xf>
    <xf numFmtId="191" fontId="26" fillId="0" borderId="2" xfId="11" applyNumberFormat="1" applyFont="1" applyBorder="1" applyAlignment="1">
      <alignment horizontal="right"/>
    </xf>
    <xf numFmtId="187" fontId="26" fillId="0" borderId="0" xfId="8" applyNumberFormat="1" applyFont="1"/>
    <xf numFmtId="187" fontId="26" fillId="0" borderId="0" xfId="8" applyNumberFormat="1" applyFont="1" applyAlignment="1">
      <alignment horizontal="right"/>
    </xf>
    <xf numFmtId="187" fontId="26" fillId="0" borderId="0" xfId="11" applyNumberFormat="1" applyFont="1"/>
    <xf numFmtId="174" fontId="20" fillId="0" borderId="0" xfId="2" applyNumberFormat="1" applyFont="1" applyFill="1" applyBorder="1" applyAlignment="1"/>
    <xf numFmtId="174" fontId="13" fillId="0" borderId="0" xfId="2" applyNumberFormat="1" applyFont="1" applyFill="1"/>
    <xf numFmtId="174" fontId="50" fillId="0" borderId="0" xfId="0" applyNumberFormat="1" applyFont="1" applyFill="1" applyBorder="1"/>
  </cellXfs>
  <cellStyles count="13">
    <cellStyle name="Comma" xfId="12" builtinId="3"/>
    <cellStyle name="Comma 2" xfId="2"/>
    <cellStyle name="Comma 3" xfId="5"/>
    <cellStyle name="Hyperlink" xfId="10" builtinId="8"/>
    <cellStyle name="Normal" xfId="0" builtinId="0"/>
    <cellStyle name="Normal 2" xfId="3"/>
    <cellStyle name="Normal 3" xfId="8"/>
    <cellStyle name="Normal 4" xfId="9"/>
    <cellStyle name="Normal 4 2" xfId="11"/>
    <cellStyle name="Normal 5" xfId="6"/>
    <cellStyle name="Normal 6" xfId="7"/>
    <cellStyle name="Normal_A" xfId="4"/>
    <cellStyle name="Normal_yrbooktaba-0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FruitYearbookGeneral_ATables.xlsx%20-%20'taba-1e'!A1" TargetMode="External"/><Relationship Id="rId2" Type="http://schemas.openxmlformats.org/officeDocument/2006/relationships/hyperlink" Target="file:///\\D05nt10\MTEDCOMMON\SC\FRUIT\YRBOOK\Yrbook2015\FruitYearbookGeneral_ATables.xlsx" TargetMode="External"/><Relationship Id="rId1" Type="http://schemas.openxmlformats.org/officeDocument/2006/relationships/hyperlink" Target="file:///\\D05nt10\MTEDCOMMON\SC\FRUIT\YRBOOK\Yrbook2015\FruitYearbookGeneral_ATables.xlsx"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8"/>
  <sheetViews>
    <sheetView zoomScaleNormal="100" workbookViewId="0">
      <selection activeCell="A9" sqref="A9"/>
    </sheetView>
  </sheetViews>
  <sheetFormatPr defaultRowHeight="15"/>
  <cols>
    <col min="1" max="1" width="110.5703125" bestFit="1" customWidth="1"/>
  </cols>
  <sheetData>
    <row r="1" spans="1:14">
      <c r="A1" s="370" t="s">
        <v>433</v>
      </c>
    </row>
    <row r="2" spans="1:14">
      <c r="A2" s="371" t="s">
        <v>382</v>
      </c>
    </row>
    <row r="3" spans="1:14">
      <c r="A3" s="371" t="s">
        <v>392</v>
      </c>
    </row>
    <row r="4" spans="1:14">
      <c r="A4" s="375" t="s">
        <v>393</v>
      </c>
    </row>
    <row r="5" spans="1:14">
      <c r="A5" s="375" t="s">
        <v>394</v>
      </c>
    </row>
    <row r="6" spans="1:14">
      <c r="A6" s="375" t="s">
        <v>473</v>
      </c>
    </row>
    <row r="7" spans="1:14">
      <c r="A7" s="371" t="s">
        <v>472</v>
      </c>
    </row>
    <row r="8" spans="1:14">
      <c r="A8" s="375" t="s">
        <v>73</v>
      </c>
    </row>
    <row r="9" spans="1:14">
      <c r="A9" s="371" t="s">
        <v>91</v>
      </c>
    </row>
    <row r="10" spans="1:14">
      <c r="A10" s="371" t="s">
        <v>102</v>
      </c>
      <c r="E10" s="521"/>
      <c r="F10" s="521"/>
      <c r="G10" s="521"/>
      <c r="H10" s="521"/>
      <c r="I10" s="521"/>
      <c r="J10" s="521"/>
      <c r="K10" s="521"/>
      <c r="L10" s="521"/>
      <c r="M10" s="521"/>
      <c r="N10" s="521"/>
    </row>
    <row r="11" spans="1:14">
      <c r="A11" s="371" t="s">
        <v>147</v>
      </c>
      <c r="E11" s="521"/>
      <c r="F11" s="521"/>
      <c r="G11" s="521"/>
      <c r="H11" s="521"/>
      <c r="I11" s="521"/>
      <c r="J11" s="521"/>
      <c r="K11" s="521"/>
      <c r="L11" s="521"/>
      <c r="M11" s="521"/>
      <c r="N11" s="521"/>
    </row>
    <row r="12" spans="1:14">
      <c r="A12" s="371" t="s">
        <v>383</v>
      </c>
      <c r="E12" s="521"/>
    </row>
    <row r="13" spans="1:14">
      <c r="A13" s="371" t="s">
        <v>384</v>
      </c>
      <c r="E13" s="521"/>
    </row>
    <row r="14" spans="1:14">
      <c r="A14" s="371" t="s">
        <v>184</v>
      </c>
      <c r="E14" s="521"/>
      <c r="F14" s="521"/>
      <c r="G14" s="521"/>
      <c r="H14" s="521"/>
      <c r="I14" s="521"/>
      <c r="J14" s="521"/>
    </row>
    <row r="15" spans="1:14">
      <c r="A15" s="371" t="s">
        <v>385</v>
      </c>
      <c r="E15" s="521"/>
    </row>
    <row r="16" spans="1:14">
      <c r="A16" s="371" t="s">
        <v>386</v>
      </c>
      <c r="E16" s="521"/>
    </row>
    <row r="17" spans="1:13">
      <c r="A17" s="371" t="s">
        <v>387</v>
      </c>
      <c r="E17" s="521"/>
    </row>
    <row r="18" spans="1:13">
      <c r="A18" s="371" t="s">
        <v>388</v>
      </c>
      <c r="E18" s="521"/>
    </row>
    <row r="19" spans="1:13">
      <c r="A19" s="371" t="s">
        <v>423</v>
      </c>
      <c r="E19" s="521"/>
    </row>
    <row r="20" spans="1:13">
      <c r="A20" s="371" t="s">
        <v>389</v>
      </c>
      <c r="E20" s="521"/>
      <c r="F20" s="521"/>
      <c r="G20" s="521"/>
      <c r="H20" s="521"/>
      <c r="I20" s="521"/>
    </row>
    <row r="21" spans="1:13">
      <c r="A21" s="371" t="s">
        <v>390</v>
      </c>
      <c r="E21" s="521"/>
    </row>
    <row r="22" spans="1:13">
      <c r="A22" s="371" t="s">
        <v>391</v>
      </c>
      <c r="E22" s="521"/>
    </row>
    <row r="23" spans="1:13">
      <c r="A23" s="371" t="s">
        <v>457</v>
      </c>
      <c r="E23" s="521"/>
      <c r="F23" s="521"/>
      <c r="G23" s="521"/>
      <c r="H23" s="521"/>
      <c r="I23" s="521"/>
      <c r="J23" s="521"/>
      <c r="K23" s="521"/>
      <c r="L23" s="521"/>
      <c r="M23" s="521"/>
    </row>
    <row r="24" spans="1:13">
      <c r="A24" s="371" t="s">
        <v>443</v>
      </c>
      <c r="E24" s="521"/>
      <c r="F24" s="521"/>
      <c r="G24" s="521"/>
      <c r="H24" s="521"/>
      <c r="I24" s="521"/>
      <c r="J24" s="521"/>
      <c r="K24" s="521"/>
      <c r="L24" s="521"/>
      <c r="M24" s="521"/>
    </row>
    <row r="28" spans="1:13">
      <c r="B28" s="500"/>
    </row>
  </sheetData>
  <hyperlinks>
    <hyperlink ref="A4" location="'taba-1b'!A1" display="Table A-1B--U.S. per capita use of selected, commercially produced, fresh, and processing fruit and tree nuts, 1976 to date "/>
    <hyperlink ref="A5" location="'taba-1c'!A1" display="Table A-1C--U.S. per capita use of selected, commercially produced, fresh, and processing fruit and tree nuts, 1976 to date "/>
    <hyperlink ref="A6" location="'taba-1d'!A1" display="Table A-1D--U.S. per capita use of selected, commercially produced, fresh, and processing fruit and tree nuts, 1976 to date "/>
    <hyperlink ref="A8" location="'taba-2'!A1" display="Table A-2--Bearing acreage for fruit and tree nuts, United States, 1980 to date"/>
    <hyperlink ref="A9" location="'taba-3'!A1" display="Table A-3--Utilized production and value of production of citrus and noncitrus fruit, United States, 1980 to date"/>
    <hyperlink ref="A10" location="'taba-4'!A1" display="Table A-4--Bearing acreage for selected citrus and noncitrus fruit, United States, 1980 to date"/>
    <hyperlink ref="A11" location="'taba-5'!A1" display="Table A-5--Total commercial production for selected citrus and noncitrus fruit, United States, 1980 to date"/>
    <hyperlink ref="A12" location="'taba-6'!A1" display="Table A-6--Average price indexes, for fruit, Unites States, 1980 to date"/>
    <hyperlink ref="A13" location="'taba-7'!A1" display="Table A-7--Annual average retail prices for selected fresh fruit, Unites States, 1980 to date"/>
    <hyperlink ref="A14" location="'taba-8'!A1" display="Table A-8--Fruit and tree nuts: U.S. cash receipts, 1980 to date"/>
    <hyperlink ref="A15" location="'taba-9'!A1" display="Table A-9--Fresh apples: U.S. monthly average retail price, marketing spread, and grower price, 1989 to date"/>
    <hyperlink ref="A16" location="'taba-10'!A1" display="Table A-10--Fresh peaches: U.S. monthly average retail price, marketing spread, and grower price, 1989 to date"/>
    <hyperlink ref="A17" location="'taba-11'!A1" display="Table A-11-- Fresh pears: U.S. monthly average retail price, marketing spread, and grower price, 1989 to date"/>
    <hyperlink ref="A18" location="'taba-12'!A1" display="Table A-12--Fresh grapes: U.S. monthly average retail price, marketing spread, and grower price, 1995 to date"/>
    <hyperlink ref="A19" location="'taba-13'!A1" display="Table A-13--Fresh strawberries: U.S. monthly average retail price, marketing spread, and grower price, 1989 to date"/>
    <hyperlink ref="A20" location="'taba-14'!A1" display="Table A-14--Fresh oranges: U.S. monthly average retail price, marketing spread, and grower price, 1989/90 to date"/>
    <hyperlink ref="A21" location="'taba-15'!A1" display="Table A-15--Fresh grapefruit: U.S. monthly average retail price, marketing spread, and grower price, 1989/90 to date"/>
    <hyperlink ref="A22" location="'taba-16'!A1" display="Table A-16--Fresh lemons: U.S. monthly retail price, marketing spread, and grower price, 1989/90 to date"/>
    <hyperlink ref="A23" location="'taba-17'!A1" display="Table A-17--Utilized production of selected fruit and tree nuts in the United States, by State, 2014"/>
    <hyperlink ref="A24" location="'taba-18'!A1" display="Table A-18--Value of production for selected fruit and tree nuts in the United States, by State, 2014"/>
    <hyperlink ref="A3" r:id="rId1" location="'taba-1a'!A1"/>
    <hyperlink ref="A2" r:id="rId2" location="'taba-1a'!A1"/>
    <hyperlink ref="A7" r:id="rId3"/>
  </hyperlinks>
  <pageMargins left="0.7" right="0.7" top="0.75" bottom="0.75" header="0.3" footer="0.3"/>
  <pageSetup scale="83"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AD102"/>
  <sheetViews>
    <sheetView showGridLines="0" zoomScaleNormal="100" workbookViewId="0">
      <selection activeCell="O94" sqref="O94"/>
    </sheetView>
  </sheetViews>
  <sheetFormatPr defaultColWidth="9.7109375" defaultRowHeight="12"/>
  <cols>
    <col min="1" max="15" width="9.140625" style="160" customWidth="1"/>
    <col min="16" max="16" width="12.85546875" style="160" customWidth="1"/>
    <col min="17" max="17" width="14.7109375" style="160" customWidth="1"/>
    <col min="18" max="18" width="10.7109375" style="160" customWidth="1"/>
    <col min="19" max="19" width="13.140625" style="160" bestFit="1" customWidth="1"/>
    <col min="20" max="16384" width="9.7109375" style="160"/>
  </cols>
  <sheetData>
    <row r="1" spans="1:17" s="111" customFormat="1" ht="10.15" customHeight="1">
      <c r="A1" s="108" t="s">
        <v>147</v>
      </c>
      <c r="B1" s="109"/>
      <c r="C1" s="109"/>
      <c r="D1" s="109"/>
      <c r="E1" s="109"/>
      <c r="F1" s="110"/>
      <c r="G1" s="110"/>
      <c r="H1" s="109"/>
      <c r="I1" s="109"/>
      <c r="J1" s="109"/>
      <c r="K1" s="109"/>
      <c r="L1" s="109"/>
      <c r="M1" s="109"/>
      <c r="N1" s="109"/>
      <c r="O1" s="109"/>
    </row>
    <row r="2" spans="1:17" s="111" customFormat="1" ht="3.95" customHeight="1">
      <c r="A2" s="112"/>
      <c r="B2" s="113"/>
      <c r="C2" s="113"/>
      <c r="D2" s="113"/>
      <c r="E2" s="113"/>
      <c r="F2" s="113"/>
      <c r="G2" s="113"/>
      <c r="H2" s="113"/>
      <c r="I2" s="113"/>
      <c r="J2" s="113"/>
      <c r="K2" s="113"/>
      <c r="L2" s="113"/>
      <c r="M2" s="113"/>
      <c r="N2" s="113"/>
      <c r="O2" s="113"/>
    </row>
    <row r="3" spans="1:17" s="111" customFormat="1" ht="10.15" customHeight="1">
      <c r="B3" s="114"/>
      <c r="C3" s="114"/>
      <c r="D3" s="114"/>
      <c r="E3" s="114"/>
      <c r="F3" s="115" t="s">
        <v>103</v>
      </c>
      <c r="G3" s="115"/>
      <c r="H3" s="117" t="s">
        <v>104</v>
      </c>
      <c r="I3" s="114"/>
      <c r="J3" s="114"/>
      <c r="K3" s="118"/>
      <c r="L3" s="117" t="s">
        <v>105</v>
      </c>
      <c r="M3" s="117" t="s">
        <v>106</v>
      </c>
      <c r="N3" s="117"/>
    </row>
    <row r="4" spans="1:17" s="111" customFormat="1" ht="12.95" customHeight="1">
      <c r="A4" s="119" t="s">
        <v>107</v>
      </c>
      <c r="B4" s="120" t="s">
        <v>108</v>
      </c>
      <c r="C4" s="120" t="s">
        <v>109</v>
      </c>
      <c r="D4" s="120" t="s">
        <v>110</v>
      </c>
      <c r="E4" s="120" t="s">
        <v>111</v>
      </c>
      <c r="F4" s="120" t="s">
        <v>112</v>
      </c>
      <c r="G4" s="120" t="s">
        <v>113</v>
      </c>
      <c r="H4" s="120" t="s">
        <v>114</v>
      </c>
      <c r="I4" s="120" t="s">
        <v>115</v>
      </c>
      <c r="J4" s="120" t="s">
        <v>116</v>
      </c>
      <c r="K4" s="120" t="s">
        <v>117</v>
      </c>
      <c r="L4" s="120" t="s">
        <v>118</v>
      </c>
      <c r="M4" s="120" t="s">
        <v>119</v>
      </c>
      <c r="N4" s="120" t="s">
        <v>120</v>
      </c>
      <c r="O4" s="120" t="s">
        <v>121</v>
      </c>
    </row>
    <row r="5" spans="1:17" s="111" customFormat="1" ht="3.95" customHeight="1">
      <c r="A5" s="119"/>
      <c r="B5" s="118"/>
      <c r="C5" s="118"/>
      <c r="D5" s="118"/>
      <c r="E5" s="118"/>
      <c r="F5" s="118"/>
      <c r="G5" s="118"/>
      <c r="H5" s="118"/>
      <c r="I5" s="118"/>
      <c r="J5" s="118"/>
      <c r="K5" s="118"/>
      <c r="L5" s="118"/>
      <c r="M5" s="118"/>
      <c r="N5" s="118"/>
      <c r="O5" s="118"/>
    </row>
    <row r="6" spans="1:17" s="111" customFormat="1" ht="10.15" customHeight="1">
      <c r="A6" s="114"/>
      <c r="B6" s="121" t="s">
        <v>405</v>
      </c>
      <c r="C6" s="122"/>
      <c r="D6" s="122"/>
      <c r="E6" s="122"/>
      <c r="F6" s="122"/>
      <c r="G6" s="123"/>
      <c r="H6" s="122"/>
      <c r="I6" s="122"/>
      <c r="J6" s="122"/>
      <c r="K6" s="122"/>
      <c r="L6" s="122"/>
      <c r="M6" s="122"/>
      <c r="N6" s="122"/>
      <c r="O6" s="122"/>
    </row>
    <row r="7" spans="1:17" s="111" customFormat="1" ht="3" customHeight="1">
      <c r="A7" s="114"/>
      <c r="B7" s="114"/>
      <c r="C7" s="114"/>
      <c r="D7" s="114"/>
      <c r="E7" s="114"/>
      <c r="F7" s="114"/>
      <c r="G7" s="114"/>
      <c r="H7" s="114"/>
      <c r="I7" s="114"/>
    </row>
    <row r="8" spans="1:17" s="111" customFormat="1" ht="10.15" customHeight="1">
      <c r="A8" s="119" t="s">
        <v>4</v>
      </c>
      <c r="B8" s="161">
        <v>4409</v>
      </c>
      <c r="C8" s="161">
        <v>1534</v>
      </c>
      <c r="D8" s="161">
        <v>897</v>
      </c>
      <c r="E8" s="161">
        <v>5595</v>
      </c>
      <c r="F8" s="162">
        <v>174</v>
      </c>
      <c r="G8" s="162">
        <v>109</v>
      </c>
      <c r="H8" s="162">
        <v>405</v>
      </c>
      <c r="I8" s="162">
        <v>129</v>
      </c>
      <c r="J8" s="163">
        <v>45</v>
      </c>
      <c r="K8" s="161">
        <v>11832</v>
      </c>
      <c r="L8" s="161">
        <v>275</v>
      </c>
      <c r="M8" s="161">
        <v>2986</v>
      </c>
      <c r="N8" s="161">
        <v>789</v>
      </c>
      <c r="O8" s="161">
        <v>44</v>
      </c>
      <c r="Q8" s="164"/>
    </row>
    <row r="9" spans="1:17" s="111" customFormat="1" ht="10.15" customHeight="1">
      <c r="A9" s="119" t="s">
        <v>5</v>
      </c>
      <c r="B9" s="161">
        <v>3870</v>
      </c>
      <c r="C9" s="161">
        <v>1385</v>
      </c>
      <c r="D9" s="161">
        <v>897</v>
      </c>
      <c r="E9" s="161">
        <v>4458</v>
      </c>
      <c r="F9" s="162">
        <v>155</v>
      </c>
      <c r="G9" s="162">
        <v>67</v>
      </c>
      <c r="H9" s="162">
        <v>765</v>
      </c>
      <c r="I9" s="162">
        <v>89</v>
      </c>
      <c r="J9" s="163">
        <v>38</v>
      </c>
      <c r="K9" s="161">
        <v>10487</v>
      </c>
      <c r="L9" s="161">
        <v>239</v>
      </c>
      <c r="M9" s="161">
        <v>2759</v>
      </c>
      <c r="N9" s="161">
        <v>1189</v>
      </c>
      <c r="O9" s="161">
        <v>48</v>
      </c>
      <c r="Q9" s="164"/>
    </row>
    <row r="10" spans="1:17" s="111" customFormat="1" ht="10.15" customHeight="1">
      <c r="A10" s="119" t="s">
        <v>6</v>
      </c>
      <c r="B10" s="161">
        <v>4061</v>
      </c>
      <c r="C10" s="161">
        <v>1143</v>
      </c>
      <c r="D10" s="161">
        <v>802</v>
      </c>
      <c r="E10" s="161">
        <v>6555</v>
      </c>
      <c r="F10" s="162">
        <v>157</v>
      </c>
      <c r="G10" s="162">
        <v>155</v>
      </c>
      <c r="H10" s="162">
        <v>573</v>
      </c>
      <c r="I10" s="162">
        <v>118</v>
      </c>
      <c r="J10" s="162">
        <v>38</v>
      </c>
      <c r="K10" s="161">
        <v>7600</v>
      </c>
      <c r="L10" s="161">
        <v>288</v>
      </c>
      <c r="M10" s="161">
        <v>2878</v>
      </c>
      <c r="N10" s="161">
        <v>942</v>
      </c>
      <c r="O10" s="161">
        <v>58</v>
      </c>
      <c r="Q10" s="164"/>
    </row>
    <row r="11" spans="1:17" s="111" customFormat="1" ht="10.15" customHeight="1">
      <c r="A11" s="119" t="s">
        <v>7</v>
      </c>
      <c r="B11" s="161">
        <v>4189</v>
      </c>
      <c r="C11" s="161">
        <v>928</v>
      </c>
      <c r="D11" s="161">
        <v>774</v>
      </c>
      <c r="E11" s="161">
        <v>5521</v>
      </c>
      <c r="F11" s="162">
        <v>181</v>
      </c>
      <c r="G11" s="162">
        <v>77</v>
      </c>
      <c r="H11" s="162">
        <v>674</v>
      </c>
      <c r="I11" s="162">
        <v>93</v>
      </c>
      <c r="J11" s="162">
        <v>34</v>
      </c>
      <c r="K11" s="161">
        <v>9519</v>
      </c>
      <c r="L11" s="161">
        <v>291</v>
      </c>
      <c r="M11" s="161">
        <v>2465</v>
      </c>
      <c r="N11" s="161">
        <v>950</v>
      </c>
      <c r="O11" s="161">
        <v>75</v>
      </c>
      <c r="Q11" s="164"/>
    </row>
    <row r="12" spans="1:17" s="111" customFormat="1" ht="10.15" customHeight="1">
      <c r="A12" s="119" t="s">
        <v>8</v>
      </c>
      <c r="B12" s="161">
        <v>4162</v>
      </c>
      <c r="C12" s="161">
        <v>1330</v>
      </c>
      <c r="D12" s="161">
        <v>708</v>
      </c>
      <c r="E12" s="161">
        <v>5208</v>
      </c>
      <c r="F12" s="162">
        <v>182</v>
      </c>
      <c r="G12" s="162">
        <v>136</v>
      </c>
      <c r="H12" s="162">
        <v>721</v>
      </c>
      <c r="I12" s="162">
        <v>127</v>
      </c>
      <c r="J12" s="162">
        <v>37</v>
      </c>
      <c r="K12" s="161">
        <v>7243</v>
      </c>
      <c r="L12" s="161">
        <v>262</v>
      </c>
      <c r="M12" s="161">
        <v>2184</v>
      </c>
      <c r="N12" s="161">
        <v>788</v>
      </c>
      <c r="O12" s="161">
        <v>63</v>
      </c>
      <c r="Q12" s="164"/>
    </row>
    <row r="13" spans="1:17" s="111" customFormat="1" ht="10.15" customHeight="1">
      <c r="A13" s="119" t="s">
        <v>9</v>
      </c>
      <c r="B13" s="161">
        <v>3957</v>
      </c>
      <c r="C13" s="161">
        <v>1074</v>
      </c>
      <c r="D13" s="161">
        <v>745</v>
      </c>
      <c r="E13" s="161">
        <v>5616</v>
      </c>
      <c r="F13" s="162">
        <v>133</v>
      </c>
      <c r="G13" s="163">
        <v>143</v>
      </c>
      <c r="H13" s="162">
        <v>648</v>
      </c>
      <c r="I13" s="162">
        <v>131</v>
      </c>
      <c r="J13" s="162">
        <v>33</v>
      </c>
      <c r="K13" s="161">
        <v>6719</v>
      </c>
      <c r="L13" s="161">
        <v>193</v>
      </c>
      <c r="M13" s="161">
        <v>2266</v>
      </c>
      <c r="N13" s="161">
        <v>967</v>
      </c>
      <c r="O13" s="161">
        <v>72</v>
      </c>
      <c r="Q13" s="164"/>
    </row>
    <row r="14" spans="1:17" s="111" customFormat="1" ht="10.15" customHeight="1">
      <c r="A14" s="119" t="s">
        <v>51</v>
      </c>
      <c r="B14" s="161">
        <v>3930</v>
      </c>
      <c r="C14" s="161">
        <v>1153</v>
      </c>
      <c r="D14" s="161">
        <v>767</v>
      </c>
      <c r="E14" s="161">
        <v>5228</v>
      </c>
      <c r="F14" s="162">
        <v>138</v>
      </c>
      <c r="G14" s="162">
        <v>112</v>
      </c>
      <c r="H14" s="162">
        <f>291+152+48</f>
        <v>491</v>
      </c>
      <c r="I14" s="162">
        <v>55</v>
      </c>
      <c r="J14" s="162">
        <v>50</v>
      </c>
      <c r="K14" s="161">
        <v>7476</v>
      </c>
      <c r="L14" s="161">
        <v>196</v>
      </c>
      <c r="M14" s="161">
        <v>2352</v>
      </c>
      <c r="N14" s="161">
        <v>692</v>
      </c>
      <c r="O14" s="161">
        <v>76</v>
      </c>
      <c r="Q14" s="164"/>
    </row>
    <row r="15" spans="1:17" s="111" customFormat="1" ht="10.15" customHeight="1">
      <c r="A15" s="119" t="s">
        <v>52</v>
      </c>
      <c r="B15" s="161">
        <f>10742.1/2</f>
        <v>5371.05</v>
      </c>
      <c r="C15" s="161">
        <v>1191</v>
      </c>
      <c r="D15" s="161">
        <v>938</v>
      </c>
      <c r="E15" s="161">
        <v>5267</v>
      </c>
      <c r="F15" s="162">
        <v>215</v>
      </c>
      <c r="G15" s="162">
        <v>180</v>
      </c>
      <c r="H15" s="162">
        <f>245+50+682</f>
        <v>977</v>
      </c>
      <c r="I15" s="162">
        <v>114</v>
      </c>
      <c r="J15" s="162">
        <v>52</v>
      </c>
      <c r="K15" s="161">
        <v>7697</v>
      </c>
      <c r="L15" s="161">
        <v>228</v>
      </c>
      <c r="M15" s="161">
        <v>2586</v>
      </c>
      <c r="N15" s="161">
        <v>1087</v>
      </c>
      <c r="O15" s="161">
        <v>63</v>
      </c>
      <c r="Q15" s="164"/>
    </row>
    <row r="16" spans="1:17" s="111" customFormat="1" ht="10.15" customHeight="1">
      <c r="A16" s="119" t="s">
        <v>53</v>
      </c>
      <c r="B16" s="161">
        <v>4560</v>
      </c>
      <c r="C16" s="161">
        <v>1311</v>
      </c>
      <c r="D16" s="161">
        <v>860</v>
      </c>
      <c r="E16" s="161">
        <v>6034</v>
      </c>
      <c r="F16" s="162">
        <v>186</v>
      </c>
      <c r="G16" s="162">
        <v>118</v>
      </c>
      <c r="H16" s="162">
        <v>739</v>
      </c>
      <c r="I16" s="162">
        <v>102</v>
      </c>
      <c r="J16" s="162">
        <v>56</v>
      </c>
      <c r="K16" s="161">
        <v>8551</v>
      </c>
      <c r="L16" s="161">
        <v>218</v>
      </c>
      <c r="M16" s="161">
        <v>2801</v>
      </c>
      <c r="N16" s="161">
        <v>785</v>
      </c>
      <c r="O16" s="161">
        <f>(1300*88)/2000</f>
        <v>57.2</v>
      </c>
      <c r="Q16" s="164"/>
    </row>
    <row r="17" spans="1:17" s="111" customFormat="1" ht="10.15" customHeight="1">
      <c r="A17" s="119" t="s">
        <v>54</v>
      </c>
      <c r="B17" s="161">
        <v>4958</v>
      </c>
      <c r="C17" s="161">
        <v>1182</v>
      </c>
      <c r="D17" s="161">
        <v>916</v>
      </c>
      <c r="E17" s="161">
        <v>5931</v>
      </c>
      <c r="F17" s="162">
        <v>193</v>
      </c>
      <c r="G17" s="162">
        <v>132</v>
      </c>
      <c r="H17" s="162">
        <f>755+216+47</f>
        <v>1018</v>
      </c>
      <c r="I17" s="162">
        <v>120</v>
      </c>
      <c r="J17" s="162">
        <v>48</v>
      </c>
      <c r="K17" s="161">
        <v>8949</v>
      </c>
      <c r="L17" s="161">
        <v>239</v>
      </c>
      <c r="M17" s="161">
        <v>2844</v>
      </c>
      <c r="N17" s="161">
        <v>759</v>
      </c>
      <c r="O17" s="161">
        <v>55</v>
      </c>
      <c r="Q17" s="164"/>
    </row>
    <row r="18" spans="1:17" s="111" customFormat="1" ht="10.15" customHeight="1">
      <c r="A18" s="119" t="s">
        <v>55</v>
      </c>
      <c r="B18" s="161">
        <v>4828</v>
      </c>
      <c r="C18" s="161">
        <v>1121</v>
      </c>
      <c r="D18" s="161">
        <v>962</v>
      </c>
      <c r="E18" s="161">
        <v>5660</v>
      </c>
      <c r="F18" s="162">
        <v>157</v>
      </c>
      <c r="G18" s="163">
        <v>104</v>
      </c>
      <c r="H18" s="162">
        <v>734</v>
      </c>
      <c r="I18" s="162">
        <v>122</v>
      </c>
      <c r="J18" s="162">
        <v>50</v>
      </c>
      <c r="K18" s="161">
        <v>7745</v>
      </c>
      <c r="L18" s="161">
        <v>164</v>
      </c>
      <c r="M18" s="161">
        <v>1978</v>
      </c>
      <c r="N18" s="161">
        <v>706</v>
      </c>
      <c r="O18" s="161">
        <v>72</v>
      </c>
      <c r="Q18" s="164"/>
    </row>
    <row r="19" spans="1:17" s="111" customFormat="1" ht="10.15" customHeight="1">
      <c r="A19" s="119" t="s">
        <v>56</v>
      </c>
      <c r="B19" s="161">
        <v>4853</v>
      </c>
      <c r="C19" s="161">
        <v>1348</v>
      </c>
      <c r="D19" s="161">
        <v>903</v>
      </c>
      <c r="E19" s="161">
        <v>5556</v>
      </c>
      <c r="F19" s="162">
        <v>149</v>
      </c>
      <c r="G19" s="162">
        <v>95</v>
      </c>
      <c r="H19" s="162">
        <v>831</v>
      </c>
      <c r="I19" s="162">
        <v>96</v>
      </c>
      <c r="J19" s="162">
        <v>45</v>
      </c>
      <c r="K19" s="161">
        <v>7848</v>
      </c>
      <c r="L19" s="161">
        <v>166</v>
      </c>
      <c r="M19" s="161">
        <v>2256</v>
      </c>
      <c r="N19" s="161">
        <v>719</v>
      </c>
      <c r="O19" s="161">
        <v>64</v>
      </c>
      <c r="Q19" s="164"/>
    </row>
    <row r="20" spans="1:17" s="111" customFormat="1" ht="10.15" customHeight="1">
      <c r="A20" s="119" t="s">
        <v>57</v>
      </c>
      <c r="B20" s="161">
        <v>5284</v>
      </c>
      <c r="C20" s="161">
        <v>1336</v>
      </c>
      <c r="D20" s="161">
        <v>923</v>
      </c>
      <c r="E20" s="161">
        <v>6052</v>
      </c>
      <c r="F20" s="162">
        <v>205</v>
      </c>
      <c r="G20" s="162">
        <v>168</v>
      </c>
      <c r="H20" s="162">
        <f>250+534+44.6</f>
        <v>828.6</v>
      </c>
      <c r="I20" s="162">
        <v>106</v>
      </c>
      <c r="J20" s="162">
        <v>47</v>
      </c>
      <c r="K20" s="161">
        <v>8909</v>
      </c>
      <c r="L20" s="161">
        <v>260</v>
      </c>
      <c r="M20" s="161">
        <v>2224</v>
      </c>
      <c r="N20" s="161">
        <v>766</v>
      </c>
      <c r="O20" s="161">
        <v>70</v>
      </c>
      <c r="Q20" s="164"/>
    </row>
    <row r="21" spans="1:17" s="111" customFormat="1" ht="10.15" customHeight="1">
      <c r="A21" s="119" t="s">
        <v>58</v>
      </c>
      <c r="B21" s="161">
        <v>5343</v>
      </c>
      <c r="C21" s="161">
        <v>1322</v>
      </c>
      <c r="D21" s="161">
        <v>948.3</v>
      </c>
      <c r="E21" s="161">
        <v>6023.2</v>
      </c>
      <c r="F21" s="162">
        <v>168</v>
      </c>
      <c r="G21" s="162">
        <v>170</v>
      </c>
      <c r="H21" s="162">
        <f>185+375+28.2</f>
        <v>588.20000000000005</v>
      </c>
      <c r="I21" s="162">
        <v>97</v>
      </c>
      <c r="J21" s="162">
        <v>60.7</v>
      </c>
      <c r="K21" s="161">
        <v>10992</v>
      </c>
      <c r="L21" s="161">
        <v>247</v>
      </c>
      <c r="M21" s="161">
        <v>2791</v>
      </c>
      <c r="N21" s="161">
        <v>942</v>
      </c>
      <c r="O21" s="161">
        <v>44</v>
      </c>
      <c r="Q21" s="164"/>
    </row>
    <row r="22" spans="1:17" s="111" customFormat="1" ht="10.15" customHeight="1">
      <c r="A22" s="119" t="s">
        <v>59</v>
      </c>
      <c r="B22" s="161">
        <v>5750.3</v>
      </c>
      <c r="C22" s="161">
        <v>1255</v>
      </c>
      <c r="D22" s="161">
        <v>1046.2</v>
      </c>
      <c r="E22" s="161">
        <v>5873</v>
      </c>
      <c r="F22" s="162">
        <v>207.3</v>
      </c>
      <c r="G22" s="162">
        <v>152</v>
      </c>
      <c r="H22" s="162">
        <f>247+594+38.1</f>
        <v>879.1</v>
      </c>
      <c r="I22" s="162">
        <v>153</v>
      </c>
      <c r="J22" s="162">
        <v>56.7</v>
      </c>
      <c r="K22" s="161">
        <v>10329</v>
      </c>
      <c r="L22" s="161">
        <v>318</v>
      </c>
      <c r="M22" s="161">
        <v>2661</v>
      </c>
      <c r="N22" s="161">
        <v>984</v>
      </c>
      <c r="O22" s="161">
        <v>9</v>
      </c>
      <c r="Q22" s="164"/>
    </row>
    <row r="23" spans="1:17" s="111" customFormat="1" ht="10.15" customHeight="1">
      <c r="A23" s="128" t="s">
        <v>122</v>
      </c>
      <c r="B23" s="165">
        <v>5289</v>
      </c>
      <c r="C23" s="165">
        <v>1145</v>
      </c>
      <c r="D23" s="165">
        <v>948.3</v>
      </c>
      <c r="E23" s="165">
        <v>5922.3</v>
      </c>
      <c r="F23" s="166">
        <v>165</v>
      </c>
      <c r="G23" s="166">
        <v>197.8</v>
      </c>
      <c r="H23" s="166">
        <f>124+597.3+22.5</f>
        <v>743.8</v>
      </c>
      <c r="I23" s="166">
        <v>60.5</v>
      </c>
      <c r="J23" s="167">
        <v>52.4</v>
      </c>
      <c r="K23" s="165">
        <v>11432</v>
      </c>
      <c r="L23" s="165">
        <v>287</v>
      </c>
      <c r="M23" s="161">
        <v>2912</v>
      </c>
      <c r="N23" s="165">
        <v>897</v>
      </c>
      <c r="O23" s="165">
        <v>10</v>
      </c>
      <c r="Q23" s="168"/>
    </row>
    <row r="24" spans="1:17" s="111" customFormat="1" ht="10.15" customHeight="1">
      <c r="A24" s="128">
        <v>1996</v>
      </c>
      <c r="B24" s="165">
        <v>5191</v>
      </c>
      <c r="C24" s="165">
        <v>1052</v>
      </c>
      <c r="D24" s="165">
        <v>820.8</v>
      </c>
      <c r="E24" s="165">
        <v>5554.3</v>
      </c>
      <c r="F24" s="166">
        <v>154.30000000000001</v>
      </c>
      <c r="G24" s="166">
        <v>135.9</v>
      </c>
      <c r="H24" s="166">
        <v>952</v>
      </c>
      <c r="I24" s="166">
        <v>79</v>
      </c>
      <c r="J24" s="167">
        <v>45.5</v>
      </c>
      <c r="K24" s="165">
        <v>11426</v>
      </c>
      <c r="L24" s="165">
        <v>349</v>
      </c>
      <c r="M24" s="165">
        <v>2718</v>
      </c>
      <c r="N24" s="165">
        <v>992</v>
      </c>
      <c r="O24" s="165">
        <v>14</v>
      </c>
      <c r="Q24" s="168"/>
    </row>
    <row r="25" spans="1:17" s="111" customFormat="1" ht="10.15" customHeight="1">
      <c r="A25" s="128">
        <v>1997</v>
      </c>
      <c r="B25" s="165">
        <v>5161.8999999999996</v>
      </c>
      <c r="C25" s="165">
        <v>1312.3</v>
      </c>
      <c r="D25" s="165">
        <v>1042.5</v>
      </c>
      <c r="E25" s="165">
        <v>7290.9</v>
      </c>
      <c r="F25" s="166">
        <v>225.8</v>
      </c>
      <c r="G25" s="166">
        <v>146</v>
      </c>
      <c r="H25" s="166">
        <f>246+654.8+25.5</f>
        <v>926.3</v>
      </c>
      <c r="I25" s="166">
        <v>139.19999999999999</v>
      </c>
      <c r="J25" s="167">
        <v>57.5</v>
      </c>
      <c r="K25" s="165">
        <v>12692</v>
      </c>
      <c r="L25" s="165">
        <v>425</v>
      </c>
      <c r="M25" s="165">
        <v>2885</v>
      </c>
      <c r="N25" s="165">
        <v>962</v>
      </c>
      <c r="O25" s="165">
        <v>14</v>
      </c>
      <c r="Q25" s="168"/>
    </row>
    <row r="26" spans="1:17" s="111" customFormat="1" ht="10.15" customHeight="1">
      <c r="A26" s="128">
        <v>1998</v>
      </c>
      <c r="B26" s="165">
        <v>5823.2</v>
      </c>
      <c r="C26" s="165">
        <v>1189.5999999999999</v>
      </c>
      <c r="D26" s="165">
        <v>990.1</v>
      </c>
      <c r="E26" s="165">
        <v>5820</v>
      </c>
      <c r="F26" s="166">
        <v>196.9</v>
      </c>
      <c r="G26" s="166">
        <v>174.1</v>
      </c>
      <c r="H26" s="166">
        <f>188+345.6+25.6</f>
        <v>559.20000000000005</v>
      </c>
      <c r="I26" s="166">
        <v>118</v>
      </c>
      <c r="J26" s="167">
        <v>51.6</v>
      </c>
      <c r="K26" s="165">
        <v>13670</v>
      </c>
      <c r="L26" s="165">
        <v>360</v>
      </c>
      <c r="M26" s="165">
        <v>2593</v>
      </c>
      <c r="N26" s="165">
        <v>897</v>
      </c>
      <c r="O26" s="165">
        <v>19</v>
      </c>
      <c r="Q26" s="168"/>
    </row>
    <row r="27" spans="1:17" s="111" customFormat="1" ht="10.15" customHeight="1">
      <c r="A27" s="128">
        <v>1999</v>
      </c>
      <c r="B27" s="165">
        <v>5315.8</v>
      </c>
      <c r="C27" s="165">
        <v>1251.5999999999999</v>
      </c>
      <c r="D27" s="165">
        <v>1044.3</v>
      </c>
      <c r="E27" s="165">
        <v>6235.9</v>
      </c>
      <c r="F27" s="166">
        <v>216.1</v>
      </c>
      <c r="G27" s="166">
        <v>128.1</v>
      </c>
      <c r="H27" s="166">
        <f>196+516.2+22.9</f>
        <v>735.1</v>
      </c>
      <c r="I27" s="166">
        <v>90.5</v>
      </c>
      <c r="J27" s="167">
        <v>47.3</v>
      </c>
      <c r="K27" s="165">
        <v>9824</v>
      </c>
      <c r="L27" s="165">
        <v>327</v>
      </c>
      <c r="M27" s="165">
        <v>2513</v>
      </c>
      <c r="N27" s="165">
        <v>747</v>
      </c>
      <c r="O27" s="165">
        <v>22</v>
      </c>
      <c r="Q27" s="168"/>
    </row>
    <row r="28" spans="1:17" s="111" customFormat="1" ht="10.15" customHeight="1">
      <c r="A28" s="112" t="s">
        <v>65</v>
      </c>
      <c r="B28" s="165">
        <v>5290</v>
      </c>
      <c r="C28" s="165">
        <v>1275.7</v>
      </c>
      <c r="D28" s="165">
        <v>993.3</v>
      </c>
      <c r="E28" s="165">
        <v>7688</v>
      </c>
      <c r="F28" s="166">
        <v>207.9</v>
      </c>
      <c r="G28" s="166">
        <v>144.30000000000001</v>
      </c>
      <c r="H28" s="166">
        <f>197+681.1+23.9</f>
        <v>902</v>
      </c>
      <c r="I28" s="166">
        <v>96.9</v>
      </c>
      <c r="J28" s="167">
        <v>55.9</v>
      </c>
      <c r="K28" s="165">
        <v>12997</v>
      </c>
      <c r="L28" s="165">
        <v>458</v>
      </c>
      <c r="M28" s="165">
        <v>2763</v>
      </c>
      <c r="N28" s="165">
        <v>840</v>
      </c>
      <c r="O28" s="165">
        <v>26</v>
      </c>
      <c r="Q28" s="168"/>
    </row>
    <row r="29" spans="1:17" s="111" customFormat="1" ht="10.15" customHeight="1">
      <c r="A29" s="112" t="s">
        <v>66</v>
      </c>
      <c r="B29" s="165">
        <v>4711.5</v>
      </c>
      <c r="C29" s="165">
        <v>1203.9000000000001</v>
      </c>
      <c r="D29" s="165">
        <v>1026.9000000000001</v>
      </c>
      <c r="E29" s="165">
        <v>6569.3</v>
      </c>
      <c r="F29" s="166">
        <v>230.4</v>
      </c>
      <c r="G29" s="166">
        <v>185</v>
      </c>
      <c r="H29" s="166">
        <f>210+420+21.2</f>
        <v>651.20000000000005</v>
      </c>
      <c r="I29" s="166">
        <v>82</v>
      </c>
      <c r="J29" s="167">
        <v>41</v>
      </c>
      <c r="K29" s="165">
        <v>12221</v>
      </c>
      <c r="L29" s="165">
        <v>373</v>
      </c>
      <c r="M29" s="165">
        <v>2462</v>
      </c>
      <c r="N29" s="165">
        <v>996</v>
      </c>
      <c r="O29" s="165">
        <v>11</v>
      </c>
      <c r="Q29" s="168"/>
    </row>
    <row r="30" spans="1:17" s="111" customFormat="1" ht="10.15" customHeight="1">
      <c r="A30" s="112" t="s">
        <v>67</v>
      </c>
      <c r="B30" s="165">
        <v>4262</v>
      </c>
      <c r="C30" s="165">
        <v>1267.5</v>
      </c>
      <c r="D30" s="165">
        <v>890</v>
      </c>
      <c r="E30" s="165">
        <v>7338.9</v>
      </c>
      <c r="F30" s="166">
        <v>181.4</v>
      </c>
      <c r="G30" s="166">
        <v>31.3</v>
      </c>
      <c r="H30" s="166">
        <f>201+519.2+15.7</f>
        <v>735.90000000000009</v>
      </c>
      <c r="I30" s="166">
        <v>90</v>
      </c>
      <c r="J30" s="167">
        <v>53.2</v>
      </c>
      <c r="K30" s="165">
        <v>12374</v>
      </c>
      <c r="L30" s="165">
        <v>420</v>
      </c>
      <c r="M30" s="165">
        <v>2424</v>
      </c>
      <c r="N30" s="165">
        <v>801</v>
      </c>
      <c r="O30" s="165">
        <v>7</v>
      </c>
      <c r="Q30" s="168"/>
    </row>
    <row r="31" spans="1:17" s="111" customFormat="1" ht="12.95" customHeight="1">
      <c r="A31" s="112" t="s">
        <v>83</v>
      </c>
      <c r="B31" s="165">
        <v>4390</v>
      </c>
      <c r="C31" s="165">
        <v>1259.5</v>
      </c>
      <c r="D31" s="165">
        <v>934.1</v>
      </c>
      <c r="E31" s="165">
        <v>6643.5</v>
      </c>
      <c r="F31" s="166">
        <v>245.7</v>
      </c>
      <c r="G31" s="166">
        <v>113.2</v>
      </c>
      <c r="H31" s="166">
        <f>209+577.5+16.3</f>
        <v>802.8</v>
      </c>
      <c r="I31" s="166">
        <v>97.6</v>
      </c>
      <c r="J31" s="167">
        <v>48.5</v>
      </c>
      <c r="K31" s="165">
        <v>11545</v>
      </c>
      <c r="L31" s="165">
        <v>382</v>
      </c>
      <c r="M31" s="165">
        <v>2063</v>
      </c>
      <c r="N31" s="165">
        <v>1026</v>
      </c>
      <c r="O31" s="364" t="s">
        <v>371</v>
      </c>
      <c r="Q31" s="168"/>
    </row>
    <row r="32" spans="1:17" s="111" customFormat="1" ht="12.95" customHeight="1">
      <c r="A32" s="112" t="s">
        <v>84</v>
      </c>
      <c r="B32" s="165">
        <v>5206</v>
      </c>
      <c r="C32" s="165">
        <v>1307.0999999999999</v>
      </c>
      <c r="D32" s="165">
        <v>878.3</v>
      </c>
      <c r="E32" s="165">
        <v>6240</v>
      </c>
      <c r="F32" s="166">
        <v>283.10000000000002</v>
      </c>
      <c r="G32" s="166">
        <v>106.5</v>
      </c>
      <c r="H32" s="166">
        <f>156+143.9+25</f>
        <v>324.89999999999998</v>
      </c>
      <c r="I32" s="166">
        <v>101.1</v>
      </c>
      <c r="J32" s="167">
        <v>51.1</v>
      </c>
      <c r="K32" s="165">
        <v>12872</v>
      </c>
      <c r="L32" s="165">
        <v>417</v>
      </c>
      <c r="M32" s="165">
        <v>2165</v>
      </c>
      <c r="N32" s="165">
        <v>798</v>
      </c>
      <c r="O32" s="364" t="s">
        <v>371</v>
      </c>
      <c r="Q32" s="168"/>
    </row>
    <row r="33" spans="1:19" s="111" customFormat="1" ht="12.95" customHeight="1">
      <c r="A33" s="112">
        <v>2005</v>
      </c>
      <c r="B33" s="170">
        <v>4833.5</v>
      </c>
      <c r="C33" s="170">
        <v>1184.5</v>
      </c>
      <c r="D33" s="170">
        <v>823.3</v>
      </c>
      <c r="E33" s="170">
        <v>7813.7</v>
      </c>
      <c r="F33" s="171">
        <v>250.8</v>
      </c>
      <c r="G33" s="171">
        <v>135</v>
      </c>
      <c r="H33" s="171">
        <f>171+295.9+9.1</f>
        <v>476</v>
      </c>
      <c r="I33" s="171">
        <v>81.7</v>
      </c>
      <c r="J33" s="172">
        <v>49</v>
      </c>
      <c r="K33" s="165">
        <v>9251</v>
      </c>
      <c r="L33" s="165">
        <v>335</v>
      </c>
      <c r="M33" s="165">
        <v>1018</v>
      </c>
      <c r="N33" s="165">
        <v>870</v>
      </c>
      <c r="O33" s="364" t="s">
        <v>371</v>
      </c>
      <c r="Q33" s="168"/>
    </row>
    <row r="34" spans="1:19" s="111" customFormat="1" ht="12.95" customHeight="1">
      <c r="A34" s="112">
        <v>2006</v>
      </c>
      <c r="B34" s="170">
        <v>4911.7</v>
      </c>
      <c r="C34" s="170">
        <v>1010.3</v>
      </c>
      <c r="D34" s="170">
        <v>842</v>
      </c>
      <c r="E34" s="170">
        <v>6377.5</v>
      </c>
      <c r="F34" s="171">
        <v>294.2</v>
      </c>
      <c r="G34" s="171">
        <v>131</v>
      </c>
      <c r="H34" s="171">
        <f>158+633.6+21.5</f>
        <v>813.1</v>
      </c>
      <c r="I34" s="171">
        <v>44.5</v>
      </c>
      <c r="J34" s="172">
        <v>42.8</v>
      </c>
      <c r="K34" s="165">
        <v>9020</v>
      </c>
      <c r="L34" s="165">
        <v>417</v>
      </c>
      <c r="M34" s="165">
        <v>1232</v>
      </c>
      <c r="N34" s="165">
        <v>980</v>
      </c>
      <c r="O34" s="364" t="s">
        <v>371</v>
      </c>
    </row>
    <row r="35" spans="1:19" s="111" customFormat="1" ht="12.95" customHeight="1">
      <c r="A35" s="112">
        <v>2007</v>
      </c>
      <c r="B35" s="170">
        <v>4544.7</v>
      </c>
      <c r="C35" s="170">
        <v>1127.1500000000001</v>
      </c>
      <c r="D35" s="170">
        <v>872.95</v>
      </c>
      <c r="E35" s="170">
        <v>7057.25</v>
      </c>
      <c r="F35" s="171">
        <v>310.68</v>
      </c>
      <c r="G35" s="171">
        <v>126.6</v>
      </c>
      <c r="H35" s="171">
        <f>152+240.8+12.1</f>
        <v>404.90000000000003</v>
      </c>
      <c r="I35" s="171">
        <v>88.46</v>
      </c>
      <c r="J35" s="172">
        <v>47.8</v>
      </c>
      <c r="K35" s="165">
        <v>7625</v>
      </c>
      <c r="L35" s="165">
        <v>361</v>
      </c>
      <c r="M35" s="165">
        <v>1627</v>
      </c>
      <c r="N35" s="165">
        <v>798</v>
      </c>
      <c r="O35" s="364" t="s">
        <v>371</v>
      </c>
      <c r="P35" s="169"/>
    </row>
    <row r="36" spans="1:19" s="111" customFormat="1" ht="12.95" customHeight="1">
      <c r="A36" s="112">
        <v>2008</v>
      </c>
      <c r="B36" s="170">
        <v>4811.6499999999996</v>
      </c>
      <c r="C36" s="170">
        <v>1134.97</v>
      </c>
      <c r="D36" s="170">
        <v>869.85</v>
      </c>
      <c r="E36" s="170">
        <v>7279.36</v>
      </c>
      <c r="F36" s="171">
        <v>248.06</v>
      </c>
      <c r="G36" s="171">
        <v>107.2</v>
      </c>
      <c r="H36" s="171">
        <f>160+368+15.5</f>
        <v>543.5</v>
      </c>
      <c r="I36" s="171">
        <v>81.61</v>
      </c>
      <c r="J36" s="172">
        <v>43.3</v>
      </c>
      <c r="K36" s="165">
        <v>10076</v>
      </c>
      <c r="L36" s="165">
        <v>527</v>
      </c>
      <c r="M36" s="165">
        <v>1548</v>
      </c>
      <c r="N36" s="165">
        <v>619</v>
      </c>
      <c r="O36" s="364" t="s">
        <v>371</v>
      </c>
    </row>
    <row r="37" spans="1:19" s="111" customFormat="1" ht="12.95" customHeight="1">
      <c r="A37" s="112">
        <v>2009</v>
      </c>
      <c r="B37" s="170">
        <v>4843.8500000000004</v>
      </c>
      <c r="C37" s="170">
        <v>1103.52</v>
      </c>
      <c r="D37" s="170">
        <v>957.22</v>
      </c>
      <c r="E37" s="170">
        <v>7267.89</v>
      </c>
      <c r="F37" s="171">
        <v>442.87</v>
      </c>
      <c r="G37" s="171">
        <v>179.6</v>
      </c>
      <c r="H37" s="171">
        <f>112+496+18.6</f>
        <v>626.6</v>
      </c>
      <c r="I37" s="171">
        <v>68.72</v>
      </c>
      <c r="J37" s="172">
        <v>43.75</v>
      </c>
      <c r="K37" s="165">
        <v>9128</v>
      </c>
      <c r="L37" s="165">
        <v>443</v>
      </c>
      <c r="M37" s="165">
        <v>1304</v>
      </c>
      <c r="N37" s="165">
        <v>912</v>
      </c>
      <c r="O37" s="364" t="s">
        <v>371</v>
      </c>
    </row>
    <row r="38" spans="1:19" s="111" customFormat="1" ht="12.95" customHeight="1">
      <c r="A38" s="112">
        <v>2010</v>
      </c>
      <c r="B38" s="170">
        <v>4641.05</v>
      </c>
      <c r="C38" s="170">
        <v>1149.43</v>
      </c>
      <c r="D38" s="170">
        <v>813.6</v>
      </c>
      <c r="E38" s="170">
        <v>7432.12</v>
      </c>
      <c r="F38" s="171">
        <v>313.22000000000003</v>
      </c>
      <c r="G38" s="171">
        <v>95.2</v>
      </c>
      <c r="H38" s="171">
        <f>142+390+12.1</f>
        <v>544.1</v>
      </c>
      <c r="I38" s="171">
        <v>66.38</v>
      </c>
      <c r="J38" s="172">
        <v>40.909999999999997</v>
      </c>
      <c r="K38" s="165">
        <v>8243</v>
      </c>
      <c r="L38" s="165">
        <v>596</v>
      </c>
      <c r="M38" s="165">
        <v>1238</v>
      </c>
      <c r="N38" s="165">
        <v>882</v>
      </c>
      <c r="O38" s="364" t="s">
        <v>371</v>
      </c>
      <c r="P38" s="495"/>
      <c r="Q38" s="498"/>
      <c r="R38" s="497"/>
      <c r="S38" s="498"/>
    </row>
    <row r="39" spans="1:19" s="111" customFormat="1" ht="12.95" customHeight="1">
      <c r="A39" s="112">
        <v>2011</v>
      </c>
      <c r="B39" s="170">
        <v>4719.8</v>
      </c>
      <c r="C39" s="170">
        <v>1071.27</v>
      </c>
      <c r="D39" s="170">
        <v>965.72</v>
      </c>
      <c r="E39" s="170">
        <v>7408.74</v>
      </c>
      <c r="F39" s="171">
        <v>334.41500000000002</v>
      </c>
      <c r="G39" s="171">
        <v>115.9</v>
      </c>
      <c r="H39" s="171">
        <f>160+444+13.3</f>
        <v>617.29999999999995</v>
      </c>
      <c r="I39" s="171">
        <v>66.650000000000006</v>
      </c>
      <c r="J39" s="172">
        <v>38.659999999999997</v>
      </c>
      <c r="K39" s="173">
        <v>8905</v>
      </c>
      <c r="L39" s="173">
        <v>657</v>
      </c>
      <c r="M39" s="173">
        <v>1264</v>
      </c>
      <c r="N39" s="173">
        <v>920</v>
      </c>
      <c r="O39" s="364" t="s">
        <v>371</v>
      </c>
      <c r="P39" s="495"/>
      <c r="Q39" s="498"/>
      <c r="R39" s="497"/>
    </row>
    <row r="40" spans="1:19" s="111" customFormat="1" ht="12.95" customHeight="1">
      <c r="A40" s="112" t="s">
        <v>85</v>
      </c>
      <c r="B40" s="170">
        <v>4496.1499999999996</v>
      </c>
      <c r="C40" s="170">
        <v>968.07</v>
      </c>
      <c r="D40" s="170">
        <v>851.24</v>
      </c>
      <c r="E40" s="170">
        <v>7530.8829999999998</v>
      </c>
      <c r="F40" s="171">
        <v>424</v>
      </c>
      <c r="G40" s="171">
        <v>42.6</v>
      </c>
      <c r="H40" s="171">
        <f>115+436.1+12.9</f>
        <v>564</v>
      </c>
      <c r="I40" s="171">
        <v>60.8</v>
      </c>
      <c r="J40" s="172">
        <v>35.200000000000003</v>
      </c>
      <c r="K40" s="170">
        <v>8982</v>
      </c>
      <c r="L40" s="170">
        <v>644</v>
      </c>
      <c r="M40" s="170">
        <v>1153</v>
      </c>
      <c r="N40" s="170">
        <v>850</v>
      </c>
      <c r="O40" s="364" t="s">
        <v>371</v>
      </c>
      <c r="P40" s="495"/>
      <c r="Q40" s="498"/>
      <c r="R40" s="497"/>
    </row>
    <row r="41" spans="1:19" s="111" customFormat="1" ht="12.95" customHeight="1">
      <c r="A41" s="112" t="s">
        <v>86</v>
      </c>
      <c r="B41" s="170">
        <v>5261.7</v>
      </c>
      <c r="C41" s="170">
        <v>905.37099999999998</v>
      </c>
      <c r="D41" s="170">
        <v>877.13</v>
      </c>
      <c r="E41" s="170">
        <v>8631.7900000000009</v>
      </c>
      <c r="F41" s="171">
        <v>332.09</v>
      </c>
      <c r="G41" s="171">
        <v>147.1</v>
      </c>
      <c r="H41" s="171">
        <f>95.4+255+13.4</f>
        <v>363.79999999999995</v>
      </c>
      <c r="I41" s="171">
        <v>61.034999999999997</v>
      </c>
      <c r="J41" s="172">
        <v>33</v>
      </c>
      <c r="K41" s="170">
        <v>8268</v>
      </c>
      <c r="L41" s="170">
        <v>682</v>
      </c>
      <c r="M41" s="170">
        <v>1204</v>
      </c>
      <c r="N41" s="170">
        <v>912</v>
      </c>
      <c r="O41" s="364" t="s">
        <v>371</v>
      </c>
      <c r="P41" s="495"/>
      <c r="Q41" s="498"/>
      <c r="R41" s="497"/>
    </row>
    <row r="42" spans="1:19" s="111" customFormat="1" ht="12.95" customHeight="1">
      <c r="A42" s="112">
        <v>2014</v>
      </c>
      <c r="B42" s="170">
        <v>5931.55</v>
      </c>
      <c r="C42" s="170">
        <v>852.79899999999998</v>
      </c>
      <c r="D42" s="170">
        <v>831.61</v>
      </c>
      <c r="E42" s="170">
        <v>7883.83</v>
      </c>
      <c r="F42" s="171">
        <v>363.64</v>
      </c>
      <c r="G42" s="171">
        <v>152.1</v>
      </c>
      <c r="H42" s="171">
        <f>113+324+14.8</f>
        <v>451.8</v>
      </c>
      <c r="I42" s="171">
        <v>64.927999999999997</v>
      </c>
      <c r="J42" s="172">
        <v>33.4</v>
      </c>
      <c r="K42" s="170">
        <v>6768</v>
      </c>
      <c r="L42" s="170">
        <v>732</v>
      </c>
      <c r="M42" s="170">
        <v>1047</v>
      </c>
      <c r="N42" s="170">
        <v>824</v>
      </c>
      <c r="O42" s="364" t="s">
        <v>371</v>
      </c>
      <c r="P42" s="495"/>
      <c r="Q42" s="498"/>
      <c r="R42" s="497"/>
    </row>
    <row r="43" spans="1:19" s="111" customFormat="1" ht="12.95" customHeight="1">
      <c r="A43" s="112">
        <v>2015</v>
      </c>
      <c r="B43" s="170">
        <v>5051.25</v>
      </c>
      <c r="C43" s="170">
        <v>844.78</v>
      </c>
      <c r="D43" s="170">
        <v>816.52</v>
      </c>
      <c r="E43" s="170">
        <v>7621.15</v>
      </c>
      <c r="F43" s="171">
        <v>335.48</v>
      </c>
      <c r="G43" s="171">
        <v>126.25</v>
      </c>
      <c r="H43" s="171">
        <f>106+324.8+9.7</f>
        <v>440.5</v>
      </c>
      <c r="I43" s="171">
        <v>45.656999999999996</v>
      </c>
      <c r="J43" s="172">
        <v>31.7</v>
      </c>
      <c r="K43" s="170">
        <v>6353</v>
      </c>
      <c r="L43" s="170">
        <v>863</v>
      </c>
      <c r="M43" s="170">
        <v>910</v>
      </c>
      <c r="N43" s="170">
        <v>904</v>
      </c>
      <c r="O43" s="364" t="s">
        <v>371</v>
      </c>
      <c r="P43" s="495"/>
      <c r="Q43" s="498"/>
      <c r="R43" s="497"/>
    </row>
    <row r="44" spans="1:19" s="111" customFormat="1" ht="12.95" customHeight="1">
      <c r="A44" s="112">
        <v>2016</v>
      </c>
      <c r="B44" s="170">
        <v>5747.5</v>
      </c>
      <c r="C44" s="170">
        <v>791.94</v>
      </c>
      <c r="D44" s="170">
        <v>738.77</v>
      </c>
      <c r="E44" s="170">
        <v>7697.03</v>
      </c>
      <c r="F44" s="171">
        <v>350.24</v>
      </c>
      <c r="G44" s="171">
        <v>164.65</v>
      </c>
      <c r="H44" s="171">
        <f>108.8+156.6</f>
        <v>265.39999999999998</v>
      </c>
      <c r="I44" s="171">
        <v>64.05</v>
      </c>
      <c r="J44" s="172">
        <v>32.700000000000003</v>
      </c>
      <c r="K44" s="170">
        <v>6088</v>
      </c>
      <c r="L44" s="170">
        <v>935</v>
      </c>
      <c r="M44" s="170">
        <v>803</v>
      </c>
      <c r="N44" s="170">
        <v>904</v>
      </c>
      <c r="O44" s="364" t="s">
        <v>371</v>
      </c>
      <c r="P44" s="495"/>
      <c r="Q44" s="498"/>
      <c r="R44" s="497"/>
    </row>
    <row r="45" spans="1:19" s="111" customFormat="1" ht="12.95" customHeight="1">
      <c r="A45" s="112">
        <v>2017</v>
      </c>
      <c r="B45" s="170">
        <v>5776.85</v>
      </c>
      <c r="C45" s="170">
        <v>700.77</v>
      </c>
      <c r="D45" s="170">
        <v>737.45</v>
      </c>
      <c r="E45" s="170">
        <v>7383.85</v>
      </c>
      <c r="F45" s="171">
        <v>437.55</v>
      </c>
      <c r="G45" s="171">
        <v>129.75</v>
      </c>
      <c r="H45" s="171">
        <f>117.9+325.5</f>
        <v>443.4</v>
      </c>
      <c r="I45" s="171">
        <v>45.65</v>
      </c>
      <c r="J45" s="172">
        <v>31.2</v>
      </c>
      <c r="K45" s="170">
        <v>5088</v>
      </c>
      <c r="L45" s="170">
        <v>1029</v>
      </c>
      <c r="M45" s="170">
        <v>698</v>
      </c>
      <c r="N45" s="170">
        <v>882</v>
      </c>
      <c r="O45" s="470" t="s">
        <v>371</v>
      </c>
      <c r="P45" s="495"/>
      <c r="Q45" s="498"/>
      <c r="R45" s="497"/>
    </row>
    <row r="46" spans="1:19" s="111" customFormat="1" ht="12.95" customHeight="1">
      <c r="A46" s="112">
        <v>2018</v>
      </c>
      <c r="B46" s="499">
        <v>5128.5</v>
      </c>
      <c r="C46" s="499">
        <v>651.5</v>
      </c>
      <c r="D46" s="499">
        <v>805.5</v>
      </c>
      <c r="E46" s="499">
        <v>7596</v>
      </c>
      <c r="F46" s="511">
        <v>344.4</v>
      </c>
      <c r="G46" s="511">
        <v>149.15</v>
      </c>
      <c r="H46" s="171">
        <f>100+279.62</f>
        <v>379.62</v>
      </c>
      <c r="I46" s="511">
        <v>39.549999999999997</v>
      </c>
      <c r="J46" s="470" t="s">
        <v>371</v>
      </c>
      <c r="K46" s="499">
        <v>3875</v>
      </c>
      <c r="L46" s="499">
        <v>804</v>
      </c>
      <c r="M46" s="170">
        <v>509</v>
      </c>
      <c r="N46" s="170">
        <v>888</v>
      </c>
      <c r="O46" s="470" t="s">
        <v>371</v>
      </c>
      <c r="P46" s="495"/>
      <c r="Q46" s="498"/>
      <c r="R46" s="497"/>
    </row>
    <row r="47" spans="1:19" s="111" customFormat="1" ht="10.15" customHeight="1">
      <c r="A47" s="112"/>
      <c r="B47" s="165"/>
      <c r="C47" s="165"/>
      <c r="D47" s="165"/>
      <c r="E47" s="165"/>
      <c r="F47" s="166"/>
      <c r="G47" s="166"/>
      <c r="H47" s="166"/>
      <c r="I47" s="166"/>
      <c r="J47" s="167"/>
      <c r="K47" s="170"/>
      <c r="L47" s="170"/>
      <c r="M47" s="170"/>
      <c r="N47" s="170"/>
      <c r="O47" s="174"/>
    </row>
    <row r="48" spans="1:19" s="111" customFormat="1" ht="10.15" customHeight="1">
      <c r="A48" s="114"/>
      <c r="B48" s="117" t="s">
        <v>123</v>
      </c>
      <c r="C48" s="117"/>
      <c r="D48" s="117" t="s">
        <v>124</v>
      </c>
      <c r="E48" s="117" t="s">
        <v>125</v>
      </c>
      <c r="F48" s="117"/>
      <c r="G48" s="117" t="s">
        <v>126</v>
      </c>
      <c r="H48" s="138"/>
      <c r="I48" s="117"/>
      <c r="J48" s="138"/>
      <c r="K48" s="117"/>
      <c r="L48" s="117"/>
      <c r="M48" s="117" t="s">
        <v>127</v>
      </c>
      <c r="N48" s="117"/>
      <c r="O48" s="117"/>
    </row>
    <row r="49" spans="1:17" s="111" customFormat="1" ht="12.95" customHeight="1">
      <c r="A49" s="119" t="s">
        <v>107</v>
      </c>
      <c r="B49" s="120" t="s">
        <v>128</v>
      </c>
      <c r="C49" s="120" t="s">
        <v>129</v>
      </c>
      <c r="D49" s="120" t="s">
        <v>130</v>
      </c>
      <c r="E49" s="120" t="s">
        <v>148</v>
      </c>
      <c r="F49" s="120" t="s">
        <v>132</v>
      </c>
      <c r="G49" s="120" t="s">
        <v>133</v>
      </c>
      <c r="H49" s="120" t="s">
        <v>134</v>
      </c>
      <c r="I49" s="120" t="s">
        <v>149</v>
      </c>
      <c r="J49" s="120" t="s">
        <v>136</v>
      </c>
      <c r="K49" s="120" t="s">
        <v>137</v>
      </c>
      <c r="L49" s="120" t="s">
        <v>150</v>
      </c>
      <c r="M49" s="120" t="s">
        <v>139</v>
      </c>
      <c r="N49" s="120" t="s">
        <v>151</v>
      </c>
      <c r="O49" s="139" t="s">
        <v>96</v>
      </c>
    </row>
    <row r="50" spans="1:17" s="111" customFormat="1" ht="3.95" customHeight="1">
      <c r="A50" s="119"/>
      <c r="B50" s="118"/>
      <c r="C50" s="118"/>
      <c r="D50" s="118"/>
      <c r="E50" s="118"/>
      <c r="F50" s="118"/>
      <c r="G50" s="118"/>
      <c r="H50" s="118"/>
      <c r="I50" s="118"/>
      <c r="J50" s="118"/>
      <c r="K50" s="118"/>
      <c r="L50" s="118"/>
      <c r="M50" s="118"/>
      <c r="N50" s="118"/>
      <c r="O50" s="118"/>
    </row>
    <row r="51" spans="1:17" s="111" customFormat="1" ht="10.15" customHeight="1">
      <c r="A51" s="114"/>
      <c r="B51" s="121" t="s">
        <v>406</v>
      </c>
      <c r="C51" s="122"/>
      <c r="D51" s="122"/>
      <c r="E51" s="122"/>
      <c r="F51" s="122"/>
      <c r="G51" s="140"/>
      <c r="H51" s="122"/>
      <c r="I51" s="122"/>
      <c r="J51" s="122"/>
      <c r="K51" s="122"/>
      <c r="L51" s="122"/>
      <c r="M51" s="122"/>
      <c r="N51" s="122"/>
      <c r="O51" s="122"/>
    </row>
    <row r="52" spans="1:17" s="111" customFormat="1" ht="3" customHeight="1">
      <c r="A52" s="114"/>
      <c r="B52" s="114"/>
      <c r="C52" s="114"/>
      <c r="D52" s="114"/>
      <c r="E52" s="114"/>
      <c r="F52" s="114"/>
      <c r="G52" s="114"/>
      <c r="H52" s="114"/>
      <c r="I52" s="114"/>
      <c r="J52" s="114"/>
      <c r="K52" s="114"/>
      <c r="L52" s="114"/>
      <c r="M52" s="114"/>
      <c r="N52" s="114"/>
      <c r="O52" s="114"/>
    </row>
    <row r="53" spans="1:17" s="111" customFormat="1" ht="10.15" customHeight="1">
      <c r="A53" s="175">
        <v>1980</v>
      </c>
      <c r="B53" s="161">
        <v>288</v>
      </c>
      <c r="C53" s="161">
        <v>270</v>
      </c>
      <c r="D53" s="161">
        <v>351</v>
      </c>
      <c r="E53" s="161">
        <v>657</v>
      </c>
      <c r="F53" s="162">
        <v>269</v>
      </c>
      <c r="G53" s="162">
        <v>191</v>
      </c>
      <c r="H53" s="162">
        <v>135</v>
      </c>
      <c r="I53" s="162">
        <v>2</v>
      </c>
      <c r="J53" s="162">
        <v>5</v>
      </c>
      <c r="K53" s="161">
        <v>22</v>
      </c>
      <c r="L53" s="161">
        <v>37</v>
      </c>
      <c r="M53" s="161">
        <v>17</v>
      </c>
      <c r="N53" s="176">
        <v>7</v>
      </c>
      <c r="O53" s="161">
        <f t="shared" ref="O53:O91" si="0">SUM(B8:O8)+SUM(B53:N53)</f>
        <v>31474</v>
      </c>
      <c r="Q53" s="164"/>
    </row>
    <row r="54" spans="1:17" s="111" customFormat="1" ht="10.15" customHeight="1">
      <c r="A54" s="175">
        <v>1981</v>
      </c>
      <c r="B54" s="161">
        <v>221</v>
      </c>
      <c r="C54" s="161">
        <v>162</v>
      </c>
      <c r="D54" s="161">
        <v>371</v>
      </c>
      <c r="E54" s="161">
        <v>636</v>
      </c>
      <c r="F54" s="162">
        <v>183</v>
      </c>
      <c r="G54" s="162">
        <v>182</v>
      </c>
      <c r="H54" s="162">
        <v>130</v>
      </c>
      <c r="I54" s="162">
        <v>3</v>
      </c>
      <c r="J54" s="162">
        <v>7</v>
      </c>
      <c r="K54" s="161">
        <v>22</v>
      </c>
      <c r="L54" s="161">
        <v>47</v>
      </c>
      <c r="M54" s="161">
        <v>17</v>
      </c>
      <c r="N54" s="176">
        <v>7</v>
      </c>
      <c r="O54" s="161">
        <f t="shared" si="0"/>
        <v>28434</v>
      </c>
      <c r="Q54" s="164"/>
    </row>
    <row r="55" spans="1:17" s="111" customFormat="1" ht="10.15" customHeight="1">
      <c r="A55" s="175">
        <v>1982</v>
      </c>
      <c r="B55" s="161">
        <v>229</v>
      </c>
      <c r="C55" s="161">
        <v>144</v>
      </c>
      <c r="D55" s="161">
        <v>442</v>
      </c>
      <c r="E55" s="161">
        <v>670</v>
      </c>
      <c r="F55" s="162">
        <v>237</v>
      </c>
      <c r="G55" s="162">
        <v>178</v>
      </c>
      <c r="H55" s="162">
        <v>152</v>
      </c>
      <c r="I55" s="162">
        <v>3</v>
      </c>
      <c r="J55" s="162">
        <v>16</v>
      </c>
      <c r="K55" s="161">
        <v>24</v>
      </c>
      <c r="L55" s="161">
        <v>26</v>
      </c>
      <c r="M55" s="161">
        <v>16</v>
      </c>
      <c r="N55" s="176">
        <v>6</v>
      </c>
      <c r="O55" s="161">
        <f t="shared" si="0"/>
        <v>27511</v>
      </c>
      <c r="Q55" s="164"/>
    </row>
    <row r="56" spans="1:17" s="111" customFormat="1" ht="10.15" customHeight="1">
      <c r="A56" s="175">
        <v>1983</v>
      </c>
      <c r="B56" s="161">
        <v>171</v>
      </c>
      <c r="C56" s="161">
        <v>211</v>
      </c>
      <c r="D56" s="161">
        <v>447</v>
      </c>
      <c r="E56" s="161">
        <v>722</v>
      </c>
      <c r="F56" s="162">
        <v>274</v>
      </c>
      <c r="G56" s="162">
        <v>185</v>
      </c>
      <c r="H56" s="162">
        <v>149</v>
      </c>
      <c r="I56" s="162">
        <v>2</v>
      </c>
      <c r="J56" s="162">
        <v>14</v>
      </c>
      <c r="K56" s="161">
        <v>17</v>
      </c>
      <c r="L56" s="161">
        <v>31</v>
      </c>
      <c r="M56" s="161">
        <v>20</v>
      </c>
      <c r="N56" s="176">
        <v>10</v>
      </c>
      <c r="O56" s="161">
        <f t="shared" si="0"/>
        <v>28024</v>
      </c>
      <c r="Q56" s="164"/>
    </row>
    <row r="57" spans="1:17" s="111" customFormat="1" ht="10.15" customHeight="1">
      <c r="A57" s="175">
        <v>1984</v>
      </c>
      <c r="B57" s="161">
        <v>162</v>
      </c>
      <c r="C57" s="161">
        <v>130</v>
      </c>
      <c r="D57" s="161">
        <v>495</v>
      </c>
      <c r="E57" s="161">
        <v>600</v>
      </c>
      <c r="F57" s="162">
        <v>230</v>
      </c>
      <c r="G57" s="162">
        <v>183</v>
      </c>
      <c r="H57" s="162">
        <v>166</v>
      </c>
      <c r="I57" s="162">
        <v>5</v>
      </c>
      <c r="J57" s="162">
        <v>18</v>
      </c>
      <c r="K57" s="161">
        <v>22</v>
      </c>
      <c r="L57" s="161">
        <v>40</v>
      </c>
      <c r="M57" s="161">
        <v>20</v>
      </c>
      <c r="N57" s="176">
        <v>12</v>
      </c>
      <c r="O57" s="161">
        <f t="shared" si="0"/>
        <v>25234</v>
      </c>
      <c r="Q57" s="164"/>
    </row>
    <row r="58" spans="1:17" s="111" customFormat="1" ht="10.15" customHeight="1">
      <c r="A58" s="175">
        <v>1985</v>
      </c>
      <c r="B58" s="161">
        <v>162</v>
      </c>
      <c r="C58" s="161">
        <v>146</v>
      </c>
      <c r="D58" s="161">
        <v>509</v>
      </c>
      <c r="E58" s="161">
        <v>565</v>
      </c>
      <c r="F58" s="162">
        <v>189</v>
      </c>
      <c r="G58" s="162">
        <v>210</v>
      </c>
      <c r="H58" s="162">
        <v>174</v>
      </c>
      <c r="I58" s="162">
        <v>4</v>
      </c>
      <c r="J58" s="162">
        <v>22</v>
      </c>
      <c r="K58" s="161">
        <v>29</v>
      </c>
      <c r="L58" s="161">
        <v>30</v>
      </c>
      <c r="M58" s="161">
        <v>19</v>
      </c>
      <c r="N58" s="176">
        <v>12</v>
      </c>
      <c r="O58" s="161">
        <f t="shared" si="0"/>
        <v>24768</v>
      </c>
      <c r="Q58" s="164"/>
    </row>
    <row r="59" spans="1:17" s="111" customFormat="1" ht="10.15" customHeight="1">
      <c r="A59" s="175">
        <v>1986</v>
      </c>
      <c r="B59" s="161">
        <v>133</v>
      </c>
      <c r="C59" s="161">
        <v>133</v>
      </c>
      <c r="D59" s="161">
        <v>510</v>
      </c>
      <c r="E59" s="161">
        <v>646</v>
      </c>
      <c r="F59" s="162">
        <v>303</v>
      </c>
      <c r="G59" s="162">
        <v>172</v>
      </c>
      <c r="H59" s="162">
        <v>185</v>
      </c>
      <c r="I59" s="162">
        <v>5</v>
      </c>
      <c r="J59" s="162">
        <v>24</v>
      </c>
      <c r="K59" s="161">
        <v>18</v>
      </c>
      <c r="L59" s="161">
        <v>31</v>
      </c>
      <c r="M59" s="161">
        <v>22</v>
      </c>
      <c r="N59" s="176">
        <v>11</v>
      </c>
      <c r="O59" s="161">
        <f t="shared" si="0"/>
        <v>24909</v>
      </c>
      <c r="Q59" s="164"/>
    </row>
    <row r="60" spans="1:17" s="111" customFormat="1" ht="10.15" customHeight="1">
      <c r="A60" s="175">
        <v>1987</v>
      </c>
      <c r="B60" s="161">
        <v>180</v>
      </c>
      <c r="C60" s="161">
        <v>153</v>
      </c>
      <c r="D60" s="161">
        <v>571</v>
      </c>
      <c r="E60" s="161">
        <v>692</v>
      </c>
      <c r="F60" s="162">
        <v>209</v>
      </c>
      <c r="G60" s="162">
        <v>191</v>
      </c>
      <c r="H60" s="162">
        <f>3391*100/2000</f>
        <v>169.55</v>
      </c>
      <c r="I60" s="162">
        <f>11.4/2</f>
        <v>5.7</v>
      </c>
      <c r="J60" s="162">
        <v>29</v>
      </c>
      <c r="K60" s="161">
        <v>19</v>
      </c>
      <c r="L60" s="161">
        <f>67/2</f>
        <v>33.5</v>
      </c>
      <c r="M60" s="161">
        <v>19</v>
      </c>
      <c r="N60" s="176">
        <v>15</v>
      </c>
      <c r="O60" s="161">
        <f t="shared" si="0"/>
        <v>28252.799999999999</v>
      </c>
      <c r="Q60" s="164"/>
    </row>
    <row r="61" spans="1:17" s="111" customFormat="1" ht="10.15" customHeight="1">
      <c r="A61" s="175">
        <v>1988</v>
      </c>
      <c r="B61" s="161">
        <v>189</v>
      </c>
      <c r="C61" s="161">
        <v>160</v>
      </c>
      <c r="D61" s="161">
        <f>(11791*100)/2000</f>
        <v>589.54999999999995</v>
      </c>
      <c r="E61" s="161">
        <v>659</v>
      </c>
      <c r="F61" s="162">
        <v>193</v>
      </c>
      <c r="G61" s="162">
        <v>217</v>
      </c>
      <c r="H61" s="162">
        <f>4080/20</f>
        <v>204</v>
      </c>
      <c r="I61" s="162">
        <f>13.2/2</f>
        <v>6.6</v>
      </c>
      <c r="J61" s="162">
        <v>33</v>
      </c>
      <c r="K61" s="161">
        <v>22</v>
      </c>
      <c r="L61" s="161">
        <f>69/2</f>
        <v>34.5</v>
      </c>
      <c r="M61" s="161">
        <v>20</v>
      </c>
      <c r="N61" s="176">
        <v>10</v>
      </c>
      <c r="O61" s="161">
        <f t="shared" si="0"/>
        <v>28715.850000000002</v>
      </c>
      <c r="Q61" s="164"/>
    </row>
    <row r="62" spans="1:17" s="111" customFormat="1" ht="10.15" customHeight="1">
      <c r="A62" s="175">
        <v>1989</v>
      </c>
      <c r="B62" s="176">
        <v>171</v>
      </c>
      <c r="C62" s="176">
        <v>169</v>
      </c>
      <c r="D62" s="161">
        <v>572</v>
      </c>
      <c r="E62" s="176">
        <v>580</v>
      </c>
      <c r="F62" s="163">
        <v>139</v>
      </c>
      <c r="G62" s="163">
        <v>220</v>
      </c>
      <c r="H62" s="162">
        <f>3747/20</f>
        <v>187.35</v>
      </c>
      <c r="I62" s="162">
        <f>11.9/2</f>
        <v>5.95</v>
      </c>
      <c r="J62" s="163">
        <v>40</v>
      </c>
      <c r="K62" s="176">
        <v>22</v>
      </c>
      <c r="L62" s="176">
        <f>74/2</f>
        <v>37</v>
      </c>
      <c r="M62" s="161">
        <v>19</v>
      </c>
      <c r="N62" s="176">
        <v>11</v>
      </c>
      <c r="O62" s="161">
        <f t="shared" si="0"/>
        <v>29517.3</v>
      </c>
      <c r="Q62" s="164"/>
    </row>
    <row r="63" spans="1:17" s="111" customFormat="1" ht="12.95" customHeight="1">
      <c r="A63" s="175">
        <v>1990</v>
      </c>
      <c r="B63" s="161">
        <v>132</v>
      </c>
      <c r="C63" s="161">
        <v>63</v>
      </c>
      <c r="D63" s="161">
        <v>628</v>
      </c>
      <c r="E63" s="161">
        <v>575</v>
      </c>
      <c r="F63" s="162">
        <v>156</v>
      </c>
      <c r="G63" s="162">
        <v>232</v>
      </c>
      <c r="H63" s="162">
        <v>170</v>
      </c>
      <c r="I63" s="162">
        <f>11.3/2</f>
        <v>5.65</v>
      </c>
      <c r="J63" s="162">
        <v>39</v>
      </c>
      <c r="K63" s="161">
        <v>24</v>
      </c>
      <c r="L63" s="161">
        <f>68.5/2</f>
        <v>34.25</v>
      </c>
      <c r="M63" s="364" t="s">
        <v>375</v>
      </c>
      <c r="N63" s="161">
        <v>10</v>
      </c>
      <c r="O63" s="161">
        <f t="shared" si="0"/>
        <v>26471.9</v>
      </c>
      <c r="Q63" s="164"/>
    </row>
    <row r="64" spans="1:17" s="111" customFormat="1" ht="12.95" customHeight="1">
      <c r="A64" s="175">
        <v>1991</v>
      </c>
      <c r="B64" s="176">
        <v>119</v>
      </c>
      <c r="C64" s="176">
        <v>113</v>
      </c>
      <c r="D64" s="176">
        <v>683</v>
      </c>
      <c r="E64" s="176">
        <v>555</v>
      </c>
      <c r="F64" s="163">
        <v>185</v>
      </c>
      <c r="G64" s="163">
        <v>215</v>
      </c>
      <c r="H64" s="163">
        <v>211</v>
      </c>
      <c r="I64" s="163">
        <v>6</v>
      </c>
      <c r="J64" s="163">
        <v>30</v>
      </c>
      <c r="K64" s="176">
        <v>22</v>
      </c>
      <c r="L64" s="176">
        <v>28</v>
      </c>
      <c r="M64" s="364" t="s">
        <v>375</v>
      </c>
      <c r="N64" s="176">
        <v>14</v>
      </c>
      <c r="O64" s="161">
        <f t="shared" si="0"/>
        <v>27110</v>
      </c>
      <c r="Q64" s="177"/>
    </row>
    <row r="65" spans="1:30" s="111" customFormat="1" ht="12.95" customHeight="1">
      <c r="A65" s="175">
        <v>1992</v>
      </c>
      <c r="B65" s="176">
        <v>117</v>
      </c>
      <c r="C65" s="176">
        <v>106</v>
      </c>
      <c r="D65" s="176">
        <v>668</v>
      </c>
      <c r="E65" s="176">
        <v>550</v>
      </c>
      <c r="F65" s="163">
        <v>292</v>
      </c>
      <c r="G65" s="163">
        <v>236</v>
      </c>
      <c r="H65" s="163">
        <v>208</v>
      </c>
      <c r="I65" s="163">
        <v>6</v>
      </c>
      <c r="J65" s="163">
        <v>52</v>
      </c>
      <c r="K65" s="176">
        <v>21</v>
      </c>
      <c r="L65" s="176">
        <v>36</v>
      </c>
      <c r="M65" s="364" t="s">
        <v>375</v>
      </c>
      <c r="N65" s="176">
        <v>11</v>
      </c>
      <c r="O65" s="161">
        <f t="shared" si="0"/>
        <v>29481.599999999999</v>
      </c>
      <c r="Q65" s="177"/>
    </row>
    <row r="66" spans="1:30" s="111" customFormat="1" ht="12.95" customHeight="1">
      <c r="A66" s="175">
        <v>1993</v>
      </c>
      <c r="B66" s="161">
        <v>137</v>
      </c>
      <c r="C66" s="161">
        <v>113</v>
      </c>
      <c r="D66" s="161">
        <v>723</v>
      </c>
      <c r="E66" s="176">
        <v>370</v>
      </c>
      <c r="F66" s="162">
        <v>143.69999999999999</v>
      </c>
      <c r="G66" s="163">
        <v>205</v>
      </c>
      <c r="H66" s="163">
        <v>196</v>
      </c>
      <c r="I66" s="162">
        <v>5.9</v>
      </c>
      <c r="J66" s="162">
        <v>49.2</v>
      </c>
      <c r="K66" s="176">
        <v>29</v>
      </c>
      <c r="L66" s="161">
        <v>31.9</v>
      </c>
      <c r="M66" s="364" t="s">
        <v>375</v>
      </c>
      <c r="N66" s="161">
        <v>1</v>
      </c>
      <c r="O66" s="161">
        <f t="shared" si="0"/>
        <v>31741.100000000002</v>
      </c>
      <c r="Q66" s="164"/>
    </row>
    <row r="67" spans="1:30" s="111" customFormat="1" ht="12.95" customHeight="1">
      <c r="A67" s="175">
        <v>1994</v>
      </c>
      <c r="B67" s="161">
        <v>150</v>
      </c>
      <c r="C67" s="161">
        <v>101</v>
      </c>
      <c r="D67" s="161">
        <v>824.7</v>
      </c>
      <c r="E67" s="176">
        <v>365</v>
      </c>
      <c r="F67" s="162">
        <v>175.3</v>
      </c>
      <c r="G67" s="163">
        <v>242</v>
      </c>
      <c r="H67" s="162">
        <v>234.1</v>
      </c>
      <c r="I67" s="162">
        <v>6.9</v>
      </c>
      <c r="J67" s="162">
        <v>39.4</v>
      </c>
      <c r="K67" s="176">
        <v>23</v>
      </c>
      <c r="L67" s="161">
        <v>31</v>
      </c>
      <c r="M67" s="364" t="s">
        <v>375</v>
      </c>
      <c r="N67" s="161">
        <v>3</v>
      </c>
      <c r="O67" s="161">
        <f t="shared" si="0"/>
        <v>31869</v>
      </c>
      <c r="Q67" s="164"/>
    </row>
    <row r="68" spans="1:30" s="111" customFormat="1" ht="12.95" customHeight="1">
      <c r="A68" s="178">
        <v>1995</v>
      </c>
      <c r="B68" s="165">
        <v>142</v>
      </c>
      <c r="C68" s="165">
        <v>114</v>
      </c>
      <c r="D68" s="165">
        <v>804.1</v>
      </c>
      <c r="E68" s="179">
        <v>345</v>
      </c>
      <c r="F68" s="166">
        <v>190.3</v>
      </c>
      <c r="G68" s="167">
        <v>176</v>
      </c>
      <c r="H68" s="166">
        <v>209.65</v>
      </c>
      <c r="I68" s="166">
        <v>6.5</v>
      </c>
      <c r="J68" s="166">
        <v>37.799999999999997</v>
      </c>
      <c r="K68" s="179">
        <v>22.7</v>
      </c>
      <c r="L68" s="165">
        <v>25.4</v>
      </c>
      <c r="M68" s="364" t="s">
        <v>375</v>
      </c>
      <c r="N68" s="165">
        <f>150*55/2000</f>
        <v>4.125</v>
      </c>
      <c r="O68" s="161">
        <f t="shared" si="0"/>
        <v>32139.674999999999</v>
      </c>
      <c r="Q68" s="168"/>
    </row>
    <row r="69" spans="1:30" s="111" customFormat="1" ht="12.95" customHeight="1">
      <c r="A69" s="128">
        <v>1996</v>
      </c>
      <c r="B69" s="165">
        <v>110</v>
      </c>
      <c r="C69" s="165">
        <v>97</v>
      </c>
      <c r="D69" s="165">
        <v>813</v>
      </c>
      <c r="E69" s="179">
        <v>347</v>
      </c>
      <c r="F69" s="166">
        <v>191</v>
      </c>
      <c r="G69" s="167">
        <v>247</v>
      </c>
      <c r="H69" s="166">
        <v>233.6</v>
      </c>
      <c r="I69" s="166">
        <v>6.5</v>
      </c>
      <c r="J69" s="166">
        <v>31.5</v>
      </c>
      <c r="K69" s="179">
        <v>23</v>
      </c>
      <c r="L69" s="165">
        <v>20.9</v>
      </c>
      <c r="M69" s="364" t="s">
        <v>375</v>
      </c>
      <c r="N69" s="165">
        <f>100*55/2000</f>
        <v>2.75</v>
      </c>
      <c r="O69" s="161">
        <f t="shared" si="0"/>
        <v>31607.05</v>
      </c>
      <c r="Q69" s="168"/>
    </row>
    <row r="70" spans="1:30" s="111" customFormat="1" ht="12.95" customHeight="1">
      <c r="A70" s="128">
        <v>1997</v>
      </c>
      <c r="B70" s="165">
        <v>178</v>
      </c>
      <c r="C70" s="165">
        <v>108</v>
      </c>
      <c r="D70" s="165">
        <v>813.9</v>
      </c>
      <c r="E70" s="179">
        <v>324</v>
      </c>
      <c r="F70" s="166">
        <v>178.3</v>
      </c>
      <c r="G70" s="167">
        <v>264</v>
      </c>
      <c r="H70" s="166">
        <v>274.89999999999998</v>
      </c>
      <c r="I70" s="166">
        <v>6.9</v>
      </c>
      <c r="J70" s="166">
        <v>35</v>
      </c>
      <c r="K70" s="179">
        <v>21</v>
      </c>
      <c r="L70" s="165">
        <v>19.399999999999999</v>
      </c>
      <c r="M70" s="364" t="s">
        <v>375</v>
      </c>
      <c r="N70" s="165">
        <f>100*55/2000</f>
        <v>2.75</v>
      </c>
      <c r="O70" s="161">
        <f t="shared" si="0"/>
        <v>35506.549999999996</v>
      </c>
      <c r="Q70" s="168"/>
      <c r="R70" s="169"/>
      <c r="S70" s="169"/>
      <c r="T70" s="169"/>
    </row>
    <row r="71" spans="1:30" s="111" customFormat="1" ht="12.95" customHeight="1">
      <c r="A71" s="128">
        <v>1998</v>
      </c>
      <c r="B71" s="165">
        <v>128</v>
      </c>
      <c r="C71" s="165">
        <v>101</v>
      </c>
      <c r="D71" s="165">
        <v>819.1</v>
      </c>
      <c r="E71" s="179">
        <v>332</v>
      </c>
      <c r="F71" s="166">
        <v>159.30000000000001</v>
      </c>
      <c r="G71" s="167">
        <v>224</v>
      </c>
      <c r="H71" s="166">
        <v>272.2</v>
      </c>
      <c r="I71" s="166">
        <v>10.5</v>
      </c>
      <c r="J71" s="166">
        <v>36.6</v>
      </c>
      <c r="K71" s="179">
        <v>24.9</v>
      </c>
      <c r="L71" s="165">
        <v>20</v>
      </c>
      <c r="M71" s="364" t="s">
        <v>375</v>
      </c>
      <c r="N71" s="364" t="s">
        <v>376</v>
      </c>
      <c r="O71" s="161">
        <f t="shared" si="0"/>
        <v>34589.300000000003</v>
      </c>
      <c r="Q71" s="168"/>
      <c r="R71" s="169"/>
      <c r="S71" s="169"/>
      <c r="T71" s="169"/>
    </row>
    <row r="72" spans="1:30" s="111" customFormat="1" ht="12.95" customHeight="1">
      <c r="A72" s="128">
        <v>1999</v>
      </c>
      <c r="B72" s="165">
        <v>115</v>
      </c>
      <c r="C72" s="165">
        <v>81</v>
      </c>
      <c r="D72" s="165">
        <v>915.7</v>
      </c>
      <c r="E72" s="179">
        <v>352</v>
      </c>
      <c r="F72" s="166">
        <v>183.3</v>
      </c>
      <c r="G72" s="167">
        <v>274</v>
      </c>
      <c r="H72" s="166">
        <v>317.89999999999998</v>
      </c>
      <c r="I72" s="166">
        <v>12.3</v>
      </c>
      <c r="J72" s="166">
        <v>27</v>
      </c>
      <c r="K72" s="179">
        <v>22.2</v>
      </c>
      <c r="L72" s="165">
        <v>21.2</v>
      </c>
      <c r="M72" s="364" t="s">
        <v>375</v>
      </c>
      <c r="N72" s="364" t="s">
        <v>376</v>
      </c>
      <c r="O72" s="161">
        <f t="shared" si="0"/>
        <v>30819.299999999996</v>
      </c>
      <c r="Q72" s="168"/>
      <c r="R72" s="169"/>
      <c r="S72" s="169"/>
      <c r="T72" s="169"/>
    </row>
    <row r="73" spans="1:30" s="111" customFormat="1" ht="12.95" customHeight="1">
      <c r="A73" s="178">
        <v>2000</v>
      </c>
      <c r="B73" s="165">
        <v>99</v>
      </c>
      <c r="C73" s="165">
        <v>88</v>
      </c>
      <c r="D73" s="165">
        <v>950.4</v>
      </c>
      <c r="E73" s="179">
        <v>354</v>
      </c>
      <c r="F73" s="166">
        <v>239.3</v>
      </c>
      <c r="G73" s="167">
        <v>267</v>
      </c>
      <c r="H73" s="166">
        <v>285.60000000000002</v>
      </c>
      <c r="I73" s="166">
        <v>14.5</v>
      </c>
      <c r="J73" s="166">
        <v>34</v>
      </c>
      <c r="K73" s="179">
        <v>17.399999999999999</v>
      </c>
      <c r="L73" s="165">
        <v>27.3</v>
      </c>
      <c r="M73" s="364" t="s">
        <v>375</v>
      </c>
      <c r="N73" s="364" t="s">
        <v>376</v>
      </c>
      <c r="O73" s="161">
        <f t="shared" si="0"/>
        <v>36114.5</v>
      </c>
      <c r="P73" s="180"/>
      <c r="Q73" s="168"/>
      <c r="R73" s="169"/>
      <c r="S73" s="169"/>
      <c r="T73" s="169"/>
    </row>
    <row r="74" spans="1:30" s="111" customFormat="1" ht="12.95" customHeight="1">
      <c r="A74" s="178">
        <v>2001</v>
      </c>
      <c r="B74" s="165">
        <v>95</v>
      </c>
      <c r="C74" s="165">
        <v>56</v>
      </c>
      <c r="D74" s="165">
        <v>825.5</v>
      </c>
      <c r="E74" s="179">
        <v>323</v>
      </c>
      <c r="F74" s="166">
        <v>223.3</v>
      </c>
      <c r="G74" s="167">
        <v>275</v>
      </c>
      <c r="H74" s="166">
        <v>266.5</v>
      </c>
      <c r="I74" s="166">
        <v>14</v>
      </c>
      <c r="J74" s="166">
        <v>25.8</v>
      </c>
      <c r="K74" s="179">
        <v>19.7</v>
      </c>
      <c r="L74" s="165">
        <v>27.5</v>
      </c>
      <c r="M74" s="364" t="s">
        <v>375</v>
      </c>
      <c r="N74" s="364" t="s">
        <v>376</v>
      </c>
      <c r="O74" s="161">
        <f t="shared" si="0"/>
        <v>32915.5</v>
      </c>
      <c r="P74" s="180"/>
      <c r="Q74" s="168"/>
      <c r="R74" s="169"/>
      <c r="S74" s="169"/>
      <c r="T74" s="169"/>
    </row>
    <row r="75" spans="1:30" s="111" customFormat="1" ht="12.95" customHeight="1">
      <c r="A75" s="178">
        <v>2002</v>
      </c>
      <c r="B75" s="165">
        <v>97</v>
      </c>
      <c r="C75" s="165">
        <v>70</v>
      </c>
      <c r="D75" s="165">
        <v>942.3</v>
      </c>
      <c r="E75" s="179">
        <v>320</v>
      </c>
      <c r="F75" s="166">
        <v>199.4</v>
      </c>
      <c r="G75" s="167">
        <v>300</v>
      </c>
      <c r="H75" s="166">
        <v>284.5</v>
      </c>
      <c r="I75" s="166">
        <v>10</v>
      </c>
      <c r="J75" s="166">
        <v>26.1</v>
      </c>
      <c r="K75" s="179">
        <v>24.2</v>
      </c>
      <c r="L75" s="165">
        <v>23</v>
      </c>
      <c r="M75" s="364" t="s">
        <v>375</v>
      </c>
      <c r="N75" s="364" t="s">
        <v>376</v>
      </c>
      <c r="O75" s="161">
        <f t="shared" si="0"/>
        <v>33172.699999999997</v>
      </c>
      <c r="P75" s="180"/>
      <c r="Q75" s="168"/>
      <c r="R75" s="169"/>
      <c r="S75" s="169"/>
      <c r="T75" s="169"/>
    </row>
    <row r="76" spans="1:30" s="111" customFormat="1" ht="12.95" customHeight="1">
      <c r="A76" s="178">
        <v>2003</v>
      </c>
      <c r="B76" s="165">
        <v>105</v>
      </c>
      <c r="C76" s="165">
        <v>59</v>
      </c>
      <c r="D76" s="165">
        <v>1078</v>
      </c>
      <c r="E76" s="179">
        <v>300</v>
      </c>
      <c r="F76" s="166">
        <v>233.4</v>
      </c>
      <c r="G76" s="167">
        <v>273</v>
      </c>
      <c r="H76" s="166">
        <v>309.7</v>
      </c>
      <c r="I76" s="166">
        <v>11.3</v>
      </c>
      <c r="J76" s="166">
        <v>25.4</v>
      </c>
      <c r="K76" s="179">
        <v>18</v>
      </c>
      <c r="L76" s="165">
        <v>21.3</v>
      </c>
      <c r="M76" s="364" t="s">
        <v>375</v>
      </c>
      <c r="N76" s="364" t="s">
        <v>376</v>
      </c>
      <c r="O76" s="165">
        <f t="shared" si="0"/>
        <v>31985</v>
      </c>
      <c r="P76" s="180"/>
      <c r="Q76" s="168"/>
      <c r="R76" s="169"/>
      <c r="S76" s="169"/>
      <c r="T76" s="169"/>
    </row>
    <row r="77" spans="1:30" s="111" customFormat="1" ht="12.95" customHeight="1">
      <c r="A77" s="178">
        <v>2004</v>
      </c>
      <c r="B77" s="165">
        <v>45</v>
      </c>
      <c r="C77" s="165">
        <v>63</v>
      </c>
      <c r="D77" s="165">
        <v>1106.9000000000001</v>
      </c>
      <c r="E77" s="179">
        <v>220</v>
      </c>
      <c r="F77" s="166">
        <v>179.4</v>
      </c>
      <c r="G77" s="167">
        <v>269</v>
      </c>
      <c r="H77" s="166">
        <v>308.8</v>
      </c>
      <c r="I77" s="166">
        <v>8.3000000000000007</v>
      </c>
      <c r="J77" s="166">
        <v>26.7</v>
      </c>
      <c r="K77" s="179">
        <v>17.2</v>
      </c>
      <c r="L77" s="165">
        <v>17.899999999999999</v>
      </c>
      <c r="M77" s="364" t="s">
        <v>375</v>
      </c>
      <c r="N77" s="364" t="s">
        <v>376</v>
      </c>
      <c r="O77" s="165">
        <f t="shared" si="0"/>
        <v>33012.300000000003</v>
      </c>
      <c r="P77" s="180"/>
      <c r="Q77" s="168"/>
      <c r="R77" s="169"/>
      <c r="S77" s="169"/>
      <c r="T77" s="169"/>
    </row>
    <row r="78" spans="1:30" s="111" customFormat="1" ht="12.95" customHeight="1">
      <c r="A78" s="178">
        <v>2005</v>
      </c>
      <c r="B78" s="165">
        <v>70</v>
      </c>
      <c r="C78" s="165">
        <v>29</v>
      </c>
      <c r="D78" s="165">
        <v>1161.4000000000001</v>
      </c>
      <c r="E78" s="179">
        <v>212</v>
      </c>
      <c r="F78" s="166">
        <v>312.39999999999998</v>
      </c>
      <c r="G78" s="167">
        <v>250.5</v>
      </c>
      <c r="H78" s="166">
        <v>312.2</v>
      </c>
      <c r="I78" s="166">
        <v>10.5</v>
      </c>
      <c r="J78" s="166">
        <v>36.200000000000003</v>
      </c>
      <c r="K78" s="179">
        <v>17.2</v>
      </c>
      <c r="L78" s="165">
        <v>16.5</v>
      </c>
      <c r="M78" s="364" t="s">
        <v>375</v>
      </c>
      <c r="N78" s="364" t="s">
        <v>376</v>
      </c>
      <c r="O78" s="165">
        <f t="shared" si="0"/>
        <v>29549.4</v>
      </c>
      <c r="P78" s="180"/>
      <c r="Q78" s="168"/>
      <c r="R78" s="169"/>
      <c r="S78" s="169"/>
      <c r="T78" s="169"/>
    </row>
    <row r="79" spans="1:30" s="111" customFormat="1" ht="12.95" customHeight="1">
      <c r="A79" s="178">
        <v>2006</v>
      </c>
      <c r="B79" s="165">
        <v>63</v>
      </c>
      <c r="C79" s="165">
        <v>32</v>
      </c>
      <c r="D79" s="165">
        <v>1201.9000000000001</v>
      </c>
      <c r="E79" s="179">
        <v>185</v>
      </c>
      <c r="F79" s="166">
        <v>146.5</v>
      </c>
      <c r="G79" s="167">
        <v>231.9</v>
      </c>
      <c r="H79" s="166">
        <v>344.5</v>
      </c>
      <c r="I79" s="166">
        <v>11</v>
      </c>
      <c r="J79" s="166">
        <v>26.1</v>
      </c>
      <c r="K79" s="179">
        <v>17.7</v>
      </c>
      <c r="L79" s="165">
        <v>14.4</v>
      </c>
      <c r="M79" s="364" t="s">
        <v>375</v>
      </c>
      <c r="N79" s="364" t="s">
        <v>376</v>
      </c>
      <c r="O79" s="165">
        <f t="shared" si="0"/>
        <v>28390.1</v>
      </c>
      <c r="P79" s="180"/>
      <c r="Q79" s="168"/>
    </row>
    <row r="80" spans="1:30" s="111" customFormat="1" ht="12.95" customHeight="1">
      <c r="A80" s="178">
        <v>2007</v>
      </c>
      <c r="B80" s="165">
        <v>56</v>
      </c>
      <c r="C80" s="365" t="s">
        <v>372</v>
      </c>
      <c r="D80" s="165">
        <v>1222.7</v>
      </c>
      <c r="E80" s="365" t="s">
        <v>373</v>
      </c>
      <c r="F80" s="166">
        <v>193.1</v>
      </c>
      <c r="G80" s="167">
        <v>283</v>
      </c>
      <c r="H80" s="166">
        <v>327.7</v>
      </c>
      <c r="I80" s="166">
        <v>12.8</v>
      </c>
      <c r="J80" s="166">
        <v>24.5</v>
      </c>
      <c r="K80" s="179">
        <v>16.3</v>
      </c>
      <c r="L80" s="165">
        <v>16.7</v>
      </c>
      <c r="M80" s="364" t="s">
        <v>375</v>
      </c>
      <c r="N80" s="364" t="s">
        <v>376</v>
      </c>
      <c r="O80" s="165">
        <f t="shared" si="0"/>
        <v>27144.289999999997</v>
      </c>
      <c r="P80" s="180"/>
      <c r="Q80" s="168"/>
      <c r="R80" s="382"/>
      <c r="S80" s="382"/>
      <c r="T80" s="382"/>
      <c r="U80" s="382"/>
      <c r="V80" s="382"/>
      <c r="W80" s="382"/>
      <c r="X80" s="382"/>
      <c r="Y80" s="382"/>
      <c r="Z80" s="382"/>
      <c r="AA80" s="382"/>
      <c r="AB80" s="382"/>
      <c r="AC80" s="382"/>
      <c r="AD80" s="382"/>
    </row>
    <row r="81" spans="1:30" s="111" customFormat="1" ht="12.95" customHeight="1">
      <c r="A81" s="178">
        <v>2008</v>
      </c>
      <c r="B81" s="165">
        <v>68</v>
      </c>
      <c r="C81" s="365" t="s">
        <v>372</v>
      </c>
      <c r="D81" s="165">
        <v>1265.9000000000001</v>
      </c>
      <c r="E81" s="365" t="s">
        <v>373</v>
      </c>
      <c r="F81" s="166">
        <v>116</v>
      </c>
      <c r="G81" s="167">
        <v>302.5</v>
      </c>
      <c r="H81" s="166">
        <v>393.25</v>
      </c>
      <c r="I81" s="166">
        <v>8.6999999999999993</v>
      </c>
      <c r="J81" s="166">
        <v>23</v>
      </c>
      <c r="K81" s="179">
        <v>20.9</v>
      </c>
      <c r="L81" s="165">
        <v>16.8</v>
      </c>
      <c r="M81" s="364" t="s">
        <v>375</v>
      </c>
      <c r="N81" s="364" t="s">
        <v>376</v>
      </c>
      <c r="O81" s="165">
        <f t="shared" si="0"/>
        <v>30104.55</v>
      </c>
      <c r="P81" s="180"/>
      <c r="Q81" s="168"/>
      <c r="R81" s="382"/>
      <c r="S81" s="382"/>
      <c r="T81" s="382"/>
      <c r="U81" s="382"/>
      <c r="V81" s="382"/>
      <c r="W81" s="382"/>
      <c r="X81" s="382"/>
      <c r="Y81" s="382"/>
      <c r="Z81" s="382"/>
      <c r="AA81" s="382"/>
      <c r="AB81" s="382"/>
      <c r="AC81" s="382"/>
      <c r="AD81" s="382"/>
    </row>
    <row r="82" spans="1:30" s="111" customFormat="1" ht="12.95" customHeight="1">
      <c r="A82" s="178">
        <v>2009</v>
      </c>
      <c r="B82" s="165">
        <v>52</v>
      </c>
      <c r="C82" s="365" t="s">
        <v>372</v>
      </c>
      <c r="D82" s="165">
        <v>1400.7</v>
      </c>
      <c r="E82" s="365" t="s">
        <v>373</v>
      </c>
      <c r="F82" s="166">
        <v>298.5</v>
      </c>
      <c r="G82" s="167">
        <v>219.8</v>
      </c>
      <c r="H82" s="166">
        <v>345.65</v>
      </c>
      <c r="I82" s="166">
        <v>9.3000000000000007</v>
      </c>
      <c r="J82" s="166">
        <v>25.6</v>
      </c>
      <c r="K82" s="179">
        <v>23.7</v>
      </c>
      <c r="L82" s="165">
        <v>15.8</v>
      </c>
      <c r="M82" s="364" t="s">
        <v>375</v>
      </c>
      <c r="N82" s="364" t="s">
        <v>376</v>
      </c>
      <c r="O82" s="165">
        <f t="shared" si="0"/>
        <v>29712.070000000003</v>
      </c>
      <c r="P82" s="180"/>
      <c r="Q82" s="168"/>
      <c r="R82" s="382"/>
      <c r="S82" s="382"/>
      <c r="T82" s="382"/>
      <c r="U82" s="382"/>
      <c r="V82" s="382"/>
      <c r="W82" s="382"/>
      <c r="X82" s="382"/>
      <c r="Y82" s="382"/>
      <c r="Z82" s="382"/>
      <c r="AA82" s="382"/>
      <c r="AB82" s="382"/>
      <c r="AC82" s="382"/>
      <c r="AD82" s="382"/>
    </row>
    <row r="83" spans="1:30" s="111" customFormat="1" ht="12.95" customHeight="1">
      <c r="A83" s="178">
        <v>2010</v>
      </c>
      <c r="B83" s="165">
        <v>41</v>
      </c>
      <c r="C83" s="365" t="s">
        <v>372</v>
      </c>
      <c r="D83" s="165">
        <v>1426</v>
      </c>
      <c r="E83" s="364" t="s">
        <v>374</v>
      </c>
      <c r="F83" s="166">
        <v>174.3</v>
      </c>
      <c r="G83" s="167">
        <v>233.2</v>
      </c>
      <c r="H83" s="166">
        <v>340.41</v>
      </c>
      <c r="I83" s="166">
        <v>8.9</v>
      </c>
      <c r="J83" s="166">
        <v>32.700000000000003</v>
      </c>
      <c r="K83" s="179">
        <v>29</v>
      </c>
      <c r="L83" s="165">
        <v>15.1</v>
      </c>
      <c r="M83" s="364" t="s">
        <v>375</v>
      </c>
      <c r="N83" s="364" t="s">
        <v>376</v>
      </c>
      <c r="O83" s="165">
        <f t="shared" si="0"/>
        <v>28355.620000000003</v>
      </c>
      <c r="P83" s="180"/>
      <c r="Q83" s="168"/>
      <c r="R83" s="382"/>
      <c r="S83" s="382"/>
      <c r="T83" s="382"/>
      <c r="U83" s="382"/>
      <c r="V83" s="382"/>
      <c r="W83" s="382"/>
      <c r="X83" s="382"/>
      <c r="Y83" s="382"/>
      <c r="Z83" s="382"/>
      <c r="AA83" s="382"/>
      <c r="AB83" s="382"/>
      <c r="AC83" s="382"/>
      <c r="AD83" s="382"/>
    </row>
    <row r="84" spans="1:30" s="111" customFormat="1" ht="12.95" customHeight="1">
      <c r="A84" s="181">
        <v>2011</v>
      </c>
      <c r="B84" s="170">
        <v>52</v>
      </c>
      <c r="C84" s="365" t="s">
        <v>372</v>
      </c>
      <c r="D84" s="170">
        <v>1450.8</v>
      </c>
      <c r="E84" s="364" t="s">
        <v>374</v>
      </c>
      <c r="F84" s="171">
        <v>263</v>
      </c>
      <c r="G84" s="172">
        <v>225.2</v>
      </c>
      <c r="H84" s="171">
        <v>385.685</v>
      </c>
      <c r="I84" s="171">
        <v>8.6999999999999993</v>
      </c>
      <c r="J84" s="171">
        <v>37.700000000000003</v>
      </c>
      <c r="K84" s="182">
        <v>33.299999999999997</v>
      </c>
      <c r="L84" s="170">
        <v>14.3</v>
      </c>
      <c r="M84" s="364" t="s">
        <v>375</v>
      </c>
      <c r="N84" s="364" t="s">
        <v>376</v>
      </c>
      <c r="O84" s="165">
        <f t="shared" si="0"/>
        <v>29555.14</v>
      </c>
      <c r="P84" s="180"/>
      <c r="Q84" s="168"/>
      <c r="R84" s="382"/>
      <c r="S84" s="382"/>
      <c r="T84" s="382"/>
      <c r="U84" s="382"/>
      <c r="V84" s="382"/>
      <c r="W84" s="382"/>
      <c r="X84" s="382"/>
      <c r="Y84" s="382"/>
      <c r="Z84" s="382"/>
      <c r="AA84" s="382"/>
      <c r="AB84" s="382"/>
      <c r="AC84" s="382"/>
      <c r="AD84" s="382"/>
    </row>
    <row r="85" spans="1:30" s="111" customFormat="1" ht="12.95" customHeight="1">
      <c r="A85" s="178">
        <v>2012</v>
      </c>
      <c r="B85" s="170">
        <v>52</v>
      </c>
      <c r="C85" s="365" t="s">
        <v>372</v>
      </c>
      <c r="D85" s="170">
        <v>1526</v>
      </c>
      <c r="E85" s="364" t="s">
        <v>374</v>
      </c>
      <c r="F85" s="183" t="s">
        <v>395</v>
      </c>
      <c r="G85" s="167">
        <v>188.9</v>
      </c>
      <c r="H85" s="166">
        <v>402.25</v>
      </c>
      <c r="I85" s="183" t="s">
        <v>397</v>
      </c>
      <c r="J85" s="166">
        <v>29.6</v>
      </c>
      <c r="K85" s="179">
        <v>31.1</v>
      </c>
      <c r="L85" s="183" t="s">
        <v>396</v>
      </c>
      <c r="M85" s="364" t="s">
        <v>375</v>
      </c>
      <c r="N85" s="364" t="s">
        <v>376</v>
      </c>
      <c r="O85" s="165">
        <f t="shared" si="0"/>
        <v>28831.792999999998</v>
      </c>
      <c r="Q85" s="168"/>
      <c r="R85" s="382"/>
      <c r="S85" s="382"/>
      <c r="T85" s="382"/>
      <c r="U85" s="382"/>
      <c r="V85" s="382"/>
      <c r="W85" s="382"/>
      <c r="X85" s="382"/>
      <c r="Y85" s="382"/>
      <c r="Z85" s="382"/>
      <c r="AA85" s="382"/>
      <c r="AB85" s="382"/>
      <c r="AC85" s="382"/>
      <c r="AD85" s="382"/>
    </row>
    <row r="86" spans="1:30" s="111" customFormat="1" ht="12.95" customHeight="1">
      <c r="A86" s="178">
        <v>2013</v>
      </c>
      <c r="B86" s="170">
        <v>45</v>
      </c>
      <c r="C86" s="365" t="s">
        <v>372</v>
      </c>
      <c r="D86" s="165">
        <v>1523.5</v>
      </c>
      <c r="E86" s="364" t="s">
        <v>374</v>
      </c>
      <c r="F86" s="183">
        <v>182.92</v>
      </c>
      <c r="G86" s="167">
        <v>162.1</v>
      </c>
      <c r="H86" s="166">
        <v>447.87</v>
      </c>
      <c r="I86" s="183">
        <v>7.25</v>
      </c>
      <c r="J86" s="166">
        <v>27.6</v>
      </c>
      <c r="K86" s="179">
        <v>30.5</v>
      </c>
      <c r="L86" s="170">
        <v>12.1</v>
      </c>
      <c r="M86" s="364" t="s">
        <v>375</v>
      </c>
      <c r="N86" s="364" t="s">
        <v>376</v>
      </c>
      <c r="O86" s="165">
        <f t="shared" si="0"/>
        <v>30117.856000000003</v>
      </c>
      <c r="P86" s="180"/>
      <c r="Q86" s="168"/>
      <c r="R86" s="382"/>
      <c r="S86" s="382"/>
      <c r="T86" s="382"/>
      <c r="U86" s="382"/>
      <c r="V86" s="382"/>
      <c r="W86" s="382"/>
      <c r="X86" s="382"/>
      <c r="Y86" s="382"/>
      <c r="Z86" s="382"/>
      <c r="AA86" s="382"/>
      <c r="AB86" s="382"/>
      <c r="AC86" s="382"/>
      <c r="AD86" s="382"/>
    </row>
    <row r="87" spans="1:30" s="111" customFormat="1" ht="12.95" customHeight="1">
      <c r="A87" s="178">
        <v>2014</v>
      </c>
      <c r="B87" s="170">
        <v>40</v>
      </c>
      <c r="C87" s="365" t="s">
        <v>372</v>
      </c>
      <c r="D87" s="165">
        <v>1511.85</v>
      </c>
      <c r="E87" s="364" t="s">
        <v>374</v>
      </c>
      <c r="F87" s="183">
        <v>172.94</v>
      </c>
      <c r="G87" s="167">
        <v>187.3</v>
      </c>
      <c r="H87" s="166">
        <v>420</v>
      </c>
      <c r="I87" s="183">
        <v>6</v>
      </c>
      <c r="J87" s="166">
        <v>28.5</v>
      </c>
      <c r="K87" s="179">
        <v>33.4</v>
      </c>
      <c r="L87" s="170">
        <v>11.75</v>
      </c>
      <c r="M87" s="364" t="s">
        <v>375</v>
      </c>
      <c r="N87" s="364" t="s">
        <v>376</v>
      </c>
      <c r="O87" s="165">
        <f t="shared" si="0"/>
        <v>28348.397000000004</v>
      </c>
      <c r="P87" s="180"/>
      <c r="Q87" s="168"/>
      <c r="R87" s="382"/>
      <c r="S87" s="382"/>
      <c r="T87" s="382"/>
      <c r="U87" s="382"/>
      <c r="V87" s="382"/>
      <c r="W87" s="382"/>
      <c r="X87" s="382"/>
      <c r="Y87" s="382"/>
      <c r="Z87" s="382"/>
      <c r="AA87" s="382"/>
      <c r="AB87" s="382"/>
      <c r="AC87" s="382"/>
      <c r="AD87" s="382"/>
    </row>
    <row r="88" spans="1:30" s="111" customFormat="1" ht="12.95" customHeight="1">
      <c r="A88" s="178">
        <v>2015</v>
      </c>
      <c r="B88" s="170">
        <v>30</v>
      </c>
      <c r="C88" s="365" t="s">
        <v>372</v>
      </c>
      <c r="D88" s="165">
        <v>1532.8</v>
      </c>
      <c r="E88" s="364" t="s">
        <v>374</v>
      </c>
      <c r="F88" s="183">
        <v>228.99</v>
      </c>
      <c r="G88" s="167">
        <v>159.5</v>
      </c>
      <c r="H88" s="166">
        <v>428.15</v>
      </c>
      <c r="I88" s="183">
        <v>4.5999999999999996</v>
      </c>
      <c r="J88" s="166">
        <v>20.9</v>
      </c>
      <c r="K88" s="179">
        <v>39</v>
      </c>
      <c r="L88" s="170">
        <v>13.65</v>
      </c>
      <c r="M88" s="364" t="s">
        <v>375</v>
      </c>
      <c r="N88" s="364" t="s">
        <v>376</v>
      </c>
      <c r="O88" s="165">
        <f t="shared" si="0"/>
        <v>26800.876999999997</v>
      </c>
      <c r="P88" s="180"/>
      <c r="Q88" s="168"/>
      <c r="R88" s="382"/>
      <c r="S88" s="382"/>
      <c r="T88" s="382"/>
      <c r="U88" s="382"/>
      <c r="V88" s="382"/>
      <c r="W88" s="382"/>
      <c r="X88" s="382"/>
      <c r="Y88" s="382"/>
      <c r="Z88" s="382"/>
      <c r="AA88" s="382"/>
      <c r="AB88" s="382"/>
      <c r="AC88" s="382"/>
      <c r="AD88" s="382"/>
    </row>
    <row r="89" spans="1:30" s="111" customFormat="1" ht="12.95" customHeight="1">
      <c r="A89" s="178">
        <v>2016</v>
      </c>
      <c r="B89" s="170">
        <v>18</v>
      </c>
      <c r="C89" s="365" t="s">
        <v>372</v>
      </c>
      <c r="D89" s="165">
        <v>1480.345</v>
      </c>
      <c r="E89" s="364" t="s">
        <v>374</v>
      </c>
      <c r="F89" s="183">
        <v>138.05000000000001</v>
      </c>
      <c r="G89" s="167">
        <v>151.35</v>
      </c>
      <c r="H89" s="166">
        <v>481.37</v>
      </c>
      <c r="I89" s="183">
        <v>2.8</v>
      </c>
      <c r="J89" s="166">
        <v>28.3</v>
      </c>
      <c r="K89" s="179">
        <v>37.340000000000003</v>
      </c>
      <c r="L89" s="170">
        <v>9.8800000000000008</v>
      </c>
      <c r="M89" s="364" t="s">
        <v>375</v>
      </c>
      <c r="N89" s="364" t="s">
        <v>376</v>
      </c>
      <c r="O89" s="165">
        <f t="shared" si="0"/>
        <v>26929.715</v>
      </c>
      <c r="P89" s="180"/>
      <c r="Q89" s="168"/>
      <c r="R89" s="382"/>
      <c r="S89" s="382"/>
      <c r="T89" s="382"/>
      <c r="U89" s="382"/>
      <c r="V89" s="382"/>
      <c r="W89" s="382"/>
      <c r="X89" s="382"/>
      <c r="Y89" s="382"/>
      <c r="Z89" s="382"/>
      <c r="AA89" s="382"/>
      <c r="AB89" s="382"/>
      <c r="AC89" s="382"/>
      <c r="AD89" s="382"/>
    </row>
    <row r="90" spans="1:30" s="111" customFormat="1" ht="12.95" customHeight="1">
      <c r="A90" s="178">
        <v>2017</v>
      </c>
      <c r="B90" s="470" t="s">
        <v>437</v>
      </c>
      <c r="C90" s="470" t="s">
        <v>438</v>
      </c>
      <c r="D90" s="165">
        <v>1360.4</v>
      </c>
      <c r="E90" s="364" t="s">
        <v>374</v>
      </c>
      <c r="F90" s="183">
        <v>187.68</v>
      </c>
      <c r="G90" s="167">
        <v>141.85</v>
      </c>
      <c r="H90" s="166">
        <v>419.70299999999997</v>
      </c>
      <c r="I90" s="183">
        <v>3.33</v>
      </c>
      <c r="J90" s="166">
        <v>33.6</v>
      </c>
      <c r="K90" s="179">
        <v>43.32</v>
      </c>
      <c r="L90" s="170">
        <v>12.8</v>
      </c>
      <c r="M90" s="364" t="s">
        <v>375</v>
      </c>
      <c r="N90" s="364" t="s">
        <v>376</v>
      </c>
      <c r="O90" s="165">
        <f t="shared" si="0"/>
        <v>25586.153000000002</v>
      </c>
      <c r="P90" s="180"/>
      <c r="Q90" s="168"/>
      <c r="R90" s="382"/>
      <c r="S90" s="382"/>
      <c r="T90" s="382"/>
      <c r="U90" s="382"/>
      <c r="V90" s="382"/>
      <c r="W90" s="382"/>
      <c r="X90" s="382"/>
      <c r="Y90" s="382"/>
      <c r="Z90" s="382"/>
      <c r="AA90" s="382"/>
      <c r="AB90" s="382"/>
      <c r="AC90" s="382"/>
      <c r="AD90" s="382"/>
    </row>
    <row r="91" spans="1:30" s="111" customFormat="1" ht="12.95" customHeight="1">
      <c r="A91" s="184">
        <v>2018</v>
      </c>
      <c r="B91" s="471" t="s">
        <v>437</v>
      </c>
      <c r="C91" s="471" t="s">
        <v>438</v>
      </c>
      <c r="D91" s="186">
        <v>1428.895</v>
      </c>
      <c r="E91" s="367" t="s">
        <v>374</v>
      </c>
      <c r="F91" s="187">
        <v>185.77</v>
      </c>
      <c r="G91" s="188">
        <v>120.5</v>
      </c>
      <c r="H91" s="512">
        <v>446.3</v>
      </c>
      <c r="I91" s="367" t="s">
        <v>376</v>
      </c>
      <c r="J91" s="189">
        <v>37.799999999999997</v>
      </c>
      <c r="K91" s="190">
        <v>41.05</v>
      </c>
      <c r="L91" s="185">
        <v>5.2</v>
      </c>
      <c r="M91" s="367" t="s">
        <v>375</v>
      </c>
      <c r="N91" s="367" t="s">
        <v>376</v>
      </c>
      <c r="O91" s="186">
        <f t="shared" si="0"/>
        <v>23435.735000000001</v>
      </c>
      <c r="P91" s="461"/>
      <c r="Q91" s="168"/>
      <c r="R91" s="382"/>
      <c r="S91" s="382"/>
      <c r="T91" s="382"/>
      <c r="U91" s="382"/>
      <c r="V91" s="382"/>
      <c r="W91" s="382"/>
      <c r="X91" s="382"/>
      <c r="Y91" s="382"/>
      <c r="Z91" s="382"/>
      <c r="AA91" s="382"/>
      <c r="AB91" s="382"/>
      <c r="AC91" s="382"/>
      <c r="AD91" s="382"/>
    </row>
    <row r="92" spans="1:30" s="111" customFormat="1" ht="11.1" customHeight="1">
      <c r="A92" s="191" t="s">
        <v>144</v>
      </c>
      <c r="B92" s="173"/>
      <c r="C92" s="192"/>
      <c r="D92" s="165"/>
      <c r="E92" s="192"/>
      <c r="F92" s="166"/>
      <c r="G92" s="167"/>
      <c r="H92" s="166"/>
      <c r="I92" s="166"/>
      <c r="J92" s="166"/>
      <c r="K92" s="179"/>
      <c r="L92" s="165"/>
      <c r="M92" s="364"/>
      <c r="N92" s="364"/>
      <c r="O92" s="165"/>
      <c r="Q92" s="168"/>
      <c r="R92" s="472"/>
    </row>
    <row r="93" spans="1:30" s="111" customFormat="1" ht="12.95" customHeight="1">
      <c r="A93" s="193" t="s">
        <v>425</v>
      </c>
      <c r="B93" s="114"/>
      <c r="C93" s="114"/>
      <c r="D93" s="114"/>
      <c r="E93" s="114"/>
      <c r="F93" s="114"/>
      <c r="G93" s="114"/>
      <c r="H93" s="114"/>
      <c r="I93" s="114"/>
      <c r="J93" s="114"/>
      <c r="K93" s="114"/>
      <c r="L93" s="114"/>
      <c r="M93" s="114"/>
      <c r="N93" s="114"/>
      <c r="O93" s="114"/>
      <c r="Q93" s="169"/>
      <c r="R93" s="169"/>
      <c r="S93" s="169"/>
      <c r="T93" s="169"/>
    </row>
    <row r="94" spans="1:30" s="111" customFormat="1" ht="12" customHeight="1">
      <c r="A94" s="193" t="s">
        <v>436</v>
      </c>
      <c r="B94" s="114"/>
      <c r="C94" s="114"/>
      <c r="D94" s="114"/>
      <c r="E94" s="114"/>
      <c r="F94" s="114"/>
      <c r="G94" s="114"/>
      <c r="H94" s="114"/>
      <c r="I94" s="114"/>
      <c r="J94" s="114"/>
      <c r="K94" s="114"/>
      <c r="L94" s="114"/>
      <c r="M94" s="114"/>
      <c r="N94" s="114"/>
      <c r="O94" s="114"/>
      <c r="Q94" s="169"/>
      <c r="R94" s="169"/>
      <c r="S94" s="169"/>
      <c r="T94" s="169"/>
    </row>
    <row r="95" spans="1:30" ht="11.1" customHeight="1">
      <c r="A95" s="57" t="s">
        <v>146</v>
      </c>
      <c r="B95" s="194"/>
      <c r="C95" s="194"/>
      <c r="D95" s="194"/>
      <c r="E95" s="194"/>
      <c r="F95" s="194"/>
      <c r="G95" s="194"/>
      <c r="H95" s="194"/>
      <c r="I95" s="194"/>
    </row>
    <row r="96" spans="1:30" ht="10.35" customHeight="1">
      <c r="A96" s="57"/>
      <c r="B96" s="194"/>
      <c r="C96" s="194"/>
      <c r="D96" s="194"/>
      <c r="E96" s="194"/>
      <c r="F96" s="194"/>
      <c r="G96" s="194"/>
      <c r="H96" s="194"/>
      <c r="I96" s="194"/>
    </row>
    <row r="97" spans="1:10" ht="10.35" customHeight="1">
      <c r="A97" s="57"/>
      <c r="B97" s="194"/>
      <c r="C97" s="194"/>
      <c r="D97" s="194"/>
      <c r="E97" s="194"/>
      <c r="F97" s="194"/>
      <c r="G97" s="194"/>
      <c r="H97" s="194"/>
      <c r="I97" s="194"/>
    </row>
    <row r="98" spans="1:10" ht="10.35" customHeight="1">
      <c r="A98" s="57"/>
      <c r="B98" s="194"/>
      <c r="C98" s="194"/>
      <c r="D98" s="194"/>
      <c r="E98" s="194"/>
      <c r="F98" s="194"/>
      <c r="G98" s="194"/>
      <c r="H98" s="194"/>
      <c r="I98" s="194"/>
    </row>
    <row r="99" spans="1:10">
      <c r="A99" s="194"/>
      <c r="B99" s="194"/>
      <c r="C99" s="194"/>
      <c r="D99" s="194"/>
      <c r="E99" s="194"/>
      <c r="F99" s="194"/>
      <c r="G99" s="194"/>
      <c r="H99" s="194"/>
      <c r="I99" s="194"/>
    </row>
    <row r="100" spans="1:10">
      <c r="A100" s="195"/>
      <c r="B100" s="195"/>
      <c r="C100" s="195"/>
      <c r="D100" s="195"/>
      <c r="E100" s="195"/>
      <c r="F100" s="195"/>
      <c r="G100" s="195"/>
      <c r="H100" s="195"/>
      <c r="I100" s="195"/>
      <c r="J100" s="195"/>
    </row>
    <row r="101" spans="1:10">
      <c r="A101" s="195"/>
      <c r="B101" s="195"/>
      <c r="C101" s="195"/>
      <c r="D101" s="195"/>
      <c r="E101" s="195"/>
      <c r="F101" s="195"/>
      <c r="G101" s="195"/>
      <c r="H101" s="195"/>
      <c r="I101" s="195"/>
      <c r="J101" s="195"/>
    </row>
    <row r="102" spans="1:10">
      <c r="A102" s="195"/>
      <c r="B102" s="195"/>
      <c r="C102" s="195"/>
      <c r="D102" s="195"/>
      <c r="E102" s="195"/>
      <c r="F102" s="195"/>
      <c r="G102" s="195"/>
      <c r="H102" s="195"/>
      <c r="I102" s="195"/>
      <c r="J102" s="195"/>
    </row>
  </sheetData>
  <pageMargins left="0.66700000000000004" right="0.66700000000000004" top="0.66700000000000004" bottom="0.72" header="0" footer="0"/>
  <pageSetup scale="67" firstPageNumber="26" orientation="portrait" useFirstPageNumber="1" r:id="rId1"/>
  <headerFooter alignWithMargins="0"/>
  <ignoredErrors>
    <ignoredError sqref="A8:A32 A40:A41 O31:O46 C80:C90 E80:E90 M63:M87 N71:N87 M88:N88 M89:N89 M90:N90 B90 B91:E91 M91:N91 J46 I91" numberStoredAsText="1"/>
    <ignoredError sqref="O53:O69" formulaRange="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L54"/>
  <sheetViews>
    <sheetView showGridLines="0" zoomScaleNormal="100" workbookViewId="0">
      <selection activeCell="R38" sqref="R38"/>
    </sheetView>
  </sheetViews>
  <sheetFormatPr defaultColWidth="9.7109375" defaultRowHeight="12"/>
  <cols>
    <col min="1" max="1" width="13.7109375" style="44" customWidth="1"/>
    <col min="2" max="3" width="17" style="44" customWidth="1"/>
    <col min="4" max="6" width="10.5703125" style="44" customWidth="1"/>
    <col min="7" max="7" width="2.7109375" style="44" customWidth="1"/>
    <col min="8" max="9" width="10.5703125" style="44" customWidth="1"/>
    <col min="10" max="10" width="13.140625" style="44" customWidth="1"/>
    <col min="11" max="16384" width="9.7109375" style="44"/>
  </cols>
  <sheetData>
    <row r="1" spans="1:10" s="106" customFormat="1" ht="10.15" customHeight="1">
      <c r="A1" s="42" t="s">
        <v>152</v>
      </c>
      <c r="B1" s="43"/>
      <c r="C1" s="43"/>
      <c r="D1" s="43"/>
      <c r="E1" s="43"/>
      <c r="F1" s="43"/>
      <c r="G1" s="71"/>
      <c r="H1" s="43"/>
      <c r="I1" s="43"/>
      <c r="J1" s="43"/>
    </row>
    <row r="2" spans="1:10" s="106" customFormat="1" ht="10.15" customHeight="1">
      <c r="A2" s="53"/>
      <c r="B2" s="47" t="s">
        <v>153</v>
      </c>
      <c r="C2" s="47" t="s">
        <v>153</v>
      </c>
      <c r="D2" s="196" t="s">
        <v>154</v>
      </c>
      <c r="E2" s="197"/>
      <c r="F2" s="196"/>
      <c r="G2" s="46"/>
      <c r="H2" s="198" t="s">
        <v>155</v>
      </c>
      <c r="I2" s="197"/>
      <c r="J2" s="198"/>
    </row>
    <row r="3" spans="1:10" s="106" customFormat="1" ht="10.15" customHeight="1">
      <c r="A3" s="57" t="s">
        <v>107</v>
      </c>
      <c r="B3" s="47" t="s">
        <v>156</v>
      </c>
      <c r="C3" s="47" t="s">
        <v>156</v>
      </c>
      <c r="D3" s="47" t="s">
        <v>157</v>
      </c>
      <c r="E3" s="47" t="s">
        <v>158</v>
      </c>
      <c r="F3" s="47" t="s">
        <v>159</v>
      </c>
      <c r="G3" s="53"/>
      <c r="H3" s="47" t="s">
        <v>160</v>
      </c>
      <c r="I3" s="47" t="s">
        <v>157</v>
      </c>
      <c r="J3" s="47" t="s">
        <v>161</v>
      </c>
    </row>
    <row r="4" spans="1:10" s="106" customFormat="1" ht="12.95" customHeight="1">
      <c r="A4" s="43"/>
      <c r="B4" s="77" t="s">
        <v>162</v>
      </c>
      <c r="C4" s="77" t="s">
        <v>163</v>
      </c>
      <c r="D4" s="77" t="s">
        <v>164</v>
      </c>
      <c r="E4" s="77" t="s">
        <v>165</v>
      </c>
      <c r="F4" s="78" t="s">
        <v>166</v>
      </c>
      <c r="G4" s="43"/>
      <c r="H4" s="78" t="s">
        <v>167</v>
      </c>
      <c r="I4" s="77" t="s">
        <v>165</v>
      </c>
      <c r="J4" s="78" t="s">
        <v>168</v>
      </c>
    </row>
    <row r="5" spans="1:10" s="106" customFormat="1" ht="3.95" customHeight="1">
      <c r="A5" s="46"/>
      <c r="B5" s="52"/>
      <c r="C5" s="52"/>
      <c r="D5" s="52"/>
      <c r="E5" s="52"/>
      <c r="F5" s="79"/>
      <c r="G5" s="46"/>
      <c r="H5" s="79"/>
      <c r="I5" s="52"/>
      <c r="J5" s="79"/>
    </row>
    <row r="6" spans="1:10" s="201" customFormat="1" ht="10.15" customHeight="1">
      <c r="A6" s="80"/>
      <c r="B6" s="199" t="s">
        <v>409</v>
      </c>
      <c r="C6" s="199" t="s">
        <v>410</v>
      </c>
      <c r="D6" s="54" t="s">
        <v>407</v>
      </c>
      <c r="E6" s="200"/>
      <c r="F6" s="82"/>
      <c r="G6" s="80"/>
      <c r="H6" s="54" t="s">
        <v>408</v>
      </c>
      <c r="I6" s="200"/>
      <c r="J6" s="82"/>
    </row>
    <row r="7" spans="1:10" s="106" customFormat="1" ht="3" customHeight="1">
      <c r="A7" s="53"/>
      <c r="B7" s="53"/>
      <c r="C7" s="53"/>
      <c r="D7" s="53"/>
      <c r="E7" s="53"/>
      <c r="F7" s="53"/>
      <c r="G7" s="53"/>
      <c r="H7" s="53"/>
      <c r="I7" s="53"/>
      <c r="J7" s="53"/>
    </row>
    <row r="8" spans="1:10" s="106" customFormat="1" ht="10.15" customHeight="1">
      <c r="A8" s="57">
        <v>1980</v>
      </c>
      <c r="B8" s="202">
        <v>73</v>
      </c>
      <c r="C8" s="376" t="s">
        <v>415</v>
      </c>
      <c r="D8" s="203">
        <v>100.3</v>
      </c>
      <c r="E8" s="203">
        <v>97.4</v>
      </c>
      <c r="F8" s="203">
        <v>90.3</v>
      </c>
      <c r="G8" s="203"/>
      <c r="H8" s="203">
        <v>79.900000000000006</v>
      </c>
      <c r="I8" s="203">
        <v>84.8</v>
      </c>
      <c r="J8" s="203">
        <v>82.1</v>
      </c>
    </row>
    <row r="9" spans="1:10" s="106" customFormat="1" ht="10.15" customHeight="1">
      <c r="A9" s="57">
        <v>1981</v>
      </c>
      <c r="B9" s="202">
        <v>76</v>
      </c>
      <c r="C9" s="376" t="s">
        <v>415</v>
      </c>
      <c r="D9" s="203">
        <v>96.6</v>
      </c>
      <c r="E9" s="203">
        <v>99.1</v>
      </c>
      <c r="F9" s="203">
        <v>96.6</v>
      </c>
      <c r="G9" s="203"/>
      <c r="H9" s="203">
        <v>100</v>
      </c>
      <c r="I9" s="203">
        <v>89.4</v>
      </c>
      <c r="J9" s="203">
        <v>91.7</v>
      </c>
    </row>
    <row r="10" spans="1:10" s="106" customFormat="1" ht="10.15" customHeight="1">
      <c r="A10" s="57">
        <v>1982</v>
      </c>
      <c r="B10" s="202">
        <v>78</v>
      </c>
      <c r="C10" s="376" t="s">
        <v>415</v>
      </c>
      <c r="D10" s="203">
        <v>100</v>
      </c>
      <c r="E10" s="203">
        <v>100</v>
      </c>
      <c r="F10" s="203">
        <v>100</v>
      </c>
      <c r="G10" s="203"/>
      <c r="H10" s="203">
        <v>100</v>
      </c>
      <c r="I10" s="203">
        <v>99.3</v>
      </c>
      <c r="J10" s="203">
        <v>96.7</v>
      </c>
    </row>
    <row r="11" spans="1:10" s="106" customFormat="1" ht="10.15" customHeight="1">
      <c r="A11" s="57">
        <v>1983</v>
      </c>
      <c r="B11" s="202">
        <v>71</v>
      </c>
      <c r="C11" s="376" t="s">
        <v>415</v>
      </c>
      <c r="D11" s="203">
        <v>106.4</v>
      </c>
      <c r="E11" s="203">
        <v>100</v>
      </c>
      <c r="F11" s="203">
        <v>101</v>
      </c>
      <c r="G11" s="203"/>
      <c r="H11" s="203">
        <v>98.7</v>
      </c>
      <c r="I11" s="203">
        <v>95.1</v>
      </c>
      <c r="J11" s="203">
        <v>98.1</v>
      </c>
    </row>
    <row r="12" spans="1:10" s="106" customFormat="1" ht="10.15" customHeight="1">
      <c r="A12" s="57">
        <v>1984</v>
      </c>
      <c r="B12" s="202">
        <v>85</v>
      </c>
      <c r="C12" s="376" t="s">
        <v>415</v>
      </c>
      <c r="D12" s="203">
        <v>106.8</v>
      </c>
      <c r="E12" s="203">
        <v>94.4</v>
      </c>
      <c r="F12" s="203">
        <v>110.1</v>
      </c>
      <c r="G12" s="203"/>
      <c r="H12" s="203">
        <v>114.8</v>
      </c>
      <c r="I12" s="203">
        <v>105.6</v>
      </c>
      <c r="J12" s="203">
        <v>105.2</v>
      </c>
    </row>
    <row r="13" spans="1:10" s="106" customFormat="1" ht="10.15" customHeight="1">
      <c r="A13" s="57">
        <v>1985</v>
      </c>
      <c r="B13" s="202">
        <v>84</v>
      </c>
      <c r="C13" s="376" t="s">
        <v>415</v>
      </c>
      <c r="D13" s="203">
        <v>108.1</v>
      </c>
      <c r="E13" s="203">
        <v>88.7</v>
      </c>
      <c r="F13" s="203">
        <v>113.8</v>
      </c>
      <c r="G13" s="203"/>
      <c r="H13" s="203">
        <v>118.5</v>
      </c>
      <c r="I13" s="203">
        <v>116.3</v>
      </c>
      <c r="J13" s="203">
        <v>109.5</v>
      </c>
    </row>
    <row r="14" spans="1:10" s="106" customFormat="1" ht="3" customHeight="1">
      <c r="A14" s="57"/>
      <c r="B14" s="202"/>
      <c r="C14" s="376"/>
      <c r="D14" s="203"/>
      <c r="E14" s="203"/>
      <c r="F14" s="203"/>
      <c r="G14" s="203"/>
      <c r="H14" s="203"/>
      <c r="I14" s="203"/>
      <c r="J14" s="203"/>
    </row>
    <row r="15" spans="1:10" s="106" customFormat="1" ht="10.15" customHeight="1">
      <c r="A15" s="57">
        <v>1986</v>
      </c>
      <c r="B15" s="202">
        <v>83</v>
      </c>
      <c r="C15" s="376" t="s">
        <v>415</v>
      </c>
      <c r="D15" s="203">
        <v>112.9</v>
      </c>
      <c r="E15" s="203">
        <v>91.9</v>
      </c>
      <c r="F15" s="203">
        <v>111</v>
      </c>
      <c r="G15" s="203"/>
      <c r="H15" s="203">
        <v>103</v>
      </c>
      <c r="I15" s="203">
        <v>118.7</v>
      </c>
      <c r="J15" s="203">
        <v>106.3</v>
      </c>
    </row>
    <row r="16" spans="1:10" s="106" customFormat="1" ht="10.15" customHeight="1">
      <c r="A16" s="57">
        <v>1987</v>
      </c>
      <c r="B16" s="202">
        <v>93</v>
      </c>
      <c r="C16" s="376" t="s">
        <v>415</v>
      </c>
      <c r="D16" s="203">
        <v>112</v>
      </c>
      <c r="E16" s="203">
        <v>95</v>
      </c>
      <c r="F16" s="203">
        <v>115.4</v>
      </c>
      <c r="G16" s="203"/>
      <c r="H16" s="203">
        <v>113.3</v>
      </c>
      <c r="I16" s="203">
        <v>132</v>
      </c>
      <c r="J16" s="203">
        <v>110.6</v>
      </c>
    </row>
    <row r="17" spans="1:12" s="106" customFormat="1" ht="10.15" customHeight="1">
      <c r="A17" s="57">
        <v>1988</v>
      </c>
      <c r="B17" s="202">
        <v>96</v>
      </c>
      <c r="C17" s="376" t="s">
        <v>415</v>
      </c>
      <c r="D17" s="203">
        <v>113.5</v>
      </c>
      <c r="E17" s="203">
        <v>98.9</v>
      </c>
      <c r="F17" s="203">
        <v>120.3</v>
      </c>
      <c r="G17" s="203"/>
      <c r="H17" s="203">
        <v>130</v>
      </c>
      <c r="I17" s="203">
        <v>143</v>
      </c>
      <c r="J17" s="203">
        <v>121.9</v>
      </c>
    </row>
    <row r="18" spans="1:12" s="106" customFormat="1" ht="10.15" customHeight="1">
      <c r="A18" s="57">
        <v>1989</v>
      </c>
      <c r="B18" s="202">
        <v>99</v>
      </c>
      <c r="C18" s="376" t="s">
        <v>415</v>
      </c>
      <c r="D18" s="203">
        <v>113.2</v>
      </c>
      <c r="E18" s="203">
        <v>103.1</v>
      </c>
      <c r="F18" s="203">
        <v>122.6</v>
      </c>
      <c r="G18" s="203"/>
      <c r="H18" s="203">
        <v>124.5</v>
      </c>
      <c r="I18" s="203">
        <v>152.4</v>
      </c>
      <c r="J18" s="203">
        <v>125.9</v>
      </c>
    </row>
    <row r="19" spans="1:12" s="106" customFormat="1" ht="10.15" customHeight="1">
      <c r="A19" s="57">
        <v>1990</v>
      </c>
      <c r="B19" s="202">
        <v>97</v>
      </c>
      <c r="C19" s="377">
        <v>63</v>
      </c>
      <c r="D19" s="203">
        <v>118.1</v>
      </c>
      <c r="E19" s="203">
        <v>107</v>
      </c>
      <c r="F19" s="203">
        <v>126.9</v>
      </c>
      <c r="G19" s="203"/>
      <c r="H19" s="203">
        <v>138.9</v>
      </c>
      <c r="I19" s="203">
        <v>172.47499999999999</v>
      </c>
      <c r="J19" s="203">
        <v>136.9</v>
      </c>
      <c r="K19" s="205"/>
    </row>
    <row r="20" spans="1:12" s="106" customFormat="1" ht="10.15" customHeight="1">
      <c r="A20" s="57">
        <v>1991</v>
      </c>
      <c r="B20" s="202">
        <v>112</v>
      </c>
      <c r="C20" s="204">
        <v>59</v>
      </c>
      <c r="D20" s="203">
        <v>129.9</v>
      </c>
      <c r="E20" s="203">
        <v>107.2</v>
      </c>
      <c r="F20" s="203">
        <v>128.6</v>
      </c>
      <c r="G20" s="203"/>
      <c r="H20" s="203">
        <v>132.85833333333332</v>
      </c>
      <c r="I20" s="203">
        <v>193.67500000000001</v>
      </c>
      <c r="J20" s="203">
        <v>126.09166666666668</v>
      </c>
      <c r="K20" s="205"/>
    </row>
    <row r="21" spans="1:12" s="106" customFormat="1" ht="10.15" customHeight="1">
      <c r="A21" s="57">
        <v>1992</v>
      </c>
      <c r="B21" s="202">
        <v>98.75</v>
      </c>
      <c r="C21" s="204">
        <v>60</v>
      </c>
      <c r="D21" s="203">
        <v>84</v>
      </c>
      <c r="E21" s="203">
        <v>109.9</v>
      </c>
      <c r="F21" s="203">
        <v>134.6</v>
      </c>
      <c r="G21" s="203"/>
      <c r="H21" s="203">
        <v>139.07499999999999</v>
      </c>
      <c r="I21" s="203">
        <v>185.24166666666667</v>
      </c>
      <c r="J21" s="203">
        <v>130.95833333333334</v>
      </c>
      <c r="K21" s="205"/>
    </row>
    <row r="22" spans="1:12" s="106" customFormat="1" ht="10.15" customHeight="1">
      <c r="A22" s="57">
        <v>1993</v>
      </c>
      <c r="B22" s="202">
        <v>92.5</v>
      </c>
      <c r="C22" s="204">
        <v>65</v>
      </c>
      <c r="D22" s="203">
        <v>84.5</v>
      </c>
      <c r="E22" s="203">
        <v>113</v>
      </c>
      <c r="F22" s="203">
        <v>126.1</v>
      </c>
      <c r="G22" s="203"/>
      <c r="H22" s="203">
        <v>131.60833333333338</v>
      </c>
      <c r="I22" s="203">
        <v>189.2</v>
      </c>
      <c r="J22" s="203">
        <v>132.85</v>
      </c>
      <c r="K22" s="205"/>
    </row>
    <row r="23" spans="1:12" s="106" customFormat="1" ht="10.15" customHeight="1">
      <c r="A23" s="57">
        <v>1994</v>
      </c>
      <c r="B23" s="202">
        <v>90.416666666666671</v>
      </c>
      <c r="C23" s="204">
        <v>66</v>
      </c>
      <c r="D23" s="203">
        <v>82.7</v>
      </c>
      <c r="E23" s="203">
        <v>116.1</v>
      </c>
      <c r="F23" s="203">
        <v>125.97</v>
      </c>
      <c r="G23" s="203"/>
      <c r="H23" s="203">
        <v>132.25</v>
      </c>
      <c r="I23" s="203">
        <v>203.21666666666667</v>
      </c>
      <c r="J23" s="203">
        <v>134.25</v>
      </c>
      <c r="K23" s="205"/>
    </row>
    <row r="24" spans="1:12" s="106" customFormat="1" ht="10.15" customHeight="1">
      <c r="A24" s="51">
        <v>1995</v>
      </c>
      <c r="B24" s="202">
        <v>97.416666666666671</v>
      </c>
      <c r="C24" s="204">
        <v>59</v>
      </c>
      <c r="D24" s="206">
        <v>85.6</v>
      </c>
      <c r="E24" s="206">
        <v>116.1</v>
      </c>
      <c r="F24" s="206">
        <v>129.41999999999999</v>
      </c>
      <c r="G24" s="206"/>
      <c r="H24" s="203">
        <v>136.65</v>
      </c>
      <c r="I24" s="203">
        <v>200.29166666666666</v>
      </c>
      <c r="J24" s="203">
        <v>137.02500000000001</v>
      </c>
      <c r="K24" s="205"/>
    </row>
    <row r="25" spans="1:12" s="106" customFormat="1" ht="10.15" customHeight="1">
      <c r="A25" s="51">
        <v>1996</v>
      </c>
      <c r="B25" s="202">
        <v>117.91666666666667</v>
      </c>
      <c r="C25" s="204">
        <v>71</v>
      </c>
      <c r="D25" s="206">
        <v>100.8</v>
      </c>
      <c r="E25" s="206">
        <v>119.1</v>
      </c>
      <c r="F25" s="206">
        <v>137.5</v>
      </c>
      <c r="G25" s="206"/>
      <c r="H25" s="203">
        <v>83.575000000000003</v>
      </c>
      <c r="I25" s="203">
        <v>234.42500000000001</v>
      </c>
      <c r="J25" s="203">
        <v>83.125</v>
      </c>
      <c r="K25" s="205"/>
    </row>
    <row r="26" spans="1:12" s="106" customFormat="1" ht="10.15" customHeight="1">
      <c r="A26" s="51">
        <v>1997</v>
      </c>
      <c r="B26" s="202">
        <v>110.25</v>
      </c>
      <c r="C26" s="204">
        <v>66</v>
      </c>
      <c r="D26" s="206">
        <v>99.4</v>
      </c>
      <c r="E26" s="206">
        <v>123.3</v>
      </c>
      <c r="F26" s="206">
        <v>138.1</v>
      </c>
      <c r="G26" s="207"/>
      <c r="H26" s="203">
        <v>148.24166666666667</v>
      </c>
      <c r="I26" s="203">
        <v>236.3</v>
      </c>
      <c r="J26" s="203">
        <v>148.54166666666666</v>
      </c>
      <c r="K26" s="205"/>
    </row>
    <row r="27" spans="1:12" s="106" customFormat="1" ht="10.15" customHeight="1">
      <c r="A27" s="51">
        <v>1998</v>
      </c>
      <c r="B27" s="202">
        <v>111</v>
      </c>
      <c r="C27" s="204">
        <v>67</v>
      </c>
      <c r="D27" s="206">
        <v>90.5</v>
      </c>
      <c r="E27" s="206">
        <v>121.8</v>
      </c>
      <c r="F27" s="206">
        <v>134.26249999999999</v>
      </c>
      <c r="G27" s="207"/>
      <c r="H27" s="203">
        <v>101.45833333333333</v>
      </c>
      <c r="I27" s="203">
        <v>246.50833333333333</v>
      </c>
      <c r="J27" s="203">
        <v>101.93333333333334</v>
      </c>
      <c r="K27" s="205"/>
    </row>
    <row r="28" spans="1:12" s="106" customFormat="1" ht="10.15" customHeight="1">
      <c r="A28" s="51">
        <v>1999</v>
      </c>
      <c r="B28" s="202">
        <v>115</v>
      </c>
      <c r="C28" s="204">
        <v>69</v>
      </c>
      <c r="D28" s="206">
        <v>103.6</v>
      </c>
      <c r="E28" s="206">
        <v>122.9</v>
      </c>
      <c r="F28" s="206">
        <v>137.00416666666666</v>
      </c>
      <c r="G28" s="207"/>
      <c r="H28" s="203">
        <v>106.1</v>
      </c>
      <c r="I28" s="203">
        <v>266.25833333333338</v>
      </c>
      <c r="J28" s="203">
        <v>105.41666666666667</v>
      </c>
      <c r="K28" s="205"/>
    </row>
    <row r="29" spans="1:12" s="106" customFormat="1" ht="10.15" customHeight="1">
      <c r="A29" s="208">
        <v>2000</v>
      </c>
      <c r="B29" s="209">
        <v>98</v>
      </c>
      <c r="C29" s="204">
        <v>59</v>
      </c>
      <c r="D29" s="206">
        <v>91.4</v>
      </c>
      <c r="E29" s="206">
        <v>122.4</v>
      </c>
      <c r="F29" s="206">
        <v>139.47916666666669</v>
      </c>
      <c r="G29" s="207"/>
      <c r="H29" s="203">
        <v>108.9</v>
      </c>
      <c r="I29" s="203">
        <v>258.34166666666664</v>
      </c>
      <c r="J29" s="203">
        <v>106.85833333333333</v>
      </c>
      <c r="K29" s="205"/>
      <c r="L29" s="60"/>
    </row>
    <row r="30" spans="1:12" s="106" customFormat="1" ht="10.15" customHeight="1">
      <c r="A30" s="208">
        <v>2001</v>
      </c>
      <c r="B30" s="209">
        <v>109</v>
      </c>
      <c r="C30" s="204">
        <v>65</v>
      </c>
      <c r="D30" s="206">
        <v>97.7</v>
      </c>
      <c r="E30" s="206">
        <v>120.3</v>
      </c>
      <c r="F30" s="206">
        <v>143.30833333333334</v>
      </c>
      <c r="G30" s="207"/>
      <c r="H30" s="203">
        <v>111.9</v>
      </c>
      <c r="I30" s="203">
        <v>265.08333333333331</v>
      </c>
      <c r="J30" s="203">
        <v>108.95</v>
      </c>
      <c r="K30" s="205"/>
      <c r="L30" s="60"/>
    </row>
    <row r="31" spans="1:12" s="106" customFormat="1" ht="10.15" customHeight="1">
      <c r="A31" s="208">
        <v>2002</v>
      </c>
      <c r="B31" s="209">
        <v>105</v>
      </c>
      <c r="C31" s="204">
        <v>63</v>
      </c>
      <c r="D31" s="206">
        <v>91.5</v>
      </c>
      <c r="E31" s="206">
        <v>120.7</v>
      </c>
      <c r="F31" s="206">
        <v>141.69999999999999</v>
      </c>
      <c r="G31" s="207"/>
      <c r="H31" s="203">
        <v>112.5</v>
      </c>
      <c r="I31" s="203">
        <v>270.24166666666673</v>
      </c>
      <c r="J31" s="203">
        <v>111.6</v>
      </c>
      <c r="K31" s="205"/>
      <c r="L31" s="60"/>
    </row>
    <row r="32" spans="1:12" s="106" customFormat="1" ht="10.15" customHeight="1">
      <c r="A32" s="208">
        <v>2003</v>
      </c>
      <c r="B32" s="209">
        <v>106</v>
      </c>
      <c r="C32" s="204">
        <v>64</v>
      </c>
      <c r="D32" s="206">
        <v>84.1</v>
      </c>
      <c r="E32" s="206">
        <v>122.1</v>
      </c>
      <c r="F32" s="206">
        <v>142.32499999999999</v>
      </c>
      <c r="G32" s="207"/>
      <c r="H32" s="206">
        <v>115.7</v>
      </c>
      <c r="I32" s="206">
        <v>279.125</v>
      </c>
      <c r="J32" s="206">
        <v>113.7</v>
      </c>
      <c r="K32" s="205"/>
      <c r="L32" s="60"/>
    </row>
    <row r="33" spans="1:12" s="106" customFormat="1" ht="12" customHeight="1">
      <c r="A33" s="208">
        <v>2004</v>
      </c>
      <c r="B33" s="209">
        <v>124</v>
      </c>
      <c r="C33" s="204">
        <v>74</v>
      </c>
      <c r="D33" s="206">
        <v>104.9</v>
      </c>
      <c r="E33" s="365" t="s">
        <v>377</v>
      </c>
      <c r="F33" s="206">
        <v>143.1</v>
      </c>
      <c r="G33" s="207"/>
      <c r="H33" s="206">
        <v>113.3</v>
      </c>
      <c r="I33" s="206">
        <v>286.8</v>
      </c>
      <c r="J33" s="206">
        <v>114</v>
      </c>
      <c r="K33" s="205"/>
      <c r="L33" s="60"/>
    </row>
    <row r="34" spans="1:12" s="106" customFormat="1" ht="12" customHeight="1">
      <c r="A34" s="208">
        <v>2005</v>
      </c>
      <c r="B34" s="209">
        <v>128</v>
      </c>
      <c r="C34" s="204">
        <v>77</v>
      </c>
      <c r="D34" s="206">
        <v>102.8</v>
      </c>
      <c r="E34" s="365" t="s">
        <v>377</v>
      </c>
      <c r="F34" s="206">
        <v>148.1</v>
      </c>
      <c r="G34" s="207"/>
      <c r="H34" s="206">
        <v>112.4</v>
      </c>
      <c r="I34" s="206">
        <v>297.43333333333334</v>
      </c>
      <c r="J34" s="206">
        <v>118.375</v>
      </c>
      <c r="K34" s="205"/>
      <c r="L34" s="60"/>
    </row>
    <row r="35" spans="1:12" s="106" customFormat="1" ht="12" customHeight="1">
      <c r="A35" s="208">
        <v>2006</v>
      </c>
      <c r="B35" s="209">
        <v>154</v>
      </c>
      <c r="C35" s="204">
        <v>92.2</v>
      </c>
      <c r="D35" s="206">
        <v>111</v>
      </c>
      <c r="E35" s="365" t="s">
        <v>377</v>
      </c>
      <c r="F35" s="206">
        <v>153</v>
      </c>
      <c r="G35" s="207"/>
      <c r="H35" s="206">
        <v>119.7</v>
      </c>
      <c r="I35" s="206">
        <v>315.2</v>
      </c>
      <c r="J35" s="206">
        <v>121.5</v>
      </c>
      <c r="K35" s="205"/>
      <c r="L35" s="60"/>
    </row>
    <row r="36" spans="1:12" s="106" customFormat="1" ht="12" customHeight="1">
      <c r="A36" s="210">
        <v>2007</v>
      </c>
      <c r="B36" s="211">
        <v>158</v>
      </c>
      <c r="C36" s="204">
        <v>94.7</v>
      </c>
      <c r="D36" s="212">
        <v>123.4</v>
      </c>
      <c r="E36" s="365" t="s">
        <v>377</v>
      </c>
      <c r="F36" s="212">
        <v>169.3</v>
      </c>
      <c r="G36" s="213"/>
      <c r="H36" s="212">
        <v>138.49</v>
      </c>
      <c r="I36" s="212">
        <v>329.5051666666667</v>
      </c>
      <c r="J36" s="212">
        <v>125.2</v>
      </c>
      <c r="K36" s="205"/>
      <c r="L36" s="60"/>
    </row>
    <row r="37" spans="1:12" s="106" customFormat="1" ht="12" customHeight="1">
      <c r="A37" s="208">
        <v>2008</v>
      </c>
      <c r="B37" s="209">
        <v>149</v>
      </c>
      <c r="C37" s="204">
        <v>89.1</v>
      </c>
      <c r="D37" s="206">
        <v>122.9</v>
      </c>
      <c r="E37" s="365" t="s">
        <v>377</v>
      </c>
      <c r="F37" s="206">
        <v>179</v>
      </c>
      <c r="G37" s="207"/>
      <c r="H37" s="206">
        <v>146.732</v>
      </c>
      <c r="I37" s="206">
        <v>345.4</v>
      </c>
      <c r="J37" s="206">
        <v>135.6</v>
      </c>
      <c r="K37" s="220"/>
      <c r="L37" s="60"/>
    </row>
    <row r="38" spans="1:12" s="106" customFormat="1" ht="12" customHeight="1">
      <c r="A38" s="208">
        <v>2009</v>
      </c>
      <c r="B38" s="209">
        <v>140</v>
      </c>
      <c r="C38" s="204">
        <v>83.9</v>
      </c>
      <c r="D38" s="206">
        <v>110.4</v>
      </c>
      <c r="E38" s="365" t="s">
        <v>377</v>
      </c>
      <c r="F38" s="206">
        <v>186.9</v>
      </c>
      <c r="G38" s="207"/>
      <c r="H38" s="206">
        <v>150.51599999999999</v>
      </c>
      <c r="I38" s="206">
        <v>324.39999999999998</v>
      </c>
      <c r="J38" s="206">
        <v>142.80000000000001</v>
      </c>
      <c r="K38" s="220"/>
      <c r="L38" s="60"/>
    </row>
    <row r="39" spans="1:12" s="106" customFormat="1" ht="12" customHeight="1">
      <c r="A39" s="208">
        <v>2010</v>
      </c>
      <c r="B39" s="209">
        <v>148</v>
      </c>
      <c r="C39" s="209">
        <v>88.5</v>
      </c>
      <c r="D39" s="206">
        <v>123.8</v>
      </c>
      <c r="E39" s="365" t="s">
        <v>377</v>
      </c>
      <c r="F39" s="206">
        <v>187.3</v>
      </c>
      <c r="G39" s="207"/>
      <c r="H39" s="206">
        <v>148.65199999999999</v>
      </c>
      <c r="I39" s="206">
        <v>322.3</v>
      </c>
      <c r="J39" s="206">
        <v>141</v>
      </c>
      <c r="K39" s="220"/>
      <c r="L39" s="60"/>
    </row>
    <row r="40" spans="1:12" s="106" customFormat="1" ht="12" customHeight="1">
      <c r="A40" s="208">
        <v>2011</v>
      </c>
      <c r="B40" s="209">
        <v>169</v>
      </c>
      <c r="C40" s="209">
        <v>100</v>
      </c>
      <c r="D40" s="206">
        <v>117.7</v>
      </c>
      <c r="E40" s="365" t="s">
        <v>377</v>
      </c>
      <c r="F40" s="206">
        <v>195.4</v>
      </c>
      <c r="G40" s="207"/>
      <c r="H40" s="212">
        <v>160.02099999999999</v>
      </c>
      <c r="I40" s="206">
        <v>333.1</v>
      </c>
      <c r="J40" s="206">
        <v>146</v>
      </c>
      <c r="K40" s="220"/>
      <c r="L40" s="60"/>
    </row>
    <row r="41" spans="1:12" s="106" customFormat="1" ht="12" customHeight="1">
      <c r="A41" s="208">
        <v>2012</v>
      </c>
      <c r="B41" s="209">
        <v>189</v>
      </c>
      <c r="C41" s="209">
        <v>112.4</v>
      </c>
      <c r="D41" s="206">
        <v>119</v>
      </c>
      <c r="E41" s="365" t="s">
        <v>377</v>
      </c>
      <c r="F41" s="206">
        <v>203.8</v>
      </c>
      <c r="G41" s="207"/>
      <c r="H41" s="212">
        <v>168.851</v>
      </c>
      <c r="I41" s="206">
        <v>336.6</v>
      </c>
      <c r="J41" s="206">
        <v>150.4</v>
      </c>
      <c r="K41" s="220"/>
      <c r="L41" s="60"/>
    </row>
    <row r="42" spans="1:12" s="106" customFormat="1" ht="12" customHeight="1">
      <c r="A42" s="208">
        <v>2013</v>
      </c>
      <c r="B42" s="378" t="s">
        <v>415</v>
      </c>
      <c r="C42" s="209">
        <v>119.1</v>
      </c>
      <c r="D42" s="206">
        <v>121.2</v>
      </c>
      <c r="E42" s="365" t="s">
        <v>377</v>
      </c>
      <c r="F42" s="206">
        <v>206.4</v>
      </c>
      <c r="G42" s="207"/>
      <c r="H42" s="212">
        <v>170.268</v>
      </c>
      <c r="I42" s="206">
        <v>343.2</v>
      </c>
      <c r="J42" s="206">
        <v>154.5</v>
      </c>
      <c r="K42" s="220"/>
      <c r="L42" s="60"/>
    </row>
    <row r="43" spans="1:12" s="106" customFormat="1" ht="12" customHeight="1">
      <c r="A43" s="208">
        <v>2014</v>
      </c>
      <c r="B43" s="378" t="s">
        <v>415</v>
      </c>
      <c r="C43" s="209">
        <v>136.30000000000001</v>
      </c>
      <c r="D43" s="206">
        <v>124.5</v>
      </c>
      <c r="E43" s="365" t="s">
        <v>377</v>
      </c>
      <c r="F43" s="206">
        <v>208.7</v>
      </c>
      <c r="G43" s="207"/>
      <c r="H43" s="212">
        <v>172.667</v>
      </c>
      <c r="I43" s="206">
        <v>359.7</v>
      </c>
      <c r="J43" s="206">
        <v>153.99799999999999</v>
      </c>
      <c r="K43" s="220"/>
      <c r="L43" s="60"/>
    </row>
    <row r="44" spans="1:12" s="106" customFormat="1" ht="12" customHeight="1">
      <c r="A44" s="208">
        <v>2015</v>
      </c>
      <c r="B44" s="378" t="s">
        <v>415</v>
      </c>
      <c r="C44" s="209">
        <v>138.6</v>
      </c>
      <c r="D44" s="206">
        <v>124.2</v>
      </c>
      <c r="E44" s="365" t="s">
        <v>377</v>
      </c>
      <c r="F44" s="206">
        <v>217.1</v>
      </c>
      <c r="G44" s="207"/>
      <c r="H44" s="212">
        <v>176.76300000000001</v>
      </c>
      <c r="I44" s="206">
        <v>351.96100000000001</v>
      </c>
      <c r="J44" s="206">
        <v>157.53700000000001</v>
      </c>
      <c r="K44" s="220"/>
      <c r="L44" s="60"/>
    </row>
    <row r="45" spans="1:12" s="106" customFormat="1" ht="12" customHeight="1">
      <c r="A45" s="208">
        <v>2016</v>
      </c>
      <c r="B45" s="378" t="s">
        <v>415</v>
      </c>
      <c r="C45" s="209">
        <v>138.80000000000001</v>
      </c>
      <c r="D45" s="206">
        <v>138.69999999999999</v>
      </c>
      <c r="E45" s="365" t="s">
        <v>377</v>
      </c>
      <c r="F45" s="206">
        <v>223.2</v>
      </c>
      <c r="G45" s="207"/>
      <c r="H45" s="212">
        <v>176.965</v>
      </c>
      <c r="I45" s="206">
        <v>359.798</v>
      </c>
      <c r="J45" s="206">
        <v>158.173</v>
      </c>
      <c r="K45" s="220"/>
      <c r="L45" s="60"/>
    </row>
    <row r="46" spans="1:12" s="106" customFormat="1" ht="12" customHeight="1">
      <c r="A46" s="208">
        <v>2017</v>
      </c>
      <c r="B46" s="378" t="s">
        <v>415</v>
      </c>
      <c r="C46" s="209">
        <v>133.80000000000001</v>
      </c>
      <c r="D46" s="206">
        <v>147.9</v>
      </c>
      <c r="E46" s="365" t="s">
        <v>377</v>
      </c>
      <c r="F46" s="206">
        <v>229.4</v>
      </c>
      <c r="G46" s="207"/>
      <c r="H46" s="212">
        <v>180.422</v>
      </c>
      <c r="I46" s="206">
        <v>361.4</v>
      </c>
      <c r="J46" s="206">
        <v>156.4</v>
      </c>
      <c r="K46" s="220"/>
      <c r="L46" s="60"/>
    </row>
    <row r="47" spans="1:12" s="106" customFormat="1" ht="12" customHeight="1">
      <c r="A47" s="214">
        <v>2018</v>
      </c>
      <c r="B47" s="379" t="s">
        <v>415</v>
      </c>
      <c r="C47" s="215">
        <v>132.4</v>
      </c>
      <c r="D47" s="216">
        <v>145.1</v>
      </c>
      <c r="E47" s="366" t="s">
        <v>377</v>
      </c>
      <c r="F47" s="216">
        <v>227.3</v>
      </c>
      <c r="G47" s="217"/>
      <c r="H47" s="218">
        <v>180.785</v>
      </c>
      <c r="I47" s="216">
        <v>365.2</v>
      </c>
      <c r="J47" s="216">
        <v>154.9</v>
      </c>
      <c r="K47" s="220"/>
      <c r="L47" s="60"/>
    </row>
    <row r="48" spans="1:12" s="106" customFormat="1" ht="10.5" customHeight="1">
      <c r="A48" s="208" t="s">
        <v>144</v>
      </c>
      <c r="B48" s="219"/>
      <c r="C48" s="209"/>
      <c r="D48" s="206"/>
      <c r="E48" s="206"/>
      <c r="F48" s="206"/>
      <c r="G48" s="207"/>
      <c r="H48" s="212"/>
      <c r="I48" s="206"/>
      <c r="J48" s="206"/>
      <c r="K48" s="220"/>
      <c r="L48" s="60"/>
    </row>
    <row r="49" spans="1:11" s="106" customFormat="1" ht="12" customHeight="1">
      <c r="A49" s="368" t="s">
        <v>414</v>
      </c>
      <c r="B49" s="53"/>
      <c r="C49" s="53"/>
      <c r="D49" s="53"/>
      <c r="E49" s="53"/>
      <c r="F49" s="53"/>
      <c r="G49" s="53"/>
      <c r="H49" s="53"/>
      <c r="I49" s="53"/>
      <c r="J49" s="53"/>
      <c r="K49" s="221"/>
    </row>
    <row r="50" spans="1:11" s="106" customFormat="1" ht="12" customHeight="1">
      <c r="A50" s="368" t="s">
        <v>363</v>
      </c>
      <c r="B50" s="53"/>
      <c r="C50" s="53"/>
      <c r="D50" s="53"/>
      <c r="E50" s="53"/>
      <c r="F50" s="53"/>
      <c r="G50" s="53"/>
      <c r="H50" s="53"/>
      <c r="I50" s="53"/>
      <c r="J50" s="53"/>
      <c r="K50" s="221"/>
    </row>
    <row r="51" spans="1:11" s="106" customFormat="1" ht="12" customHeight="1">
      <c r="A51" s="368" t="s">
        <v>364</v>
      </c>
      <c r="B51" s="53"/>
      <c r="C51" s="53"/>
      <c r="D51" s="53"/>
      <c r="E51" s="53"/>
      <c r="F51" s="53"/>
      <c r="G51" s="53"/>
      <c r="H51" s="53"/>
      <c r="I51" s="53"/>
      <c r="J51" s="53"/>
    </row>
    <row r="52" spans="1:11" ht="12" customHeight="1">
      <c r="A52" s="57" t="s">
        <v>365</v>
      </c>
    </row>
    <row r="53" spans="1:11" ht="10.5" customHeight="1">
      <c r="A53" s="57" t="s">
        <v>366</v>
      </c>
    </row>
    <row r="54" spans="1:11" ht="10.5" customHeight="1">
      <c r="A54" s="305" t="s">
        <v>169</v>
      </c>
    </row>
  </sheetData>
  <pageMargins left="0.66700000000000004" right="0.66700000000000004" top="0.66700000000000004" bottom="0.72" header="0" footer="0"/>
  <pageSetup scale="77" firstPageNumber="27" orientation="portrait" useFirstPageNumber="1" r:id="rId1"/>
  <headerFooter alignWithMargins="0"/>
  <ignoredErrors>
    <ignoredError sqref="E33:E47"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K54"/>
  <sheetViews>
    <sheetView showGridLines="0" zoomScaleNormal="100" workbookViewId="0"/>
  </sheetViews>
  <sheetFormatPr defaultColWidth="9.140625" defaultRowHeight="12"/>
  <cols>
    <col min="1" max="1" width="7" style="44" customWidth="1"/>
    <col min="2" max="2" width="11.5703125" style="44" customWidth="1"/>
    <col min="3" max="3" width="10.7109375" style="44" customWidth="1"/>
    <col min="4" max="4" width="11.5703125" style="44" customWidth="1"/>
    <col min="5" max="5" width="13.42578125" style="44" customWidth="1"/>
    <col min="6" max="9" width="11.5703125" style="44" customWidth="1"/>
    <col min="10" max="16384" width="9.140625" style="44"/>
  </cols>
  <sheetData>
    <row r="1" spans="1:9" ht="10.15" customHeight="1">
      <c r="A1" s="76" t="s">
        <v>170</v>
      </c>
      <c r="B1" s="43"/>
      <c r="C1" s="43"/>
      <c r="D1" s="43"/>
      <c r="E1" s="43"/>
      <c r="F1" s="43"/>
      <c r="G1" s="43"/>
      <c r="H1" s="71"/>
      <c r="I1" s="71"/>
    </row>
    <row r="2" spans="1:9" ht="3.95" customHeight="1">
      <c r="A2" s="51"/>
      <c r="B2" s="46"/>
      <c r="C2" s="46"/>
      <c r="D2" s="46"/>
      <c r="E2" s="46"/>
      <c r="F2" s="46"/>
      <c r="G2" s="46"/>
      <c r="H2" s="46"/>
      <c r="I2" s="46"/>
    </row>
    <row r="3" spans="1:9" ht="10.15" customHeight="1">
      <c r="A3" s="53"/>
      <c r="B3" s="47" t="s">
        <v>171</v>
      </c>
      <c r="C3" s="47" t="s">
        <v>135</v>
      </c>
      <c r="D3" s="47" t="s">
        <v>172</v>
      </c>
      <c r="E3" s="47" t="s">
        <v>173</v>
      </c>
      <c r="F3" s="57"/>
      <c r="G3" s="57"/>
      <c r="H3" s="196" t="s">
        <v>174</v>
      </c>
      <c r="I3" s="196"/>
    </row>
    <row r="4" spans="1:9" ht="10.15" customHeight="1">
      <c r="A4" s="51" t="s">
        <v>175</v>
      </c>
      <c r="B4" s="52" t="s">
        <v>131</v>
      </c>
      <c r="C4" s="51"/>
      <c r="D4" s="52" t="s">
        <v>176</v>
      </c>
      <c r="E4" s="52" t="s">
        <v>177</v>
      </c>
      <c r="F4" s="52" t="s">
        <v>178</v>
      </c>
      <c r="G4" s="52" t="s">
        <v>179</v>
      </c>
      <c r="H4" s="52" t="s">
        <v>180</v>
      </c>
      <c r="I4" s="52" t="s">
        <v>181</v>
      </c>
    </row>
    <row r="5" spans="1:9" ht="3.95" customHeight="1">
      <c r="A5" s="48"/>
      <c r="B5" s="49"/>
      <c r="C5" s="48"/>
      <c r="D5" s="49"/>
      <c r="E5" s="49"/>
      <c r="F5" s="49"/>
      <c r="G5" s="49"/>
      <c r="H5" s="49"/>
      <c r="I5" s="49"/>
    </row>
    <row r="6" spans="1:9" ht="3.95" customHeight="1">
      <c r="A6" s="51"/>
      <c r="B6" s="52"/>
      <c r="C6" s="51"/>
      <c r="D6" s="52"/>
      <c r="E6" s="52"/>
      <c r="F6" s="52"/>
      <c r="G6" s="52"/>
      <c r="H6" s="52"/>
      <c r="I6" s="52"/>
    </row>
    <row r="7" spans="1:9" ht="10.15" customHeight="1">
      <c r="A7" s="53"/>
      <c r="B7" s="54" t="s">
        <v>182</v>
      </c>
      <c r="C7" s="55"/>
      <c r="D7" s="55"/>
      <c r="E7" s="56"/>
      <c r="F7" s="55"/>
      <c r="G7" s="55"/>
      <c r="H7" s="55"/>
      <c r="I7" s="55"/>
    </row>
    <row r="8" spans="1:9" ht="3" customHeight="1">
      <c r="A8" s="53"/>
      <c r="B8" s="53"/>
      <c r="C8" s="53"/>
      <c r="D8" s="53"/>
      <c r="E8" s="53"/>
      <c r="F8" s="53"/>
      <c r="G8" s="53"/>
      <c r="H8" s="53"/>
      <c r="I8" s="53"/>
    </row>
    <row r="9" spans="1:9" ht="10.15" customHeight="1">
      <c r="A9" s="57">
        <v>1980</v>
      </c>
      <c r="B9" s="222">
        <v>0.629</v>
      </c>
      <c r="C9" s="222">
        <v>0.34200000000000003</v>
      </c>
      <c r="D9" s="222">
        <v>0.60899999999999999</v>
      </c>
      <c r="E9" s="222">
        <v>1.0640000000000001</v>
      </c>
      <c r="F9" s="222">
        <v>0.70199999999999996</v>
      </c>
      <c r="G9" s="222">
        <v>0.35399999999999998</v>
      </c>
      <c r="H9" s="222">
        <v>0.36499999999999999</v>
      </c>
      <c r="I9" s="222">
        <v>0.373</v>
      </c>
    </row>
    <row r="10" spans="1:9" ht="10.15" customHeight="1">
      <c r="A10" s="57">
        <v>1981</v>
      </c>
      <c r="B10" s="222">
        <v>0.56499999999999995</v>
      </c>
      <c r="C10" s="222">
        <v>0.36199999999999999</v>
      </c>
      <c r="D10" s="222">
        <v>0.59</v>
      </c>
      <c r="E10" s="222">
        <v>1.143</v>
      </c>
      <c r="F10" s="222">
        <v>0.7</v>
      </c>
      <c r="G10" s="222">
        <v>0.39500000000000002</v>
      </c>
      <c r="H10" s="222">
        <v>0.39100000000000001</v>
      </c>
      <c r="I10" s="222">
        <v>0.40600000000000003</v>
      </c>
    </row>
    <row r="11" spans="1:9" ht="10.15" customHeight="1">
      <c r="A11" s="57">
        <v>1982</v>
      </c>
      <c r="B11" s="222">
        <v>0.63900000000000001</v>
      </c>
      <c r="C11" s="222">
        <v>0.35399999999999998</v>
      </c>
      <c r="D11" s="222">
        <v>0.60599999999999998</v>
      </c>
      <c r="E11" s="222">
        <v>1.014</v>
      </c>
      <c r="F11" s="222">
        <v>0.77100000000000002</v>
      </c>
      <c r="G11" s="222">
        <v>0.35399999999999998</v>
      </c>
      <c r="H11" s="222">
        <v>0.433</v>
      </c>
      <c r="I11" s="222">
        <v>0.55600000000000005</v>
      </c>
    </row>
    <row r="12" spans="1:9" ht="10.15" customHeight="1">
      <c r="A12" s="57">
        <v>1983</v>
      </c>
      <c r="B12" s="222">
        <v>0.59</v>
      </c>
      <c r="C12" s="222">
        <v>0.38600000000000001</v>
      </c>
      <c r="D12" s="222">
        <v>0.61899999999999999</v>
      </c>
      <c r="E12" s="222">
        <v>1.071</v>
      </c>
      <c r="F12" s="222">
        <v>0.748</v>
      </c>
      <c r="G12" s="222">
        <v>0.36499999999999999</v>
      </c>
      <c r="H12" s="222">
        <v>0.38700000000000001</v>
      </c>
      <c r="I12" s="222">
        <v>0.38400000000000001</v>
      </c>
    </row>
    <row r="13" spans="1:9" ht="10.15" customHeight="1">
      <c r="A13" s="57">
        <v>1984</v>
      </c>
      <c r="B13" s="222">
        <v>0.65700000000000003</v>
      </c>
      <c r="C13" s="222">
        <v>0.35899999999999999</v>
      </c>
      <c r="D13" s="222">
        <v>0.54100000000000004</v>
      </c>
      <c r="E13" s="222">
        <v>1.1000000000000001</v>
      </c>
      <c r="F13" s="222">
        <v>0.752</v>
      </c>
      <c r="G13" s="222">
        <v>0.39800000000000002</v>
      </c>
      <c r="H13" s="222">
        <v>0.42499999999999999</v>
      </c>
      <c r="I13" s="222">
        <v>0.65</v>
      </c>
    </row>
    <row r="14" spans="1:9" ht="10.15" customHeight="1">
      <c r="A14" s="57">
        <v>1985</v>
      </c>
      <c r="B14" s="222">
        <v>0.68500000000000005</v>
      </c>
      <c r="C14" s="222">
        <v>0.36699999999999999</v>
      </c>
      <c r="D14" s="222">
        <v>0.70299999999999996</v>
      </c>
      <c r="E14" s="222">
        <v>0.94499999999999995</v>
      </c>
      <c r="F14" s="222">
        <v>0.92900000000000005</v>
      </c>
      <c r="G14" s="222">
        <v>0.47099999999999997</v>
      </c>
      <c r="H14" s="222">
        <v>0.53300000000000003</v>
      </c>
      <c r="I14" s="222">
        <v>0.53800000000000003</v>
      </c>
    </row>
    <row r="15" spans="1:9" ht="3" customHeight="1">
      <c r="A15" s="57"/>
      <c r="B15" s="222"/>
      <c r="C15" s="222"/>
      <c r="D15" s="222"/>
      <c r="E15" s="222"/>
      <c r="F15" s="222"/>
      <c r="G15" s="222"/>
      <c r="H15" s="222"/>
      <c r="I15" s="222"/>
    </row>
    <row r="16" spans="1:9" ht="10.15" customHeight="1">
      <c r="A16" s="57">
        <v>1986</v>
      </c>
      <c r="B16" s="222">
        <v>0.77300000000000002</v>
      </c>
      <c r="C16" s="222">
        <v>0.38500000000000001</v>
      </c>
      <c r="D16" s="222">
        <v>0.76800000000000002</v>
      </c>
      <c r="E16" s="222">
        <v>1.1399999999999999</v>
      </c>
      <c r="F16" s="222">
        <v>0.82099999999999995</v>
      </c>
      <c r="G16" s="222">
        <v>0.50900000000000001</v>
      </c>
      <c r="H16" s="222">
        <v>0.48099999999999998</v>
      </c>
      <c r="I16" s="222">
        <v>0.46300000000000002</v>
      </c>
    </row>
    <row r="17" spans="1:9" ht="10.15" customHeight="1">
      <c r="A17" s="57">
        <v>1987</v>
      </c>
      <c r="B17" s="222">
        <v>0.72799999999999998</v>
      </c>
      <c r="C17" s="222">
        <v>0.36499999999999999</v>
      </c>
      <c r="D17" s="222">
        <v>0.745</v>
      </c>
      <c r="E17" s="222">
        <v>1.173</v>
      </c>
      <c r="F17" s="222">
        <v>0.89700000000000002</v>
      </c>
      <c r="G17" s="222">
        <v>0.51800000000000002</v>
      </c>
      <c r="H17" s="222">
        <v>0.54300000000000004</v>
      </c>
      <c r="I17" s="222">
        <v>0.57799999999999996</v>
      </c>
    </row>
    <row r="18" spans="1:9" ht="10.15" customHeight="1">
      <c r="A18" s="57">
        <v>1988</v>
      </c>
      <c r="B18" s="222">
        <v>0.72899999999999998</v>
      </c>
      <c r="C18" s="222">
        <v>0.41799999999999998</v>
      </c>
      <c r="D18" s="222">
        <v>0.628</v>
      </c>
      <c r="E18" s="222">
        <v>1.163</v>
      </c>
      <c r="F18" s="222">
        <v>0.93300000000000005</v>
      </c>
      <c r="G18" s="222">
        <v>0.51700000000000002</v>
      </c>
      <c r="H18" s="222">
        <v>0.52800000000000002</v>
      </c>
      <c r="I18" s="222">
        <v>0.58499999999999996</v>
      </c>
    </row>
    <row r="19" spans="1:9" ht="10.15" customHeight="1">
      <c r="A19" s="57">
        <v>1989</v>
      </c>
      <c r="B19" s="223">
        <v>0.68799999999999994</v>
      </c>
      <c r="C19" s="223">
        <v>0.44900000000000001</v>
      </c>
      <c r="D19" s="222">
        <v>0.73257142857142854</v>
      </c>
      <c r="E19" s="222">
        <v>1.2050000000000001</v>
      </c>
      <c r="F19" s="223">
        <v>0.995</v>
      </c>
      <c r="G19" s="223">
        <v>0.52500000000000002</v>
      </c>
      <c r="H19" s="223">
        <v>0.51600000000000001</v>
      </c>
      <c r="I19" s="223">
        <v>0.59899999999999998</v>
      </c>
    </row>
    <row r="20" spans="1:9" ht="10.15" customHeight="1">
      <c r="A20" s="57">
        <v>1990</v>
      </c>
      <c r="B20" s="222">
        <v>0.71899999999999997</v>
      </c>
      <c r="C20" s="222">
        <v>0.46300000000000002</v>
      </c>
      <c r="D20" s="222">
        <v>0.7629999999999999</v>
      </c>
      <c r="E20" s="222">
        <v>1.256</v>
      </c>
      <c r="F20" s="222">
        <v>1.0740000000000001</v>
      </c>
      <c r="G20" s="222">
        <v>0.65700000000000003</v>
      </c>
      <c r="H20" s="222">
        <v>0.56999999999999995</v>
      </c>
      <c r="I20" s="222">
        <v>0.55800000000000005</v>
      </c>
    </row>
    <row r="21" spans="1:9" ht="10.15" customHeight="1">
      <c r="A21" s="57">
        <v>1991</v>
      </c>
      <c r="B21" s="223">
        <v>0.88500000000000001</v>
      </c>
      <c r="C21" s="223">
        <v>0.48099999999999998</v>
      </c>
      <c r="D21" s="222">
        <v>0.83985714285714297</v>
      </c>
      <c r="E21" s="222">
        <v>1.4</v>
      </c>
      <c r="F21" s="222">
        <v>1.2270000000000001</v>
      </c>
      <c r="G21" s="223">
        <v>0.61799999999999999</v>
      </c>
      <c r="H21" s="223">
        <v>0.78400000000000003</v>
      </c>
      <c r="I21" s="223">
        <v>0.92500000000000004</v>
      </c>
    </row>
    <row r="22" spans="1:9" ht="3" customHeight="1">
      <c r="A22" s="57"/>
      <c r="B22" s="223"/>
      <c r="C22" s="223"/>
      <c r="D22" s="222"/>
      <c r="E22" s="222"/>
      <c r="F22" s="222"/>
      <c r="G22" s="223"/>
      <c r="H22" s="223"/>
      <c r="I22" s="223"/>
    </row>
    <row r="23" spans="1:9" ht="10.15" customHeight="1">
      <c r="A23" s="57">
        <v>1992</v>
      </c>
      <c r="B23" s="223">
        <v>0.89</v>
      </c>
      <c r="C23" s="223">
        <v>0.45800000000000002</v>
      </c>
      <c r="D23" s="222">
        <v>0.82628571428571429</v>
      </c>
      <c r="E23" s="222">
        <v>1.288</v>
      </c>
      <c r="F23" s="222">
        <v>1.0069999999999999</v>
      </c>
      <c r="G23" s="223">
        <v>0.60699999999999998</v>
      </c>
      <c r="H23" s="223">
        <v>0.57399999999999995</v>
      </c>
      <c r="I23" s="223">
        <v>0.55900000000000005</v>
      </c>
    </row>
    <row r="24" spans="1:9" ht="10.15" customHeight="1">
      <c r="A24" s="57">
        <v>1993</v>
      </c>
      <c r="B24" s="223">
        <v>0.83399999999999996</v>
      </c>
      <c r="C24" s="223">
        <v>0.439</v>
      </c>
      <c r="D24" s="222">
        <v>0.85828571428571432</v>
      </c>
      <c r="E24" s="222">
        <v>1.415</v>
      </c>
      <c r="F24" s="222">
        <v>1.0840000000000001</v>
      </c>
      <c r="G24" s="223">
        <v>0.52900000000000003</v>
      </c>
      <c r="H24" s="223">
        <v>0.54900000000000004</v>
      </c>
      <c r="I24" s="223">
        <v>0.65400000000000003</v>
      </c>
    </row>
    <row r="25" spans="1:9" ht="10.15" customHeight="1">
      <c r="A25" s="57">
        <v>1994</v>
      </c>
      <c r="B25" s="223">
        <v>0.80300000000000005</v>
      </c>
      <c r="C25" s="223">
        <v>0.46200000000000002</v>
      </c>
      <c r="D25" s="222">
        <v>0.78733333333333333</v>
      </c>
      <c r="E25" s="222">
        <v>1.506</v>
      </c>
      <c r="F25" s="222">
        <v>1.109</v>
      </c>
      <c r="G25" s="223">
        <v>0.51300000000000001</v>
      </c>
      <c r="H25" s="223">
        <v>0.54500000000000004</v>
      </c>
      <c r="I25" s="223">
        <v>0.58699999999999997</v>
      </c>
    </row>
    <row r="26" spans="1:9" ht="10.15" customHeight="1">
      <c r="A26" s="51">
        <v>1995</v>
      </c>
      <c r="B26" s="224">
        <v>0.83499999999999996</v>
      </c>
      <c r="C26" s="224">
        <v>0.49</v>
      </c>
      <c r="D26" s="224">
        <v>0.77400000000000002</v>
      </c>
      <c r="E26" s="225">
        <v>1.5509999999999999</v>
      </c>
      <c r="F26" s="225">
        <v>1.1359999999999999</v>
      </c>
      <c r="G26" s="224">
        <v>0.54800000000000004</v>
      </c>
      <c r="H26" s="224">
        <v>0.625</v>
      </c>
      <c r="I26" s="224">
        <v>0.64800000000000002</v>
      </c>
    </row>
    <row r="27" spans="1:9" ht="10.15" customHeight="1">
      <c r="A27" s="51">
        <v>1996</v>
      </c>
      <c r="B27" s="226">
        <v>0.93</v>
      </c>
      <c r="C27" s="226">
        <v>0.49</v>
      </c>
      <c r="D27" s="226">
        <v>0.91600000000000004</v>
      </c>
      <c r="E27" s="227">
        <v>1.6850000000000001</v>
      </c>
      <c r="F27" s="227">
        <v>1.1140000000000001</v>
      </c>
      <c r="G27" s="226">
        <v>0.57399999999999995</v>
      </c>
      <c r="H27" s="226">
        <v>0.70699999999999996</v>
      </c>
      <c r="I27" s="226">
        <v>0.70299999999999996</v>
      </c>
    </row>
    <row r="28" spans="1:9" ht="10.15" customHeight="1">
      <c r="A28" s="51">
        <v>1997</v>
      </c>
      <c r="B28" s="226">
        <v>0.90700000000000003</v>
      </c>
      <c r="C28" s="226">
        <v>0.48699999999999999</v>
      </c>
      <c r="D28" s="226">
        <v>0.98499999999999999</v>
      </c>
      <c r="E28" s="226">
        <v>1.712</v>
      </c>
      <c r="F28" s="226">
        <v>1.1539999999999999</v>
      </c>
      <c r="G28" s="226">
        <v>0.52</v>
      </c>
      <c r="H28" s="226">
        <v>0.59199999999999997</v>
      </c>
      <c r="I28" s="226">
        <v>0.68200000000000005</v>
      </c>
    </row>
    <row r="29" spans="1:9" ht="3" customHeight="1">
      <c r="A29" s="51"/>
      <c r="B29" s="226"/>
      <c r="C29" s="226"/>
      <c r="D29" s="226"/>
      <c r="E29" s="226"/>
      <c r="F29" s="226"/>
      <c r="G29" s="226"/>
      <c r="H29" s="226"/>
      <c r="I29" s="226"/>
    </row>
    <row r="30" spans="1:9" ht="10.15" customHeight="1">
      <c r="A30" s="51">
        <v>1998</v>
      </c>
      <c r="B30" s="226">
        <v>0.94299999999999995</v>
      </c>
      <c r="C30" s="226">
        <v>0.49399999999999999</v>
      </c>
      <c r="D30" s="226">
        <v>0.93299999999999994</v>
      </c>
      <c r="E30" s="226">
        <v>1.589</v>
      </c>
      <c r="F30" s="226">
        <v>1.198</v>
      </c>
      <c r="G30" s="226">
        <v>0.59899999999999998</v>
      </c>
      <c r="H30" s="226">
        <v>0.56499999999999995</v>
      </c>
      <c r="I30" s="226">
        <v>0.65700000000000003</v>
      </c>
    </row>
    <row r="31" spans="1:9" ht="10.15" customHeight="1">
      <c r="A31" s="51">
        <v>1999</v>
      </c>
      <c r="B31" s="226">
        <v>0.8969166666666667</v>
      </c>
      <c r="C31" s="226">
        <v>0.49083333333333323</v>
      </c>
      <c r="D31" s="226">
        <v>0.95</v>
      </c>
      <c r="E31" s="226">
        <v>1.8411818181818183</v>
      </c>
      <c r="F31" s="226">
        <v>1.2364285714285714</v>
      </c>
      <c r="G31" s="226">
        <v>0.61228571428571421</v>
      </c>
      <c r="H31" s="226">
        <v>0.84283333333333343</v>
      </c>
      <c r="I31" s="226">
        <v>0.94733333333333336</v>
      </c>
    </row>
    <row r="32" spans="1:9" ht="10.15" customHeight="1">
      <c r="A32" s="208">
        <v>2000</v>
      </c>
      <c r="B32" s="226">
        <v>0.91883333333333328</v>
      </c>
      <c r="C32" s="226">
        <v>0.501</v>
      </c>
      <c r="D32" s="226">
        <v>0.9860000000000001</v>
      </c>
      <c r="E32" s="226">
        <v>1.7452500000000004</v>
      </c>
      <c r="F32" s="226">
        <v>1.2894166666666667</v>
      </c>
      <c r="G32" s="226">
        <v>0.61016666666666663</v>
      </c>
      <c r="H32" s="226">
        <v>0.61250000000000004</v>
      </c>
      <c r="I32" s="226">
        <v>0.60950000000000004</v>
      </c>
    </row>
    <row r="33" spans="1:11" ht="10.15" customHeight="1">
      <c r="A33" s="208">
        <v>2001</v>
      </c>
      <c r="B33" s="226">
        <v>0.86799999999999999</v>
      </c>
      <c r="C33" s="226">
        <v>0.50700000000000001</v>
      </c>
      <c r="D33" s="226">
        <v>0.96571428571428564</v>
      </c>
      <c r="E33" s="226">
        <v>1.8496999999999999</v>
      </c>
      <c r="F33" s="226">
        <v>1.2649999999999999</v>
      </c>
      <c r="G33" s="226">
        <v>0.65100000000000002</v>
      </c>
      <c r="H33" s="226">
        <v>0.72199999999999998</v>
      </c>
      <c r="I33" s="226">
        <v>0.52400000000000002</v>
      </c>
    </row>
    <row r="34" spans="1:11" ht="10.15" customHeight="1">
      <c r="A34" s="208">
        <v>2002</v>
      </c>
      <c r="B34" s="226">
        <v>0.94791666666666663</v>
      </c>
      <c r="C34" s="226">
        <v>0.50749999999999995</v>
      </c>
      <c r="D34" s="226">
        <v>0.99659999999999993</v>
      </c>
      <c r="E34" s="226">
        <v>1.8871666666666667</v>
      </c>
      <c r="F34" s="226">
        <v>1.3906666666666665</v>
      </c>
      <c r="G34" s="226">
        <v>0.64800000000000002</v>
      </c>
      <c r="H34" s="226">
        <v>0.83587500000000003</v>
      </c>
      <c r="I34" s="226">
        <v>0.56540000000000012</v>
      </c>
    </row>
    <row r="35" spans="1:11" ht="10.15" customHeight="1">
      <c r="A35" s="208">
        <v>2003</v>
      </c>
      <c r="B35" s="226">
        <v>0.98</v>
      </c>
      <c r="C35" s="226">
        <v>0.50900000000000001</v>
      </c>
      <c r="D35" s="372" t="s">
        <v>397</v>
      </c>
      <c r="E35" s="226">
        <v>1.899</v>
      </c>
      <c r="F35" s="226">
        <v>1.3169999999999999</v>
      </c>
      <c r="G35" s="226">
        <v>0.72299999999999998</v>
      </c>
      <c r="H35" s="226">
        <v>0.83799999999999997</v>
      </c>
      <c r="I35" s="226">
        <v>0.57499999999999996</v>
      </c>
    </row>
    <row r="36" spans="1:11" ht="10.15" customHeight="1">
      <c r="A36" s="208">
        <v>2004</v>
      </c>
      <c r="B36" s="226">
        <v>1.0429999999999999</v>
      </c>
      <c r="C36" s="226">
        <v>0.49524999999999997</v>
      </c>
      <c r="D36" s="228">
        <v>1.1679999999999999</v>
      </c>
      <c r="E36" s="226">
        <v>2.0586666666666669</v>
      </c>
      <c r="F36" s="226">
        <v>1.2348333333333334</v>
      </c>
      <c r="G36" s="226">
        <v>0.81899999999999995</v>
      </c>
      <c r="H36" s="226">
        <v>0.85855555555555563</v>
      </c>
      <c r="I36" s="226">
        <v>0.69099999999999995</v>
      </c>
      <c r="J36" s="70"/>
    </row>
    <row r="37" spans="1:11" ht="10.15" customHeight="1">
      <c r="A37" s="208">
        <v>2005</v>
      </c>
      <c r="B37" s="226">
        <v>0.94941666666666669</v>
      </c>
      <c r="C37" s="226">
        <v>0.49216666666666664</v>
      </c>
      <c r="D37" s="226">
        <v>1.114222222222222</v>
      </c>
      <c r="E37" s="226">
        <v>2.0779999999999998</v>
      </c>
      <c r="F37" s="226">
        <v>1.4108333333333334</v>
      </c>
      <c r="G37" s="226">
        <v>1.0890909090909091</v>
      </c>
      <c r="H37" s="226">
        <v>0.99580000000000002</v>
      </c>
      <c r="I37" s="226">
        <v>0.89700000000000002</v>
      </c>
      <c r="J37" s="70"/>
    </row>
    <row r="38" spans="1:11" ht="10.15" customHeight="1">
      <c r="A38" s="208">
        <v>2006</v>
      </c>
      <c r="B38" s="226">
        <v>1.0665</v>
      </c>
      <c r="C38" s="226">
        <v>0.50033333333333341</v>
      </c>
      <c r="D38" s="226">
        <v>1.1331250000000002</v>
      </c>
      <c r="E38" s="226">
        <v>2.246</v>
      </c>
      <c r="F38" s="226">
        <v>1.5290000000000001</v>
      </c>
      <c r="G38" s="226">
        <v>1.1140000000000001</v>
      </c>
      <c r="H38" s="226">
        <v>1.0871818181818182</v>
      </c>
      <c r="I38" s="226">
        <v>1.0010000000000001</v>
      </c>
      <c r="J38" s="70"/>
      <c r="K38" s="70"/>
    </row>
    <row r="39" spans="1:11" ht="10.15" customHeight="1">
      <c r="A39" s="208">
        <v>2007</v>
      </c>
      <c r="B39" s="226">
        <v>1.1152500000000001</v>
      </c>
      <c r="C39" s="226">
        <v>0.51016666666666666</v>
      </c>
      <c r="D39" s="226">
        <v>1.2730000000000001</v>
      </c>
      <c r="E39" s="226">
        <v>2.0920000000000001</v>
      </c>
      <c r="F39" s="226">
        <v>1.8569166666666668</v>
      </c>
      <c r="G39" s="226">
        <v>0.96424999999999994</v>
      </c>
      <c r="H39" s="226">
        <v>1.2844545454545455</v>
      </c>
      <c r="I39" s="226">
        <v>1.07375</v>
      </c>
      <c r="J39" s="70"/>
      <c r="K39" s="70"/>
    </row>
    <row r="40" spans="1:11" ht="10.15" customHeight="1">
      <c r="A40" s="208">
        <v>2008</v>
      </c>
      <c r="B40" s="226">
        <v>1.3198333333333332</v>
      </c>
      <c r="C40" s="226">
        <v>0.60933333333333339</v>
      </c>
      <c r="D40" s="226">
        <v>1.3314444444444442</v>
      </c>
      <c r="E40" s="226">
        <v>2.2120000000000002</v>
      </c>
      <c r="F40" s="226">
        <v>2.004</v>
      </c>
      <c r="G40" s="226">
        <v>0.96499999999999997</v>
      </c>
      <c r="H40" s="226">
        <v>1.1163333333333332</v>
      </c>
      <c r="I40" s="226">
        <v>1.0163333333333333</v>
      </c>
      <c r="J40" s="70"/>
      <c r="K40" s="70"/>
    </row>
    <row r="41" spans="1:11" ht="10.15" customHeight="1">
      <c r="A41" s="208">
        <v>2009</v>
      </c>
      <c r="B41" s="226">
        <v>1.1815833333333334</v>
      </c>
      <c r="C41" s="226">
        <v>0.61116666666666652</v>
      </c>
      <c r="D41" s="226">
        <v>1.3046249999999999</v>
      </c>
      <c r="E41" s="226">
        <v>2.109</v>
      </c>
      <c r="F41" s="226">
        <v>1.5200000000000002</v>
      </c>
      <c r="G41" s="226">
        <v>0.90249999999999997</v>
      </c>
      <c r="H41" s="226">
        <v>1.0504166666666668</v>
      </c>
      <c r="I41" s="226">
        <v>0.95600000000000007</v>
      </c>
      <c r="J41" s="70"/>
      <c r="K41" s="70"/>
    </row>
    <row r="42" spans="1:11" ht="10.15" customHeight="1">
      <c r="A42" s="208">
        <v>2010</v>
      </c>
      <c r="B42" s="226">
        <v>1.2202500000000001</v>
      </c>
      <c r="C42" s="226">
        <v>0.57966666666666666</v>
      </c>
      <c r="D42" s="226">
        <v>1.2869999999999999</v>
      </c>
      <c r="E42" s="226">
        <v>2.181</v>
      </c>
      <c r="F42" s="226">
        <v>1.63425</v>
      </c>
      <c r="G42" s="226">
        <v>0.92733333333333345</v>
      </c>
      <c r="H42" s="226">
        <v>1.06175</v>
      </c>
      <c r="I42" s="226">
        <v>1.0169999999999999</v>
      </c>
      <c r="J42" s="70"/>
      <c r="K42" s="229"/>
    </row>
    <row r="43" spans="1:11" ht="10.15" customHeight="1">
      <c r="A43" s="208">
        <v>2011</v>
      </c>
      <c r="B43" s="226">
        <v>1.3503333333333334</v>
      </c>
      <c r="C43" s="226">
        <v>0.61016666666666663</v>
      </c>
      <c r="D43" s="226">
        <v>1.4088888888888889</v>
      </c>
      <c r="E43" s="226">
        <v>2.3860000000000001</v>
      </c>
      <c r="F43" s="226">
        <v>1.5806666666666667</v>
      </c>
      <c r="G43" s="226">
        <v>0.97583333333333322</v>
      </c>
      <c r="H43" s="226">
        <v>1.0958000000000001</v>
      </c>
      <c r="I43" s="226">
        <v>1.0089999999999999</v>
      </c>
      <c r="J43" s="70"/>
      <c r="K43" s="229"/>
    </row>
    <row r="44" spans="1:11" ht="10.15" customHeight="1">
      <c r="A44" s="208">
        <v>2012</v>
      </c>
      <c r="B44" s="226">
        <v>1.3770833333333332</v>
      </c>
      <c r="C44" s="226">
        <v>0.6020833333333333</v>
      </c>
      <c r="D44" s="226">
        <v>1.2525000000000002</v>
      </c>
      <c r="E44" s="226">
        <v>2.488</v>
      </c>
      <c r="F44" s="226">
        <v>1.5644999999999998</v>
      </c>
      <c r="G44" s="226">
        <v>1.0781666666666667</v>
      </c>
      <c r="H44" s="226">
        <v>1.0531666666666666</v>
      </c>
      <c r="I44" s="372" t="s">
        <v>397</v>
      </c>
      <c r="J44" s="70"/>
      <c r="K44" s="229"/>
    </row>
    <row r="45" spans="1:11" ht="10.15" customHeight="1">
      <c r="A45" s="208">
        <v>2013</v>
      </c>
      <c r="B45" s="226">
        <v>1.385909090909091</v>
      </c>
      <c r="C45" s="226">
        <v>0.59958333333333325</v>
      </c>
      <c r="D45" s="372" t="s">
        <v>397</v>
      </c>
      <c r="E45" s="226">
        <v>2.4936363636363641</v>
      </c>
      <c r="F45" s="226">
        <v>1.5817499999999998</v>
      </c>
      <c r="G45" s="226">
        <v>1.0482500000000001</v>
      </c>
      <c r="H45" s="226">
        <v>1.1507499999999999</v>
      </c>
      <c r="I45" s="226">
        <v>1.032</v>
      </c>
      <c r="J45" s="70"/>
      <c r="K45" s="229"/>
    </row>
    <row r="46" spans="1:11" ht="10.15" customHeight="1">
      <c r="A46" s="208">
        <v>2014</v>
      </c>
      <c r="B46" s="226">
        <v>1.3536666666666666</v>
      </c>
      <c r="C46" s="226">
        <v>0.59808333333333319</v>
      </c>
      <c r="D46" s="372" t="s">
        <v>397</v>
      </c>
      <c r="E46" s="226">
        <v>2.6393333333333335</v>
      </c>
      <c r="F46" s="226">
        <v>1.9676666666666669</v>
      </c>
      <c r="G46" s="226">
        <v>1.1088333333333336</v>
      </c>
      <c r="H46" s="226">
        <v>1.3190000000000002</v>
      </c>
      <c r="I46" s="372" t="s">
        <v>397</v>
      </c>
      <c r="J46" s="70"/>
      <c r="K46" s="229"/>
    </row>
    <row r="47" spans="1:11" ht="10.15" customHeight="1">
      <c r="A47" s="208">
        <v>2015</v>
      </c>
      <c r="B47" s="226">
        <v>1.3580000000000003</v>
      </c>
      <c r="C47" s="226">
        <v>0.58274999999999999</v>
      </c>
      <c r="D47" s="372" t="s">
        <v>397</v>
      </c>
      <c r="E47" s="226">
        <v>2.591333333333333</v>
      </c>
      <c r="F47" s="226">
        <v>1.981416666666667</v>
      </c>
      <c r="G47" s="226">
        <v>1.091</v>
      </c>
      <c r="H47" s="226">
        <v>1.3044166666666668</v>
      </c>
      <c r="I47" s="372" t="s">
        <v>397</v>
      </c>
      <c r="J47" s="70"/>
      <c r="K47" s="229"/>
    </row>
    <row r="48" spans="1:11" ht="10.15" customHeight="1">
      <c r="A48" s="208">
        <v>2016</v>
      </c>
      <c r="B48" s="226">
        <v>1.4422727272727272</v>
      </c>
      <c r="C48" s="226">
        <v>0.57300000000000006</v>
      </c>
      <c r="D48" s="226">
        <v>1.6739999999999999</v>
      </c>
      <c r="E48" s="226">
        <v>2.7577500000000001</v>
      </c>
      <c r="F48" s="226">
        <v>2.0369999999999999</v>
      </c>
      <c r="G48" s="226">
        <v>0.96975</v>
      </c>
      <c r="H48" s="226">
        <v>1.2459166666666668</v>
      </c>
      <c r="I48" s="372" t="s">
        <v>397</v>
      </c>
      <c r="J48" s="70"/>
      <c r="K48" s="229"/>
    </row>
    <row r="49" spans="1:11" ht="10.15" customHeight="1">
      <c r="A49" s="208">
        <v>2017</v>
      </c>
      <c r="B49" s="226">
        <v>1.2944</v>
      </c>
      <c r="C49" s="226">
        <v>0.56299999999999994</v>
      </c>
      <c r="D49" s="226">
        <v>1.6024999999999998</v>
      </c>
      <c r="E49" s="226">
        <v>2.641</v>
      </c>
      <c r="F49" s="226">
        <v>2.0070000000000001</v>
      </c>
      <c r="G49" s="226">
        <v>1.27925</v>
      </c>
      <c r="H49" s="226">
        <v>1.341</v>
      </c>
      <c r="I49" s="372" t="s">
        <v>397</v>
      </c>
      <c r="J49" s="70"/>
      <c r="K49" s="229"/>
    </row>
    <row r="50" spans="1:11" ht="10.15" customHeight="1">
      <c r="A50" s="214">
        <v>2018</v>
      </c>
      <c r="B50" s="373" t="s">
        <v>397</v>
      </c>
      <c r="C50" s="230">
        <v>0.57399999999999995</v>
      </c>
      <c r="D50" s="230">
        <v>1.5792999999999999</v>
      </c>
      <c r="E50" s="230">
        <v>2.5840000000000001</v>
      </c>
      <c r="F50" s="230">
        <v>2.2490000000000001</v>
      </c>
      <c r="G50" s="230">
        <v>1.3456999999999999</v>
      </c>
      <c r="H50" s="230">
        <v>1.413</v>
      </c>
      <c r="I50" s="373" t="s">
        <v>397</v>
      </c>
      <c r="J50" s="70"/>
      <c r="K50" s="229"/>
    </row>
    <row r="51" spans="1:11">
      <c r="A51" s="231" t="s">
        <v>398</v>
      </c>
      <c r="B51" s="226"/>
      <c r="C51" s="226"/>
      <c r="D51" s="226"/>
      <c r="E51" s="226"/>
      <c r="F51" s="226"/>
      <c r="G51" s="226"/>
      <c r="H51" s="226"/>
      <c r="I51" s="226"/>
    </row>
    <row r="52" spans="1:11" s="106" customFormat="1">
      <c r="A52" s="232" t="s">
        <v>183</v>
      </c>
      <c r="B52" s="53"/>
      <c r="C52" s="53"/>
      <c r="D52" s="53"/>
      <c r="E52" s="53"/>
      <c r="F52" s="53"/>
      <c r="G52" s="53"/>
      <c r="H52" s="53"/>
      <c r="I52" s="53"/>
    </row>
    <row r="54" spans="1:11">
      <c r="B54" s="233"/>
      <c r="C54" s="233"/>
      <c r="D54" s="233"/>
    </row>
  </sheetData>
  <pageMargins left="0.66700000000000004" right="0.66700000000000004" top="0.66700000000000004" bottom="0.72" header="0" footer="0"/>
  <pageSetup scale="91" firstPageNumber="28" orientation="portrait" useFirstPageNumber="1"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03"/>
  <sheetViews>
    <sheetView showGridLines="0" topLeftCell="A35" zoomScaleNormal="100" workbookViewId="0">
      <selection activeCell="N48" sqref="N48"/>
    </sheetView>
  </sheetViews>
  <sheetFormatPr defaultColWidth="9" defaultRowHeight="12"/>
  <cols>
    <col min="1" max="1" width="7.28515625" style="106" customWidth="1"/>
    <col min="2" max="2" width="8.42578125" style="106" customWidth="1"/>
    <col min="3" max="3" width="7.7109375" style="106" customWidth="1"/>
    <col min="4" max="4" width="9.7109375" style="106" customWidth="1"/>
    <col min="5" max="6" width="8.85546875" style="106" customWidth="1"/>
    <col min="7" max="7" width="8.42578125" style="106" customWidth="1"/>
    <col min="8" max="8" width="9.42578125" style="106" customWidth="1"/>
    <col min="9" max="9" width="9.28515625" style="106" customWidth="1"/>
    <col min="10" max="10" width="8.5703125" style="106" customWidth="1"/>
    <col min="11" max="11" width="9.42578125" style="106" customWidth="1"/>
    <col min="12" max="12" width="10" style="106" customWidth="1"/>
    <col min="13" max="14" width="9.85546875" style="106" customWidth="1"/>
    <col min="15" max="16" width="11" style="106" customWidth="1"/>
    <col min="17" max="18" width="11" style="106" bestFit="1" customWidth="1"/>
    <col min="19" max="19" width="13.5703125" style="106" bestFit="1" customWidth="1"/>
    <col min="20" max="16384" width="9" style="106"/>
  </cols>
  <sheetData>
    <row r="1" spans="1:14">
      <c r="A1" s="234" t="s">
        <v>184</v>
      </c>
      <c r="N1" s="235"/>
    </row>
    <row r="2" spans="1:14" ht="3.95" customHeight="1">
      <c r="A2" s="236"/>
      <c r="B2" s="237"/>
      <c r="C2" s="237"/>
      <c r="D2" s="237"/>
      <c r="E2" s="237"/>
      <c r="F2" s="237"/>
      <c r="G2" s="237"/>
      <c r="H2" s="237"/>
      <c r="I2" s="237"/>
      <c r="J2" s="237"/>
      <c r="K2" s="237"/>
      <c r="L2" s="237"/>
      <c r="N2" s="235"/>
    </row>
    <row r="3" spans="1:14">
      <c r="A3" s="238" t="s">
        <v>107</v>
      </c>
      <c r="B3" s="239" t="s">
        <v>179</v>
      </c>
      <c r="C3" s="240" t="s">
        <v>178</v>
      </c>
      <c r="D3" s="241" t="s">
        <v>185</v>
      </c>
      <c r="E3" s="242" t="s">
        <v>186</v>
      </c>
      <c r="F3" s="239" t="s">
        <v>187</v>
      </c>
      <c r="G3" s="241" t="s">
        <v>188</v>
      </c>
      <c r="H3" s="241" t="s">
        <v>103</v>
      </c>
      <c r="I3" s="241" t="s">
        <v>111</v>
      </c>
      <c r="J3" s="241" t="s">
        <v>189</v>
      </c>
      <c r="K3" s="241" t="s">
        <v>190</v>
      </c>
      <c r="L3" s="239" t="s">
        <v>109</v>
      </c>
      <c r="M3" s="243"/>
      <c r="N3" s="235"/>
    </row>
    <row r="4" spans="1:14" ht="3.95" customHeight="1">
      <c r="A4" s="244"/>
      <c r="B4" s="243"/>
      <c r="C4" s="245"/>
      <c r="D4" s="246"/>
      <c r="E4" s="247"/>
      <c r="F4" s="243"/>
      <c r="G4" s="246"/>
      <c r="H4" s="246"/>
      <c r="I4" s="246"/>
      <c r="J4" s="246"/>
      <c r="K4" s="246"/>
      <c r="L4" s="243"/>
      <c r="M4" s="243"/>
      <c r="N4" s="235"/>
    </row>
    <row r="5" spans="1:14">
      <c r="A5" s="244"/>
      <c r="B5" s="243"/>
      <c r="C5" s="243"/>
      <c r="D5" s="243"/>
      <c r="E5" s="243"/>
      <c r="F5" s="243"/>
      <c r="G5" s="248" t="s">
        <v>191</v>
      </c>
      <c r="H5" s="243"/>
      <c r="I5" s="243"/>
      <c r="J5" s="243"/>
      <c r="K5" s="243"/>
      <c r="L5" s="243"/>
      <c r="M5" s="243"/>
      <c r="N5" s="235"/>
    </row>
    <row r="6" spans="1:14" ht="3.95" customHeight="1">
      <c r="A6" s="244"/>
      <c r="B6" s="243"/>
      <c r="C6" s="243"/>
      <c r="D6" s="243"/>
      <c r="E6" s="243"/>
      <c r="F6" s="243"/>
      <c r="G6" s="248"/>
      <c r="H6" s="243"/>
      <c r="I6" s="243"/>
      <c r="J6" s="243"/>
      <c r="K6" s="243"/>
      <c r="L6" s="243"/>
      <c r="M6" s="243"/>
      <c r="N6" s="235"/>
    </row>
    <row r="7" spans="1:14" ht="10.9" customHeight="1">
      <c r="A7" s="249" t="s">
        <v>4</v>
      </c>
      <c r="B7" s="250">
        <v>302237</v>
      </c>
      <c r="C7" s="250">
        <v>144890</v>
      </c>
      <c r="D7" s="250">
        <v>1301845</v>
      </c>
      <c r="E7" s="250">
        <v>33907</v>
      </c>
      <c r="F7" s="250">
        <v>705312</v>
      </c>
      <c r="G7" s="250">
        <v>125370</v>
      </c>
      <c r="H7" s="250">
        <v>135175</v>
      </c>
      <c r="I7" s="250">
        <v>1332439</v>
      </c>
      <c r="J7" s="250">
        <v>44121</v>
      </c>
      <c r="K7" s="250">
        <v>37714</v>
      </c>
      <c r="L7" s="250">
        <v>364089</v>
      </c>
      <c r="M7" s="250"/>
      <c r="N7" s="235"/>
    </row>
    <row r="8" spans="1:14" ht="10.9" customHeight="1">
      <c r="A8" s="251" t="s">
        <v>5</v>
      </c>
      <c r="B8" s="250">
        <v>309583</v>
      </c>
      <c r="C8" s="250">
        <v>121334</v>
      </c>
      <c r="D8" s="250">
        <v>1279177</v>
      </c>
      <c r="E8" s="250">
        <v>28151</v>
      </c>
      <c r="F8" s="250">
        <v>790118</v>
      </c>
      <c r="G8" s="250">
        <v>132346</v>
      </c>
      <c r="H8" s="250">
        <v>157685</v>
      </c>
      <c r="I8" s="250">
        <v>1324997</v>
      </c>
      <c r="J8" s="250">
        <v>41678</v>
      </c>
      <c r="K8" s="250">
        <v>31205</v>
      </c>
      <c r="L8" s="250">
        <v>404813</v>
      </c>
      <c r="M8" s="250"/>
      <c r="N8" s="235"/>
    </row>
    <row r="9" spans="1:14" ht="10.9" customHeight="1">
      <c r="A9" s="251" t="s">
        <v>6</v>
      </c>
      <c r="B9" s="250">
        <v>226527</v>
      </c>
      <c r="C9" s="250">
        <v>107224</v>
      </c>
      <c r="D9" s="250">
        <v>1325073</v>
      </c>
      <c r="E9" s="250">
        <v>51465</v>
      </c>
      <c r="F9" s="250">
        <v>856880</v>
      </c>
      <c r="G9" s="250">
        <v>99780</v>
      </c>
      <c r="H9" s="250">
        <v>127045</v>
      </c>
      <c r="I9" s="250">
        <v>1413791</v>
      </c>
      <c r="J9" s="250">
        <v>44322</v>
      </c>
      <c r="K9" s="250">
        <v>75741</v>
      </c>
      <c r="L9" s="250">
        <v>262558</v>
      </c>
      <c r="M9" s="250"/>
      <c r="N9" s="235"/>
    </row>
    <row r="10" spans="1:14" ht="10.9" customHeight="1">
      <c r="A10" s="251" t="s">
        <v>7</v>
      </c>
      <c r="B10" s="250">
        <v>180413</v>
      </c>
      <c r="C10" s="250">
        <v>96305</v>
      </c>
      <c r="D10" s="250">
        <v>1334634</v>
      </c>
      <c r="E10" s="250">
        <v>38098</v>
      </c>
      <c r="F10" s="250">
        <v>738707</v>
      </c>
      <c r="G10" s="250">
        <v>117433</v>
      </c>
      <c r="H10" s="250">
        <v>176966</v>
      </c>
      <c r="I10" s="250">
        <v>1074643</v>
      </c>
      <c r="J10" s="250">
        <v>55500</v>
      </c>
      <c r="K10" s="250">
        <v>31659</v>
      </c>
      <c r="L10" s="250">
        <v>255798</v>
      </c>
      <c r="M10" s="250"/>
      <c r="N10" s="235"/>
    </row>
    <row r="11" spans="1:14" ht="10.9" customHeight="1">
      <c r="A11" s="251" t="s">
        <v>8</v>
      </c>
      <c r="B11" s="250">
        <v>294103</v>
      </c>
      <c r="C11" s="250">
        <v>145600</v>
      </c>
      <c r="D11" s="250">
        <v>1358778</v>
      </c>
      <c r="E11" s="250">
        <v>47602</v>
      </c>
      <c r="F11" s="250">
        <v>951214</v>
      </c>
      <c r="G11" s="250">
        <v>107051</v>
      </c>
      <c r="H11" s="250">
        <v>164006</v>
      </c>
      <c r="I11" s="250">
        <v>983265</v>
      </c>
      <c r="J11" s="250">
        <v>57779</v>
      </c>
      <c r="K11" s="250">
        <v>50712</v>
      </c>
      <c r="L11" s="250">
        <v>319646</v>
      </c>
      <c r="M11" s="250"/>
      <c r="N11" s="235"/>
    </row>
    <row r="12" spans="1:14" ht="10.9" customHeight="1">
      <c r="A12" s="251" t="s">
        <v>9</v>
      </c>
      <c r="B12" s="250">
        <v>319160</v>
      </c>
      <c r="C12" s="250">
        <v>236889</v>
      </c>
      <c r="D12" s="250">
        <v>1404301</v>
      </c>
      <c r="E12" s="250">
        <v>63123</v>
      </c>
      <c r="F12" s="250">
        <v>892446</v>
      </c>
      <c r="G12" s="250">
        <v>138896</v>
      </c>
      <c r="H12" s="250">
        <v>163770</v>
      </c>
      <c r="I12" s="250">
        <v>960515</v>
      </c>
      <c r="J12" s="250">
        <v>68723</v>
      </c>
      <c r="K12" s="250">
        <v>54336</v>
      </c>
      <c r="L12" s="250">
        <v>295149</v>
      </c>
      <c r="M12" s="250"/>
      <c r="N12" s="235"/>
    </row>
    <row r="13" spans="1:14" ht="3" customHeight="1">
      <c r="A13" s="251"/>
      <c r="B13" s="250"/>
      <c r="C13" s="250"/>
      <c r="D13" s="250"/>
      <c r="E13" s="250"/>
      <c r="F13" s="250"/>
      <c r="G13" s="250"/>
      <c r="H13" s="250"/>
      <c r="I13" s="250"/>
      <c r="J13" s="250"/>
      <c r="K13" s="250"/>
      <c r="L13" s="250"/>
      <c r="M13" s="250"/>
      <c r="N13" s="235"/>
    </row>
    <row r="14" spans="1:14" ht="10.9" customHeight="1">
      <c r="A14" s="251" t="s">
        <v>51</v>
      </c>
      <c r="B14" s="250">
        <v>357911</v>
      </c>
      <c r="C14" s="250">
        <v>156660</v>
      </c>
      <c r="D14" s="250">
        <v>1184492</v>
      </c>
      <c r="E14" s="250">
        <v>59335</v>
      </c>
      <c r="F14" s="250">
        <v>927286</v>
      </c>
      <c r="G14" s="250">
        <v>163250</v>
      </c>
      <c r="H14" s="250">
        <v>156859</v>
      </c>
      <c r="I14" s="250">
        <v>1177269</v>
      </c>
      <c r="J14" s="250">
        <v>75720</v>
      </c>
      <c r="K14" s="250">
        <v>66231</v>
      </c>
      <c r="L14" s="250">
        <v>314926</v>
      </c>
      <c r="M14" s="250"/>
      <c r="N14" s="235"/>
    </row>
    <row r="15" spans="1:14" ht="10.9" customHeight="1">
      <c r="A15" s="251" t="s">
        <v>52</v>
      </c>
      <c r="B15" s="250">
        <v>407827</v>
      </c>
      <c r="C15" s="250">
        <v>226195</v>
      </c>
      <c r="D15" s="250">
        <v>1363227</v>
      </c>
      <c r="E15" s="250">
        <v>76885</v>
      </c>
      <c r="F15" s="250">
        <v>1060109</v>
      </c>
      <c r="G15" s="250">
        <v>120168</v>
      </c>
      <c r="H15" s="250">
        <v>181653</v>
      </c>
      <c r="I15" s="250">
        <v>1361061</v>
      </c>
      <c r="J15" s="250">
        <v>65545</v>
      </c>
      <c r="K15" s="250">
        <v>42188</v>
      </c>
      <c r="L15" s="250">
        <v>308970</v>
      </c>
      <c r="M15" s="250"/>
      <c r="N15" s="235"/>
    </row>
    <row r="16" spans="1:14" ht="10.9" customHeight="1">
      <c r="A16" s="251" t="s">
        <v>53</v>
      </c>
      <c r="B16" s="250">
        <v>468853</v>
      </c>
      <c r="C16" s="250">
        <v>188290</v>
      </c>
      <c r="D16" s="250">
        <v>1809371</v>
      </c>
      <c r="E16" s="250">
        <v>91556</v>
      </c>
      <c r="F16" s="250">
        <v>941721</v>
      </c>
      <c r="G16" s="250">
        <v>211790</v>
      </c>
      <c r="H16" s="250">
        <v>189105</v>
      </c>
      <c r="I16" s="250">
        <v>1604299</v>
      </c>
      <c r="J16" s="250">
        <v>85593</v>
      </c>
      <c r="K16" s="250">
        <v>45325</v>
      </c>
      <c r="L16" s="250">
        <v>383687</v>
      </c>
      <c r="M16" s="250"/>
      <c r="N16" s="235"/>
    </row>
    <row r="17" spans="1:15" ht="10.9" customHeight="1">
      <c r="A17" s="251" t="s">
        <v>54</v>
      </c>
      <c r="B17" s="250">
        <v>436441</v>
      </c>
      <c r="C17" s="250">
        <v>223450</v>
      </c>
      <c r="D17" s="250">
        <v>1783269</v>
      </c>
      <c r="E17" s="250">
        <v>78114</v>
      </c>
      <c r="F17" s="250">
        <v>984458</v>
      </c>
      <c r="G17" s="250">
        <v>224298</v>
      </c>
      <c r="H17" s="250">
        <v>172612</v>
      </c>
      <c r="I17" s="250">
        <v>1854955</v>
      </c>
      <c r="J17" s="250">
        <v>87645</v>
      </c>
      <c r="K17" s="250">
        <v>57441</v>
      </c>
      <c r="L17" s="250">
        <v>361374</v>
      </c>
      <c r="M17" s="250"/>
      <c r="N17" s="235"/>
    </row>
    <row r="18" spans="1:15" ht="10.9" customHeight="1">
      <c r="A18" s="251" t="s">
        <v>55</v>
      </c>
      <c r="B18" s="250">
        <v>358147</v>
      </c>
      <c r="C18" s="250">
        <v>305165</v>
      </c>
      <c r="D18" s="250">
        <v>1692447</v>
      </c>
      <c r="E18" s="250">
        <v>70681</v>
      </c>
      <c r="F18" s="250">
        <v>1069537</v>
      </c>
      <c r="G18" s="250">
        <v>245006</v>
      </c>
      <c r="H18" s="250">
        <v>156162</v>
      </c>
      <c r="I18" s="250">
        <v>1676836</v>
      </c>
      <c r="J18" s="250">
        <v>109999</v>
      </c>
      <c r="K18" s="250">
        <v>64059</v>
      </c>
      <c r="L18" s="250">
        <v>374167</v>
      </c>
      <c r="M18" s="250"/>
      <c r="N18" s="235"/>
    </row>
    <row r="19" spans="1:15" ht="10.9" customHeight="1">
      <c r="A19" s="251" t="s">
        <v>56</v>
      </c>
      <c r="B19" s="250">
        <v>423097</v>
      </c>
      <c r="C19" s="250">
        <v>277835</v>
      </c>
      <c r="D19" s="250">
        <v>1525176</v>
      </c>
      <c r="E19" s="250">
        <v>83575</v>
      </c>
      <c r="F19" s="250">
        <v>1608572</v>
      </c>
      <c r="G19" s="250">
        <v>204139</v>
      </c>
      <c r="H19" s="250">
        <v>228835</v>
      </c>
      <c r="I19" s="250">
        <v>1736063</v>
      </c>
      <c r="J19" s="250">
        <v>86457</v>
      </c>
      <c r="K19" s="250">
        <v>36335</v>
      </c>
      <c r="L19" s="250">
        <v>396109</v>
      </c>
      <c r="M19" s="250"/>
      <c r="N19" s="235"/>
      <c r="O19" s="107"/>
    </row>
    <row r="20" spans="1:15" ht="3" customHeight="1">
      <c r="A20" s="251"/>
      <c r="B20" s="250"/>
      <c r="C20" s="250"/>
      <c r="D20" s="250"/>
      <c r="E20" s="250"/>
      <c r="F20" s="250"/>
      <c r="G20" s="250"/>
      <c r="H20" s="250"/>
      <c r="I20" s="250"/>
      <c r="J20" s="250"/>
      <c r="K20" s="250"/>
      <c r="L20" s="250"/>
      <c r="M20" s="250"/>
      <c r="N20" s="235"/>
      <c r="O20" s="107"/>
    </row>
    <row r="21" spans="1:15" ht="11.1" customHeight="1">
      <c r="A21" s="251" t="s">
        <v>57</v>
      </c>
      <c r="B21" s="250">
        <v>372385</v>
      </c>
      <c r="C21" s="250">
        <v>238687</v>
      </c>
      <c r="D21" s="250">
        <v>1410099</v>
      </c>
      <c r="E21" s="250">
        <v>99308</v>
      </c>
      <c r="F21" s="250">
        <v>1597501</v>
      </c>
      <c r="G21" s="250">
        <v>175737</v>
      </c>
      <c r="H21" s="250">
        <v>233391</v>
      </c>
      <c r="I21" s="250">
        <v>1846216</v>
      </c>
      <c r="J21" s="250">
        <v>73710</v>
      </c>
      <c r="K21" s="250">
        <v>90585</v>
      </c>
      <c r="L21" s="250">
        <v>379749</v>
      </c>
      <c r="M21" s="250"/>
      <c r="N21" s="235"/>
      <c r="O21" s="107"/>
    </row>
    <row r="22" spans="1:15" ht="11.1" customHeight="1">
      <c r="A22" s="251" t="s">
        <v>58</v>
      </c>
      <c r="B22" s="250">
        <v>316378</v>
      </c>
      <c r="C22" s="250">
        <v>282823</v>
      </c>
      <c r="D22" s="250">
        <v>1543981</v>
      </c>
      <c r="E22" s="250">
        <v>87971</v>
      </c>
      <c r="F22" s="250">
        <v>1406532</v>
      </c>
      <c r="G22" s="250">
        <v>139506</v>
      </c>
      <c r="H22" s="250">
        <v>223774</v>
      </c>
      <c r="I22" s="250">
        <v>2000445</v>
      </c>
      <c r="J22" s="250">
        <v>102421</v>
      </c>
      <c r="K22" s="250">
        <v>56974</v>
      </c>
      <c r="L22" s="250">
        <v>395231</v>
      </c>
      <c r="M22" s="250"/>
      <c r="N22" s="235"/>
      <c r="O22" s="107"/>
    </row>
    <row r="23" spans="1:15" ht="11.1" customHeight="1">
      <c r="A23" s="251" t="s">
        <v>59</v>
      </c>
      <c r="B23" s="250">
        <v>319715</v>
      </c>
      <c r="C23" s="250">
        <v>248101</v>
      </c>
      <c r="D23" s="250">
        <v>1630196</v>
      </c>
      <c r="E23" s="250">
        <v>75116</v>
      </c>
      <c r="F23" s="250">
        <v>1367024</v>
      </c>
      <c r="G23" s="250">
        <v>260684</v>
      </c>
      <c r="H23" s="250">
        <v>248603</v>
      </c>
      <c r="I23" s="250">
        <v>1887974</v>
      </c>
      <c r="J23" s="250">
        <v>68168</v>
      </c>
      <c r="K23" s="250">
        <v>38976</v>
      </c>
      <c r="L23" s="250">
        <v>314449</v>
      </c>
      <c r="M23" s="250"/>
      <c r="N23" s="235"/>
      <c r="O23" s="107"/>
    </row>
    <row r="24" spans="1:15" ht="11.1" customHeight="1">
      <c r="A24" s="251" t="s">
        <v>122</v>
      </c>
      <c r="B24" s="250">
        <v>305019</v>
      </c>
      <c r="C24" s="250">
        <v>266043</v>
      </c>
      <c r="D24" s="250">
        <v>1692235</v>
      </c>
      <c r="E24" s="250">
        <v>145318</v>
      </c>
      <c r="F24" s="250">
        <v>1557565</v>
      </c>
      <c r="G24" s="250">
        <v>241893</v>
      </c>
      <c r="H24" s="250">
        <v>211524</v>
      </c>
      <c r="I24" s="250">
        <v>2045091</v>
      </c>
      <c r="J24" s="250">
        <v>93990</v>
      </c>
      <c r="K24" s="250">
        <v>50065</v>
      </c>
      <c r="L24" s="250">
        <v>401393</v>
      </c>
      <c r="M24" s="250"/>
      <c r="N24" s="235"/>
      <c r="O24" s="107"/>
    </row>
    <row r="25" spans="1:15" ht="11.1" customHeight="1">
      <c r="A25" s="251" t="s">
        <v>61</v>
      </c>
      <c r="B25" s="250">
        <v>300519</v>
      </c>
      <c r="C25" s="250">
        <v>252835</v>
      </c>
      <c r="D25" s="250">
        <v>1788750</v>
      </c>
      <c r="E25" s="250">
        <v>111842</v>
      </c>
      <c r="F25" s="250">
        <v>1820188</v>
      </c>
      <c r="G25" s="250">
        <v>249656</v>
      </c>
      <c r="H25" s="250">
        <v>264769</v>
      </c>
      <c r="I25" s="250">
        <v>2372217</v>
      </c>
      <c r="J25" s="250">
        <v>116977</v>
      </c>
      <c r="K25" s="250">
        <v>102422</v>
      </c>
      <c r="L25" s="250">
        <v>389894</v>
      </c>
      <c r="M25" s="250"/>
      <c r="N25" s="235"/>
      <c r="O25" s="107"/>
    </row>
    <row r="26" spans="1:15" ht="11.1" customHeight="1">
      <c r="A26" s="251" t="s">
        <v>62</v>
      </c>
      <c r="B26" s="252">
        <v>241792</v>
      </c>
      <c r="C26" s="252">
        <v>254626</v>
      </c>
      <c r="D26" s="252">
        <v>1819240</v>
      </c>
      <c r="E26" s="252">
        <v>98076</v>
      </c>
      <c r="F26" s="252">
        <v>1431706</v>
      </c>
      <c r="G26" s="252">
        <v>275252</v>
      </c>
      <c r="H26" s="252">
        <v>323422</v>
      </c>
      <c r="I26" s="252">
        <v>3119448</v>
      </c>
      <c r="J26" s="252">
        <v>98895</v>
      </c>
      <c r="K26" s="252">
        <v>66768</v>
      </c>
      <c r="L26" s="252">
        <v>444137</v>
      </c>
      <c r="M26" s="252"/>
      <c r="N26" s="235"/>
      <c r="O26" s="107"/>
    </row>
    <row r="27" spans="1:15" ht="3" customHeight="1">
      <c r="A27" s="251"/>
      <c r="B27" s="252"/>
      <c r="C27" s="252"/>
      <c r="D27" s="252"/>
      <c r="E27" s="252"/>
      <c r="F27" s="252"/>
      <c r="G27" s="252"/>
      <c r="H27" s="252"/>
      <c r="I27" s="252"/>
      <c r="J27" s="252"/>
      <c r="K27" s="252"/>
      <c r="L27" s="252"/>
      <c r="M27" s="252"/>
      <c r="N27" s="235"/>
      <c r="O27" s="107"/>
    </row>
    <row r="28" spans="1:15" ht="11.1" customHeight="1">
      <c r="A28" s="251" t="s">
        <v>63</v>
      </c>
      <c r="B28" s="252">
        <v>267204</v>
      </c>
      <c r="C28" s="252">
        <v>258297</v>
      </c>
      <c r="D28" s="252">
        <v>2263631</v>
      </c>
      <c r="E28" s="252">
        <v>110580</v>
      </c>
      <c r="F28" s="252">
        <v>1431929</v>
      </c>
      <c r="G28" s="252">
        <v>290158</v>
      </c>
      <c r="H28" s="252">
        <v>257295</v>
      </c>
      <c r="I28" s="252">
        <v>2650637</v>
      </c>
      <c r="J28" s="252">
        <v>105466</v>
      </c>
      <c r="K28" s="252">
        <v>41310</v>
      </c>
      <c r="L28" s="252">
        <v>434889</v>
      </c>
      <c r="M28" s="252"/>
    </row>
    <row r="29" spans="1:15" ht="11.1" customHeight="1">
      <c r="A29" s="247" t="s">
        <v>64</v>
      </c>
      <c r="B29" s="252">
        <v>350479</v>
      </c>
      <c r="C29" s="252">
        <v>263788</v>
      </c>
      <c r="D29" s="252">
        <v>1511643</v>
      </c>
      <c r="E29" s="252">
        <v>108454</v>
      </c>
      <c r="F29" s="252">
        <v>1409703</v>
      </c>
      <c r="G29" s="252">
        <v>314760</v>
      </c>
      <c r="H29" s="252">
        <v>290384</v>
      </c>
      <c r="I29" s="252">
        <v>2963310</v>
      </c>
      <c r="J29" s="252">
        <v>112497</v>
      </c>
      <c r="K29" s="252">
        <v>54954</v>
      </c>
      <c r="L29" s="252">
        <v>451728</v>
      </c>
      <c r="M29" s="252"/>
    </row>
    <row r="30" spans="1:15" ht="11.1" customHeight="1">
      <c r="A30" s="247" t="s">
        <v>65</v>
      </c>
      <c r="B30" s="252">
        <v>376728</v>
      </c>
      <c r="C30" s="252">
        <v>267382</v>
      </c>
      <c r="D30" s="252">
        <v>1775222</v>
      </c>
      <c r="E30" s="252">
        <v>83981</v>
      </c>
      <c r="F30" s="252">
        <v>1466268</v>
      </c>
      <c r="G30" s="252">
        <v>353045</v>
      </c>
      <c r="H30" s="252">
        <v>327483</v>
      </c>
      <c r="I30" s="252">
        <v>3099883</v>
      </c>
      <c r="J30" s="252">
        <v>106256</v>
      </c>
      <c r="K30" s="252">
        <v>34768</v>
      </c>
      <c r="L30" s="252">
        <v>470399</v>
      </c>
      <c r="M30" s="252"/>
    </row>
    <row r="31" spans="1:15" ht="11.1" customHeight="1">
      <c r="A31" s="247" t="s">
        <v>66</v>
      </c>
      <c r="B31" s="252">
        <v>296823</v>
      </c>
      <c r="C31" s="252">
        <v>277771</v>
      </c>
      <c r="D31" s="252">
        <v>1546116</v>
      </c>
      <c r="E31" s="252">
        <v>109711</v>
      </c>
      <c r="F31" s="252">
        <v>1314432</v>
      </c>
      <c r="G31" s="252">
        <v>354259</v>
      </c>
      <c r="H31" s="252">
        <v>328064</v>
      </c>
      <c r="I31" s="252">
        <v>2952381</v>
      </c>
      <c r="J31" s="252">
        <v>127642</v>
      </c>
      <c r="K31" s="252">
        <v>90048</v>
      </c>
      <c r="L31" s="252">
        <v>483043</v>
      </c>
      <c r="M31" s="252"/>
    </row>
    <row r="32" spans="1:15" ht="11.1" customHeight="1">
      <c r="A32" s="247" t="s">
        <v>67</v>
      </c>
      <c r="B32" s="252">
        <v>294287</v>
      </c>
      <c r="C32" s="252">
        <v>329789</v>
      </c>
      <c r="D32" s="252">
        <v>1633590</v>
      </c>
      <c r="E32" s="252">
        <v>120529</v>
      </c>
      <c r="F32" s="252">
        <v>1453199</v>
      </c>
      <c r="G32" s="252">
        <v>345590</v>
      </c>
      <c r="H32" s="252">
        <v>302350</v>
      </c>
      <c r="I32" s="252">
        <v>2837398</v>
      </c>
      <c r="J32" s="252">
        <v>114600</v>
      </c>
      <c r="K32" s="252">
        <v>58983</v>
      </c>
      <c r="L32" s="252">
        <v>488011</v>
      </c>
      <c r="M32" s="252"/>
    </row>
    <row r="33" spans="1:19" ht="11.1" customHeight="1">
      <c r="A33" s="247" t="s">
        <v>83</v>
      </c>
      <c r="B33" s="253">
        <v>254368</v>
      </c>
      <c r="C33" s="253">
        <v>245856</v>
      </c>
      <c r="D33" s="253">
        <v>1587979</v>
      </c>
      <c r="E33" s="253">
        <v>104921</v>
      </c>
      <c r="F33" s="253">
        <v>1686222</v>
      </c>
      <c r="G33" s="253">
        <v>380537</v>
      </c>
      <c r="H33" s="253">
        <v>422323</v>
      </c>
      <c r="I33" s="253">
        <v>2609279</v>
      </c>
      <c r="J33" s="253">
        <v>119028</v>
      </c>
      <c r="K33" s="253">
        <v>48262</v>
      </c>
      <c r="L33" s="253">
        <v>454406</v>
      </c>
      <c r="M33" s="253"/>
    </row>
    <row r="34" spans="1:19" ht="11.1" customHeight="1">
      <c r="A34" s="247" t="s">
        <v>84</v>
      </c>
      <c r="B34" s="253">
        <v>291082</v>
      </c>
      <c r="C34" s="253">
        <v>291258</v>
      </c>
      <c r="D34" s="253">
        <v>1501780</v>
      </c>
      <c r="E34" s="253">
        <v>115406</v>
      </c>
      <c r="F34" s="253">
        <v>1750838</v>
      </c>
      <c r="G34" s="253">
        <v>389480</v>
      </c>
      <c r="H34" s="253">
        <v>507074</v>
      </c>
      <c r="I34" s="253">
        <v>3010742</v>
      </c>
      <c r="J34" s="253">
        <v>86184</v>
      </c>
      <c r="K34" s="253">
        <v>60643</v>
      </c>
      <c r="L34" s="253">
        <v>461804</v>
      </c>
      <c r="M34" s="253"/>
    </row>
    <row r="35" spans="1:19" ht="11.1" customHeight="1">
      <c r="A35" s="247" t="s">
        <v>192</v>
      </c>
      <c r="B35" s="253">
        <v>416819</v>
      </c>
      <c r="C35" s="253">
        <v>344790</v>
      </c>
      <c r="D35" s="253">
        <v>1901035</v>
      </c>
      <c r="E35" s="253">
        <v>135149</v>
      </c>
      <c r="F35" s="253">
        <v>1712290</v>
      </c>
      <c r="G35" s="253">
        <v>292421</v>
      </c>
      <c r="H35" s="253">
        <v>548089</v>
      </c>
      <c r="I35" s="253">
        <v>3490260</v>
      </c>
      <c r="J35" s="253">
        <v>126942</v>
      </c>
      <c r="K35" s="253">
        <v>80102</v>
      </c>
      <c r="L35" s="253">
        <v>511464</v>
      </c>
      <c r="M35" s="253"/>
    </row>
    <row r="36" spans="1:19" ht="11.1" customHeight="1">
      <c r="A36" s="247" t="s">
        <v>193</v>
      </c>
      <c r="B36" s="253">
        <v>372927</v>
      </c>
      <c r="C36" s="253">
        <v>446682</v>
      </c>
      <c r="D36" s="253">
        <v>1922338</v>
      </c>
      <c r="E36" s="253">
        <v>131467</v>
      </c>
      <c r="F36" s="253">
        <v>1997786</v>
      </c>
      <c r="G36" s="253">
        <v>350243</v>
      </c>
      <c r="H36" s="253">
        <v>518679</v>
      </c>
      <c r="I36" s="253">
        <v>3303107</v>
      </c>
      <c r="J36" s="253">
        <v>121004</v>
      </c>
      <c r="K36" s="253">
        <v>18119</v>
      </c>
      <c r="L36" s="253">
        <v>513093</v>
      </c>
      <c r="M36" s="253"/>
      <c r="S36" s="254"/>
    </row>
    <row r="37" spans="1:19" ht="11.1" customHeight="1">
      <c r="A37" s="247" t="s">
        <v>194</v>
      </c>
      <c r="B37" s="253">
        <v>408792</v>
      </c>
      <c r="C37" s="253">
        <v>407502</v>
      </c>
      <c r="D37" s="253">
        <v>1808430</v>
      </c>
      <c r="E37" s="253">
        <v>158455</v>
      </c>
      <c r="F37" s="253">
        <v>2608220</v>
      </c>
      <c r="G37" s="255">
        <v>341239</v>
      </c>
      <c r="H37" s="255">
        <v>624979</v>
      </c>
      <c r="I37" s="255">
        <v>3453124</v>
      </c>
      <c r="J37" s="255">
        <v>96305</v>
      </c>
      <c r="K37" s="255">
        <v>86694</v>
      </c>
      <c r="L37" s="255">
        <v>502087</v>
      </c>
      <c r="M37" s="253"/>
      <c r="N37" s="256"/>
      <c r="O37" s="107"/>
      <c r="S37" s="254"/>
    </row>
    <row r="38" spans="1:19" ht="11.1" customHeight="1">
      <c r="A38" s="247" t="s">
        <v>195</v>
      </c>
      <c r="B38" s="253">
        <v>273076</v>
      </c>
      <c r="C38" s="253">
        <v>523528</v>
      </c>
      <c r="D38" s="253">
        <v>2198828</v>
      </c>
      <c r="E38" s="253">
        <v>236193</v>
      </c>
      <c r="F38" s="253">
        <v>2210997</v>
      </c>
      <c r="G38" s="255">
        <v>214546</v>
      </c>
      <c r="H38" s="255">
        <v>654387</v>
      </c>
      <c r="I38" s="255">
        <v>3613420</v>
      </c>
      <c r="J38" s="255">
        <v>110915</v>
      </c>
      <c r="K38" s="255">
        <v>46587</v>
      </c>
      <c r="L38" s="255">
        <v>545499</v>
      </c>
      <c r="M38" s="257"/>
      <c r="N38" s="256"/>
      <c r="O38" s="256"/>
      <c r="P38" s="256"/>
      <c r="Q38" s="256"/>
      <c r="R38" s="256"/>
      <c r="S38" s="254"/>
    </row>
    <row r="39" spans="1:19" ht="11.1" customHeight="1">
      <c r="A39" s="247" t="s">
        <v>196</v>
      </c>
      <c r="B39" s="253">
        <v>224098</v>
      </c>
      <c r="C39" s="253">
        <v>335065</v>
      </c>
      <c r="D39" s="253">
        <v>1970070</v>
      </c>
      <c r="E39" s="253">
        <v>207202</v>
      </c>
      <c r="F39" s="253">
        <v>2182003</v>
      </c>
      <c r="G39" s="255">
        <v>429586</v>
      </c>
      <c r="H39" s="255">
        <v>574958</v>
      </c>
      <c r="I39" s="255">
        <v>4101600</v>
      </c>
      <c r="J39" s="255">
        <v>138611</v>
      </c>
      <c r="K39" s="255">
        <v>32209</v>
      </c>
      <c r="L39" s="255">
        <v>593387</v>
      </c>
      <c r="M39" s="257"/>
      <c r="N39" s="256"/>
      <c r="O39" s="256"/>
      <c r="P39" s="256"/>
      <c r="Q39" s="256"/>
      <c r="R39" s="256"/>
      <c r="S39" s="254"/>
    </row>
    <row r="40" spans="1:19" ht="9.75" customHeight="1">
      <c r="A40" s="247" t="s">
        <v>197</v>
      </c>
      <c r="B40" s="253">
        <v>291424</v>
      </c>
      <c r="C40" s="253">
        <v>395339</v>
      </c>
      <c r="D40" s="253">
        <v>1997188</v>
      </c>
      <c r="E40" s="253">
        <v>274519</v>
      </c>
      <c r="F40" s="253">
        <v>2310982</v>
      </c>
      <c r="G40" s="255">
        <v>479068</v>
      </c>
      <c r="H40" s="255">
        <v>756425</v>
      </c>
      <c r="I40" s="255">
        <v>4023967</v>
      </c>
      <c r="J40" s="255">
        <v>129075</v>
      </c>
      <c r="K40" s="255">
        <v>136796</v>
      </c>
      <c r="L40" s="255">
        <v>617459</v>
      </c>
      <c r="M40" s="541"/>
      <c r="N40" s="542"/>
      <c r="O40" s="543"/>
      <c r="P40" s="256"/>
      <c r="Q40" s="256"/>
      <c r="R40" s="256"/>
      <c r="S40" s="254"/>
    </row>
    <row r="41" spans="1:19" ht="11.1" customHeight="1">
      <c r="A41" s="247" t="s">
        <v>198</v>
      </c>
      <c r="B41" s="253">
        <v>283537</v>
      </c>
      <c r="C41" s="253">
        <v>386514</v>
      </c>
      <c r="D41" s="253">
        <v>2230412</v>
      </c>
      <c r="E41" s="253">
        <v>330503</v>
      </c>
      <c r="F41" s="253">
        <v>2830784</v>
      </c>
      <c r="G41" s="255">
        <v>406047</v>
      </c>
      <c r="H41" s="255">
        <v>903657</v>
      </c>
      <c r="I41" s="255">
        <v>4262945</v>
      </c>
      <c r="J41" s="255">
        <v>130973</v>
      </c>
      <c r="K41" s="255">
        <v>52168</v>
      </c>
      <c r="L41" s="255">
        <v>587228</v>
      </c>
      <c r="M41" s="541"/>
      <c r="N41" s="542"/>
      <c r="O41" s="543"/>
      <c r="P41" s="256"/>
      <c r="Q41" s="256"/>
      <c r="R41" s="256"/>
      <c r="S41" s="254"/>
    </row>
    <row r="42" spans="1:19" ht="11.1" customHeight="1">
      <c r="A42" s="247" t="s">
        <v>199</v>
      </c>
      <c r="B42" s="253">
        <v>279033</v>
      </c>
      <c r="C42" s="253">
        <v>448698</v>
      </c>
      <c r="D42" s="253">
        <v>2621620</v>
      </c>
      <c r="E42" s="253">
        <v>349167</v>
      </c>
      <c r="F42" s="253">
        <v>3314996</v>
      </c>
      <c r="G42" s="255">
        <v>383676</v>
      </c>
      <c r="H42" s="255">
        <v>893833</v>
      </c>
      <c r="I42" s="255">
        <v>5661096</v>
      </c>
      <c r="J42" s="255">
        <v>144906</v>
      </c>
      <c r="K42" s="255">
        <v>130038</v>
      </c>
      <c r="L42" s="255">
        <v>618369</v>
      </c>
      <c r="M42" s="541"/>
      <c r="N42" s="542"/>
      <c r="O42" s="543"/>
      <c r="P42" s="256"/>
      <c r="Q42" s="256"/>
      <c r="R42" s="256"/>
      <c r="S42" s="254"/>
    </row>
    <row r="43" spans="1:19" ht="11.1" customHeight="1">
      <c r="A43" s="247" t="s">
        <v>200</v>
      </c>
      <c r="B43" s="253">
        <v>256524</v>
      </c>
      <c r="C43" s="253">
        <v>400295</v>
      </c>
      <c r="D43" s="253">
        <v>2073638</v>
      </c>
      <c r="E43" s="253">
        <v>426101</v>
      </c>
      <c r="F43" s="253">
        <v>3147435</v>
      </c>
      <c r="G43" s="255">
        <v>361305</v>
      </c>
      <c r="H43" s="255">
        <v>876193</v>
      </c>
      <c r="I43" s="255">
        <v>6135301</v>
      </c>
      <c r="J43" s="255">
        <v>125113</v>
      </c>
      <c r="K43" s="255">
        <v>134881</v>
      </c>
      <c r="L43" s="255">
        <v>550243</v>
      </c>
      <c r="M43" s="541"/>
      <c r="N43" s="542"/>
      <c r="O43" s="543"/>
      <c r="P43" s="256"/>
      <c r="Q43" s="256"/>
      <c r="R43" s="256"/>
      <c r="S43" s="254"/>
    </row>
    <row r="44" spans="1:19" ht="11.1" customHeight="1">
      <c r="A44" s="247" t="s">
        <v>201</v>
      </c>
      <c r="B44" s="253">
        <v>241686</v>
      </c>
      <c r="C44" s="253">
        <v>641259</v>
      </c>
      <c r="D44" s="253">
        <v>2254303</v>
      </c>
      <c r="E44" s="253">
        <v>557357</v>
      </c>
      <c r="F44" s="253">
        <v>2886900</v>
      </c>
      <c r="G44" s="255">
        <v>326378</v>
      </c>
      <c r="H44" s="255">
        <v>873361</v>
      </c>
      <c r="I44" s="255">
        <v>5822250</v>
      </c>
      <c r="J44" s="255">
        <v>162221</v>
      </c>
      <c r="K44" s="255">
        <v>73559</v>
      </c>
      <c r="L44" s="255">
        <v>628846</v>
      </c>
      <c r="M44" s="541"/>
      <c r="N44" s="542"/>
      <c r="O44" s="543"/>
      <c r="P44" s="256"/>
      <c r="Q44" s="256"/>
      <c r="R44" s="256"/>
      <c r="S44" s="254"/>
    </row>
    <row r="45" spans="1:19" ht="11.1" customHeight="1">
      <c r="A45" s="247" t="s">
        <v>418</v>
      </c>
      <c r="B45" s="253">
        <v>216258</v>
      </c>
      <c r="C45" s="253">
        <v>696835</v>
      </c>
      <c r="D45" s="253">
        <v>1963353</v>
      </c>
      <c r="E45" s="253">
        <v>468083</v>
      </c>
      <c r="F45" s="253">
        <v>3365665</v>
      </c>
      <c r="G45" s="255">
        <v>433870</v>
      </c>
      <c r="H45" s="255">
        <v>838159</v>
      </c>
      <c r="I45" s="255">
        <v>5914468</v>
      </c>
      <c r="J45" s="255">
        <v>143061</v>
      </c>
      <c r="K45" s="255">
        <v>160043</v>
      </c>
      <c r="L45" s="255">
        <v>602214</v>
      </c>
      <c r="M45" s="541"/>
      <c r="N45" s="542"/>
      <c r="O45" s="543"/>
      <c r="P45" s="256"/>
      <c r="Q45" s="256"/>
      <c r="R45" s="256"/>
      <c r="S45" s="254"/>
    </row>
    <row r="46" spans="1:19" ht="11.1" customHeight="1">
      <c r="A46" s="247" t="s">
        <v>427</v>
      </c>
      <c r="B46" s="483">
        <v>254318</v>
      </c>
      <c r="C46" s="483">
        <v>755086</v>
      </c>
      <c r="D46" s="483">
        <v>1927270</v>
      </c>
      <c r="E46" s="483">
        <v>490217</v>
      </c>
      <c r="F46" s="253">
        <v>3492607</v>
      </c>
      <c r="G46" s="255">
        <v>372254</v>
      </c>
      <c r="H46" s="255">
        <v>860356</v>
      </c>
      <c r="I46" s="255">
        <v>6294150</v>
      </c>
      <c r="J46" s="255">
        <v>133791</v>
      </c>
      <c r="K46" s="255">
        <v>141761</v>
      </c>
      <c r="L46" s="255">
        <v>622624</v>
      </c>
      <c r="M46" s="541"/>
      <c r="N46" s="542"/>
      <c r="O46" s="543"/>
      <c r="P46" s="256"/>
      <c r="Q46" s="256"/>
      <c r="R46" s="256"/>
      <c r="S46" s="254"/>
    </row>
    <row r="47" spans="1:19" ht="11.1" customHeight="1">
      <c r="A47" s="247" t="s">
        <v>451</v>
      </c>
      <c r="B47" s="483">
        <v>256917</v>
      </c>
      <c r="C47" s="483">
        <v>763446</v>
      </c>
      <c r="D47" s="483">
        <v>1943678</v>
      </c>
      <c r="E47" s="483">
        <v>568084</v>
      </c>
      <c r="F47" s="253">
        <v>3601447</v>
      </c>
      <c r="G47" s="255">
        <v>392012</v>
      </c>
      <c r="H47" s="255">
        <v>948520</v>
      </c>
      <c r="I47" s="255">
        <v>6507849</v>
      </c>
      <c r="J47" s="255">
        <v>128255</v>
      </c>
      <c r="K47" s="255">
        <v>186649</v>
      </c>
      <c r="L47" s="255">
        <v>599862</v>
      </c>
      <c r="M47" s="541"/>
      <c r="N47" s="542"/>
      <c r="O47" s="543"/>
      <c r="P47" s="256"/>
      <c r="Q47" s="256"/>
      <c r="R47" s="256"/>
      <c r="S47" s="254"/>
    </row>
    <row r="48" spans="1:19" ht="11.1" customHeight="1">
      <c r="A48" s="247" t="s">
        <v>463</v>
      </c>
      <c r="B48" s="458">
        <v>207970</v>
      </c>
      <c r="C48" s="458">
        <v>715761</v>
      </c>
      <c r="D48" s="458">
        <v>1830445</v>
      </c>
      <c r="E48" s="458">
        <v>575976</v>
      </c>
      <c r="F48" s="259">
        <v>3013713</v>
      </c>
      <c r="G48" s="260">
        <v>400354</v>
      </c>
      <c r="H48" s="260">
        <v>694335</v>
      </c>
      <c r="I48" s="260">
        <v>6615121</v>
      </c>
      <c r="J48" s="260">
        <v>104626</v>
      </c>
      <c r="K48" s="260">
        <v>40523</v>
      </c>
      <c r="L48" s="260">
        <v>511226</v>
      </c>
      <c r="M48" s="541"/>
      <c r="N48" s="542"/>
      <c r="O48" s="543"/>
      <c r="P48" s="256"/>
      <c r="Q48" s="256"/>
      <c r="R48" s="256"/>
      <c r="S48" s="254"/>
    </row>
    <row r="49" spans="1:19" ht="3.95" customHeight="1">
      <c r="A49" s="261"/>
      <c r="B49" s="253"/>
      <c r="C49" s="253"/>
      <c r="D49" s="253"/>
      <c r="E49" s="253"/>
      <c r="F49" s="253"/>
      <c r="G49" s="253"/>
      <c r="H49" s="253"/>
      <c r="I49" s="253"/>
      <c r="J49" s="253"/>
      <c r="K49" s="253"/>
      <c r="L49" s="253"/>
      <c r="P49" s="256"/>
      <c r="Q49" s="254"/>
      <c r="R49" s="254"/>
      <c r="S49" s="254"/>
    </row>
    <row r="50" spans="1:19">
      <c r="A50" s="258"/>
      <c r="B50" s="258"/>
      <c r="C50" s="262" t="s">
        <v>125</v>
      </c>
      <c r="D50" s="258" t="s">
        <v>202</v>
      </c>
      <c r="E50" s="258"/>
      <c r="F50" s="262" t="s">
        <v>124</v>
      </c>
      <c r="G50" s="262" t="s">
        <v>203</v>
      </c>
      <c r="H50" s="258"/>
      <c r="I50" s="258"/>
      <c r="J50" s="258"/>
      <c r="K50" s="262" t="s">
        <v>204</v>
      </c>
      <c r="L50" s="53" t="s">
        <v>205</v>
      </c>
    </row>
    <row r="51" spans="1:19" ht="12" customHeight="1">
      <c r="A51" s="238" t="s">
        <v>107</v>
      </c>
      <c r="B51" s="241" t="s">
        <v>110</v>
      </c>
      <c r="C51" s="241" t="s">
        <v>206</v>
      </c>
      <c r="D51" s="239" t="s">
        <v>207</v>
      </c>
      <c r="E51" s="241" t="s">
        <v>134</v>
      </c>
      <c r="F51" s="241" t="s">
        <v>130</v>
      </c>
      <c r="G51" s="263" t="s">
        <v>208</v>
      </c>
      <c r="H51" s="241" t="s">
        <v>209</v>
      </c>
      <c r="I51" s="241" t="s">
        <v>210</v>
      </c>
      <c r="J51" s="241" t="s">
        <v>211</v>
      </c>
      <c r="K51" s="264" t="s">
        <v>212</v>
      </c>
      <c r="L51" s="239" t="s">
        <v>213</v>
      </c>
      <c r="M51" s="243"/>
      <c r="N51" s="235"/>
    </row>
    <row r="52" spans="1:19" ht="3.95" customHeight="1">
      <c r="A52" s="244"/>
      <c r="B52" s="246"/>
      <c r="C52" s="246"/>
      <c r="D52" s="243"/>
      <c r="E52" s="246"/>
      <c r="F52" s="246"/>
      <c r="G52" s="246"/>
      <c r="H52" s="246"/>
      <c r="I52" s="246"/>
      <c r="J52" s="246"/>
      <c r="K52" s="247"/>
      <c r="L52" s="243"/>
      <c r="M52" s="243"/>
      <c r="N52" s="235"/>
    </row>
    <row r="53" spans="1:19" ht="10.9" customHeight="1">
      <c r="A53" s="244"/>
      <c r="B53" s="243"/>
      <c r="C53" s="243"/>
      <c r="D53" s="243"/>
      <c r="E53" s="243"/>
      <c r="F53" s="243"/>
      <c r="G53" s="248" t="s">
        <v>191</v>
      </c>
      <c r="H53" s="243"/>
      <c r="I53" s="243"/>
      <c r="J53" s="243"/>
      <c r="K53" s="243"/>
      <c r="L53" s="243"/>
      <c r="M53" s="243"/>
      <c r="N53" s="235"/>
    </row>
    <row r="54" spans="1:19" ht="3.95" customHeight="1">
      <c r="A54" s="244"/>
      <c r="B54" s="243"/>
      <c r="C54" s="243"/>
      <c r="D54" s="243"/>
      <c r="E54" s="243"/>
      <c r="F54" s="243"/>
      <c r="G54" s="248"/>
      <c r="H54" s="243"/>
      <c r="I54" s="243"/>
      <c r="J54" s="243"/>
      <c r="K54" s="243"/>
      <c r="L54" s="243"/>
      <c r="M54" s="243"/>
      <c r="N54" s="235"/>
    </row>
    <row r="55" spans="1:19" ht="10.9" customHeight="1">
      <c r="A55" s="249" t="s">
        <v>4</v>
      </c>
      <c r="B55" s="250">
        <v>174717</v>
      </c>
      <c r="C55" s="250">
        <v>76596</v>
      </c>
      <c r="D55" s="250">
        <v>198156</v>
      </c>
      <c r="E55" s="250">
        <v>89194</v>
      </c>
      <c r="F55" s="250">
        <v>244513</v>
      </c>
      <c r="G55" s="250">
        <v>49409</v>
      </c>
      <c r="H55" s="250">
        <v>473193</v>
      </c>
      <c r="I55" s="250">
        <v>136792</v>
      </c>
      <c r="J55" s="250">
        <v>184355</v>
      </c>
      <c r="K55" s="250">
        <v>403375</v>
      </c>
      <c r="L55" s="250">
        <v>6557399</v>
      </c>
      <c r="M55" s="250"/>
      <c r="N55" s="235"/>
    </row>
    <row r="56" spans="1:19" ht="10.9" customHeight="1">
      <c r="A56" s="251" t="s">
        <v>5</v>
      </c>
      <c r="B56" s="250">
        <v>162740</v>
      </c>
      <c r="C56" s="250">
        <v>89745</v>
      </c>
      <c r="D56" s="250">
        <v>180983</v>
      </c>
      <c r="E56" s="250">
        <v>107494</v>
      </c>
      <c r="F56" s="250">
        <v>310267</v>
      </c>
      <c r="G56" s="250">
        <v>64361</v>
      </c>
      <c r="H56" s="250">
        <v>299072</v>
      </c>
      <c r="I56" s="250">
        <v>180478</v>
      </c>
      <c r="J56" s="250">
        <v>228109</v>
      </c>
      <c r="K56" s="250">
        <v>358594</v>
      </c>
      <c r="L56" s="250">
        <v>6602930</v>
      </c>
      <c r="M56" s="250"/>
      <c r="N56" s="235"/>
    </row>
    <row r="57" spans="1:19" ht="10.9" customHeight="1">
      <c r="A57" s="251" t="s">
        <v>6</v>
      </c>
      <c r="B57" s="250">
        <v>147525</v>
      </c>
      <c r="C57" s="250">
        <v>99484</v>
      </c>
      <c r="D57" s="250">
        <v>180578</v>
      </c>
      <c r="E57" s="250">
        <v>142018</v>
      </c>
      <c r="F57" s="250">
        <v>424539</v>
      </c>
      <c r="G57" s="250">
        <v>46708</v>
      </c>
      <c r="H57" s="250">
        <v>311051</v>
      </c>
      <c r="I57" s="250">
        <v>152920</v>
      </c>
      <c r="J57" s="250">
        <v>238680</v>
      </c>
      <c r="K57" s="250">
        <v>469882</v>
      </c>
      <c r="L57" s="250">
        <v>6803791</v>
      </c>
      <c r="M57" s="250"/>
      <c r="N57" s="235"/>
    </row>
    <row r="58" spans="1:19" ht="10.9" customHeight="1">
      <c r="A58" s="251" t="s">
        <v>7</v>
      </c>
      <c r="B58" s="250">
        <v>136795</v>
      </c>
      <c r="C58" s="250">
        <v>100376</v>
      </c>
      <c r="D58" s="250">
        <v>169455</v>
      </c>
      <c r="E58" s="250">
        <v>155266</v>
      </c>
      <c r="F58" s="250">
        <v>407188</v>
      </c>
      <c r="G58" s="250">
        <v>44863</v>
      </c>
      <c r="H58" s="250">
        <v>251576</v>
      </c>
      <c r="I58" s="250">
        <v>153613</v>
      </c>
      <c r="J58" s="250">
        <v>125544</v>
      </c>
      <c r="K58" s="250">
        <v>411037</v>
      </c>
      <c r="L58" s="250">
        <v>6055869</v>
      </c>
      <c r="M58" s="250"/>
      <c r="N58" s="235"/>
    </row>
    <row r="59" spans="1:19" ht="10.9" customHeight="1">
      <c r="A59" s="251" t="s">
        <v>8</v>
      </c>
      <c r="B59" s="250">
        <v>150440</v>
      </c>
      <c r="C59" s="250">
        <v>89928</v>
      </c>
      <c r="D59" s="250">
        <v>157863</v>
      </c>
      <c r="E59" s="250">
        <v>180940</v>
      </c>
      <c r="F59" s="250">
        <v>413253</v>
      </c>
      <c r="G59" s="250">
        <v>28916</v>
      </c>
      <c r="H59" s="250">
        <v>446134</v>
      </c>
      <c r="I59" s="250">
        <v>143951</v>
      </c>
      <c r="J59" s="250">
        <v>155490</v>
      </c>
      <c r="K59" s="250">
        <v>486950</v>
      </c>
      <c r="L59" s="250">
        <v>6733621</v>
      </c>
      <c r="M59" s="250"/>
      <c r="N59" s="235"/>
    </row>
    <row r="60" spans="1:19" ht="10.9" customHeight="1">
      <c r="A60" s="251" t="s">
        <v>9</v>
      </c>
      <c r="B60" s="250">
        <v>193084</v>
      </c>
      <c r="C60" s="250">
        <v>90530</v>
      </c>
      <c r="D60" s="250">
        <v>195734</v>
      </c>
      <c r="E60" s="250">
        <v>189959</v>
      </c>
      <c r="F60" s="250">
        <v>450819</v>
      </c>
      <c r="G60" s="250">
        <v>43396</v>
      </c>
      <c r="H60" s="250">
        <v>360640</v>
      </c>
      <c r="I60" s="250">
        <v>163106</v>
      </c>
      <c r="J60" s="250">
        <v>174762</v>
      </c>
      <c r="K60" s="250">
        <v>487041</v>
      </c>
      <c r="L60" s="250">
        <v>6946379</v>
      </c>
      <c r="M60" s="250"/>
      <c r="N60" s="235"/>
    </row>
    <row r="61" spans="1:19" ht="3" customHeight="1">
      <c r="A61" s="251"/>
      <c r="B61" s="250"/>
      <c r="C61" s="250"/>
      <c r="D61" s="250"/>
      <c r="E61" s="250"/>
      <c r="F61" s="250"/>
      <c r="G61" s="250"/>
      <c r="H61" s="250"/>
      <c r="I61" s="250"/>
      <c r="J61" s="250"/>
      <c r="K61" s="250"/>
      <c r="L61" s="250"/>
      <c r="M61" s="250"/>
      <c r="N61" s="235"/>
    </row>
    <row r="62" spans="1:19" ht="10.9" customHeight="1">
      <c r="A62" s="251" t="s">
        <v>51</v>
      </c>
      <c r="B62" s="250">
        <v>198360</v>
      </c>
      <c r="C62" s="250">
        <v>99720</v>
      </c>
      <c r="D62" s="250">
        <v>199876</v>
      </c>
      <c r="E62" s="250">
        <v>165086</v>
      </c>
      <c r="F62" s="250">
        <v>503641</v>
      </c>
      <c r="G62" s="250">
        <v>42132</v>
      </c>
      <c r="H62" s="250">
        <v>461568</v>
      </c>
      <c r="I62" s="250">
        <v>196649</v>
      </c>
      <c r="J62" s="250">
        <v>194400</v>
      </c>
      <c r="K62" s="250">
        <v>550301</v>
      </c>
      <c r="L62" s="250">
        <v>7251672</v>
      </c>
      <c r="M62" s="250"/>
      <c r="N62" s="235"/>
    </row>
    <row r="63" spans="1:19" ht="10.9" customHeight="1">
      <c r="A63" s="251" t="s">
        <v>52</v>
      </c>
      <c r="B63" s="250">
        <v>195742</v>
      </c>
      <c r="C63" s="250">
        <v>99286</v>
      </c>
      <c r="D63" s="250">
        <v>205695</v>
      </c>
      <c r="E63" s="250">
        <v>150906</v>
      </c>
      <c r="F63" s="250">
        <v>549641</v>
      </c>
      <c r="G63" s="250">
        <v>54512</v>
      </c>
      <c r="H63" s="250">
        <v>648000</v>
      </c>
      <c r="I63" s="250">
        <v>139989</v>
      </c>
      <c r="J63" s="250">
        <v>243048</v>
      </c>
      <c r="K63" s="250">
        <v>555344</v>
      </c>
      <c r="L63" s="250">
        <v>8055991</v>
      </c>
      <c r="M63" s="250"/>
      <c r="N63" s="235"/>
    </row>
    <row r="64" spans="1:19" ht="10.9" customHeight="1">
      <c r="A64" s="251" t="s">
        <v>53</v>
      </c>
      <c r="B64" s="250">
        <v>218359</v>
      </c>
      <c r="C64" s="250">
        <v>107402</v>
      </c>
      <c r="D64" s="250">
        <v>255020</v>
      </c>
      <c r="E64" s="250">
        <v>186340</v>
      </c>
      <c r="F64" s="250">
        <v>544279</v>
      </c>
      <c r="G64" s="250">
        <v>75414</v>
      </c>
      <c r="H64" s="250">
        <v>600075</v>
      </c>
      <c r="I64" s="250">
        <v>166661</v>
      </c>
      <c r="J64" s="250">
        <v>192698</v>
      </c>
      <c r="K64" s="250">
        <v>666252</v>
      </c>
      <c r="L64" s="250">
        <v>9032090</v>
      </c>
      <c r="M64" s="250"/>
      <c r="N64" s="235"/>
    </row>
    <row r="65" spans="1:18" ht="10.9" customHeight="1">
      <c r="A65" s="251" t="s">
        <v>54</v>
      </c>
      <c r="B65" s="250">
        <v>258638</v>
      </c>
      <c r="C65" s="250">
        <v>98310</v>
      </c>
      <c r="D65" s="250">
        <v>251946</v>
      </c>
      <c r="E65" s="250">
        <v>164720</v>
      </c>
      <c r="F65" s="250">
        <v>537756</v>
      </c>
      <c r="G65" s="250">
        <v>61998</v>
      </c>
      <c r="H65" s="250">
        <v>480930</v>
      </c>
      <c r="I65" s="250">
        <v>178965</v>
      </c>
      <c r="J65" s="250">
        <v>245030</v>
      </c>
      <c r="K65" s="250">
        <v>608828</v>
      </c>
      <c r="L65" s="250">
        <v>9151178</v>
      </c>
      <c r="M65" s="250"/>
      <c r="N65" s="235"/>
    </row>
    <row r="66" spans="1:18" ht="10.9" customHeight="1">
      <c r="A66" s="251" t="s">
        <v>55</v>
      </c>
      <c r="B66" s="250">
        <v>260861</v>
      </c>
      <c r="C66" s="250">
        <v>106365</v>
      </c>
      <c r="D66" s="250">
        <v>295335</v>
      </c>
      <c r="E66" s="250">
        <v>156455</v>
      </c>
      <c r="F66" s="250">
        <v>589588</v>
      </c>
      <c r="G66" s="250">
        <v>68212</v>
      </c>
      <c r="H66" s="250">
        <v>597990</v>
      </c>
      <c r="I66" s="250">
        <v>247677</v>
      </c>
      <c r="J66" s="250">
        <v>236080</v>
      </c>
      <c r="K66" s="250">
        <v>700230</v>
      </c>
      <c r="L66" s="250">
        <v>9381000</v>
      </c>
      <c r="M66" s="250"/>
      <c r="N66" s="235"/>
    </row>
    <row r="67" spans="1:18" ht="10.9" customHeight="1">
      <c r="A67" s="251" t="s">
        <v>56</v>
      </c>
      <c r="B67" s="250">
        <v>271576</v>
      </c>
      <c r="C67" s="250">
        <v>107775</v>
      </c>
      <c r="D67" s="250">
        <v>256412</v>
      </c>
      <c r="E67" s="250">
        <v>206616</v>
      </c>
      <c r="F67" s="250">
        <v>631458</v>
      </c>
      <c r="G67" s="250">
        <v>66209</v>
      </c>
      <c r="H67" s="250">
        <v>564179</v>
      </c>
      <c r="I67" s="250">
        <v>307016</v>
      </c>
      <c r="J67" s="250">
        <v>279720</v>
      </c>
      <c r="K67" s="250">
        <v>689246</v>
      </c>
      <c r="L67" s="250">
        <v>9986400</v>
      </c>
      <c r="M67" s="250"/>
      <c r="N67" s="235"/>
    </row>
    <row r="68" spans="1:18" ht="3" customHeight="1">
      <c r="A68" s="251"/>
      <c r="B68" s="250"/>
      <c r="C68" s="250"/>
      <c r="D68" s="250"/>
      <c r="E68" s="250"/>
      <c r="F68" s="250"/>
      <c r="G68" s="250"/>
      <c r="H68" s="250"/>
      <c r="I68" s="250"/>
      <c r="J68" s="250"/>
      <c r="K68" s="250"/>
      <c r="L68" s="250"/>
      <c r="M68" s="250"/>
      <c r="N68" s="235"/>
    </row>
    <row r="69" spans="1:18" ht="11.1" customHeight="1">
      <c r="A69" s="251" t="s">
        <v>57</v>
      </c>
      <c r="B69" s="250">
        <v>275241</v>
      </c>
      <c r="C69" s="250">
        <v>102100</v>
      </c>
      <c r="D69" s="250">
        <v>254125</v>
      </c>
      <c r="E69" s="250">
        <v>214767</v>
      </c>
      <c r="F69" s="250">
        <v>697950</v>
      </c>
      <c r="G69" s="250">
        <v>128616</v>
      </c>
      <c r="H69" s="250">
        <v>691340</v>
      </c>
      <c r="I69" s="250">
        <v>240797</v>
      </c>
      <c r="J69" s="250">
        <v>286230</v>
      </c>
      <c r="K69" s="250">
        <v>681076</v>
      </c>
      <c r="L69" s="250">
        <v>10089612</v>
      </c>
      <c r="M69" s="250"/>
      <c r="N69" s="235"/>
      <c r="O69" s="107"/>
      <c r="P69" s="107"/>
    </row>
    <row r="70" spans="1:18" ht="11.1" customHeight="1">
      <c r="A70" s="251" t="s">
        <v>58</v>
      </c>
      <c r="B70" s="250">
        <v>247045</v>
      </c>
      <c r="C70" s="250">
        <v>79850</v>
      </c>
      <c r="D70" s="250">
        <v>261544</v>
      </c>
      <c r="E70" s="250">
        <v>196820</v>
      </c>
      <c r="F70" s="250">
        <v>669937</v>
      </c>
      <c r="G70" s="250">
        <v>111233</v>
      </c>
      <c r="H70" s="250">
        <v>930618</v>
      </c>
      <c r="I70" s="250">
        <v>213862</v>
      </c>
      <c r="J70" s="250">
        <v>361400</v>
      </c>
      <c r="K70" s="250">
        <v>701238</v>
      </c>
      <c r="L70" s="250">
        <v>10329585</v>
      </c>
      <c r="M70" s="250"/>
      <c r="N70" s="235"/>
      <c r="O70" s="107"/>
    </row>
    <row r="71" spans="1:18" ht="11.1" customHeight="1">
      <c r="A71" s="251" t="s">
        <v>59</v>
      </c>
      <c r="B71" s="250">
        <v>226521</v>
      </c>
      <c r="C71" s="250">
        <v>78890</v>
      </c>
      <c r="D71" s="250">
        <v>257255</v>
      </c>
      <c r="E71" s="250">
        <v>230795</v>
      </c>
      <c r="F71" s="250">
        <v>836142</v>
      </c>
      <c r="G71" s="250">
        <v>108417</v>
      </c>
      <c r="H71" s="250">
        <v>965202</v>
      </c>
      <c r="I71" s="250">
        <v>207345</v>
      </c>
      <c r="J71" s="250">
        <v>238960</v>
      </c>
      <c r="K71" s="250">
        <v>692109</v>
      </c>
      <c r="L71" s="250">
        <v>10300642</v>
      </c>
      <c r="M71" s="250"/>
      <c r="N71" s="235"/>
      <c r="O71" s="107"/>
    </row>
    <row r="72" spans="1:18" s="266" customFormat="1" ht="11.1" customHeight="1">
      <c r="A72" s="251" t="s">
        <v>122</v>
      </c>
      <c r="B72" s="250">
        <v>241276</v>
      </c>
      <c r="C72" s="250">
        <v>87360</v>
      </c>
      <c r="D72" s="250">
        <v>324005</v>
      </c>
      <c r="E72" s="250">
        <v>223938</v>
      </c>
      <c r="F72" s="250">
        <v>811634</v>
      </c>
      <c r="G72" s="250">
        <v>122283</v>
      </c>
      <c r="H72" s="250">
        <v>880896</v>
      </c>
      <c r="I72" s="250">
        <v>271232</v>
      </c>
      <c r="J72" s="250">
        <v>327600</v>
      </c>
      <c r="K72" s="250">
        <v>717483</v>
      </c>
      <c r="L72" s="250">
        <v>11017842</v>
      </c>
      <c r="M72" s="250"/>
      <c r="N72" s="265"/>
      <c r="O72" s="107"/>
    </row>
    <row r="73" spans="1:18" s="266" customFormat="1" ht="11.1" customHeight="1">
      <c r="A73" s="251" t="s">
        <v>61</v>
      </c>
      <c r="B73" s="250">
        <v>292788</v>
      </c>
      <c r="C73" s="250">
        <v>95914</v>
      </c>
      <c r="D73" s="250">
        <v>291778</v>
      </c>
      <c r="E73" s="250">
        <v>307827</v>
      </c>
      <c r="F73" s="250">
        <v>769393</v>
      </c>
      <c r="G73" s="250">
        <v>147370</v>
      </c>
      <c r="H73" s="250">
        <v>1018368</v>
      </c>
      <c r="I73" s="250">
        <v>134355</v>
      </c>
      <c r="J73" s="250">
        <v>328640</v>
      </c>
      <c r="K73" s="250">
        <v>692088</v>
      </c>
      <c r="L73" s="250">
        <v>11848590</v>
      </c>
      <c r="M73" s="250"/>
      <c r="N73" s="265"/>
      <c r="O73" s="107"/>
    </row>
    <row r="74" spans="1:18" s="266" customFormat="1" ht="11.1" customHeight="1">
      <c r="A74" s="251" t="s">
        <v>62</v>
      </c>
      <c r="B74" s="252">
        <v>306761</v>
      </c>
      <c r="C74" s="252">
        <v>91721</v>
      </c>
      <c r="D74" s="252">
        <v>267398</v>
      </c>
      <c r="E74" s="252">
        <v>350147</v>
      </c>
      <c r="F74" s="252">
        <v>903990</v>
      </c>
      <c r="G74" s="252">
        <v>170112</v>
      </c>
      <c r="H74" s="252">
        <v>1160640</v>
      </c>
      <c r="I74" s="252">
        <v>259220</v>
      </c>
      <c r="J74" s="252">
        <v>384670</v>
      </c>
      <c r="K74" s="250">
        <v>889965</v>
      </c>
      <c r="L74" s="252">
        <v>12957987</v>
      </c>
      <c r="M74" s="252"/>
      <c r="N74" s="265"/>
      <c r="O74" s="107"/>
    </row>
    <row r="75" spans="1:18" s="266" customFormat="1" ht="3" customHeight="1">
      <c r="A75" s="251"/>
      <c r="B75" s="252"/>
      <c r="C75" s="252"/>
      <c r="D75" s="252"/>
      <c r="E75" s="252"/>
      <c r="F75" s="252"/>
      <c r="G75" s="252"/>
      <c r="H75" s="252"/>
      <c r="I75" s="252"/>
      <c r="J75" s="252"/>
      <c r="K75" s="250"/>
      <c r="L75" s="252"/>
      <c r="M75" s="252"/>
      <c r="N75" s="265"/>
      <c r="O75" s="107"/>
    </row>
    <row r="76" spans="1:18" ht="11.1" customHeight="1">
      <c r="A76" s="247" t="s">
        <v>63</v>
      </c>
      <c r="B76" s="252">
        <v>284229</v>
      </c>
      <c r="C76" s="252">
        <v>92776</v>
      </c>
      <c r="D76" s="252">
        <v>237562</v>
      </c>
      <c r="E76" s="252">
        <v>199114</v>
      </c>
      <c r="F76" s="252">
        <v>1002709</v>
      </c>
      <c r="G76" s="252">
        <v>136649</v>
      </c>
      <c r="H76" s="252">
        <v>703590</v>
      </c>
      <c r="I76" s="252">
        <v>177452</v>
      </c>
      <c r="J76" s="252">
        <v>238350</v>
      </c>
      <c r="K76" s="258">
        <v>798968</v>
      </c>
      <c r="L76" s="252">
        <v>11982796</v>
      </c>
      <c r="M76" s="252"/>
      <c r="N76" s="235"/>
      <c r="O76" s="107"/>
      <c r="P76" s="107"/>
    </row>
    <row r="77" spans="1:18" ht="11.1" customHeight="1">
      <c r="A77" s="247" t="s">
        <v>64</v>
      </c>
      <c r="B77" s="252">
        <v>294055</v>
      </c>
      <c r="C77" s="252">
        <v>101448</v>
      </c>
      <c r="D77" s="252">
        <v>196539</v>
      </c>
      <c r="E77" s="252">
        <v>109072</v>
      </c>
      <c r="F77" s="252">
        <v>1145876</v>
      </c>
      <c r="G77" s="252">
        <v>187867</v>
      </c>
      <c r="H77" s="252">
        <v>687742</v>
      </c>
      <c r="I77" s="252">
        <v>330398</v>
      </c>
      <c r="J77" s="252">
        <v>250738</v>
      </c>
      <c r="K77" s="258">
        <v>880775</v>
      </c>
      <c r="L77" s="252">
        <v>12016211</v>
      </c>
      <c r="M77" s="252"/>
      <c r="N77" s="235"/>
      <c r="O77" s="107"/>
    </row>
    <row r="78" spans="1:18" ht="11.1" customHeight="1">
      <c r="A78" s="247" t="s">
        <v>65</v>
      </c>
      <c r="B78" s="252">
        <v>288196</v>
      </c>
      <c r="C78" s="252">
        <v>101530</v>
      </c>
      <c r="D78" s="252">
        <v>187462</v>
      </c>
      <c r="E78" s="252">
        <v>100851</v>
      </c>
      <c r="F78" s="252">
        <v>1045413</v>
      </c>
      <c r="G78" s="252">
        <v>222536</v>
      </c>
      <c r="H78" s="252">
        <v>666487</v>
      </c>
      <c r="I78" s="252">
        <v>238768</v>
      </c>
      <c r="J78" s="252">
        <v>296360</v>
      </c>
      <c r="K78" s="258">
        <v>876397</v>
      </c>
      <c r="L78" s="252">
        <v>12385416</v>
      </c>
      <c r="M78" s="252"/>
      <c r="N78" s="235"/>
      <c r="O78" s="107"/>
      <c r="P78" s="107"/>
      <c r="Q78" s="107"/>
      <c r="R78" s="107"/>
    </row>
    <row r="79" spans="1:18" ht="11.1" customHeight="1">
      <c r="A79" s="247" t="s">
        <v>66</v>
      </c>
      <c r="B79" s="252">
        <v>273206</v>
      </c>
      <c r="C79" s="252">
        <v>96337</v>
      </c>
      <c r="D79" s="252">
        <v>216077</v>
      </c>
      <c r="E79" s="252">
        <v>113646</v>
      </c>
      <c r="F79" s="252">
        <v>1069259</v>
      </c>
      <c r="G79" s="252">
        <v>187004</v>
      </c>
      <c r="H79" s="252">
        <v>740012</v>
      </c>
      <c r="I79" s="252">
        <v>201101</v>
      </c>
      <c r="J79" s="252">
        <v>341600</v>
      </c>
      <c r="K79" s="258">
        <v>785512</v>
      </c>
      <c r="L79" s="252">
        <v>11904046</v>
      </c>
      <c r="M79" s="252"/>
      <c r="N79" s="235"/>
      <c r="O79" s="107"/>
      <c r="P79" s="107"/>
      <c r="Q79" s="107"/>
      <c r="R79" s="107"/>
    </row>
    <row r="80" spans="1:18" ht="11.1" customHeight="1">
      <c r="A80" s="247" t="s">
        <v>67</v>
      </c>
      <c r="B80" s="252">
        <v>253197</v>
      </c>
      <c r="C80" s="252">
        <v>100616</v>
      </c>
      <c r="D80" s="252">
        <v>184936</v>
      </c>
      <c r="E80" s="252">
        <v>182783</v>
      </c>
      <c r="F80" s="252">
        <v>1164270</v>
      </c>
      <c r="G80" s="252">
        <v>212426</v>
      </c>
      <c r="H80" s="252">
        <v>1200687</v>
      </c>
      <c r="I80" s="252">
        <v>165033</v>
      </c>
      <c r="J80" s="252">
        <v>329940</v>
      </c>
      <c r="K80" s="258">
        <v>1001690</v>
      </c>
      <c r="L80" s="252">
        <v>12773903</v>
      </c>
      <c r="M80" s="252"/>
      <c r="N80" s="235"/>
      <c r="O80" s="107"/>
      <c r="P80" s="107"/>
      <c r="Q80" s="107"/>
      <c r="R80" s="107"/>
    </row>
    <row r="81" spans="1:19" ht="11.1" customHeight="1">
      <c r="A81" s="247" t="s">
        <v>83</v>
      </c>
      <c r="B81" s="253">
        <v>267829</v>
      </c>
      <c r="C81" s="253">
        <v>101470</v>
      </c>
      <c r="D81" s="253">
        <v>224302</v>
      </c>
      <c r="E81" s="253">
        <v>209834</v>
      </c>
      <c r="F81" s="253">
        <v>1377277</v>
      </c>
      <c r="G81" s="253">
        <v>247529</v>
      </c>
      <c r="H81" s="253">
        <v>1600144</v>
      </c>
      <c r="I81" s="253">
        <v>277629</v>
      </c>
      <c r="J81" s="253">
        <v>378160</v>
      </c>
      <c r="K81" s="243">
        <v>983520</v>
      </c>
      <c r="L81" s="253">
        <v>13580875</v>
      </c>
      <c r="M81" s="253"/>
      <c r="N81" s="235"/>
      <c r="O81" s="107"/>
      <c r="P81" s="107"/>
      <c r="Q81" s="107"/>
      <c r="R81" s="107"/>
    </row>
    <row r="82" spans="1:19" ht="11.1" customHeight="1">
      <c r="A82" s="247" t="s">
        <v>84</v>
      </c>
      <c r="B82" s="253">
        <v>286293</v>
      </c>
      <c r="C82" s="253">
        <v>83104</v>
      </c>
      <c r="D82" s="253">
        <v>202191</v>
      </c>
      <c r="E82" s="253">
        <v>202670</v>
      </c>
      <c r="F82" s="253">
        <v>1297723</v>
      </c>
      <c r="G82" s="253">
        <v>296981</v>
      </c>
      <c r="H82" s="253">
        <v>2189005</v>
      </c>
      <c r="I82" s="253">
        <v>326924</v>
      </c>
      <c r="J82" s="253">
        <v>451750</v>
      </c>
      <c r="K82" s="243">
        <v>1405435</v>
      </c>
      <c r="L82" s="253">
        <v>15208366</v>
      </c>
      <c r="M82" s="253"/>
      <c r="N82" s="235"/>
      <c r="O82" s="107"/>
      <c r="P82" s="107"/>
      <c r="Q82" s="107"/>
      <c r="R82" s="107"/>
    </row>
    <row r="83" spans="1:19" ht="11.1" customHeight="1">
      <c r="A83" s="247" t="s">
        <v>192</v>
      </c>
      <c r="B83" s="253">
        <v>295600</v>
      </c>
      <c r="C83" s="253">
        <v>79288</v>
      </c>
      <c r="D83" s="253">
        <v>179475</v>
      </c>
      <c r="E83" s="253">
        <v>219985</v>
      </c>
      <c r="F83" s="253">
        <v>1399161</v>
      </c>
      <c r="G83" s="253">
        <v>381777</v>
      </c>
      <c r="H83" s="253">
        <v>2525909</v>
      </c>
      <c r="I83" s="253">
        <v>406920</v>
      </c>
      <c r="J83" s="253">
        <v>557350</v>
      </c>
      <c r="K83" s="267">
        <v>1532702</v>
      </c>
      <c r="L83" s="268">
        <v>17137528</v>
      </c>
      <c r="M83" s="253"/>
      <c r="N83" s="258"/>
      <c r="O83" s="107"/>
      <c r="P83" s="107"/>
      <c r="Q83" s="107"/>
      <c r="R83" s="107"/>
    </row>
    <row r="84" spans="1:19" ht="11.1" customHeight="1">
      <c r="A84" s="247" t="s">
        <v>193</v>
      </c>
      <c r="B84" s="253">
        <v>307595</v>
      </c>
      <c r="C84" s="253">
        <v>73652</v>
      </c>
      <c r="D84" s="253">
        <v>274186</v>
      </c>
      <c r="E84" s="253">
        <v>278888</v>
      </c>
      <c r="F84" s="253">
        <v>1523089</v>
      </c>
      <c r="G84" s="253">
        <v>560092</v>
      </c>
      <c r="H84" s="253">
        <v>2258790</v>
      </c>
      <c r="I84" s="253">
        <v>322493</v>
      </c>
      <c r="J84" s="253">
        <v>563980</v>
      </c>
      <c r="K84" s="267">
        <v>1396049</v>
      </c>
      <c r="L84" s="268">
        <v>17254259</v>
      </c>
      <c r="M84" s="235"/>
      <c r="N84" s="258"/>
      <c r="O84" s="107"/>
      <c r="P84" s="107"/>
      <c r="Q84" s="107"/>
      <c r="R84" s="107"/>
    </row>
    <row r="85" spans="1:19" ht="11.1" customHeight="1">
      <c r="A85" s="247" t="s">
        <v>194</v>
      </c>
      <c r="B85" s="255">
        <v>363092</v>
      </c>
      <c r="C85" s="269" t="s">
        <v>399</v>
      </c>
      <c r="D85" s="255">
        <v>223483</v>
      </c>
      <c r="E85" s="255">
        <v>332092</v>
      </c>
      <c r="F85" s="255">
        <v>1751108</v>
      </c>
      <c r="G85" s="255">
        <v>614106</v>
      </c>
      <c r="H85" s="255">
        <v>2401875</v>
      </c>
      <c r="I85" s="255">
        <v>433644</v>
      </c>
      <c r="J85" s="255">
        <v>751120</v>
      </c>
      <c r="K85" s="270">
        <v>1285345</v>
      </c>
      <c r="L85" s="268">
        <v>18651692</v>
      </c>
      <c r="M85" s="235"/>
      <c r="N85" s="258"/>
      <c r="O85" s="107"/>
      <c r="P85" s="107"/>
      <c r="Q85" s="107"/>
      <c r="R85" s="107"/>
    </row>
    <row r="86" spans="1:19" ht="11.1" customHeight="1">
      <c r="A86" s="247" t="s">
        <v>195</v>
      </c>
      <c r="B86" s="255">
        <v>396081</v>
      </c>
      <c r="C86" s="269" t="s">
        <v>399</v>
      </c>
      <c r="D86" s="255">
        <v>256378</v>
      </c>
      <c r="E86" s="255">
        <v>457192</v>
      </c>
      <c r="F86" s="255">
        <v>1918288</v>
      </c>
      <c r="G86" s="255">
        <v>591842</v>
      </c>
      <c r="H86" s="255">
        <v>2343200</v>
      </c>
      <c r="I86" s="255">
        <v>271687</v>
      </c>
      <c r="J86" s="255">
        <v>558080</v>
      </c>
      <c r="K86" s="270">
        <v>1224799</v>
      </c>
      <c r="L86" s="268">
        <v>18645523</v>
      </c>
      <c r="M86" s="253"/>
      <c r="N86" s="258"/>
      <c r="O86" s="256"/>
      <c r="P86" s="256"/>
      <c r="Q86" s="107"/>
      <c r="R86" s="107"/>
    </row>
    <row r="87" spans="1:19" ht="11.1" customHeight="1">
      <c r="A87" s="247" t="s">
        <v>196</v>
      </c>
      <c r="B87" s="255">
        <v>355662</v>
      </c>
      <c r="C87" s="269" t="s">
        <v>399</v>
      </c>
      <c r="D87" s="255">
        <v>267535</v>
      </c>
      <c r="E87" s="255">
        <v>305669</v>
      </c>
      <c r="F87" s="255">
        <v>2129585</v>
      </c>
      <c r="G87" s="255">
        <v>517325</v>
      </c>
      <c r="H87" s="255">
        <v>2293500</v>
      </c>
      <c r="I87" s="255">
        <v>430388</v>
      </c>
      <c r="J87" s="255">
        <v>747270</v>
      </c>
      <c r="K87" s="270">
        <v>1342857</v>
      </c>
      <c r="L87" s="268">
        <v>19178580</v>
      </c>
      <c r="M87" s="253"/>
      <c r="N87" s="258"/>
      <c r="O87" s="256"/>
      <c r="P87" s="107"/>
      <c r="Q87" s="107"/>
      <c r="R87" s="107"/>
    </row>
    <row r="88" spans="1:19" ht="11.1" customHeight="1">
      <c r="A88" s="247" t="s">
        <v>197</v>
      </c>
      <c r="B88" s="255">
        <v>386955</v>
      </c>
      <c r="C88" s="269" t="s">
        <v>399</v>
      </c>
      <c r="D88" s="255">
        <v>259225</v>
      </c>
      <c r="E88" s="255">
        <v>299123</v>
      </c>
      <c r="F88" s="255">
        <v>2260733</v>
      </c>
      <c r="G88" s="255">
        <v>643861</v>
      </c>
      <c r="H88" s="255">
        <v>2903380</v>
      </c>
      <c r="I88" s="255">
        <v>674828</v>
      </c>
      <c r="J88" s="255">
        <v>1028160</v>
      </c>
      <c r="K88" s="271">
        <v>1744420</v>
      </c>
      <c r="L88" s="272">
        <v>21612927</v>
      </c>
      <c r="M88" s="483"/>
      <c r="N88" s="258"/>
      <c r="O88" s="256"/>
      <c r="P88" s="107"/>
      <c r="Q88" s="107"/>
      <c r="R88" s="107"/>
    </row>
    <row r="89" spans="1:19" ht="11.1" customHeight="1">
      <c r="A89" s="247" t="s">
        <v>198</v>
      </c>
      <c r="B89" s="255">
        <v>366552</v>
      </c>
      <c r="C89" s="269" t="s">
        <v>399</v>
      </c>
      <c r="D89" s="255">
        <v>248557</v>
      </c>
      <c r="E89" s="255">
        <v>345561</v>
      </c>
      <c r="F89" s="255">
        <v>2391406</v>
      </c>
      <c r="G89" s="255">
        <v>880269</v>
      </c>
      <c r="H89" s="255">
        <v>4007860</v>
      </c>
      <c r="I89" s="255">
        <v>655889</v>
      </c>
      <c r="J89" s="255">
        <v>1336900</v>
      </c>
      <c r="K89" s="271">
        <v>1528524</v>
      </c>
      <c r="L89" s="272">
        <v>24166286</v>
      </c>
      <c r="M89" s="483"/>
      <c r="N89" s="258"/>
      <c r="O89" s="256"/>
      <c r="P89" s="107"/>
      <c r="Q89" s="107"/>
      <c r="R89" s="107"/>
    </row>
    <row r="90" spans="1:19" ht="11.1" customHeight="1">
      <c r="A90" s="247" t="s">
        <v>199</v>
      </c>
      <c r="B90" s="255">
        <v>432988</v>
      </c>
      <c r="C90" s="269" t="s">
        <v>399</v>
      </c>
      <c r="D90" s="255">
        <v>269768</v>
      </c>
      <c r="E90" s="255">
        <v>385506</v>
      </c>
      <c r="F90" s="255">
        <v>2453039</v>
      </c>
      <c r="G90" s="255">
        <v>841663</v>
      </c>
      <c r="H90" s="255">
        <v>4816860</v>
      </c>
      <c r="I90" s="255">
        <v>475991</v>
      </c>
      <c r="J90" s="255">
        <v>1505910</v>
      </c>
      <c r="K90" s="271">
        <v>2080661</v>
      </c>
      <c r="L90" s="272">
        <v>28107818</v>
      </c>
      <c r="M90" s="483"/>
      <c r="N90" s="258"/>
      <c r="O90" s="256"/>
      <c r="P90" s="107"/>
      <c r="Q90" s="107"/>
      <c r="R90" s="107"/>
      <c r="S90" s="256"/>
    </row>
    <row r="91" spans="1:19" ht="11.1" customHeight="1">
      <c r="A91" s="247" t="s">
        <v>200</v>
      </c>
      <c r="B91" s="255">
        <v>430660</v>
      </c>
      <c r="C91" s="269" t="s">
        <v>399</v>
      </c>
      <c r="D91" s="255">
        <v>241696</v>
      </c>
      <c r="E91" s="255">
        <v>287322</v>
      </c>
      <c r="F91" s="255">
        <v>2609038</v>
      </c>
      <c r="G91" s="255">
        <v>815561</v>
      </c>
      <c r="H91" s="255">
        <v>6384690</v>
      </c>
      <c r="I91" s="255">
        <v>460390</v>
      </c>
      <c r="J91" s="255">
        <v>1825320</v>
      </c>
      <c r="K91" s="271">
        <v>2672402</v>
      </c>
      <c r="L91" s="272">
        <v>30214108</v>
      </c>
      <c r="M91" s="483"/>
      <c r="N91" s="258"/>
      <c r="O91" s="256"/>
      <c r="P91" s="107"/>
      <c r="Q91" s="107"/>
      <c r="R91" s="107"/>
    </row>
    <row r="92" spans="1:19" ht="11.1" customHeight="1">
      <c r="A92" s="247" t="s">
        <v>201</v>
      </c>
      <c r="B92" s="255">
        <v>467194</v>
      </c>
      <c r="C92" s="269" t="s">
        <v>399</v>
      </c>
      <c r="D92" s="255">
        <v>368662</v>
      </c>
      <c r="E92" s="255">
        <v>254412</v>
      </c>
      <c r="F92" s="255">
        <v>2821854</v>
      </c>
      <c r="G92" s="255">
        <v>889188</v>
      </c>
      <c r="H92" s="255">
        <v>7388000</v>
      </c>
      <c r="I92" s="255">
        <v>516591</v>
      </c>
      <c r="J92" s="255">
        <v>1907140</v>
      </c>
      <c r="K92" s="271">
        <v>3167349</v>
      </c>
      <c r="L92" s="272">
        <v>32248510</v>
      </c>
      <c r="M92" s="483"/>
      <c r="N92" s="258"/>
      <c r="O92" s="256"/>
      <c r="P92" s="107"/>
      <c r="Q92" s="107"/>
      <c r="R92" s="107"/>
    </row>
    <row r="93" spans="1:19" ht="11.1" customHeight="1">
      <c r="A93" s="247" t="s">
        <v>418</v>
      </c>
      <c r="B93" s="255">
        <v>494190</v>
      </c>
      <c r="C93" s="269" t="s">
        <v>399</v>
      </c>
      <c r="D93" s="255">
        <v>321962</v>
      </c>
      <c r="E93" s="255">
        <v>261853</v>
      </c>
      <c r="F93" s="255">
        <v>2239301</v>
      </c>
      <c r="G93" s="255">
        <v>866760</v>
      </c>
      <c r="H93" s="255">
        <v>5868750</v>
      </c>
      <c r="I93" s="255">
        <v>560216</v>
      </c>
      <c r="J93" s="255">
        <v>1012020</v>
      </c>
      <c r="K93" s="271">
        <v>2020431</v>
      </c>
      <c r="L93" s="272">
        <v>28447492</v>
      </c>
      <c r="M93" s="483"/>
      <c r="N93" s="258"/>
      <c r="O93" s="256"/>
      <c r="P93" s="107"/>
      <c r="Q93" s="107"/>
      <c r="R93" s="107"/>
    </row>
    <row r="94" spans="1:19" ht="11.1" customHeight="1">
      <c r="A94" s="247" t="s">
        <v>427</v>
      </c>
      <c r="B94" s="255">
        <v>485763</v>
      </c>
      <c r="C94" s="269" t="s">
        <v>399</v>
      </c>
      <c r="D94" s="255">
        <v>205180</v>
      </c>
      <c r="E94" s="255">
        <v>292292</v>
      </c>
      <c r="F94" s="255">
        <v>3243711</v>
      </c>
      <c r="G94" s="255">
        <v>747839</v>
      </c>
      <c r="H94" s="255">
        <v>5052460</v>
      </c>
      <c r="I94" s="255">
        <v>696806</v>
      </c>
      <c r="J94" s="255">
        <v>1274650</v>
      </c>
      <c r="K94" s="484">
        <v>2354950</v>
      </c>
      <c r="L94" s="485">
        <v>29698085</v>
      </c>
      <c r="M94" s="483"/>
      <c r="N94" s="258"/>
      <c r="O94" s="256"/>
      <c r="P94" s="107"/>
      <c r="Q94" s="107"/>
      <c r="R94" s="107"/>
    </row>
    <row r="95" spans="1:19" ht="11.1" customHeight="1">
      <c r="A95" s="247" t="s">
        <v>451</v>
      </c>
      <c r="B95" s="255">
        <v>519290</v>
      </c>
      <c r="C95" s="269" t="s">
        <v>399</v>
      </c>
      <c r="D95" s="255">
        <v>322797</v>
      </c>
      <c r="E95" s="255">
        <v>252088</v>
      </c>
      <c r="F95" s="255">
        <v>2895813</v>
      </c>
      <c r="G95" s="255">
        <v>833469</v>
      </c>
      <c r="H95" s="255">
        <v>5603950</v>
      </c>
      <c r="I95" s="255">
        <v>709218</v>
      </c>
      <c r="J95" s="255">
        <v>1568700</v>
      </c>
      <c r="K95" s="484">
        <v>1986905</v>
      </c>
      <c r="L95" s="485">
        <v>30588949</v>
      </c>
      <c r="M95" s="483"/>
      <c r="N95" s="258"/>
      <c r="O95" s="256"/>
      <c r="P95" s="107"/>
      <c r="Q95" s="107"/>
      <c r="R95" s="107"/>
    </row>
    <row r="96" spans="1:19" ht="11.1" customHeight="1">
      <c r="A96" s="242" t="s">
        <v>463</v>
      </c>
      <c r="B96" s="260">
        <v>428940</v>
      </c>
      <c r="C96" s="273" t="s">
        <v>399</v>
      </c>
      <c r="D96" s="260">
        <v>287402</v>
      </c>
      <c r="E96" s="260">
        <v>222440</v>
      </c>
      <c r="F96" s="260">
        <v>2670523</v>
      </c>
      <c r="G96" s="260">
        <v>820450</v>
      </c>
      <c r="H96" s="260">
        <v>5468040</v>
      </c>
      <c r="I96" s="260">
        <v>425331</v>
      </c>
      <c r="J96" s="260">
        <v>878800</v>
      </c>
      <c r="K96" s="459">
        <v>3071280</v>
      </c>
      <c r="L96" s="460">
        <v>28983256</v>
      </c>
      <c r="M96" s="483"/>
      <c r="N96" s="258"/>
      <c r="O96" s="256"/>
      <c r="P96" s="107"/>
      <c r="Q96" s="107"/>
      <c r="R96" s="107"/>
    </row>
    <row r="97" spans="1:15" ht="11.1" customHeight="1">
      <c r="A97" s="69" t="s">
        <v>400</v>
      </c>
      <c r="B97" s="243"/>
      <c r="C97" s="243"/>
      <c r="D97" s="243"/>
      <c r="E97" s="243"/>
      <c r="F97" s="243"/>
      <c r="G97" s="243"/>
      <c r="H97" s="243"/>
      <c r="I97" s="243"/>
      <c r="J97" s="243"/>
      <c r="K97" s="243"/>
      <c r="L97" s="243"/>
      <c r="N97" s="235"/>
      <c r="O97" s="107"/>
    </row>
    <row r="98" spans="1:15" ht="11.1" customHeight="1">
      <c r="A98" s="69" t="s">
        <v>453</v>
      </c>
      <c r="B98" s="243"/>
      <c r="C98" s="243"/>
      <c r="D98" s="243"/>
      <c r="E98" s="243"/>
      <c r="F98" s="243"/>
      <c r="G98" s="243"/>
      <c r="H98" s="243"/>
      <c r="I98" s="243"/>
      <c r="J98" s="243"/>
      <c r="K98" s="243"/>
      <c r="L98" s="243"/>
      <c r="N98" s="235"/>
      <c r="O98" s="107"/>
    </row>
    <row r="99" spans="1:15" ht="11.1" customHeight="1">
      <c r="A99" s="69" t="s">
        <v>428</v>
      </c>
      <c r="N99" s="235"/>
    </row>
    <row r="100" spans="1:15" ht="11.1" customHeight="1">
      <c r="A100" s="69" t="s">
        <v>429</v>
      </c>
      <c r="B100" s="53"/>
      <c r="N100" s="235"/>
    </row>
    <row r="101" spans="1:15" ht="11.1" customHeight="1">
      <c r="A101" s="266" t="s">
        <v>214</v>
      </c>
    </row>
    <row r="103" spans="1:15">
      <c r="A103" s="274"/>
      <c r="B103" s="274"/>
      <c r="C103" s="274"/>
      <c r="D103" s="274"/>
    </row>
  </sheetData>
  <pageMargins left="0.66700000000000004" right="0.66700000000000004" top="0.66700000000000004" bottom="0.72" header="0" footer="0"/>
  <pageSetup scale="70" firstPageNumber="29" orientation="portrait" useFirstPageNumber="1" copies="3" r:id="rId1"/>
  <headerFooter alignWithMargins="0"/>
  <ignoredErrors>
    <ignoredError sqref="A7:A48 A55:A96"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9"/>
  <sheetViews>
    <sheetView showGridLines="0" zoomScaleNormal="100" workbookViewId="0">
      <selection activeCell="P32" sqref="P32"/>
    </sheetView>
  </sheetViews>
  <sheetFormatPr defaultColWidth="9" defaultRowHeight="12"/>
  <cols>
    <col min="1" max="2" width="16.140625" style="106" customWidth="1"/>
    <col min="3" max="4" width="16.7109375" style="106" customWidth="1"/>
    <col min="5" max="5" width="6.7109375" style="106" customWidth="1"/>
    <col min="6" max="7" width="16.7109375" style="106" customWidth="1"/>
    <col min="8" max="8" width="9.7109375" style="106" customWidth="1"/>
    <col min="9" max="11" width="9" style="106" customWidth="1"/>
    <col min="12" max="12" width="2.42578125" style="106" customWidth="1"/>
    <col min="13" max="16384" width="9" style="106"/>
  </cols>
  <sheetData>
    <row r="1" spans="1:17">
      <c r="A1" s="65" t="s">
        <v>215</v>
      </c>
      <c r="B1" s="71"/>
      <c r="C1" s="71"/>
      <c r="D1" s="71"/>
      <c r="E1" s="71"/>
      <c r="F1" s="71"/>
      <c r="G1" s="71"/>
      <c r="H1" s="46"/>
      <c r="I1" s="46"/>
      <c r="J1" s="275"/>
      <c r="K1" s="275"/>
      <c r="L1" s="275"/>
      <c r="M1" s="275"/>
      <c r="N1" s="275"/>
      <c r="O1" s="275"/>
      <c r="P1" s="275"/>
      <c r="Q1" s="275"/>
    </row>
    <row r="2" spans="1:17">
      <c r="A2" s="53"/>
      <c r="B2" s="53"/>
      <c r="C2" s="276" t="s">
        <v>216</v>
      </c>
      <c r="D2" s="276"/>
      <c r="E2" s="53"/>
      <c r="F2" s="276" t="s">
        <v>217</v>
      </c>
      <c r="G2" s="276"/>
      <c r="H2" s="53"/>
      <c r="I2" s="53"/>
    </row>
    <row r="3" spans="1:17">
      <c r="A3" s="53"/>
      <c r="B3" s="53"/>
      <c r="C3" s="53"/>
      <c r="D3" s="47" t="s">
        <v>218</v>
      </c>
      <c r="E3" s="53"/>
      <c r="F3" s="53"/>
      <c r="H3" s="53"/>
      <c r="I3" s="53"/>
    </row>
    <row r="4" spans="1:17">
      <c r="A4" s="71" t="s">
        <v>107</v>
      </c>
      <c r="B4" s="49" t="s">
        <v>219</v>
      </c>
      <c r="C4" s="49" t="s">
        <v>220</v>
      </c>
      <c r="D4" s="49" t="s">
        <v>221</v>
      </c>
      <c r="E4" s="71"/>
      <c r="F4" s="49" t="s">
        <v>220</v>
      </c>
      <c r="G4" s="49" t="s">
        <v>222</v>
      </c>
      <c r="H4" s="53"/>
      <c r="I4" s="53"/>
    </row>
    <row r="5" spans="1:17" ht="3" customHeight="1">
      <c r="A5" s="46"/>
      <c r="B5" s="52"/>
      <c r="C5" s="52"/>
      <c r="D5" s="52"/>
      <c r="E5" s="46"/>
      <c r="F5" s="52"/>
      <c r="G5" s="52"/>
      <c r="H5" s="53"/>
      <c r="I5" s="53"/>
    </row>
    <row r="6" spans="1:17" s="201" customFormat="1">
      <c r="A6" s="80"/>
      <c r="B6" s="54" t="s">
        <v>223</v>
      </c>
      <c r="C6" s="200"/>
      <c r="D6" s="277" t="s">
        <v>224</v>
      </c>
      <c r="E6" s="80"/>
      <c r="F6" s="277" t="s">
        <v>225</v>
      </c>
      <c r="G6" s="277" t="s">
        <v>224</v>
      </c>
      <c r="H6" s="80"/>
      <c r="I6" s="80"/>
    </row>
    <row r="7" spans="1:17" ht="3" customHeight="1">
      <c r="A7" s="53"/>
      <c r="B7" s="47"/>
      <c r="C7" s="47"/>
      <c r="E7" s="53"/>
      <c r="F7" s="47"/>
      <c r="G7" s="47"/>
      <c r="H7" s="53"/>
      <c r="I7" s="53"/>
    </row>
    <row r="8" spans="1:17" ht="11.45" customHeight="1">
      <c r="A8" s="53" t="s">
        <v>54</v>
      </c>
      <c r="B8" s="278">
        <v>0.66064000000000001</v>
      </c>
      <c r="C8" s="278">
        <v>0.51480666666666663</v>
      </c>
      <c r="D8" s="278">
        <v>77.925446032130452</v>
      </c>
      <c r="E8" s="279"/>
      <c r="F8" s="278">
        <v>0.14583333333333334</v>
      </c>
      <c r="G8" s="278">
        <v>22.074553967869541</v>
      </c>
      <c r="H8" s="280"/>
      <c r="I8" s="281"/>
      <c r="J8" s="282"/>
    </row>
    <row r="9" spans="1:17">
      <c r="A9" s="53" t="s">
        <v>55</v>
      </c>
      <c r="B9" s="278">
        <v>0.68975999999999982</v>
      </c>
      <c r="C9" s="278">
        <v>0.52325999999999984</v>
      </c>
      <c r="D9" s="278">
        <v>75.861169102296444</v>
      </c>
      <c r="E9" s="279"/>
      <c r="F9" s="278">
        <v>0.16650000000000001</v>
      </c>
      <c r="G9" s="278">
        <v>24.138830897703556</v>
      </c>
      <c r="H9" s="280"/>
      <c r="I9" s="281"/>
      <c r="J9" s="282"/>
    </row>
    <row r="10" spans="1:17">
      <c r="A10" s="53" t="s">
        <v>56</v>
      </c>
      <c r="B10" s="278">
        <v>0.84976000000000007</v>
      </c>
      <c r="C10" s="278">
        <v>0.62009333333333339</v>
      </c>
      <c r="D10" s="278">
        <v>72.972760936421267</v>
      </c>
      <c r="E10" s="279"/>
      <c r="F10" s="278">
        <v>0.22966666666666669</v>
      </c>
      <c r="G10" s="278">
        <v>27.027239063578733</v>
      </c>
      <c r="H10" s="280"/>
      <c r="I10" s="281"/>
      <c r="J10" s="282"/>
    </row>
    <row r="11" spans="1:17">
      <c r="A11" s="53" t="s">
        <v>57</v>
      </c>
      <c r="B11" s="278">
        <v>0.85447999999999991</v>
      </c>
      <c r="C11" s="278">
        <v>0.60656333333333323</v>
      </c>
      <c r="D11" s="278">
        <v>70.986252847735855</v>
      </c>
      <c r="E11" s="279"/>
      <c r="F11" s="278">
        <v>0.24791666666666665</v>
      </c>
      <c r="G11" s="278">
        <v>29.013747152264145</v>
      </c>
      <c r="H11" s="280"/>
      <c r="I11" s="281"/>
      <c r="J11" s="282"/>
    </row>
    <row r="12" spans="1:17">
      <c r="A12" s="53" t="s">
        <v>58</v>
      </c>
      <c r="B12" s="278">
        <v>0.80032000000000003</v>
      </c>
      <c r="C12" s="278">
        <v>0.61690333333333336</v>
      </c>
      <c r="D12" s="278">
        <v>77.082083833133424</v>
      </c>
      <c r="E12" s="279"/>
      <c r="F12" s="278">
        <v>0.18341666666666664</v>
      </c>
      <c r="G12" s="278">
        <v>22.917916166866583</v>
      </c>
      <c r="H12" s="280"/>
      <c r="I12" s="281"/>
      <c r="J12" s="282"/>
    </row>
    <row r="13" spans="1:17">
      <c r="A13" s="53" t="s">
        <v>59</v>
      </c>
      <c r="B13" s="278">
        <v>0.77111999999999992</v>
      </c>
      <c r="C13" s="278">
        <v>0.58770333333333324</v>
      </c>
      <c r="D13" s="278">
        <v>76.21425113255178</v>
      </c>
      <c r="E13" s="279"/>
      <c r="F13" s="278">
        <v>0.18341666666666667</v>
      </c>
      <c r="G13" s="278">
        <v>23.785748867448216</v>
      </c>
      <c r="H13" s="280"/>
      <c r="I13" s="281"/>
      <c r="J13" s="282"/>
    </row>
    <row r="14" spans="1:17">
      <c r="A14" s="53" t="s">
        <v>122</v>
      </c>
      <c r="B14" s="278">
        <v>0.80119999999999991</v>
      </c>
      <c r="C14" s="278">
        <v>0.57736666666666658</v>
      </c>
      <c r="D14" s="278">
        <v>72.062739224496582</v>
      </c>
      <c r="E14" s="279"/>
      <c r="F14" s="278">
        <v>0.22383333333333336</v>
      </c>
      <c r="G14" s="278">
        <v>27.937260775503418</v>
      </c>
      <c r="H14" s="280"/>
      <c r="I14" s="281"/>
      <c r="J14" s="282"/>
    </row>
    <row r="15" spans="1:17">
      <c r="A15" s="53" t="s">
        <v>61</v>
      </c>
      <c r="B15" s="278">
        <v>0.89280000000000004</v>
      </c>
      <c r="C15" s="278">
        <v>0.65055000000000007</v>
      </c>
      <c r="D15" s="278">
        <v>72.866263440860223</v>
      </c>
      <c r="E15" s="279"/>
      <c r="F15" s="278">
        <v>0.24224999999999999</v>
      </c>
      <c r="G15" s="278">
        <v>27.133736559139781</v>
      </c>
      <c r="H15" s="280"/>
      <c r="I15" s="281"/>
      <c r="J15" s="282"/>
    </row>
    <row r="16" spans="1:17">
      <c r="A16" s="53" t="s">
        <v>62</v>
      </c>
      <c r="B16" s="278">
        <v>0.87056000000000011</v>
      </c>
      <c r="C16" s="278">
        <v>0.67781000000000013</v>
      </c>
      <c r="D16" s="278">
        <v>77.8590792133799</v>
      </c>
      <c r="E16" s="279"/>
      <c r="F16" s="278">
        <v>0.19275</v>
      </c>
      <c r="G16" s="278">
        <v>22.140920786620104</v>
      </c>
      <c r="H16" s="280"/>
      <c r="I16" s="281"/>
      <c r="J16" s="282"/>
    </row>
    <row r="17" spans="1:10">
      <c r="A17" s="53" t="s">
        <v>63</v>
      </c>
      <c r="B17" s="278">
        <v>0.90535999999999983</v>
      </c>
      <c r="C17" s="278">
        <v>0.72177666666666651</v>
      </c>
      <c r="D17" s="278">
        <v>79.722614945067889</v>
      </c>
      <c r="E17" s="279"/>
      <c r="F17" s="278">
        <v>0.18358333333333332</v>
      </c>
      <c r="G17" s="278">
        <v>20.277385054932111</v>
      </c>
      <c r="H17" s="280"/>
      <c r="I17" s="281"/>
      <c r="J17" s="282"/>
    </row>
    <row r="18" spans="1:10">
      <c r="A18" s="46" t="s">
        <v>64</v>
      </c>
      <c r="B18" s="283">
        <v>0.86104000000000003</v>
      </c>
      <c r="C18" s="283">
        <v>0.68545666666666671</v>
      </c>
      <c r="D18" s="283">
        <v>79.607993434296503</v>
      </c>
      <c r="E18" s="284"/>
      <c r="F18" s="283">
        <v>0.17558333333333334</v>
      </c>
      <c r="G18" s="283">
        <v>20.39200656570349</v>
      </c>
      <c r="H18" s="280"/>
      <c r="I18" s="281"/>
      <c r="J18" s="282"/>
    </row>
    <row r="19" spans="1:10">
      <c r="A19" s="45" t="s">
        <v>65</v>
      </c>
      <c r="B19" s="283">
        <v>0.88207999999999986</v>
      </c>
      <c r="C19" s="283">
        <v>0.68716333333333324</v>
      </c>
      <c r="D19" s="283">
        <v>77.902608984823758</v>
      </c>
      <c r="E19" s="284"/>
      <c r="F19" s="283">
        <v>0.19491666666666663</v>
      </c>
      <c r="G19" s="283">
        <v>22.09739101517625</v>
      </c>
      <c r="H19" s="280"/>
      <c r="I19" s="281"/>
      <c r="J19" s="282"/>
    </row>
    <row r="20" spans="1:10">
      <c r="A20" s="45" t="s">
        <v>66</v>
      </c>
      <c r="B20" s="283">
        <v>0.83367999999999987</v>
      </c>
      <c r="C20" s="283">
        <v>0.65367999999999982</v>
      </c>
      <c r="D20" s="283">
        <v>78.408981863544753</v>
      </c>
      <c r="E20" s="275"/>
      <c r="F20" s="283">
        <v>0.18</v>
      </c>
      <c r="G20" s="283">
        <v>21.591018136455236</v>
      </c>
      <c r="H20" s="280"/>
      <c r="I20" s="281"/>
      <c r="J20" s="282"/>
    </row>
    <row r="21" spans="1:10">
      <c r="A21" s="45" t="s">
        <v>67</v>
      </c>
      <c r="B21" s="283">
        <v>0.91</v>
      </c>
      <c r="C21" s="283">
        <v>0.66891666666666671</v>
      </c>
      <c r="D21" s="283">
        <v>73.507326007326014</v>
      </c>
      <c r="E21" s="275"/>
      <c r="F21" s="283">
        <v>0.24108333333333332</v>
      </c>
      <c r="G21" s="283">
        <v>26.492673992673986</v>
      </c>
      <c r="H21" s="280"/>
      <c r="I21" s="281"/>
      <c r="J21" s="282"/>
    </row>
    <row r="22" spans="1:10">
      <c r="A22" s="45" t="s">
        <v>83</v>
      </c>
      <c r="B22" s="283">
        <v>0.94056000000000006</v>
      </c>
      <c r="C22" s="283">
        <v>0.68406000000000011</v>
      </c>
      <c r="D22" s="283">
        <v>72.729012503189594</v>
      </c>
      <c r="E22" s="283"/>
      <c r="F22" s="283">
        <v>0.25650000000000001</v>
      </c>
      <c r="G22" s="283">
        <v>27.270987496810413</v>
      </c>
      <c r="H22" s="280"/>
      <c r="I22" s="281"/>
      <c r="J22" s="282"/>
    </row>
    <row r="23" spans="1:10">
      <c r="A23" s="45" t="s">
        <v>84</v>
      </c>
      <c r="B23" s="283">
        <v>1.0012000000000001</v>
      </c>
      <c r="C23" s="283">
        <v>0.73970000000000002</v>
      </c>
      <c r="D23" s="283">
        <v>73.881342389133025</v>
      </c>
      <c r="E23" s="283"/>
      <c r="F23" s="283">
        <v>0.26150000000000001</v>
      </c>
      <c r="G23" s="283">
        <v>26.118657610866958</v>
      </c>
      <c r="H23" s="280"/>
      <c r="I23" s="281"/>
      <c r="J23" s="282"/>
    </row>
    <row r="24" spans="1:10">
      <c r="A24" s="45" t="s">
        <v>192</v>
      </c>
      <c r="B24" s="283">
        <v>0.91144000000000003</v>
      </c>
      <c r="C24" s="283">
        <v>0.73554000000000008</v>
      </c>
      <c r="D24" s="283">
        <v>80.700868954621257</v>
      </c>
      <c r="F24" s="283">
        <v>0.1759</v>
      </c>
      <c r="G24" s="283">
        <v>19.29913104537874</v>
      </c>
      <c r="H24" s="280"/>
      <c r="I24" s="281"/>
      <c r="J24" s="282"/>
    </row>
    <row r="25" spans="1:10">
      <c r="A25" s="45" t="s">
        <v>193</v>
      </c>
      <c r="B25" s="283">
        <v>1.0238399999999999</v>
      </c>
      <c r="C25" s="283">
        <v>0.74733999999999989</v>
      </c>
      <c r="D25" s="283">
        <v>72.993827160493822</v>
      </c>
      <c r="F25" s="283">
        <v>0.27650000000000002</v>
      </c>
      <c r="G25" s="283">
        <v>27.006172839506178</v>
      </c>
      <c r="H25" s="280"/>
      <c r="I25" s="281"/>
      <c r="J25" s="282"/>
    </row>
    <row r="26" spans="1:10">
      <c r="A26" s="45" t="s">
        <v>194</v>
      </c>
      <c r="B26" s="283">
        <v>1.07064</v>
      </c>
      <c r="C26" s="383">
        <v>0.74522333333333335</v>
      </c>
      <c r="D26" s="283">
        <v>69.605407357592966</v>
      </c>
      <c r="F26" s="283">
        <v>0.32541666666666669</v>
      </c>
      <c r="G26" s="283">
        <v>30.394592642407037</v>
      </c>
      <c r="H26" s="280"/>
      <c r="I26" s="281"/>
      <c r="J26" s="282"/>
    </row>
    <row r="27" spans="1:10">
      <c r="A27" s="45">
        <v>2008</v>
      </c>
      <c r="B27" s="283">
        <v>1.26576</v>
      </c>
      <c r="C27" s="383">
        <v>0.87192666666666674</v>
      </c>
      <c r="D27" s="283">
        <v>68.885623393586997</v>
      </c>
      <c r="E27" s="275"/>
      <c r="F27" s="283">
        <v>0.39383333333333331</v>
      </c>
      <c r="G27" s="283">
        <v>31.114376606413007</v>
      </c>
      <c r="H27" s="280"/>
      <c r="I27" s="281"/>
      <c r="J27" s="282"/>
    </row>
    <row r="28" spans="1:10">
      <c r="A28" s="45">
        <v>2009</v>
      </c>
      <c r="B28" s="283">
        <v>1.13432</v>
      </c>
      <c r="C28" s="383">
        <v>0.90107000000000004</v>
      </c>
      <c r="D28" s="283">
        <v>79.43701953593343</v>
      </c>
      <c r="E28" s="275"/>
      <c r="F28" s="283">
        <v>0.23324999999999999</v>
      </c>
      <c r="G28" s="283">
        <v>20.562980464066577</v>
      </c>
      <c r="H28" s="280"/>
      <c r="I28" s="281"/>
      <c r="J28" s="282"/>
    </row>
    <row r="29" spans="1:10">
      <c r="A29" s="45">
        <v>2010</v>
      </c>
      <c r="B29" s="283">
        <v>1.17144</v>
      </c>
      <c r="C29" s="383">
        <v>0.90944000000000003</v>
      </c>
      <c r="D29" s="283">
        <v>77.634364542784951</v>
      </c>
      <c r="E29" s="275"/>
      <c r="F29" s="283">
        <v>0.26199999999999996</v>
      </c>
      <c r="G29" s="283">
        <v>22.365635457215046</v>
      </c>
      <c r="H29" s="280"/>
      <c r="I29" s="281"/>
      <c r="J29" s="282"/>
    </row>
    <row r="30" spans="1:10">
      <c r="A30" s="45">
        <v>2011</v>
      </c>
      <c r="B30" s="283">
        <v>1.2963199999999999</v>
      </c>
      <c r="C30" s="383">
        <v>0.95706999999999987</v>
      </c>
      <c r="D30" s="283">
        <v>73.82976425573932</v>
      </c>
      <c r="E30" s="275"/>
      <c r="F30" s="283">
        <v>0.33925</v>
      </c>
      <c r="G30" s="283">
        <v>26.17023574426068</v>
      </c>
      <c r="H30" s="280"/>
      <c r="I30" s="281"/>
      <c r="J30" s="282"/>
    </row>
    <row r="31" spans="1:10">
      <c r="A31" s="45">
        <v>2012</v>
      </c>
      <c r="B31" s="283">
        <v>1.3219999999999998</v>
      </c>
      <c r="C31" s="383">
        <v>0.89708333333333323</v>
      </c>
      <c r="D31" s="283">
        <v>67.858043368633375</v>
      </c>
      <c r="E31" s="275"/>
      <c r="F31" s="283">
        <v>0.42491666666666666</v>
      </c>
      <c r="G31" s="283">
        <v>32.141956631366618</v>
      </c>
      <c r="H31" s="280"/>
      <c r="I31" s="281"/>
      <c r="J31" s="282"/>
    </row>
    <row r="32" spans="1:10">
      <c r="A32" s="45">
        <v>2013</v>
      </c>
      <c r="B32" s="283">
        <v>1.3304727272727273</v>
      </c>
      <c r="C32" s="384" t="s">
        <v>379</v>
      </c>
      <c r="D32" s="369" t="s">
        <v>378</v>
      </c>
      <c r="E32" s="369"/>
      <c r="F32" s="385" t="s">
        <v>379</v>
      </c>
      <c r="G32" s="369" t="s">
        <v>378</v>
      </c>
      <c r="H32" s="280"/>
      <c r="I32" s="281"/>
      <c r="J32" s="282"/>
    </row>
    <row r="33" spans="1:11">
      <c r="A33" s="45">
        <v>2014</v>
      </c>
      <c r="B33" s="283">
        <v>1.2995199999999998</v>
      </c>
      <c r="C33" s="383">
        <v>0.92618666666666649</v>
      </c>
      <c r="D33" s="283">
        <v>71.271443815152253</v>
      </c>
      <c r="E33" s="275"/>
      <c r="F33" s="283">
        <v>0.37333333333333329</v>
      </c>
      <c r="G33" s="283">
        <v>28.728556184847744</v>
      </c>
      <c r="H33" s="280"/>
      <c r="I33" s="281"/>
      <c r="J33" s="282"/>
    </row>
    <row r="34" spans="1:11">
      <c r="A34" s="45">
        <v>2015</v>
      </c>
      <c r="B34" s="283">
        <v>1.3036800000000002</v>
      </c>
      <c r="C34" s="383">
        <v>0.98518000000000017</v>
      </c>
      <c r="D34" s="283">
        <v>75.569158075601379</v>
      </c>
      <c r="E34" s="275"/>
      <c r="F34" s="283">
        <v>0.31850000000000001</v>
      </c>
      <c r="G34" s="283">
        <v>24.430841924398621</v>
      </c>
      <c r="H34" s="280"/>
      <c r="I34" s="281"/>
      <c r="J34" s="282"/>
    </row>
    <row r="35" spans="1:11">
      <c r="A35" s="45">
        <v>2016</v>
      </c>
      <c r="B35" s="283">
        <v>1.3845818181818179</v>
      </c>
      <c r="C35" s="383">
        <v>0.95324848484848457</v>
      </c>
      <c r="D35" s="283">
        <v>68.847392933431379</v>
      </c>
      <c r="E35" s="275"/>
      <c r="F35" s="283">
        <v>0.42733333333333334</v>
      </c>
      <c r="G35" s="283">
        <v>31.152607066568621</v>
      </c>
      <c r="H35" s="280"/>
      <c r="I35" s="281"/>
      <c r="J35" s="282"/>
    </row>
    <row r="36" spans="1:11">
      <c r="A36" s="45">
        <v>2017</v>
      </c>
      <c r="B36" s="283">
        <v>1.242624</v>
      </c>
      <c r="C36" s="383">
        <v>0.83720733333333319</v>
      </c>
      <c r="D36" s="283">
        <v>67.374148039417662</v>
      </c>
      <c r="E36" s="275"/>
      <c r="F36" s="283">
        <v>0.40300000000000002</v>
      </c>
      <c r="G36" s="283">
        <v>32.625851960582338</v>
      </c>
      <c r="H36" s="280"/>
      <c r="I36" s="281"/>
      <c r="J36" s="282"/>
    </row>
    <row r="37" spans="1:11">
      <c r="A37" s="65">
        <v>2018</v>
      </c>
      <c r="B37" s="522" t="s">
        <v>379</v>
      </c>
      <c r="C37" s="522" t="s">
        <v>379</v>
      </c>
      <c r="D37" s="522" t="s">
        <v>379</v>
      </c>
      <c r="E37" s="286"/>
      <c r="F37" s="285">
        <v>0.35649999999999998</v>
      </c>
      <c r="G37" s="522" t="s">
        <v>379</v>
      </c>
      <c r="H37" s="280"/>
      <c r="I37" s="281"/>
      <c r="J37" s="282"/>
    </row>
    <row r="38" spans="1:11">
      <c r="A38" s="287" t="s">
        <v>227</v>
      </c>
      <c r="B38" s="53"/>
      <c r="C38" s="53"/>
      <c r="D38" s="53"/>
      <c r="E38" s="53"/>
      <c r="F38" s="53"/>
      <c r="G38" s="53"/>
      <c r="H38" s="53"/>
      <c r="I38" s="53"/>
    </row>
    <row r="39" spans="1:11">
      <c r="A39" s="69" t="s">
        <v>228</v>
      </c>
      <c r="B39" s="53"/>
      <c r="C39" s="53"/>
      <c r="D39" s="53"/>
      <c r="E39" s="53"/>
      <c r="F39" s="53"/>
      <c r="G39" s="53"/>
      <c r="H39" s="53"/>
      <c r="I39" s="53"/>
    </row>
    <row r="40" spans="1:11">
      <c r="A40" s="69" t="s">
        <v>229</v>
      </c>
      <c r="B40" s="53"/>
      <c r="C40" s="53"/>
      <c r="D40" s="53"/>
      <c r="E40" s="53"/>
      <c r="F40" s="53"/>
      <c r="G40" s="53"/>
      <c r="H40" s="53"/>
      <c r="I40" s="53"/>
    </row>
    <row r="41" spans="1:11">
      <c r="A41" s="69" t="s">
        <v>464</v>
      </c>
      <c r="B41" s="53"/>
      <c r="C41" s="53"/>
      <c r="D41" s="53"/>
      <c r="E41" s="53"/>
      <c r="F41" s="53"/>
      <c r="G41" s="53"/>
      <c r="H41" s="53"/>
      <c r="I41" s="53"/>
    </row>
    <row r="42" spans="1:11">
      <c r="A42" s="69" t="s">
        <v>230</v>
      </c>
      <c r="B42" s="53"/>
      <c r="C42" s="53"/>
      <c r="D42" s="53"/>
      <c r="E42" s="53"/>
      <c r="F42" s="53"/>
      <c r="G42" s="53"/>
      <c r="H42" s="53"/>
      <c r="I42" s="53"/>
    </row>
    <row r="43" spans="1:11">
      <c r="A43" s="288"/>
      <c r="B43" s="289"/>
      <c r="C43" s="289"/>
      <c r="D43" s="289"/>
      <c r="E43" s="289"/>
      <c r="F43" s="289"/>
      <c r="G43" s="289"/>
    </row>
    <row r="44" spans="1:11">
      <c r="A44" s="288"/>
      <c r="B44" s="289"/>
      <c r="C44" s="289"/>
      <c r="D44" s="289"/>
      <c r="E44" s="289"/>
      <c r="F44" s="289"/>
      <c r="G44" s="289"/>
      <c r="I44" s="290"/>
      <c r="J44" s="290"/>
      <c r="K44" s="290"/>
    </row>
    <row r="45" spans="1:11">
      <c r="A45" s="288"/>
      <c r="B45" s="289"/>
      <c r="C45" s="289"/>
      <c r="D45" s="289"/>
      <c r="E45" s="289"/>
      <c r="F45" s="289"/>
      <c r="G45" s="289"/>
    </row>
    <row r="46" spans="1:11">
      <c r="A46" s="288"/>
      <c r="B46" s="289"/>
      <c r="C46" s="289"/>
      <c r="D46" s="289"/>
      <c r="E46" s="289"/>
      <c r="F46" s="289"/>
      <c r="G46" s="289"/>
    </row>
    <row r="47" spans="1:11">
      <c r="A47" s="288"/>
      <c r="B47" s="289"/>
      <c r="C47" s="289"/>
      <c r="D47" s="289"/>
      <c r="E47" s="289"/>
      <c r="F47" s="289"/>
      <c r="G47" s="289"/>
    </row>
    <row r="48" spans="1:11">
      <c r="A48" s="288"/>
      <c r="B48" s="289"/>
      <c r="C48" s="289"/>
      <c r="D48" s="289"/>
      <c r="E48" s="289"/>
      <c r="F48" s="289"/>
      <c r="G48" s="289"/>
    </row>
    <row r="49" spans="3:8">
      <c r="C49" s="291"/>
      <c r="D49" s="291"/>
      <c r="E49" s="291"/>
      <c r="F49" s="291"/>
      <c r="G49" s="291"/>
      <c r="H49" s="291"/>
    </row>
  </sheetData>
  <pageMargins left="0.66700000000000004" right="0.66700000000000004" top="0.66700000000000004" bottom="0.72" header="0" footer="0"/>
  <pageSetup scale="79" firstPageNumber="30" orientation="portrait" useFirstPageNumber="1" r:id="rId1"/>
  <headerFooter alignWithMargins="0"/>
  <ignoredErrors>
    <ignoredError sqref="A8:A26 E32 C32:D32 F32:G32 B37:D37 G37"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50"/>
  <sheetViews>
    <sheetView showGridLines="0" zoomScaleNormal="100" workbookViewId="0"/>
  </sheetViews>
  <sheetFormatPr defaultColWidth="9" defaultRowHeight="12"/>
  <cols>
    <col min="1" max="4" width="16.140625" style="106" customWidth="1"/>
    <col min="5" max="5" width="7.7109375" style="106" customWidth="1"/>
    <col min="6" max="7" width="16.140625" style="106" customWidth="1"/>
    <col min="8" max="8" width="9.7109375" style="106" customWidth="1"/>
    <col min="9" max="9" width="12" style="106" bestFit="1" customWidth="1"/>
    <col min="10" max="10" width="9.42578125" style="106" bestFit="1" customWidth="1"/>
    <col min="11" max="16384" width="9" style="106"/>
  </cols>
  <sheetData>
    <row r="1" spans="1:14">
      <c r="A1" s="65" t="s">
        <v>231</v>
      </c>
      <c r="B1" s="71"/>
      <c r="C1" s="71"/>
      <c r="D1" s="71"/>
      <c r="E1" s="71"/>
      <c r="F1" s="71"/>
      <c r="G1" s="71"/>
      <c r="H1" s="275"/>
      <c r="I1" s="275"/>
      <c r="J1" s="275"/>
      <c r="K1" s="275"/>
      <c r="L1" s="275"/>
      <c r="M1" s="275"/>
      <c r="N1" s="275"/>
    </row>
    <row r="2" spans="1:14">
      <c r="A2" s="53"/>
      <c r="B2" s="53"/>
      <c r="C2" s="276" t="s">
        <v>216</v>
      </c>
      <c r="D2" s="276"/>
      <c r="E2" s="53"/>
      <c r="F2" s="276" t="s">
        <v>217</v>
      </c>
      <c r="G2" s="276"/>
    </row>
    <row r="3" spans="1:14">
      <c r="A3" s="53"/>
      <c r="B3" s="53"/>
      <c r="C3" s="53"/>
      <c r="D3" s="47" t="s">
        <v>218</v>
      </c>
      <c r="E3" s="53"/>
      <c r="F3" s="53"/>
    </row>
    <row r="4" spans="1:14">
      <c r="A4" s="71" t="s">
        <v>107</v>
      </c>
      <c r="B4" s="49" t="s">
        <v>219</v>
      </c>
      <c r="C4" s="49" t="s">
        <v>220</v>
      </c>
      <c r="D4" s="49" t="s">
        <v>221</v>
      </c>
      <c r="E4" s="71"/>
      <c r="F4" s="49" t="s">
        <v>220</v>
      </c>
      <c r="G4" s="49" t="s">
        <v>222</v>
      </c>
    </row>
    <row r="5" spans="1:14" ht="3" customHeight="1">
      <c r="A5" s="46"/>
      <c r="B5" s="52"/>
      <c r="C5" s="52"/>
      <c r="D5" s="52"/>
      <c r="E5" s="46"/>
      <c r="F5" s="52"/>
      <c r="G5" s="52"/>
    </row>
    <row r="6" spans="1:14" s="201" customFormat="1">
      <c r="A6" s="80"/>
      <c r="B6" s="54" t="s">
        <v>223</v>
      </c>
      <c r="C6" s="200"/>
      <c r="D6" s="277" t="s">
        <v>224</v>
      </c>
      <c r="E6" s="80"/>
      <c r="F6" s="277" t="s">
        <v>225</v>
      </c>
      <c r="G6" s="277" t="s">
        <v>224</v>
      </c>
    </row>
    <row r="7" spans="1:14" ht="3" customHeight="1">
      <c r="A7" s="53"/>
      <c r="B7" s="47"/>
      <c r="C7" s="47"/>
      <c r="E7" s="53"/>
      <c r="F7" s="47"/>
      <c r="G7" s="47"/>
    </row>
    <row r="8" spans="1:14" ht="11.45" customHeight="1">
      <c r="A8" s="53" t="s">
        <v>54</v>
      </c>
      <c r="B8" s="292">
        <v>0.78489999999999993</v>
      </c>
      <c r="C8" s="292">
        <v>0.55389999999999995</v>
      </c>
      <c r="D8" s="292">
        <v>70.569499299273801</v>
      </c>
      <c r="E8" s="279"/>
      <c r="F8" s="292">
        <v>0.23100000000000001</v>
      </c>
      <c r="G8" s="292">
        <v>29.43050070072621</v>
      </c>
      <c r="H8" s="282"/>
    </row>
    <row r="9" spans="1:14" ht="11.45" customHeight="1">
      <c r="A9" s="53" t="s">
        <v>55</v>
      </c>
      <c r="B9" s="292">
        <v>0.96616333333333337</v>
      </c>
      <c r="C9" s="292">
        <v>0.70216333333333336</v>
      </c>
      <c r="D9" s="292">
        <v>72.675427550207175</v>
      </c>
      <c r="E9" s="279"/>
      <c r="F9" s="292">
        <v>0.26400000000000001</v>
      </c>
      <c r="G9" s="292">
        <v>27.324572449792822</v>
      </c>
      <c r="H9" s="282"/>
    </row>
    <row r="10" spans="1:14" ht="11.45" customHeight="1">
      <c r="A10" s="53" t="s">
        <v>56</v>
      </c>
      <c r="B10" s="292">
        <v>0.90584666666666658</v>
      </c>
      <c r="C10" s="292">
        <v>0.69484666666666661</v>
      </c>
      <c r="D10" s="292">
        <v>76.706874599821901</v>
      </c>
      <c r="E10" s="279"/>
      <c r="F10" s="292">
        <v>0.21099999999999999</v>
      </c>
      <c r="G10" s="292">
        <v>23.293125400178102</v>
      </c>
      <c r="H10" s="282"/>
    </row>
    <row r="11" spans="1:14" ht="11.45" customHeight="1">
      <c r="A11" s="53" t="s">
        <v>57</v>
      </c>
      <c r="B11" s="292">
        <v>0.84073599999999993</v>
      </c>
      <c r="C11" s="292">
        <v>0.62873599999999996</v>
      </c>
      <c r="D11" s="292">
        <v>74.783998782019566</v>
      </c>
      <c r="E11" s="279"/>
      <c r="F11" s="292">
        <v>0.21199999999999999</v>
      </c>
      <c r="G11" s="292">
        <v>25.216001217980438</v>
      </c>
      <c r="H11" s="282"/>
    </row>
    <row r="12" spans="1:14" ht="11.45" customHeight="1">
      <c r="A12" s="53" t="s">
        <v>58</v>
      </c>
      <c r="B12" s="292">
        <v>0.89149600000000007</v>
      </c>
      <c r="C12" s="292">
        <v>0.67049600000000009</v>
      </c>
      <c r="D12" s="292">
        <v>75.210208458590955</v>
      </c>
      <c r="E12" s="279"/>
      <c r="F12" s="292">
        <v>0.221</v>
      </c>
      <c r="G12" s="292">
        <v>24.789791541409045</v>
      </c>
      <c r="H12" s="282"/>
    </row>
    <row r="13" spans="1:14" ht="11.45" customHeight="1">
      <c r="A13" s="53" t="s">
        <v>59</v>
      </c>
      <c r="B13" s="292">
        <v>0.89168400000000003</v>
      </c>
      <c r="C13" s="292">
        <v>0.70368399999999998</v>
      </c>
      <c r="D13" s="292">
        <v>78.916297701876445</v>
      </c>
      <c r="E13" s="279"/>
      <c r="F13" s="292">
        <v>0.188</v>
      </c>
      <c r="G13" s="292">
        <v>21.083702298123548</v>
      </c>
      <c r="H13" s="282"/>
    </row>
    <row r="14" spans="1:14" ht="11.45" customHeight="1">
      <c r="A14" s="53" t="s">
        <v>122</v>
      </c>
      <c r="B14" s="292">
        <v>1.0246</v>
      </c>
      <c r="C14" s="292">
        <v>0.76459999999999995</v>
      </c>
      <c r="D14" s="292">
        <v>74.624243607261363</v>
      </c>
      <c r="E14" s="279"/>
      <c r="F14" s="292">
        <v>0.26</v>
      </c>
      <c r="G14" s="292">
        <v>25.37575639273863</v>
      </c>
      <c r="H14" s="282"/>
    </row>
    <row r="15" spans="1:14" ht="11.45" customHeight="1">
      <c r="A15" s="53" t="s">
        <v>61</v>
      </c>
      <c r="B15" s="292">
        <v>1.105675</v>
      </c>
      <c r="C15" s="292">
        <v>0.774675</v>
      </c>
      <c r="D15" s="292">
        <v>70.063535849141928</v>
      </c>
      <c r="E15" s="279"/>
      <c r="F15" s="292">
        <v>0.33100000000000002</v>
      </c>
      <c r="G15" s="292">
        <v>29.936464150858079</v>
      </c>
      <c r="H15" s="282"/>
    </row>
    <row r="16" spans="1:14" ht="11.45" customHeight="1">
      <c r="A16" s="53" t="s">
        <v>62</v>
      </c>
      <c r="B16" s="292">
        <v>0.98441499999999993</v>
      </c>
      <c r="C16" s="292">
        <v>0.74041499999999993</v>
      </c>
      <c r="D16" s="292">
        <v>75.213705601804122</v>
      </c>
      <c r="E16" s="279"/>
      <c r="F16" s="292">
        <v>0.24399999999999999</v>
      </c>
      <c r="G16" s="292">
        <v>24.786294398195885</v>
      </c>
      <c r="H16" s="282"/>
    </row>
    <row r="17" spans="1:10" ht="11.45" customHeight="1">
      <c r="A17" s="53" t="s">
        <v>63</v>
      </c>
      <c r="B17" s="292">
        <v>1.2753919999999999</v>
      </c>
      <c r="C17" s="292">
        <v>0.97439199999999992</v>
      </c>
      <c r="D17" s="292">
        <v>76.399412886391005</v>
      </c>
      <c r="E17" s="279"/>
      <c r="F17" s="292">
        <v>0.30099999999999999</v>
      </c>
      <c r="G17" s="292">
        <v>23.600587113608995</v>
      </c>
      <c r="H17" s="282"/>
    </row>
    <row r="18" spans="1:10" ht="11.45" customHeight="1">
      <c r="A18" s="46" t="s">
        <v>64</v>
      </c>
      <c r="B18" s="293">
        <v>1.34232</v>
      </c>
      <c r="C18" s="293">
        <v>1.0563199999999999</v>
      </c>
      <c r="D18" s="293">
        <v>78.69360510161512</v>
      </c>
      <c r="E18" s="284"/>
      <c r="F18" s="293">
        <v>0.28599999999999998</v>
      </c>
      <c r="G18" s="293">
        <v>21.306394898384884</v>
      </c>
      <c r="H18" s="282"/>
    </row>
    <row r="19" spans="1:10" ht="11.45" customHeight="1">
      <c r="A19" s="45" t="s">
        <v>65</v>
      </c>
      <c r="B19" s="293">
        <v>1.2711619999999999</v>
      </c>
      <c r="C19" s="293">
        <v>0.99516199999999988</v>
      </c>
      <c r="D19" s="293">
        <v>78.287582542587018</v>
      </c>
      <c r="E19" s="284"/>
      <c r="F19" s="293">
        <v>0.27600000000000002</v>
      </c>
      <c r="G19" s="293">
        <v>21.712417457412986</v>
      </c>
      <c r="H19" s="282"/>
    </row>
    <row r="20" spans="1:10" ht="11.45" customHeight="1">
      <c r="A20" s="45" t="s">
        <v>66</v>
      </c>
      <c r="B20" s="293">
        <v>1.3966519999999998</v>
      </c>
      <c r="C20" s="293">
        <v>1.0896519999999998</v>
      </c>
      <c r="D20" s="293">
        <v>78.018862250582117</v>
      </c>
      <c r="E20" s="284"/>
      <c r="F20" s="293">
        <v>0.307</v>
      </c>
      <c r="G20" s="293">
        <v>21.981137749417897</v>
      </c>
      <c r="H20" s="282"/>
    </row>
    <row r="21" spans="1:10" ht="11.45" customHeight="1">
      <c r="A21" s="45" t="s">
        <v>67</v>
      </c>
      <c r="B21" s="293">
        <v>1.4255100000000001</v>
      </c>
      <c r="C21" s="293">
        <v>1.11951</v>
      </c>
      <c r="D21" s="293">
        <v>78.533998358482222</v>
      </c>
      <c r="E21" s="284"/>
      <c r="F21" s="293">
        <v>0.30599999999999999</v>
      </c>
      <c r="G21" s="293">
        <v>21.466001641517771</v>
      </c>
      <c r="H21" s="282"/>
    </row>
    <row r="22" spans="1:10" ht="11.45" customHeight="1">
      <c r="A22" s="45" t="s">
        <v>83</v>
      </c>
      <c r="B22" s="293">
        <v>1.3813299999999999</v>
      </c>
      <c r="C22" s="293">
        <v>1.09083</v>
      </c>
      <c r="D22" s="293">
        <v>78.96954384542434</v>
      </c>
      <c r="E22" s="284"/>
      <c r="F22" s="293">
        <v>0.29049999999999998</v>
      </c>
      <c r="G22" s="293">
        <v>21.03045615457566</v>
      </c>
      <c r="H22" s="282"/>
    </row>
    <row r="23" spans="1:10" ht="11.45" customHeight="1">
      <c r="A23" s="45" t="s">
        <v>84</v>
      </c>
      <c r="B23" s="293">
        <v>1.3366799999999999</v>
      </c>
      <c r="C23" s="293">
        <v>1.0626799999999998</v>
      </c>
      <c r="D23" s="293">
        <v>79.501451357093686</v>
      </c>
      <c r="E23" s="284"/>
      <c r="F23" s="294">
        <v>0.27400000000000002</v>
      </c>
      <c r="G23" s="293">
        <v>20.498548642906307</v>
      </c>
      <c r="H23" s="282"/>
    </row>
    <row r="24" spans="1:10" ht="11.45" customHeight="1">
      <c r="A24" s="45" t="s">
        <v>192</v>
      </c>
      <c r="B24" s="293">
        <v>1.4888033333333333</v>
      </c>
      <c r="C24" s="293">
        <v>1.1298033333333333</v>
      </c>
      <c r="D24" s="293">
        <v>75.886674085003392</v>
      </c>
      <c r="E24" s="284"/>
      <c r="F24" s="294">
        <v>0.35899999999999999</v>
      </c>
      <c r="G24" s="293">
        <v>24.113325914996608</v>
      </c>
      <c r="H24" s="282"/>
      <c r="I24" s="295"/>
      <c r="J24" s="290"/>
    </row>
    <row r="25" spans="1:10" ht="11.45" customHeight="1">
      <c r="A25" s="45" t="s">
        <v>193</v>
      </c>
      <c r="B25" s="293">
        <v>1.5384666666666666</v>
      </c>
      <c r="C25" s="293">
        <v>1.1489666666666667</v>
      </c>
      <c r="D25" s="293">
        <v>74.682584391385362</v>
      </c>
      <c r="E25" s="284"/>
      <c r="F25" s="294">
        <v>0.38950000000000001</v>
      </c>
      <c r="G25" s="293">
        <v>25.317415608614642</v>
      </c>
      <c r="H25" s="282"/>
      <c r="I25" s="295"/>
      <c r="J25" s="290"/>
    </row>
    <row r="26" spans="1:10" ht="11.45" customHeight="1">
      <c r="A26" s="45" t="s">
        <v>194</v>
      </c>
      <c r="B26" s="293">
        <v>1.4689066666666666</v>
      </c>
      <c r="C26" s="321">
        <v>1.1455066666666665</v>
      </c>
      <c r="D26" s="293">
        <v>77.983625009077045</v>
      </c>
      <c r="E26" s="284"/>
      <c r="F26" s="294">
        <v>0.32340000000000002</v>
      </c>
      <c r="G26" s="293">
        <v>22.016374990922959</v>
      </c>
      <c r="H26" s="282"/>
      <c r="I26" s="295"/>
      <c r="J26" s="290"/>
    </row>
    <row r="27" spans="1:10" ht="11.45" customHeight="1">
      <c r="A27" s="45">
        <v>2008</v>
      </c>
      <c r="B27" s="293">
        <v>1.5428533333333334</v>
      </c>
      <c r="C27" s="321">
        <v>1.2468533333333334</v>
      </c>
      <c r="D27" s="293">
        <v>80.814767443870224</v>
      </c>
      <c r="E27" s="284"/>
      <c r="F27" s="294">
        <v>0.29599999999999999</v>
      </c>
      <c r="G27" s="293">
        <v>19.185232556129765</v>
      </c>
      <c r="H27" s="282"/>
      <c r="I27" s="295"/>
      <c r="J27" s="290"/>
    </row>
    <row r="28" spans="1:10" ht="11.45" customHeight="1">
      <c r="A28" s="45">
        <v>2009</v>
      </c>
      <c r="B28" s="293">
        <v>1.5335159999999999</v>
      </c>
      <c r="C28" s="321">
        <v>1.1720159999999997</v>
      </c>
      <c r="D28" s="293">
        <v>76.426721338414467</v>
      </c>
      <c r="E28" s="284"/>
      <c r="F28" s="294">
        <v>0.36150000000000004</v>
      </c>
      <c r="G28" s="293">
        <v>23.573278661585537</v>
      </c>
      <c r="H28" s="282"/>
      <c r="I28" s="295"/>
      <c r="J28" s="290"/>
    </row>
    <row r="29" spans="1:10" ht="11.45" customHeight="1">
      <c r="A29" s="45">
        <v>2010</v>
      </c>
      <c r="B29" s="293">
        <v>1.6468799999999999</v>
      </c>
      <c r="C29" s="321">
        <v>1.31548</v>
      </c>
      <c r="D29" s="293">
        <v>79.87710094238804</v>
      </c>
      <c r="E29" s="284"/>
      <c r="F29" s="294">
        <v>0.33140000000000003</v>
      </c>
      <c r="G29" s="293">
        <v>20.122899057611974</v>
      </c>
      <c r="H29" s="282"/>
      <c r="I29" s="295"/>
      <c r="J29" s="290"/>
    </row>
    <row r="30" spans="1:10" ht="11.45" customHeight="1">
      <c r="A30" s="45">
        <v>2011</v>
      </c>
      <c r="B30" s="293">
        <v>1.5441849999999999</v>
      </c>
      <c r="C30" s="321">
        <v>1.1553849999999999</v>
      </c>
      <c r="D30" s="293">
        <v>74.821669683360469</v>
      </c>
      <c r="E30" s="284"/>
      <c r="F30" s="294">
        <v>0.38879999999999998</v>
      </c>
      <c r="G30" s="293">
        <v>25.178330316639524</v>
      </c>
      <c r="H30" s="282"/>
      <c r="I30" s="295"/>
      <c r="J30" s="290"/>
    </row>
    <row r="31" spans="1:10" ht="11.45" customHeight="1">
      <c r="A31" s="45">
        <v>2012</v>
      </c>
      <c r="B31" s="293">
        <v>1.6249466666666665</v>
      </c>
      <c r="C31" s="321">
        <v>1.1483466666666664</v>
      </c>
      <c r="D31" s="293">
        <v>70.669806598780667</v>
      </c>
      <c r="E31" s="284"/>
      <c r="F31" s="294">
        <v>0.47660000000000002</v>
      </c>
      <c r="G31" s="293">
        <v>29.330193401219322</v>
      </c>
      <c r="H31" s="282"/>
      <c r="I31" s="295"/>
      <c r="J31" s="290"/>
    </row>
    <row r="32" spans="1:10" ht="12" customHeight="1">
      <c r="A32" s="45">
        <v>2013</v>
      </c>
      <c r="B32" s="293">
        <v>1.5733250000000001</v>
      </c>
      <c r="C32" s="386" t="s">
        <v>380</v>
      </c>
      <c r="D32" s="369" t="s">
        <v>378</v>
      </c>
      <c r="E32" s="369"/>
      <c r="F32" s="388" t="s">
        <v>380</v>
      </c>
      <c r="G32" s="369" t="s">
        <v>378</v>
      </c>
      <c r="H32" s="282"/>
      <c r="I32" s="295"/>
      <c r="J32" s="290"/>
    </row>
    <row r="33" spans="1:10" ht="11.45" customHeight="1">
      <c r="A33" s="45">
        <v>2014</v>
      </c>
      <c r="B33" s="293">
        <v>1.8254799999999995</v>
      </c>
      <c r="C33" s="321">
        <v>1.2662299999999995</v>
      </c>
      <c r="D33" s="293">
        <v>69.364222012840443</v>
      </c>
      <c r="E33" s="284"/>
      <c r="F33" s="294">
        <v>0.55925000000000002</v>
      </c>
      <c r="G33" s="293">
        <v>30.63577798715955</v>
      </c>
      <c r="H33" s="282"/>
      <c r="I33" s="295"/>
      <c r="J33" s="290"/>
    </row>
    <row r="34" spans="1:10" ht="11.45" customHeight="1">
      <c r="A34" s="45">
        <v>2015</v>
      </c>
      <c r="B34" s="293">
        <v>1.6997550000000001</v>
      </c>
      <c r="C34" s="321">
        <v>1.158555</v>
      </c>
      <c r="D34" s="293">
        <v>68.160117193360207</v>
      </c>
      <c r="E34" s="284"/>
      <c r="F34" s="294">
        <v>0.54120000000000013</v>
      </c>
      <c r="G34" s="293">
        <v>31.839882806639785</v>
      </c>
      <c r="H34" s="282"/>
      <c r="I34" s="295"/>
      <c r="J34" s="290"/>
    </row>
    <row r="35" spans="1:10" ht="11.45" customHeight="1">
      <c r="A35" s="45">
        <v>2016</v>
      </c>
      <c r="B35" s="293">
        <v>1.6750799999999997</v>
      </c>
      <c r="C35" s="321">
        <v>1.0907799999999996</v>
      </c>
      <c r="D35" s="293">
        <v>65.118083912410142</v>
      </c>
      <c r="E35" s="284"/>
      <c r="F35" s="294">
        <v>0.58430000000000004</v>
      </c>
      <c r="G35" s="293">
        <v>34.88191608758985</v>
      </c>
      <c r="H35" s="282"/>
      <c r="I35" s="295"/>
      <c r="J35" s="290"/>
    </row>
    <row r="36" spans="1:10" ht="11.45" customHeight="1">
      <c r="A36" s="45">
        <v>2017</v>
      </c>
      <c r="B36" s="293">
        <v>1.8987999999999998</v>
      </c>
      <c r="C36" s="321">
        <v>1.2112999999999998</v>
      </c>
      <c r="D36" s="293">
        <v>63.792921845376029</v>
      </c>
      <c r="E36" s="284"/>
      <c r="F36" s="294">
        <v>0.6875</v>
      </c>
      <c r="G36" s="293">
        <v>36.207078154623979</v>
      </c>
      <c r="H36" s="282"/>
      <c r="I36" s="295"/>
      <c r="J36" s="290"/>
    </row>
    <row r="37" spans="1:10" ht="11.45" customHeight="1">
      <c r="A37" s="65">
        <v>2018</v>
      </c>
      <c r="B37" s="296">
        <v>1.9540250000000001</v>
      </c>
      <c r="C37" s="387">
        <v>1.4167750000000001</v>
      </c>
      <c r="D37" s="296">
        <v>72.505469479663773</v>
      </c>
      <c r="E37" s="297"/>
      <c r="F37" s="298">
        <v>0.53725000000000001</v>
      </c>
      <c r="G37" s="296">
        <v>27.49453052033623</v>
      </c>
      <c r="H37" s="282"/>
      <c r="I37" s="295"/>
      <c r="J37" s="290"/>
    </row>
    <row r="38" spans="1:10">
      <c r="A38" s="69" t="s">
        <v>232</v>
      </c>
      <c r="B38" s="53"/>
      <c r="C38" s="53"/>
      <c r="D38" s="53"/>
      <c r="E38" s="53"/>
      <c r="F38" s="53"/>
      <c r="G38" s="53"/>
    </row>
    <row r="39" spans="1:10">
      <c r="A39" s="69" t="s">
        <v>233</v>
      </c>
      <c r="B39" s="53"/>
      <c r="C39" s="53"/>
      <c r="D39" s="53"/>
      <c r="E39" s="53"/>
      <c r="F39" s="53"/>
      <c r="G39" s="53"/>
    </row>
    <row r="40" spans="1:10">
      <c r="A40" s="69" t="s">
        <v>234</v>
      </c>
      <c r="B40" s="53"/>
      <c r="C40" s="53"/>
      <c r="D40" s="53"/>
      <c r="E40" s="53"/>
      <c r="F40" s="53"/>
      <c r="G40" s="53"/>
    </row>
    <row r="41" spans="1:10">
      <c r="A41" s="69" t="s">
        <v>421</v>
      </c>
      <c r="B41" s="53"/>
      <c r="C41" s="53"/>
      <c r="D41" s="53"/>
      <c r="E41" s="53"/>
      <c r="F41" s="53"/>
      <c r="G41" s="53"/>
    </row>
    <row r="42" spans="1:10">
      <c r="A42" s="69" t="s">
        <v>230</v>
      </c>
      <c r="B42" s="53"/>
      <c r="C42" s="53"/>
      <c r="D42" s="53"/>
      <c r="E42" s="53"/>
      <c r="F42" s="53"/>
      <c r="G42" s="53"/>
    </row>
    <row r="43" spans="1:10">
      <c r="A43" s="266"/>
    </row>
    <row r="45" spans="1:10">
      <c r="A45" s="288"/>
      <c r="B45" s="299"/>
      <c r="C45" s="299"/>
      <c r="D45" s="299"/>
      <c r="E45" s="299"/>
      <c r="F45" s="299"/>
      <c r="G45" s="299"/>
    </row>
    <row r="46" spans="1:10">
      <c r="A46" s="288"/>
      <c r="B46" s="299"/>
      <c r="C46" s="299"/>
      <c r="D46" s="299"/>
      <c r="E46" s="299"/>
      <c r="F46" s="299"/>
      <c r="G46" s="299"/>
    </row>
    <row r="47" spans="1:10">
      <c r="A47" s="288"/>
      <c r="B47" s="299"/>
      <c r="C47" s="299"/>
      <c r="D47" s="299"/>
      <c r="E47" s="299"/>
      <c r="F47" s="299"/>
      <c r="G47" s="299"/>
    </row>
    <row r="48" spans="1:10">
      <c r="A48" s="288"/>
      <c r="B48" s="299"/>
      <c r="C48" s="299"/>
      <c r="D48" s="299"/>
      <c r="E48" s="299"/>
      <c r="F48" s="299"/>
      <c r="G48" s="299"/>
    </row>
    <row r="49" spans="1:7">
      <c r="A49" s="288"/>
      <c r="B49" s="299"/>
      <c r="C49" s="299"/>
      <c r="D49" s="299"/>
      <c r="E49" s="299"/>
      <c r="F49" s="299"/>
      <c r="G49" s="299"/>
    </row>
    <row r="50" spans="1:7">
      <c r="A50" s="288"/>
      <c r="B50" s="299"/>
      <c r="C50" s="299"/>
      <c r="D50" s="299"/>
      <c r="E50" s="299"/>
      <c r="F50" s="299"/>
      <c r="G50" s="299"/>
    </row>
  </sheetData>
  <pageMargins left="0.66700000000000004" right="0.66700000000000004" top="0.66700000000000004" bottom="0.72" header="0" footer="0"/>
  <pageSetup scale="87" firstPageNumber="31" orientation="portrait" useFirstPageNumber="1" r:id="rId1"/>
  <headerFooter alignWithMargins="0"/>
  <ignoredErrors>
    <ignoredError sqref="A8:A26 E32 C32:D32 F32:G32"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1"/>
  <sheetViews>
    <sheetView showGridLines="0" zoomScaleNormal="100" workbookViewId="0"/>
  </sheetViews>
  <sheetFormatPr defaultColWidth="9" defaultRowHeight="12"/>
  <cols>
    <col min="1" max="1" width="17.140625" style="106" customWidth="1"/>
    <col min="2" max="2" width="16.140625" style="106" customWidth="1"/>
    <col min="3" max="4" width="16.7109375" style="106" customWidth="1"/>
    <col min="5" max="5" width="7.7109375" style="106" customWidth="1"/>
    <col min="6" max="7" width="16.7109375" style="106" customWidth="1"/>
    <col min="8" max="8" width="9" style="106"/>
    <col min="9" max="9" width="9.140625" style="106" bestFit="1" customWidth="1"/>
    <col min="10" max="10" width="9.42578125" style="106" bestFit="1" customWidth="1"/>
    <col min="11" max="16384" width="9" style="106"/>
  </cols>
  <sheetData>
    <row r="1" spans="1:10">
      <c r="A1" s="65" t="s">
        <v>235</v>
      </c>
      <c r="B1" s="71"/>
      <c r="C1" s="71"/>
      <c r="D1" s="71"/>
      <c r="E1" s="71"/>
      <c r="F1" s="71"/>
      <c r="G1" s="71"/>
      <c r="H1" s="46"/>
      <c r="I1" s="46"/>
      <c r="J1" s="275"/>
    </row>
    <row r="2" spans="1:10">
      <c r="A2" s="53"/>
      <c r="B2" s="53"/>
      <c r="C2" s="276" t="s">
        <v>216</v>
      </c>
      <c r="D2" s="276"/>
      <c r="E2" s="53"/>
      <c r="F2" s="276" t="s">
        <v>217</v>
      </c>
      <c r="G2" s="276"/>
      <c r="H2" s="53"/>
      <c r="I2" s="53"/>
    </row>
    <row r="3" spans="1:10">
      <c r="A3" s="53"/>
      <c r="B3" s="53"/>
      <c r="C3" s="53"/>
      <c r="D3" s="47" t="s">
        <v>218</v>
      </c>
      <c r="E3" s="53"/>
      <c r="F3" s="53"/>
      <c r="H3" s="53"/>
      <c r="I3" s="53"/>
    </row>
    <row r="4" spans="1:10">
      <c r="A4" s="71" t="s">
        <v>107</v>
      </c>
      <c r="B4" s="49" t="s">
        <v>219</v>
      </c>
      <c r="C4" s="49" t="s">
        <v>220</v>
      </c>
      <c r="D4" s="49" t="s">
        <v>221</v>
      </c>
      <c r="E4" s="71"/>
      <c r="F4" s="49" t="s">
        <v>220</v>
      </c>
      <c r="G4" s="49" t="s">
        <v>222</v>
      </c>
      <c r="H4" s="53"/>
      <c r="I4" s="53"/>
    </row>
    <row r="5" spans="1:10" ht="3" customHeight="1">
      <c r="A5" s="46"/>
      <c r="B5" s="52"/>
      <c r="C5" s="52"/>
      <c r="D5" s="52"/>
      <c r="E5" s="46"/>
      <c r="F5" s="52"/>
      <c r="G5" s="52"/>
      <c r="H5" s="53"/>
      <c r="I5" s="53"/>
    </row>
    <row r="6" spans="1:10" s="201" customFormat="1">
      <c r="A6" s="80"/>
      <c r="B6" s="54" t="s">
        <v>223</v>
      </c>
      <c r="C6" s="200"/>
      <c r="D6" s="277" t="s">
        <v>224</v>
      </c>
      <c r="E6" s="80"/>
      <c r="F6" s="277" t="s">
        <v>225</v>
      </c>
      <c r="G6" s="277" t="s">
        <v>224</v>
      </c>
      <c r="H6" s="80"/>
      <c r="I6" s="80"/>
    </row>
    <row r="7" spans="1:10" ht="3" customHeight="1">
      <c r="A7" s="53"/>
      <c r="B7" s="55"/>
      <c r="C7" s="300"/>
      <c r="D7" s="47"/>
      <c r="E7" s="53"/>
      <c r="F7" s="47"/>
      <c r="G7" s="47"/>
      <c r="H7" s="53"/>
      <c r="I7" s="53"/>
    </row>
    <row r="8" spans="1:10">
      <c r="A8" s="53" t="s">
        <v>54</v>
      </c>
      <c r="B8" s="292">
        <v>0.69594285714285709</v>
      </c>
      <c r="C8" s="292">
        <v>0.5194428571428571</v>
      </c>
      <c r="D8" s="292">
        <v>74.638722391000897</v>
      </c>
      <c r="E8" s="292"/>
      <c r="F8" s="292">
        <v>0.17649999999999999</v>
      </c>
      <c r="G8" s="292">
        <v>25.361277608999099</v>
      </c>
      <c r="H8" s="301"/>
      <c r="I8" s="53"/>
    </row>
    <row r="9" spans="1:10">
      <c r="A9" s="53" t="s">
        <v>55</v>
      </c>
      <c r="B9" s="292">
        <v>0.72484999999999988</v>
      </c>
      <c r="C9" s="292">
        <v>0.5397249999999999</v>
      </c>
      <c r="D9" s="292">
        <v>74.460233151686552</v>
      </c>
      <c r="E9" s="292"/>
      <c r="F9" s="292">
        <v>0.18512500000000001</v>
      </c>
      <c r="G9" s="292">
        <v>25.539766848313448</v>
      </c>
      <c r="H9" s="301"/>
      <c r="I9" s="53"/>
    </row>
    <row r="10" spans="1:10">
      <c r="A10" s="53" t="s">
        <v>56</v>
      </c>
      <c r="B10" s="292">
        <v>0.7978642857142858</v>
      </c>
      <c r="C10" s="292">
        <v>0.58782261904761912</v>
      </c>
      <c r="D10" s="292">
        <v>73.674512015708601</v>
      </c>
      <c r="E10" s="292"/>
      <c r="F10" s="292">
        <v>0.21004166666666665</v>
      </c>
      <c r="G10" s="292">
        <v>26.325487984291389</v>
      </c>
      <c r="H10" s="301"/>
      <c r="I10" s="53"/>
    </row>
    <row r="11" spans="1:10">
      <c r="A11" s="53" t="s">
        <v>57</v>
      </c>
      <c r="B11" s="292">
        <v>0.78497142857142854</v>
      </c>
      <c r="C11" s="292">
        <v>0.59656233766233768</v>
      </c>
      <c r="D11" s="292">
        <v>75.997968327079491</v>
      </c>
      <c r="E11" s="292"/>
      <c r="F11" s="292">
        <v>0.18840909090909091</v>
      </c>
      <c r="G11" s="292">
        <v>24.002031672920516</v>
      </c>
      <c r="H11" s="301"/>
      <c r="I11" s="53"/>
    </row>
    <row r="12" spans="1:10">
      <c r="A12" s="53" t="s">
        <v>58</v>
      </c>
      <c r="B12" s="292">
        <v>0.81537142857142852</v>
      </c>
      <c r="C12" s="292">
        <v>0.61820476190476192</v>
      </c>
      <c r="D12" s="292">
        <v>75.818791319176782</v>
      </c>
      <c r="E12" s="292"/>
      <c r="F12" s="292">
        <v>0.19716666666666666</v>
      </c>
      <c r="G12" s="292">
        <v>24.181208680823229</v>
      </c>
      <c r="H12" s="301"/>
      <c r="I12" s="53"/>
    </row>
    <row r="13" spans="1:10">
      <c r="A13" s="53" t="s">
        <v>59</v>
      </c>
      <c r="B13" s="292">
        <v>0.74796666666666667</v>
      </c>
      <c r="C13" s="292">
        <v>0.64154999999999995</v>
      </c>
      <c r="D13" s="292">
        <v>85.772538883194429</v>
      </c>
      <c r="E13" s="292"/>
      <c r="F13" s="292">
        <v>0.10641666666666667</v>
      </c>
      <c r="G13" s="292">
        <v>14.227461116805562</v>
      </c>
      <c r="H13" s="301"/>
      <c r="I13" s="53"/>
    </row>
    <row r="14" spans="1:10">
      <c r="A14" s="53" t="s">
        <v>122</v>
      </c>
      <c r="B14" s="292">
        <v>0.73529999999999995</v>
      </c>
      <c r="C14" s="292">
        <v>0.55171666666666663</v>
      </c>
      <c r="D14" s="292">
        <v>75.032866403735426</v>
      </c>
      <c r="E14" s="292"/>
      <c r="F14" s="292">
        <v>0.18358333333333335</v>
      </c>
      <c r="G14" s="292">
        <v>24.967133596264567</v>
      </c>
      <c r="H14" s="301"/>
      <c r="I14" s="53"/>
    </row>
    <row r="15" spans="1:10">
      <c r="A15" s="53" t="s">
        <v>61</v>
      </c>
      <c r="B15" s="292">
        <v>0.86982000000000004</v>
      </c>
      <c r="C15" s="292">
        <v>0.65469500000000003</v>
      </c>
      <c r="D15" s="292">
        <v>75.267871513646497</v>
      </c>
      <c r="E15" s="292"/>
      <c r="F15" s="292">
        <v>0.21512500000000001</v>
      </c>
      <c r="G15" s="292">
        <v>24.732128486353499</v>
      </c>
      <c r="H15" s="301"/>
      <c r="I15" s="53"/>
    </row>
    <row r="16" spans="1:10">
      <c r="A16" s="53" t="s">
        <v>62</v>
      </c>
      <c r="B16" s="292">
        <v>0.9360666666666666</v>
      </c>
      <c r="C16" s="292">
        <v>0.77156666666666662</v>
      </c>
      <c r="D16" s="292">
        <v>82.426465351470696</v>
      </c>
      <c r="E16" s="292"/>
      <c r="F16" s="292">
        <v>0.16450000000000001</v>
      </c>
      <c r="G16" s="292">
        <v>17.573534648529311</v>
      </c>
      <c r="H16" s="301"/>
      <c r="I16" s="53"/>
    </row>
    <row r="17" spans="1:10">
      <c r="A17" s="53" t="s">
        <v>63</v>
      </c>
      <c r="B17" s="292">
        <v>0.88634999999999986</v>
      </c>
      <c r="C17" s="292">
        <v>0.69884999999999986</v>
      </c>
      <c r="D17" s="292">
        <v>78.845828397359952</v>
      </c>
      <c r="E17" s="292"/>
      <c r="F17" s="292">
        <v>0.1875</v>
      </c>
      <c r="G17" s="292">
        <v>21.154171602640044</v>
      </c>
      <c r="H17" s="301"/>
      <c r="I17" s="53"/>
    </row>
    <row r="18" spans="1:10">
      <c r="A18" s="46" t="s">
        <v>64</v>
      </c>
      <c r="B18" s="293">
        <v>0.90249999999999997</v>
      </c>
      <c r="C18" s="293">
        <v>0.70849999999999991</v>
      </c>
      <c r="D18" s="293">
        <v>78.504155124653735</v>
      </c>
      <c r="E18" s="293"/>
      <c r="F18" s="293">
        <v>0.19400000000000001</v>
      </c>
      <c r="G18" s="293">
        <v>21.495844875346261</v>
      </c>
      <c r="H18" s="301"/>
      <c r="I18" s="53"/>
    </row>
    <row r="19" spans="1:10">
      <c r="A19" s="45" t="s">
        <v>65</v>
      </c>
      <c r="B19" s="293">
        <v>0.93670000000000009</v>
      </c>
      <c r="C19" s="293">
        <v>0.77620000000000011</v>
      </c>
      <c r="D19" s="293">
        <v>82.865378456282698</v>
      </c>
      <c r="E19" s="293"/>
      <c r="F19" s="293">
        <v>0.1605</v>
      </c>
      <c r="G19" s="293">
        <v>17.134621543717305</v>
      </c>
      <c r="H19" s="301"/>
      <c r="I19" s="53"/>
    </row>
    <row r="20" spans="1:10">
      <c r="A20" s="45" t="s">
        <v>66</v>
      </c>
      <c r="B20" s="293">
        <v>0.91742857142857126</v>
      </c>
      <c r="C20" s="293">
        <v>0.75042857142857122</v>
      </c>
      <c r="D20" s="293">
        <v>81.796947991279964</v>
      </c>
      <c r="E20" s="293"/>
      <c r="F20" s="293">
        <v>0.16700000000000001</v>
      </c>
      <c r="G20" s="293">
        <v>18.203052008720029</v>
      </c>
      <c r="H20" s="301"/>
      <c r="I20" s="53"/>
    </row>
    <row r="21" spans="1:10">
      <c r="A21" s="45" t="s">
        <v>67</v>
      </c>
      <c r="B21" s="293">
        <v>0.94676999999999989</v>
      </c>
      <c r="C21" s="293">
        <v>0.7662699999999999</v>
      </c>
      <c r="D21" s="293">
        <v>80.9351796106763</v>
      </c>
      <c r="E21" s="293"/>
      <c r="F21" s="293">
        <v>0.18049999999999999</v>
      </c>
      <c r="G21" s="293">
        <v>20.140284816398182</v>
      </c>
      <c r="H21" s="301"/>
      <c r="I21" s="53"/>
    </row>
    <row r="22" spans="1:10">
      <c r="A22" s="45" t="s">
        <v>83</v>
      </c>
      <c r="B22" s="293" t="s">
        <v>419</v>
      </c>
      <c r="C22" s="293" t="s">
        <v>420</v>
      </c>
      <c r="D22" s="293" t="s">
        <v>419</v>
      </c>
      <c r="E22" s="293"/>
      <c r="F22" s="293" t="s">
        <v>420</v>
      </c>
      <c r="G22" s="293" t="s">
        <v>420</v>
      </c>
      <c r="H22" s="301"/>
      <c r="I22" s="53"/>
    </row>
    <row r="23" spans="1:10">
      <c r="A23" s="45" t="s">
        <v>84</v>
      </c>
      <c r="B23" s="293" t="s">
        <v>419</v>
      </c>
      <c r="C23" s="293" t="s">
        <v>420</v>
      </c>
      <c r="D23" s="293" t="s">
        <v>419</v>
      </c>
      <c r="E23" s="293"/>
      <c r="F23" s="293" t="s">
        <v>420</v>
      </c>
      <c r="G23" s="293" t="s">
        <v>420</v>
      </c>
      <c r="H23" s="301"/>
      <c r="I23" s="53"/>
    </row>
    <row r="24" spans="1:10">
      <c r="A24" s="45" t="s">
        <v>192</v>
      </c>
      <c r="B24" s="293">
        <v>1.058511111111111</v>
      </c>
      <c r="C24" s="293">
        <v>0.81246944444444424</v>
      </c>
      <c r="D24" s="293">
        <v>76.755873029202434</v>
      </c>
      <c r="E24" s="293"/>
      <c r="F24" s="293">
        <v>0.24604166666666666</v>
      </c>
      <c r="G24" s="293">
        <v>23.244126970797559</v>
      </c>
      <c r="H24" s="301"/>
      <c r="I24" s="302"/>
      <c r="J24" s="290"/>
    </row>
    <row r="25" spans="1:10">
      <c r="A25" s="45" t="s">
        <v>193</v>
      </c>
      <c r="B25" s="293">
        <v>1.0764687499999999</v>
      </c>
      <c r="C25" s="293">
        <v>0.8455520833333332</v>
      </c>
      <c r="D25" s="293">
        <v>78.548688323124409</v>
      </c>
      <c r="E25" s="293"/>
      <c r="F25" s="293">
        <v>0.23091666666666666</v>
      </c>
      <c r="G25" s="293">
        <v>21.451311676875591</v>
      </c>
      <c r="H25" s="301"/>
      <c r="I25" s="302"/>
      <c r="J25" s="290"/>
    </row>
    <row r="26" spans="1:10">
      <c r="A26" s="45" t="s">
        <v>194</v>
      </c>
      <c r="B26" s="293">
        <v>1.2093500000000001</v>
      </c>
      <c r="C26" s="293">
        <v>0.94699999999999995</v>
      </c>
      <c r="D26" s="293">
        <v>78.33</v>
      </c>
      <c r="E26" s="293"/>
      <c r="F26" s="293">
        <v>0.26200000000000001</v>
      </c>
      <c r="G26" s="293">
        <v>21.67</v>
      </c>
      <c r="H26" s="281"/>
      <c r="I26" s="302"/>
      <c r="J26" s="290"/>
    </row>
    <row r="27" spans="1:10">
      <c r="A27" s="45">
        <v>2008</v>
      </c>
      <c r="B27" s="293">
        <v>1.264872222222222</v>
      </c>
      <c r="C27" s="293">
        <v>0.99</v>
      </c>
      <c r="D27" s="293">
        <v>78.27</v>
      </c>
      <c r="E27" s="293"/>
      <c r="F27" s="293">
        <v>0.27500000000000002</v>
      </c>
      <c r="G27" s="293">
        <v>21.73</v>
      </c>
      <c r="H27" s="281"/>
      <c r="I27" s="302"/>
      <c r="J27" s="290"/>
    </row>
    <row r="28" spans="1:10">
      <c r="A28" s="45">
        <v>2009</v>
      </c>
      <c r="B28" s="293">
        <v>1.2649999999999999</v>
      </c>
      <c r="C28" s="293">
        <v>1.016</v>
      </c>
      <c r="D28" s="293">
        <v>81.95</v>
      </c>
      <c r="E28" s="293"/>
      <c r="F28" s="293">
        <v>0.224</v>
      </c>
      <c r="G28" s="293">
        <v>18.05</v>
      </c>
      <c r="H28" s="281"/>
      <c r="I28" s="302"/>
      <c r="J28" s="290"/>
    </row>
    <row r="29" spans="1:10">
      <c r="A29" s="45">
        <v>2010</v>
      </c>
      <c r="B29" s="293">
        <v>1.2390000000000001</v>
      </c>
      <c r="C29" s="293">
        <v>0.92200000000000004</v>
      </c>
      <c r="D29" s="293">
        <v>75.41</v>
      </c>
      <c r="E29" s="293"/>
      <c r="F29" s="293">
        <v>0.30099999999999999</v>
      </c>
      <c r="G29" s="293">
        <v>24.59</v>
      </c>
      <c r="H29" s="281"/>
      <c r="I29" s="302"/>
      <c r="J29" s="290"/>
    </row>
    <row r="30" spans="1:10">
      <c r="A30" s="45">
        <v>2011</v>
      </c>
      <c r="B30" s="293">
        <v>1.3380000000000001</v>
      </c>
      <c r="C30" s="293">
        <v>1.1120000000000001</v>
      </c>
      <c r="D30" s="293">
        <v>83.11</v>
      </c>
      <c r="E30" s="293"/>
      <c r="F30" s="293">
        <v>0.22600000000000001</v>
      </c>
      <c r="G30" s="293">
        <v>16.89</v>
      </c>
      <c r="H30" s="281"/>
      <c r="I30" s="302"/>
      <c r="J30" s="290"/>
    </row>
    <row r="31" spans="1:10">
      <c r="A31" s="45">
        <v>2012</v>
      </c>
      <c r="B31" s="293">
        <v>1.19</v>
      </c>
      <c r="C31" s="293">
        <v>0.84199999999999997</v>
      </c>
      <c r="D31" s="293">
        <v>70.75</v>
      </c>
      <c r="E31" s="293"/>
      <c r="F31" s="293">
        <v>0.34799999999999998</v>
      </c>
      <c r="G31" s="293">
        <v>29.25</v>
      </c>
      <c r="H31" s="281"/>
      <c r="I31" s="302"/>
      <c r="J31" s="290"/>
    </row>
    <row r="32" spans="1:10">
      <c r="A32" s="45">
        <v>2013</v>
      </c>
      <c r="B32" s="293" t="s">
        <v>419</v>
      </c>
      <c r="C32" s="293" t="s">
        <v>420</v>
      </c>
      <c r="D32" s="293" t="s">
        <v>419</v>
      </c>
      <c r="E32" s="293"/>
      <c r="F32" s="293" t="s">
        <v>420</v>
      </c>
      <c r="G32" s="293" t="s">
        <v>420</v>
      </c>
      <c r="H32" s="281"/>
      <c r="I32" s="302"/>
      <c r="J32" s="290"/>
    </row>
    <row r="33" spans="1:10">
      <c r="A33" s="45">
        <v>2014</v>
      </c>
      <c r="B33" s="293" t="s">
        <v>419</v>
      </c>
      <c r="C33" s="293" t="s">
        <v>420</v>
      </c>
      <c r="D33" s="293" t="s">
        <v>419</v>
      </c>
      <c r="E33" s="389"/>
      <c r="F33" s="294">
        <v>0.32700000000000001</v>
      </c>
      <c r="G33" s="293" t="s">
        <v>420</v>
      </c>
      <c r="H33" s="281"/>
      <c r="I33" s="302"/>
      <c r="J33" s="290"/>
    </row>
    <row r="34" spans="1:10">
      <c r="A34" s="45">
        <v>2015</v>
      </c>
      <c r="B34" s="293" t="s">
        <v>419</v>
      </c>
      <c r="C34" s="293" t="s">
        <v>420</v>
      </c>
      <c r="D34" s="293" t="s">
        <v>419</v>
      </c>
      <c r="E34" s="389"/>
      <c r="F34" s="294">
        <v>0.38</v>
      </c>
      <c r="G34" s="293" t="s">
        <v>420</v>
      </c>
      <c r="H34" s="281"/>
      <c r="I34" s="302"/>
      <c r="J34" s="290"/>
    </row>
    <row r="35" spans="1:10">
      <c r="A35" s="45">
        <v>2016</v>
      </c>
      <c r="B35" s="293">
        <v>1.59</v>
      </c>
      <c r="C35" s="293">
        <v>1.1839999999999999</v>
      </c>
      <c r="D35" s="293">
        <v>74.45</v>
      </c>
      <c r="E35" s="293"/>
      <c r="F35" s="293">
        <v>0.40600000000000003</v>
      </c>
      <c r="G35" s="293">
        <v>25.55</v>
      </c>
      <c r="H35" s="281"/>
      <c r="I35" s="302"/>
      <c r="J35" s="290"/>
    </row>
    <row r="36" spans="1:10">
      <c r="A36" s="45">
        <v>2017</v>
      </c>
      <c r="B36" s="293">
        <v>1.522</v>
      </c>
      <c r="C36" s="293">
        <v>1.139</v>
      </c>
      <c r="D36" s="293">
        <v>74.83</v>
      </c>
      <c r="E36" s="293"/>
      <c r="F36" s="293">
        <v>0.38300000000000001</v>
      </c>
      <c r="G36" s="293">
        <v>25.17</v>
      </c>
      <c r="H36" s="281"/>
      <c r="I36" s="302"/>
      <c r="J36" s="290"/>
    </row>
    <row r="37" spans="1:10">
      <c r="A37" s="65">
        <v>2018</v>
      </c>
      <c r="B37" s="296">
        <v>1.5</v>
      </c>
      <c r="C37" s="296">
        <v>1.1379999999999999</v>
      </c>
      <c r="D37" s="296">
        <v>75.84</v>
      </c>
      <c r="E37" s="296"/>
      <c r="F37" s="296">
        <v>0.36199999999999999</v>
      </c>
      <c r="G37" s="296">
        <v>24.16</v>
      </c>
      <c r="H37" s="281"/>
      <c r="I37" s="302"/>
      <c r="J37" s="290"/>
    </row>
    <row r="38" spans="1:10">
      <c r="A38" s="69" t="s">
        <v>236</v>
      </c>
      <c r="B38" s="266"/>
      <c r="C38" s="266"/>
      <c r="D38" s="266"/>
      <c r="E38" s="266"/>
      <c r="F38" s="266"/>
      <c r="G38" s="266"/>
      <c r="H38" s="266"/>
      <c r="I38" s="266"/>
    </row>
    <row r="39" spans="1:10">
      <c r="A39" s="69" t="s">
        <v>237</v>
      </c>
      <c r="B39" s="266"/>
      <c r="C39" s="266"/>
      <c r="D39" s="266"/>
      <c r="E39" s="266"/>
      <c r="F39" s="266"/>
      <c r="G39" s="266"/>
      <c r="H39" s="266"/>
      <c r="I39" s="266"/>
    </row>
    <row r="40" spans="1:10">
      <c r="A40" s="69" t="s">
        <v>238</v>
      </c>
      <c r="B40" s="266"/>
      <c r="C40" s="266"/>
      <c r="D40" s="266"/>
      <c r="E40" s="266"/>
      <c r="F40" s="266"/>
      <c r="G40" s="266"/>
      <c r="H40" s="266"/>
      <c r="I40" s="266"/>
    </row>
    <row r="41" spans="1:10">
      <c r="A41" s="69" t="s">
        <v>239</v>
      </c>
      <c r="B41" s="266"/>
      <c r="C41" s="266"/>
      <c r="D41" s="266"/>
      <c r="E41" s="266"/>
      <c r="F41" s="266"/>
      <c r="G41" s="266"/>
      <c r="H41" s="266"/>
      <c r="I41" s="266"/>
    </row>
    <row r="42" spans="1:10">
      <c r="A42" s="266"/>
      <c r="B42" s="266"/>
      <c r="C42" s="266"/>
      <c r="D42" s="266"/>
      <c r="E42" s="266"/>
      <c r="F42" s="266"/>
      <c r="G42" s="266"/>
      <c r="H42" s="266"/>
      <c r="I42" s="266"/>
    </row>
    <row r="44" spans="1:10">
      <c r="A44" s="288"/>
      <c r="B44" s="299"/>
      <c r="C44" s="299"/>
      <c r="D44" s="299"/>
      <c r="E44" s="299"/>
      <c r="F44" s="299"/>
      <c r="G44" s="299"/>
    </row>
    <row r="45" spans="1:10">
      <c r="A45" s="57"/>
      <c r="B45" s="299"/>
      <c r="C45" s="299"/>
      <c r="D45" s="299"/>
      <c r="E45" s="299"/>
      <c r="F45" s="299"/>
      <c r="G45" s="299"/>
    </row>
    <row r="46" spans="1:10">
      <c r="A46" s="57"/>
      <c r="B46" s="299"/>
      <c r="C46" s="299"/>
      <c r="D46" s="299"/>
      <c r="E46" s="299"/>
      <c r="F46" s="299"/>
      <c r="G46" s="299"/>
    </row>
    <row r="47" spans="1:10">
      <c r="A47" s="51"/>
      <c r="B47" s="299"/>
      <c r="C47" s="299"/>
      <c r="D47" s="299"/>
      <c r="E47" s="299"/>
      <c r="F47" s="299"/>
      <c r="G47" s="299"/>
    </row>
    <row r="48" spans="1:10">
      <c r="A48" s="45"/>
      <c r="B48" s="299"/>
      <c r="C48" s="299"/>
      <c r="D48" s="299"/>
      <c r="E48" s="299"/>
      <c r="F48" s="299"/>
      <c r="G48" s="299"/>
    </row>
    <row r="49" spans="1:7">
      <c r="A49" s="45"/>
      <c r="B49" s="299"/>
      <c r="C49" s="299"/>
      <c r="D49" s="299"/>
      <c r="E49" s="299"/>
      <c r="F49" s="299"/>
      <c r="G49" s="299"/>
    </row>
    <row r="50" spans="1:7">
      <c r="A50" s="45"/>
      <c r="C50" s="295"/>
      <c r="D50" s="282"/>
      <c r="G50" s="282"/>
    </row>
    <row r="51" spans="1:7">
      <c r="A51" s="45"/>
      <c r="C51" s="295"/>
      <c r="D51" s="282"/>
      <c r="G51" s="282"/>
    </row>
  </sheetData>
  <pageMargins left="0.66700000000000004" right="0.66700000000000004" top="0.66700000000000004" bottom="0.72" header="0" footer="0"/>
  <pageSetup scale="84" firstPageNumber="32" orientation="portrait" useFirstPageNumber="1" r:id="rId1"/>
  <headerFooter alignWithMargins="0"/>
  <ignoredErrors>
    <ignoredError sqref="A8:A26"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3"/>
  <sheetViews>
    <sheetView showGridLines="0" zoomScaleNormal="100" workbookViewId="0">
      <selection activeCell="J17" sqref="J17"/>
    </sheetView>
  </sheetViews>
  <sheetFormatPr defaultColWidth="9" defaultRowHeight="12"/>
  <cols>
    <col min="1" max="4" width="16.140625" style="106" customWidth="1"/>
    <col min="5" max="5" width="7.7109375" style="106" customWidth="1"/>
    <col min="6" max="7" width="16.140625" style="106" customWidth="1"/>
    <col min="8" max="8" width="9.7109375" style="106" customWidth="1"/>
    <col min="9" max="11" width="9" style="106" customWidth="1"/>
    <col min="12" max="12" width="1" style="106" customWidth="1"/>
    <col min="13" max="16384" width="9" style="106"/>
  </cols>
  <sheetData>
    <row r="1" spans="1:17" ht="12" customHeight="1">
      <c r="A1" s="65" t="s">
        <v>240</v>
      </c>
      <c r="B1" s="71"/>
      <c r="C1" s="71"/>
      <c r="D1" s="71"/>
      <c r="E1" s="71"/>
      <c r="F1" s="71"/>
      <c r="G1" s="71"/>
      <c r="H1" s="46"/>
      <c r="I1" s="46"/>
      <c r="J1" s="275"/>
      <c r="K1" s="275"/>
      <c r="L1" s="275"/>
      <c r="M1" s="275"/>
      <c r="N1" s="275"/>
      <c r="O1" s="275"/>
      <c r="P1" s="275"/>
      <c r="Q1" s="275"/>
    </row>
    <row r="2" spans="1:17" ht="12" customHeight="1">
      <c r="A2" s="53"/>
      <c r="B2" s="53"/>
      <c r="C2" s="276" t="s">
        <v>216</v>
      </c>
      <c r="D2" s="276"/>
      <c r="E2" s="53"/>
      <c r="F2" s="276" t="s">
        <v>217</v>
      </c>
      <c r="G2" s="276"/>
      <c r="H2" s="53"/>
      <c r="I2" s="53"/>
    </row>
    <row r="3" spans="1:17" ht="12" customHeight="1">
      <c r="A3" s="53"/>
      <c r="B3" s="53"/>
      <c r="C3" s="53"/>
      <c r="D3" s="47" t="s">
        <v>218</v>
      </c>
      <c r="E3" s="53"/>
      <c r="F3" s="53"/>
      <c r="H3" s="53"/>
      <c r="I3" s="53"/>
    </row>
    <row r="4" spans="1:17" ht="12" customHeight="1">
      <c r="A4" s="71" t="s">
        <v>107</v>
      </c>
      <c r="B4" s="49" t="s">
        <v>219</v>
      </c>
      <c r="C4" s="49" t="s">
        <v>220</v>
      </c>
      <c r="D4" s="49" t="s">
        <v>221</v>
      </c>
      <c r="E4" s="71"/>
      <c r="F4" s="49" t="s">
        <v>220</v>
      </c>
      <c r="G4" s="49" t="s">
        <v>222</v>
      </c>
      <c r="H4" s="53"/>
      <c r="I4" s="53"/>
    </row>
    <row r="5" spans="1:17" s="201" customFormat="1" ht="12" customHeight="1">
      <c r="A5" s="80"/>
      <c r="B5" s="54" t="s">
        <v>223</v>
      </c>
      <c r="C5" s="200"/>
      <c r="D5" s="277" t="s">
        <v>224</v>
      </c>
      <c r="E5" s="80"/>
      <c r="F5" s="277" t="s">
        <v>225</v>
      </c>
      <c r="G5" s="277" t="s">
        <v>224</v>
      </c>
      <c r="H5" s="80"/>
      <c r="I5" s="80"/>
    </row>
    <row r="6" spans="1:17" ht="12" customHeight="1">
      <c r="A6" s="53"/>
      <c r="B6" s="55"/>
      <c r="C6" s="300"/>
      <c r="D6" s="47"/>
      <c r="E6" s="53"/>
      <c r="F6" s="47"/>
      <c r="G6" s="47"/>
      <c r="H6" s="53"/>
      <c r="I6" s="53"/>
    </row>
    <row r="7" spans="1:17" ht="12" customHeight="1">
      <c r="A7" s="53" t="s">
        <v>122</v>
      </c>
      <c r="B7" s="292">
        <v>1.4111066666666665</v>
      </c>
      <c r="C7" s="292">
        <v>1.0873566666666665</v>
      </c>
      <c r="D7" s="292">
        <v>77.057014352801119</v>
      </c>
      <c r="E7" s="292"/>
      <c r="F7" s="292">
        <v>0.32374999999999998</v>
      </c>
      <c r="G7" s="292">
        <v>22.942985647198892</v>
      </c>
      <c r="H7" s="281"/>
      <c r="I7" s="53"/>
    </row>
    <row r="8" spans="1:17" ht="12" customHeight="1">
      <c r="A8" s="53" t="s">
        <v>61</v>
      </c>
      <c r="B8" s="292">
        <v>1.5337636363636362</v>
      </c>
      <c r="C8" s="292">
        <v>1.1251922077922076</v>
      </c>
      <c r="D8" s="292">
        <v>73.361512889945629</v>
      </c>
      <c r="E8" s="292"/>
      <c r="F8" s="292">
        <v>0.40857142857142853</v>
      </c>
      <c r="G8" s="292">
        <v>26.638487110054378</v>
      </c>
      <c r="H8" s="281"/>
      <c r="I8" s="53"/>
    </row>
    <row r="9" spans="1:17" ht="12" customHeight="1">
      <c r="A9" s="53" t="s">
        <v>62</v>
      </c>
      <c r="B9" s="292">
        <v>1.5574649999999999</v>
      </c>
      <c r="C9" s="292">
        <v>1.2281792857142855</v>
      </c>
      <c r="D9" s="292">
        <v>78.857584967513588</v>
      </c>
      <c r="E9" s="292"/>
      <c r="F9" s="292">
        <v>0.32928571428571429</v>
      </c>
      <c r="G9" s="292">
        <v>21.142415032486401</v>
      </c>
      <c r="H9" s="281"/>
      <c r="I9" s="53"/>
    </row>
    <row r="10" spans="1:17" ht="12" customHeight="1">
      <c r="A10" s="53" t="s">
        <v>63</v>
      </c>
      <c r="B10" s="292">
        <v>1.4455350000000002</v>
      </c>
      <c r="C10" s="292">
        <v>1.1419635714285716</v>
      </c>
      <c r="D10" s="292">
        <v>78.999371957688425</v>
      </c>
      <c r="E10" s="292"/>
      <c r="F10" s="292">
        <v>0.30357142857142855</v>
      </c>
      <c r="G10" s="292">
        <v>21.000628042311568</v>
      </c>
      <c r="H10" s="281"/>
      <c r="I10" s="53"/>
    </row>
    <row r="11" spans="1:17" ht="12" customHeight="1">
      <c r="A11" s="46" t="s">
        <v>64</v>
      </c>
      <c r="B11" s="293">
        <v>1.6754754545454547</v>
      </c>
      <c r="C11" s="293">
        <v>1.3059754545454547</v>
      </c>
      <c r="D11" s="293">
        <v>77.946558453150075</v>
      </c>
      <c r="E11" s="293"/>
      <c r="F11" s="293">
        <v>0.3695</v>
      </c>
      <c r="G11" s="293">
        <v>22.053441546849928</v>
      </c>
      <c r="H11" s="281"/>
      <c r="I11" s="53"/>
    </row>
    <row r="12" spans="1:17" ht="12" customHeight="1">
      <c r="A12" s="45" t="s">
        <v>65</v>
      </c>
      <c r="B12" s="293">
        <v>1.5881775000000005</v>
      </c>
      <c r="C12" s="293">
        <v>1.2526775000000003</v>
      </c>
      <c r="D12" s="293">
        <v>78.395047153104741</v>
      </c>
      <c r="E12" s="293"/>
      <c r="F12" s="293">
        <v>0.34312500000000001</v>
      </c>
      <c r="G12" s="293">
        <v>21.604952846895255</v>
      </c>
      <c r="H12" s="281"/>
      <c r="I12" s="53"/>
    </row>
    <row r="13" spans="1:17" ht="12" customHeight="1">
      <c r="A13" s="45" t="s">
        <v>66</v>
      </c>
      <c r="B13" s="293">
        <v>1.683227</v>
      </c>
      <c r="C13" s="293">
        <v>1.3076020000000002</v>
      </c>
      <c r="D13" s="293">
        <v>77.684233914974044</v>
      </c>
      <c r="E13" s="293"/>
      <c r="F13" s="293">
        <v>0.37562499999999999</v>
      </c>
      <c r="G13" s="293">
        <v>22.315766085025963</v>
      </c>
      <c r="H13" s="281"/>
      <c r="I13" s="53"/>
    </row>
    <row r="14" spans="1:17" ht="12" customHeight="1">
      <c r="A14" s="45" t="s">
        <v>67</v>
      </c>
      <c r="B14" s="293">
        <v>1.7173216666666666</v>
      </c>
      <c r="C14" s="293">
        <v>1.3432591666666667</v>
      </c>
      <c r="D14" s="293">
        <v>78.218262352325766</v>
      </c>
      <c r="E14" s="293"/>
      <c r="F14" s="293">
        <v>0.37406250000000002</v>
      </c>
      <c r="G14" s="293">
        <v>21.781737647674237</v>
      </c>
      <c r="H14" s="281"/>
      <c r="I14" s="53"/>
    </row>
    <row r="15" spans="1:17" ht="12" customHeight="1">
      <c r="A15" s="45" t="s">
        <v>83</v>
      </c>
      <c r="B15" s="293">
        <v>1.7281727272727274</v>
      </c>
      <c r="C15" s="293">
        <v>1.3581727272727275</v>
      </c>
      <c r="D15" s="293">
        <v>78.590103051567866</v>
      </c>
      <c r="E15" s="293"/>
      <c r="F15" s="293">
        <v>0.37</v>
      </c>
      <c r="G15" s="293">
        <v>21.409896948432131</v>
      </c>
      <c r="H15" s="281"/>
      <c r="I15" s="53"/>
    </row>
    <row r="16" spans="1:17" ht="12" customHeight="1">
      <c r="A16" s="45" t="s">
        <v>84</v>
      </c>
      <c r="B16" s="293">
        <v>1.8737658333333331</v>
      </c>
      <c r="C16" s="293">
        <v>1.4237658333333332</v>
      </c>
      <c r="D16" s="293">
        <v>75.984192261662002</v>
      </c>
      <c r="E16" s="293"/>
      <c r="F16" s="293">
        <v>0.45</v>
      </c>
      <c r="G16" s="293">
        <v>24.015807738337994</v>
      </c>
      <c r="H16" s="281"/>
      <c r="I16" s="53"/>
    </row>
    <row r="17" spans="1:10" ht="12" customHeight="1">
      <c r="A17" s="45" t="s">
        <v>192</v>
      </c>
      <c r="B17" s="293">
        <v>1.8912833333333332</v>
      </c>
      <c r="C17" s="293">
        <v>1.5744083333333332</v>
      </c>
      <c r="D17" s="293">
        <v>83.24550349410012</v>
      </c>
      <c r="E17" s="293"/>
      <c r="F17" s="293">
        <v>0.31687500000000002</v>
      </c>
      <c r="G17" s="293">
        <v>16.754496505899876</v>
      </c>
      <c r="H17" s="281"/>
      <c r="I17" s="301"/>
      <c r="J17" s="291"/>
    </row>
    <row r="18" spans="1:10" ht="12" customHeight="1">
      <c r="A18" s="45" t="s">
        <v>193</v>
      </c>
      <c r="B18" s="293">
        <v>2.0442391666666668</v>
      </c>
      <c r="C18" s="293">
        <v>1.4506677380952384</v>
      </c>
      <c r="D18" s="293">
        <v>70.963699441327847</v>
      </c>
      <c r="E18" s="293"/>
      <c r="F18" s="293">
        <v>0.59357142857142853</v>
      </c>
      <c r="G18" s="293">
        <v>29.036300558672163</v>
      </c>
      <c r="H18" s="281"/>
      <c r="I18" s="301"/>
      <c r="J18" s="291"/>
    </row>
    <row r="19" spans="1:10" ht="12" customHeight="1">
      <c r="A19" s="45" t="s">
        <v>194</v>
      </c>
      <c r="B19" s="293">
        <v>1.9034718181818184</v>
      </c>
      <c r="C19" s="293">
        <v>1.4213289610389612</v>
      </c>
      <c r="D19" s="293">
        <v>74.670344339355836</v>
      </c>
      <c r="E19" s="321"/>
      <c r="F19" s="293">
        <v>0.48214285714285715</v>
      </c>
      <c r="G19" s="293">
        <v>25.32965566064415</v>
      </c>
      <c r="H19" s="281"/>
      <c r="I19" s="301"/>
      <c r="J19" s="291"/>
    </row>
    <row r="20" spans="1:10" ht="12" customHeight="1">
      <c r="A20" s="45">
        <v>2008</v>
      </c>
      <c r="B20" s="293">
        <v>2.0125408333333334</v>
      </c>
      <c r="C20" s="293">
        <v>1.7806658333333334</v>
      </c>
      <c r="D20" s="293">
        <v>88.478494639239202</v>
      </c>
      <c r="E20" s="321"/>
      <c r="F20" s="293">
        <v>0.231875</v>
      </c>
      <c r="G20" s="293">
        <v>11.521505360760795</v>
      </c>
      <c r="H20" s="281"/>
      <c r="I20" s="301"/>
      <c r="J20" s="291"/>
    </row>
    <row r="21" spans="1:10" ht="12" customHeight="1">
      <c r="A21" s="45">
        <v>2009</v>
      </c>
      <c r="B21" s="293">
        <v>1.9194175</v>
      </c>
      <c r="C21" s="293">
        <v>1.5212924999999999</v>
      </c>
      <c r="D21" s="293">
        <v>79.258030105487734</v>
      </c>
      <c r="E21" s="321"/>
      <c r="F21" s="293">
        <v>0.39812500000000001</v>
      </c>
      <c r="G21" s="293">
        <v>20.74196989451227</v>
      </c>
      <c r="H21" s="281"/>
      <c r="I21" s="301"/>
      <c r="J21" s="291"/>
    </row>
    <row r="22" spans="1:10" ht="12" customHeight="1">
      <c r="A22" s="45">
        <v>2010</v>
      </c>
      <c r="B22" s="293">
        <v>1.9844825000000001</v>
      </c>
      <c r="C22" s="293">
        <v>1.7244825000000001</v>
      </c>
      <c r="D22" s="293">
        <v>86.898347554085262</v>
      </c>
      <c r="E22" s="321"/>
      <c r="F22" s="293">
        <v>0.26</v>
      </c>
      <c r="G22" s="293">
        <v>13.101652445914741</v>
      </c>
      <c r="H22" s="281"/>
      <c r="I22" s="301"/>
      <c r="J22" s="291"/>
    </row>
    <row r="23" spans="1:10" ht="12" customHeight="1">
      <c r="A23" s="45">
        <v>2011</v>
      </c>
      <c r="B23" s="293">
        <v>2.1708050000000001</v>
      </c>
      <c r="C23" s="293">
        <v>1.6329478571428573</v>
      </c>
      <c r="D23" s="293">
        <v>75.223147963214444</v>
      </c>
      <c r="E23" s="321"/>
      <c r="F23" s="293">
        <v>0.53785714285714292</v>
      </c>
      <c r="G23" s="293">
        <v>24.776852036785566</v>
      </c>
      <c r="H23" s="281"/>
      <c r="I23" s="301"/>
      <c r="J23" s="291"/>
    </row>
    <row r="24" spans="1:10" ht="12" customHeight="1">
      <c r="A24" s="45">
        <v>2012</v>
      </c>
      <c r="B24" s="293">
        <v>2.2637008333333335</v>
      </c>
      <c r="C24" s="293">
        <v>1.4874508333333334</v>
      </c>
      <c r="D24" s="293">
        <v>65.708807958648833</v>
      </c>
      <c r="E24" s="321"/>
      <c r="F24" s="293">
        <v>0.77625</v>
      </c>
      <c r="G24" s="293">
        <v>34.291192041351167</v>
      </c>
      <c r="H24" s="281"/>
      <c r="I24" s="301"/>
      <c r="J24" s="291"/>
    </row>
    <row r="25" spans="1:10" ht="12" customHeight="1">
      <c r="A25" s="45">
        <v>2013</v>
      </c>
      <c r="B25" s="293">
        <v>2.2692090909090914</v>
      </c>
      <c r="C25" s="388" t="s">
        <v>380</v>
      </c>
      <c r="D25" s="388" t="s">
        <v>378</v>
      </c>
      <c r="E25" s="386"/>
      <c r="F25" s="388" t="s">
        <v>380</v>
      </c>
      <c r="G25" s="369" t="s">
        <v>381</v>
      </c>
      <c r="H25" s="281"/>
      <c r="I25" s="301"/>
      <c r="J25" s="291"/>
    </row>
    <row r="26" spans="1:10" ht="12" customHeight="1">
      <c r="A26" s="45">
        <v>2014</v>
      </c>
      <c r="B26" s="294">
        <v>2.4017933333333334</v>
      </c>
      <c r="C26" s="294">
        <v>1.6160790476190479</v>
      </c>
      <c r="D26" s="294">
        <v>67.286349128805739</v>
      </c>
      <c r="E26" s="391"/>
      <c r="F26" s="294">
        <v>0.7857142857142857</v>
      </c>
      <c r="G26" s="294">
        <v>32.713650871194261</v>
      </c>
      <c r="H26" s="281"/>
      <c r="I26" s="301"/>
      <c r="J26" s="291"/>
    </row>
    <row r="27" spans="1:10" ht="12" customHeight="1">
      <c r="A27" s="45">
        <v>2015</v>
      </c>
      <c r="B27" s="294">
        <v>2.3581133333333333</v>
      </c>
      <c r="C27" s="294">
        <v>1.4381133333333334</v>
      </c>
      <c r="D27" s="294">
        <v>60.985759802327856</v>
      </c>
      <c r="E27" s="391"/>
      <c r="F27" s="294">
        <v>0.92</v>
      </c>
      <c r="G27" s="294">
        <v>39.014240197672152</v>
      </c>
      <c r="H27" s="281"/>
      <c r="I27" s="301"/>
      <c r="J27" s="291"/>
    </row>
    <row r="28" spans="1:10" ht="12" customHeight="1">
      <c r="A28" s="45">
        <v>2016</v>
      </c>
      <c r="B28" s="294">
        <v>2.5095525000000003</v>
      </c>
      <c r="C28" s="294">
        <v>1.7262191666666671</v>
      </c>
      <c r="D28" s="294">
        <v>68.785935606713423</v>
      </c>
      <c r="E28" s="391"/>
      <c r="F28" s="294">
        <v>0.78333333333333333</v>
      </c>
      <c r="G28" s="294">
        <v>31.214064393286584</v>
      </c>
      <c r="H28" s="281"/>
      <c r="I28" s="301"/>
      <c r="J28" s="291"/>
    </row>
    <row r="29" spans="1:10" ht="12" customHeight="1">
      <c r="A29" s="45">
        <v>2017</v>
      </c>
      <c r="B29" s="294">
        <v>2.4030066666666667</v>
      </c>
      <c r="C29" s="294">
        <v>1.6371733333333334</v>
      </c>
      <c r="D29" s="294">
        <v>68.130203550551954</v>
      </c>
      <c r="E29" s="391"/>
      <c r="F29" s="294">
        <v>0.76583333333333337</v>
      </c>
      <c r="G29" s="294">
        <v>31.869796449448053</v>
      </c>
      <c r="H29" s="281"/>
      <c r="I29" s="301"/>
      <c r="J29" s="291"/>
    </row>
    <row r="30" spans="1:10" ht="12" customHeight="1">
      <c r="A30" s="65">
        <v>2018</v>
      </c>
      <c r="B30" s="298">
        <v>2.3509850000000005</v>
      </c>
      <c r="C30" s="298">
        <v>1.6424135714285719</v>
      </c>
      <c r="D30" s="298">
        <v>69.860657189585282</v>
      </c>
      <c r="E30" s="390"/>
      <c r="F30" s="298">
        <v>0.70857142857142852</v>
      </c>
      <c r="G30" s="298">
        <v>30.139342810414714</v>
      </c>
      <c r="H30" s="281"/>
      <c r="I30" s="301"/>
      <c r="J30" s="291"/>
    </row>
    <row r="31" spans="1:10">
      <c r="A31" s="287" t="s">
        <v>241</v>
      </c>
      <c r="B31" s="301"/>
      <c r="C31" s="301"/>
      <c r="D31" s="301"/>
      <c r="E31" s="301"/>
      <c r="F31" s="301"/>
      <c r="G31" s="301"/>
      <c r="H31" s="301"/>
      <c r="I31" s="53"/>
    </row>
    <row r="32" spans="1:10">
      <c r="A32" s="69" t="s">
        <v>431</v>
      </c>
      <c r="B32" s="301"/>
      <c r="C32" s="301"/>
      <c r="D32" s="301"/>
      <c r="E32" s="301"/>
      <c r="F32" s="301"/>
      <c r="G32" s="301"/>
      <c r="H32" s="301"/>
      <c r="I32" s="53"/>
    </row>
    <row r="33" spans="1:9">
      <c r="A33" s="69" t="s">
        <v>242</v>
      </c>
      <c r="B33" s="301"/>
      <c r="C33" s="301"/>
      <c r="D33" s="301"/>
      <c r="E33" s="301"/>
      <c r="F33" s="301"/>
      <c r="G33" s="301"/>
      <c r="H33" s="301"/>
      <c r="I33" s="53"/>
    </row>
    <row r="34" spans="1:9">
      <c r="A34" s="69" t="s">
        <v>421</v>
      </c>
      <c r="B34" s="301"/>
      <c r="C34" s="301"/>
      <c r="D34" s="301"/>
      <c r="E34" s="301"/>
      <c r="F34" s="301"/>
      <c r="G34" s="301"/>
      <c r="H34" s="301"/>
      <c r="I34" s="53"/>
    </row>
    <row r="35" spans="1:9">
      <c r="A35" s="69" t="s">
        <v>239</v>
      </c>
      <c r="B35" s="301"/>
      <c r="C35" s="301"/>
      <c r="D35" s="301"/>
      <c r="E35" s="301"/>
      <c r="F35" s="301"/>
      <c r="G35" s="301"/>
      <c r="H35" s="301"/>
      <c r="I35" s="53"/>
    </row>
    <row r="36" spans="1:9">
      <c r="A36" s="266"/>
      <c r="B36" s="291"/>
      <c r="C36" s="291"/>
      <c r="D36" s="291"/>
      <c r="E36" s="291"/>
      <c r="F36" s="291"/>
      <c r="G36" s="291"/>
      <c r="H36" s="291"/>
    </row>
    <row r="37" spans="1:9">
      <c r="B37" s="291"/>
      <c r="C37" s="291"/>
      <c r="D37" s="291"/>
      <c r="E37" s="291"/>
      <c r="F37" s="291"/>
      <c r="G37" s="291"/>
      <c r="H37" s="291"/>
    </row>
    <row r="38" spans="1:9">
      <c r="A38" s="288"/>
      <c r="B38" s="303"/>
      <c r="C38" s="303"/>
      <c r="D38" s="303"/>
      <c r="E38" s="303"/>
      <c r="F38" s="303"/>
      <c r="G38" s="303"/>
    </row>
    <row r="39" spans="1:9">
      <c r="A39" s="288"/>
      <c r="B39" s="303"/>
      <c r="C39" s="303"/>
      <c r="D39" s="303"/>
      <c r="E39" s="303"/>
      <c r="F39" s="303"/>
      <c r="G39" s="303"/>
    </row>
    <row r="40" spans="1:9">
      <c r="A40" s="288"/>
      <c r="B40" s="303"/>
      <c r="C40" s="303"/>
      <c r="D40" s="303"/>
      <c r="E40" s="303"/>
      <c r="F40" s="303"/>
      <c r="G40" s="303"/>
    </row>
    <row r="41" spans="1:9">
      <c r="A41" s="288"/>
      <c r="B41" s="303"/>
      <c r="C41" s="303"/>
      <c r="D41" s="303"/>
      <c r="E41" s="303"/>
      <c r="F41" s="303"/>
      <c r="G41" s="303"/>
    </row>
    <row r="42" spans="1:9">
      <c r="A42" s="288"/>
      <c r="B42" s="303"/>
      <c r="C42" s="303"/>
      <c r="D42" s="303"/>
      <c r="E42" s="303"/>
      <c r="F42" s="303"/>
      <c r="G42" s="303"/>
    </row>
    <row r="43" spans="1:9">
      <c r="A43" s="288"/>
      <c r="B43" s="303"/>
      <c r="C43" s="303"/>
      <c r="D43" s="303"/>
      <c r="E43" s="303"/>
      <c r="F43" s="303"/>
      <c r="G43" s="303"/>
    </row>
  </sheetData>
  <pageMargins left="0.66700000000000004" right="0.66700000000000004" top="0.66700000000000004" bottom="0.72" header="0" footer="0"/>
  <pageSetup scale="87" firstPageNumber="33" orientation="portrait" useFirstPageNumber="1" r:id="rId1"/>
  <headerFooter alignWithMargins="0"/>
  <ignoredErrors>
    <ignoredError sqref="A7:A19 E25 C25:D25 F25:G25"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0"/>
  <sheetViews>
    <sheetView showGridLines="0" zoomScaleNormal="100" workbookViewId="0">
      <selection activeCell="M23" sqref="M23"/>
    </sheetView>
  </sheetViews>
  <sheetFormatPr defaultColWidth="9" defaultRowHeight="12"/>
  <cols>
    <col min="1" max="4" width="16.140625" style="106" customWidth="1"/>
    <col min="5" max="5" width="7.7109375" style="106" customWidth="1"/>
    <col min="6" max="7" width="16.140625" style="106" customWidth="1"/>
    <col min="8" max="8" width="9.7109375" style="106" customWidth="1"/>
    <col min="9" max="11" width="9" style="106" customWidth="1"/>
    <col min="12" max="12" width="0.85546875" style="106" customWidth="1"/>
    <col min="13" max="16384" width="9" style="106"/>
  </cols>
  <sheetData>
    <row r="1" spans="1:10">
      <c r="A1" s="65" t="s">
        <v>422</v>
      </c>
      <c r="B1" s="71"/>
      <c r="C1" s="71"/>
      <c r="D1" s="71"/>
      <c r="E1" s="71"/>
      <c r="F1" s="71"/>
      <c r="G1" s="71"/>
      <c r="H1" s="275"/>
      <c r="I1" s="275"/>
      <c r="J1" s="275"/>
    </row>
    <row r="2" spans="1:10">
      <c r="A2" s="53"/>
      <c r="B2" s="53"/>
      <c r="C2" s="276" t="s">
        <v>216</v>
      </c>
      <c r="D2" s="276"/>
      <c r="E2" s="53"/>
      <c r="F2" s="276" t="s">
        <v>217</v>
      </c>
      <c r="G2" s="276"/>
    </row>
    <row r="3" spans="1:10">
      <c r="A3" s="53"/>
      <c r="B3" s="53"/>
      <c r="C3" s="53"/>
      <c r="D3" s="47" t="s">
        <v>218</v>
      </c>
      <c r="E3" s="53"/>
      <c r="F3" s="53"/>
    </row>
    <row r="4" spans="1:10">
      <c r="A4" s="71" t="s">
        <v>107</v>
      </c>
      <c r="B4" s="49" t="s">
        <v>219</v>
      </c>
      <c r="C4" s="49" t="s">
        <v>220</v>
      </c>
      <c r="D4" s="49" t="s">
        <v>221</v>
      </c>
      <c r="E4" s="71"/>
      <c r="F4" s="49" t="s">
        <v>220</v>
      </c>
      <c r="G4" s="49" t="s">
        <v>222</v>
      </c>
    </row>
    <row r="5" spans="1:10" ht="3" customHeight="1">
      <c r="A5" s="46"/>
      <c r="B5" s="52"/>
      <c r="C5" s="52"/>
      <c r="D5" s="52"/>
      <c r="E5" s="46"/>
      <c r="F5" s="52"/>
      <c r="G5" s="52"/>
    </row>
    <row r="6" spans="1:10" s="201" customFormat="1">
      <c r="A6" s="80"/>
      <c r="B6" s="54" t="s">
        <v>223</v>
      </c>
      <c r="C6" s="200"/>
      <c r="D6" s="277" t="s">
        <v>224</v>
      </c>
      <c r="E6" s="80"/>
      <c r="F6" s="277" t="s">
        <v>225</v>
      </c>
      <c r="G6" s="277" t="s">
        <v>224</v>
      </c>
    </row>
    <row r="7" spans="1:10" ht="3" customHeight="1">
      <c r="A7" s="53"/>
      <c r="B7" s="55"/>
      <c r="C7" s="300"/>
      <c r="D7" s="47"/>
      <c r="E7" s="53"/>
      <c r="F7" s="47"/>
      <c r="G7" s="47"/>
    </row>
    <row r="8" spans="1:10">
      <c r="A8" s="53" t="s">
        <v>55</v>
      </c>
      <c r="B8" s="292">
        <v>1.396713333333333</v>
      </c>
      <c r="C8" s="292">
        <v>0.72071333333333298</v>
      </c>
      <c r="D8" s="292">
        <v>51.600662507696626</v>
      </c>
      <c r="E8" s="292"/>
      <c r="F8" s="292">
        <v>0.67600000000000005</v>
      </c>
      <c r="G8" s="292">
        <v>48.399337492303374</v>
      </c>
      <c r="H8" s="282"/>
      <c r="I8" s="282"/>
      <c r="J8" s="282"/>
    </row>
    <row r="9" spans="1:10">
      <c r="A9" s="53" t="s">
        <v>56</v>
      </c>
      <c r="B9" s="292">
        <v>1.3227555555555559</v>
      </c>
      <c r="C9" s="292">
        <v>0.68150555555555592</v>
      </c>
      <c r="D9" s="292">
        <v>51.521655130703593</v>
      </c>
      <c r="E9" s="292"/>
      <c r="F9" s="292">
        <v>0.64124999999999999</v>
      </c>
      <c r="G9" s="292">
        <v>48.4783448692964</v>
      </c>
      <c r="H9" s="282"/>
      <c r="I9" s="282"/>
      <c r="J9" s="282"/>
    </row>
    <row r="10" spans="1:10">
      <c r="A10" s="53" t="s">
        <v>57</v>
      </c>
      <c r="B10" s="292">
        <v>1.4008533333333335</v>
      </c>
      <c r="C10" s="292">
        <v>0.62168666666666683</v>
      </c>
      <c r="D10" s="292">
        <v>44.37914033351101</v>
      </c>
      <c r="E10" s="292"/>
      <c r="F10" s="292">
        <v>0.77916666666666667</v>
      </c>
      <c r="G10" s="292">
        <v>55.62085966648899</v>
      </c>
      <c r="H10" s="282"/>
      <c r="I10" s="282"/>
      <c r="J10" s="282"/>
    </row>
    <row r="11" spans="1:10">
      <c r="A11" s="53" t="s">
        <v>58</v>
      </c>
      <c r="B11" s="292">
        <v>1.3723674074074073</v>
      </c>
      <c r="C11" s="292">
        <v>0.7096174074074072</v>
      </c>
      <c r="D11" s="292">
        <v>51.70753863558835</v>
      </c>
      <c r="E11" s="292"/>
      <c r="F11" s="292">
        <v>0.66275000000000006</v>
      </c>
      <c r="G11" s="292">
        <v>48.29246136441165</v>
      </c>
      <c r="H11" s="282"/>
      <c r="I11" s="282"/>
      <c r="J11" s="282"/>
    </row>
    <row r="12" spans="1:10">
      <c r="A12" s="53" t="s">
        <v>59</v>
      </c>
      <c r="B12" s="292">
        <v>1.3913125925925924</v>
      </c>
      <c r="C12" s="292">
        <v>0.69872925925925911</v>
      </c>
      <c r="D12" s="292">
        <v>50.220867904116119</v>
      </c>
      <c r="E12" s="292"/>
      <c r="F12" s="292">
        <v>0.69258333333333333</v>
      </c>
      <c r="G12" s="292">
        <v>49.779132095883881</v>
      </c>
      <c r="H12" s="282"/>
      <c r="I12" s="282"/>
      <c r="J12" s="282"/>
    </row>
    <row r="13" spans="1:10">
      <c r="A13" s="53" t="s">
        <v>122</v>
      </c>
      <c r="B13" s="292">
        <v>1.6171555555555555</v>
      </c>
      <c r="C13" s="292">
        <v>0.89515555555555548</v>
      </c>
      <c r="D13" s="292">
        <v>55.353707469906013</v>
      </c>
      <c r="E13" s="292"/>
      <c r="F13" s="292">
        <v>0.72199999999999998</v>
      </c>
      <c r="G13" s="292">
        <v>44.646292530093994</v>
      </c>
      <c r="H13" s="282"/>
      <c r="I13" s="282"/>
      <c r="J13" s="282"/>
    </row>
    <row r="14" spans="1:10">
      <c r="A14" s="53" t="s">
        <v>61</v>
      </c>
      <c r="B14" s="292">
        <v>1.5870613333333334</v>
      </c>
      <c r="C14" s="292">
        <v>0.90497042424242435</v>
      </c>
      <c r="D14" s="292">
        <v>57.021767542007886</v>
      </c>
      <c r="E14" s="292"/>
      <c r="F14" s="292">
        <v>0.68209090909090908</v>
      </c>
      <c r="G14" s="292">
        <v>42.978232457992114</v>
      </c>
      <c r="H14" s="282"/>
      <c r="I14" s="282"/>
      <c r="J14" s="282"/>
    </row>
    <row r="15" spans="1:10">
      <c r="A15" s="53" t="s">
        <v>62</v>
      </c>
      <c r="B15" s="292">
        <v>1.6622696296296298</v>
      </c>
      <c r="C15" s="292">
        <v>0.87690599326599328</v>
      </c>
      <c r="D15" s="292">
        <v>52.753535144679063</v>
      </c>
      <c r="E15" s="292"/>
      <c r="F15" s="292">
        <v>0.78536363636363649</v>
      </c>
      <c r="G15" s="292">
        <v>47.246464855320937</v>
      </c>
      <c r="H15" s="282"/>
      <c r="I15" s="282"/>
      <c r="J15" s="282"/>
    </row>
    <row r="16" spans="1:10">
      <c r="A16" s="53" t="s">
        <v>63</v>
      </c>
      <c r="B16" s="292">
        <v>2.0149226666666662</v>
      </c>
      <c r="C16" s="292">
        <v>1.1931726666666664</v>
      </c>
      <c r="D16" s="292">
        <v>59.216797071450891</v>
      </c>
      <c r="E16" s="292"/>
      <c r="F16" s="292">
        <v>0.82174999999999987</v>
      </c>
      <c r="G16" s="292">
        <v>40.783202928549123</v>
      </c>
      <c r="H16" s="282"/>
      <c r="I16" s="282"/>
      <c r="J16" s="282"/>
    </row>
    <row r="17" spans="1:10">
      <c r="A17" s="46" t="s">
        <v>64</v>
      </c>
      <c r="B17" s="293">
        <v>2.0785866666666668</v>
      </c>
      <c r="C17" s="293">
        <v>1.2748366666666668</v>
      </c>
      <c r="D17" s="293">
        <v>61.331898597765154</v>
      </c>
      <c r="E17" s="293"/>
      <c r="F17" s="293">
        <v>0.80374999999999996</v>
      </c>
      <c r="G17" s="293">
        <v>38.668101402234853</v>
      </c>
      <c r="H17" s="282"/>
      <c r="I17" s="282"/>
      <c r="J17" s="282"/>
    </row>
    <row r="18" spans="1:10">
      <c r="A18" s="45" t="s">
        <v>65</v>
      </c>
      <c r="B18" s="293">
        <v>1.8799893333333331</v>
      </c>
      <c r="C18" s="293">
        <v>1.1413529696969693</v>
      </c>
      <c r="D18" s="293">
        <v>60.710608802938395</v>
      </c>
      <c r="E18" s="293"/>
      <c r="F18" s="293">
        <v>0.73863636363636365</v>
      </c>
      <c r="G18" s="293">
        <v>39.289391197061605</v>
      </c>
      <c r="H18" s="282"/>
      <c r="I18" s="282"/>
      <c r="J18" s="282"/>
    </row>
    <row r="19" spans="1:10">
      <c r="A19" s="45" t="s">
        <v>66</v>
      </c>
      <c r="B19" s="293">
        <v>2.2886254545454547</v>
      </c>
      <c r="C19" s="293">
        <v>1.386625454545455</v>
      </c>
      <c r="D19" s="293">
        <v>60.587696942348899</v>
      </c>
      <c r="E19" s="293"/>
      <c r="F19" s="293">
        <v>0.9019999999999998</v>
      </c>
      <c r="G19" s="293">
        <v>39.412303057651101</v>
      </c>
      <c r="H19" s="282"/>
      <c r="I19" s="282"/>
      <c r="J19" s="282"/>
    </row>
    <row r="20" spans="1:10">
      <c r="A20" s="45" t="s">
        <v>67</v>
      </c>
      <c r="B20" s="293">
        <v>2.2779199999999999</v>
      </c>
      <c r="C20" s="293">
        <v>1.4306699999999997</v>
      </c>
      <c r="D20" s="293">
        <v>62.80598089485143</v>
      </c>
      <c r="E20" s="293"/>
      <c r="F20" s="293">
        <v>0.84725000000000017</v>
      </c>
      <c r="G20" s="293">
        <v>37.194019105148563</v>
      </c>
      <c r="H20" s="282"/>
      <c r="I20" s="282"/>
      <c r="J20" s="282"/>
    </row>
    <row r="21" spans="1:10">
      <c r="A21" s="45" t="s">
        <v>83</v>
      </c>
      <c r="B21" s="293">
        <v>2.3662399999999999</v>
      </c>
      <c r="C21" s="293">
        <v>1.4416566666666668</v>
      </c>
      <c r="D21" s="293">
        <v>60.926054274573445</v>
      </c>
      <c r="E21" s="293"/>
      <c r="F21" s="293">
        <v>0.9245833333333332</v>
      </c>
      <c r="G21" s="293">
        <v>39.073945725426555</v>
      </c>
      <c r="H21" s="282"/>
      <c r="I21" s="282"/>
      <c r="J21" s="282"/>
    </row>
    <row r="22" spans="1:10">
      <c r="A22" s="45" t="s">
        <v>84</v>
      </c>
      <c r="B22" s="293">
        <v>2.7388399999999997</v>
      </c>
      <c r="C22" s="293">
        <v>1.8310066666666662</v>
      </c>
      <c r="D22" s="293">
        <v>66.853363711157513</v>
      </c>
      <c r="E22" s="293"/>
      <c r="F22" s="293">
        <v>0.90783333333333338</v>
      </c>
      <c r="G22" s="293">
        <v>33.146636288842487</v>
      </c>
      <c r="H22" s="282"/>
      <c r="I22" s="282"/>
      <c r="J22" s="282"/>
    </row>
    <row r="23" spans="1:10">
      <c r="A23" s="45" t="s">
        <v>192</v>
      </c>
      <c r="B23" s="293">
        <v>2.5894933333333339</v>
      </c>
      <c r="C23" s="293">
        <v>1.7570766666666673</v>
      </c>
      <c r="D23" s="293">
        <v>67.854071839021287</v>
      </c>
      <c r="E23" s="293"/>
      <c r="F23" s="293">
        <v>0.83241666666666669</v>
      </c>
      <c r="G23" s="293">
        <v>32.14592816097872</v>
      </c>
      <c r="H23" s="282"/>
      <c r="I23" s="282"/>
      <c r="J23" s="282"/>
    </row>
    <row r="24" spans="1:10">
      <c r="A24" s="45" t="s">
        <v>193</v>
      </c>
      <c r="B24" s="293">
        <v>2.5043422222222231</v>
      </c>
      <c r="C24" s="293">
        <v>1.6574255555555566</v>
      </c>
      <c r="D24" s="293">
        <v>66.182071317906519</v>
      </c>
      <c r="E24" s="293"/>
      <c r="F24" s="293">
        <v>0.84691666666666665</v>
      </c>
      <c r="G24" s="293">
        <v>33.817928682093488</v>
      </c>
      <c r="H24" s="282"/>
      <c r="I24" s="282"/>
      <c r="J24" s="282"/>
    </row>
    <row r="25" spans="1:10">
      <c r="A25" s="45" t="s">
        <v>194</v>
      </c>
      <c r="B25" s="293">
        <v>2.7017333333333338</v>
      </c>
      <c r="C25" s="293">
        <v>1.7657333333333334</v>
      </c>
      <c r="D25" s="293">
        <v>65.355574199279459</v>
      </c>
      <c r="E25" s="321"/>
      <c r="F25" s="293">
        <v>0.93600000000000028</v>
      </c>
      <c r="G25" s="293">
        <v>34.644425800720526</v>
      </c>
      <c r="H25" s="282"/>
      <c r="I25" s="282"/>
      <c r="J25" s="282"/>
    </row>
    <row r="26" spans="1:10">
      <c r="A26" s="45">
        <v>2008</v>
      </c>
      <c r="B26" s="293">
        <v>2.8068177777777779</v>
      </c>
      <c r="C26" s="293">
        <v>1.7863177777777779</v>
      </c>
      <c r="D26" s="293">
        <v>63.642100029452095</v>
      </c>
      <c r="E26" s="321"/>
      <c r="F26" s="293">
        <v>1.0205</v>
      </c>
      <c r="G26" s="293">
        <v>36.357899970547905</v>
      </c>
      <c r="H26" s="282"/>
      <c r="I26" s="282"/>
      <c r="J26" s="282"/>
    </row>
    <row r="27" spans="1:10">
      <c r="A27" s="45">
        <v>2009</v>
      </c>
      <c r="B27" s="293">
        <v>2.5735466666666666</v>
      </c>
      <c r="C27" s="293">
        <v>1.6112133333333332</v>
      </c>
      <c r="D27" s="293">
        <v>62.606726903469138</v>
      </c>
      <c r="E27" s="321"/>
      <c r="F27" s="293">
        <v>0.96233333333333337</v>
      </c>
      <c r="G27" s="293">
        <v>37.393273096530862</v>
      </c>
      <c r="H27" s="282"/>
      <c r="I27" s="282"/>
      <c r="J27" s="282"/>
    </row>
    <row r="28" spans="1:10">
      <c r="A28" s="45">
        <v>2010</v>
      </c>
      <c r="B28" s="293">
        <v>2.6808799999999997</v>
      </c>
      <c r="C28" s="293">
        <v>1.4757966666666664</v>
      </c>
      <c r="D28" s="293">
        <v>55.048964021763993</v>
      </c>
      <c r="E28" s="321"/>
      <c r="F28" s="293">
        <v>1.2050833333333333</v>
      </c>
      <c r="G28" s="293">
        <v>44.951035978236007</v>
      </c>
      <c r="H28" s="282"/>
      <c r="I28" s="282"/>
      <c r="J28" s="282"/>
    </row>
    <row r="29" spans="1:10">
      <c r="A29" s="45">
        <v>2011</v>
      </c>
      <c r="B29" s="293">
        <v>2.5457422222222221</v>
      </c>
      <c r="C29" s="293">
        <v>1.5048255555555556</v>
      </c>
      <c r="D29" s="293">
        <v>59.111466291428663</v>
      </c>
      <c r="E29" s="321"/>
      <c r="F29" s="293">
        <v>1.0409166666666665</v>
      </c>
      <c r="G29" s="293">
        <v>40.888533708571345</v>
      </c>
      <c r="H29" s="282"/>
      <c r="I29" s="282"/>
      <c r="J29" s="282"/>
    </row>
    <row r="30" spans="1:10">
      <c r="A30" s="45">
        <v>2012</v>
      </c>
      <c r="B30" s="293">
        <v>2.4441333333333337</v>
      </c>
      <c r="C30" s="293">
        <v>1.3589666666666671</v>
      </c>
      <c r="D30" s="293">
        <v>55.601167421308176</v>
      </c>
      <c r="E30" s="321"/>
      <c r="F30" s="293">
        <v>1.0851666666666666</v>
      </c>
      <c r="G30" s="293">
        <v>44.398832578691824</v>
      </c>
      <c r="H30" s="282"/>
      <c r="I30" s="282"/>
      <c r="J30" s="282"/>
    </row>
    <row r="31" spans="1:10" ht="12" customHeight="1">
      <c r="A31" s="45">
        <v>2013</v>
      </c>
      <c r="B31" s="293">
        <v>2.4823272727272725</v>
      </c>
      <c r="C31" s="388" t="s">
        <v>380</v>
      </c>
      <c r="D31" s="388" t="s">
        <v>381</v>
      </c>
      <c r="E31" s="386"/>
      <c r="F31" s="388" t="s">
        <v>380</v>
      </c>
      <c r="G31" s="369" t="s">
        <v>381</v>
      </c>
      <c r="H31" s="282"/>
      <c r="I31" s="282"/>
      <c r="J31" s="282"/>
    </row>
    <row r="32" spans="1:10">
      <c r="A32" s="45">
        <v>2014</v>
      </c>
      <c r="B32" s="294">
        <v>2.8075333333333332</v>
      </c>
      <c r="C32" s="294">
        <v>1.6258666666666666</v>
      </c>
      <c r="D32" s="294">
        <v>57.910858879680859</v>
      </c>
      <c r="E32" s="391"/>
      <c r="F32" s="294">
        <v>1.1816666666666666</v>
      </c>
      <c r="G32" s="294">
        <v>42.089141120319141</v>
      </c>
      <c r="H32" s="282"/>
      <c r="I32" s="282"/>
      <c r="J32" s="282"/>
    </row>
    <row r="33" spans="1:10">
      <c r="A33" s="45">
        <v>2015</v>
      </c>
      <c r="B33" s="294">
        <v>2.7179587878787879</v>
      </c>
      <c r="C33" s="294">
        <v>1.7082087878787877</v>
      </c>
      <c r="D33" s="294">
        <v>62.84895839837025</v>
      </c>
      <c r="E33" s="391"/>
      <c r="F33" s="294">
        <v>1.0097500000000001</v>
      </c>
      <c r="G33" s="294">
        <v>37.15104160162975</v>
      </c>
      <c r="H33" s="282"/>
      <c r="I33" s="282"/>
      <c r="J33" s="282"/>
    </row>
    <row r="34" spans="1:10">
      <c r="A34" s="45">
        <v>2016</v>
      </c>
      <c r="B34" s="294">
        <v>2.9872399999999999</v>
      </c>
      <c r="C34" s="294">
        <v>1.963823333333333</v>
      </c>
      <c r="D34" s="294">
        <v>65.740393585159978</v>
      </c>
      <c r="E34" s="391"/>
      <c r="F34" s="294">
        <v>1.0234166666666669</v>
      </c>
      <c r="G34" s="294">
        <v>34.259606414840015</v>
      </c>
      <c r="H34" s="282"/>
      <c r="I34" s="282"/>
      <c r="J34" s="282"/>
    </row>
    <row r="35" spans="1:10">
      <c r="A35" s="45">
        <v>2017</v>
      </c>
      <c r="B35" s="294">
        <v>2.8694800000000003</v>
      </c>
      <c r="C35" s="294">
        <v>1.8188966666666668</v>
      </c>
      <c r="D35" s="294">
        <v>63.387675351166997</v>
      </c>
      <c r="E35" s="391"/>
      <c r="F35" s="294">
        <v>1.0505833333333334</v>
      </c>
      <c r="G35" s="294">
        <v>36.612324648833003</v>
      </c>
      <c r="H35" s="282"/>
      <c r="I35" s="282"/>
      <c r="J35" s="282"/>
    </row>
    <row r="36" spans="1:10">
      <c r="A36" s="65">
        <v>2018</v>
      </c>
      <c r="B36" s="298">
        <v>2.875</v>
      </c>
      <c r="C36" s="298">
        <v>1.9733636363636364</v>
      </c>
      <c r="D36" s="298">
        <v>68.638735177865613</v>
      </c>
      <c r="E36" s="390"/>
      <c r="F36" s="298">
        <v>0.90163636363636368</v>
      </c>
      <c r="G36" s="298">
        <v>31.361264822134387</v>
      </c>
      <c r="H36" s="282"/>
      <c r="I36" s="282"/>
      <c r="J36" s="282"/>
    </row>
    <row r="37" spans="1:10">
      <c r="A37" s="287" t="s">
        <v>241</v>
      </c>
      <c r="B37" s="53"/>
      <c r="C37" s="53"/>
      <c r="D37" s="53"/>
      <c r="E37" s="53"/>
      <c r="F37" s="53"/>
      <c r="G37" s="53"/>
    </row>
    <row r="38" spans="1:10">
      <c r="A38" s="287" t="s">
        <v>432</v>
      </c>
      <c r="B38" s="53"/>
      <c r="C38" s="53"/>
      <c r="D38" s="53"/>
      <c r="E38" s="53"/>
      <c r="F38" s="53"/>
      <c r="G38" s="53"/>
    </row>
    <row r="39" spans="1:10">
      <c r="A39" s="69" t="s">
        <v>243</v>
      </c>
      <c r="B39" s="53"/>
      <c r="C39" s="53"/>
      <c r="D39" s="53"/>
      <c r="E39" s="53"/>
      <c r="F39" s="53"/>
      <c r="G39" s="53"/>
    </row>
    <row r="40" spans="1:10">
      <c r="A40" s="69" t="s">
        <v>424</v>
      </c>
      <c r="B40" s="53"/>
      <c r="C40" s="53"/>
      <c r="D40" s="53"/>
      <c r="E40" s="53"/>
      <c r="F40" s="53"/>
      <c r="G40" s="53"/>
    </row>
    <row r="41" spans="1:10">
      <c r="A41" s="69" t="s">
        <v>230</v>
      </c>
      <c r="B41" s="53"/>
      <c r="C41" s="53"/>
      <c r="D41" s="53"/>
      <c r="E41" s="53"/>
      <c r="F41" s="53"/>
      <c r="G41" s="53"/>
    </row>
    <row r="42" spans="1:10">
      <c r="A42" s="266"/>
    </row>
    <row r="45" spans="1:10">
      <c r="A45" s="288"/>
      <c r="B45" s="288"/>
      <c r="C45" s="288"/>
      <c r="D45" s="288"/>
      <c r="E45" s="288"/>
      <c r="F45" s="288"/>
      <c r="G45" s="288"/>
    </row>
    <row r="46" spans="1:10">
      <c r="A46" s="288"/>
      <c r="B46" s="288"/>
      <c r="C46" s="288"/>
      <c r="D46" s="288"/>
      <c r="E46" s="288"/>
      <c r="F46" s="288"/>
      <c r="G46" s="288"/>
    </row>
    <row r="47" spans="1:10">
      <c r="A47" s="288"/>
      <c r="B47" s="288"/>
      <c r="C47" s="288"/>
      <c r="D47" s="288"/>
      <c r="E47" s="288"/>
      <c r="F47" s="288"/>
      <c r="G47" s="288"/>
    </row>
    <row r="48" spans="1:10">
      <c r="A48" s="288"/>
      <c r="B48" s="288"/>
      <c r="C48" s="288"/>
      <c r="D48" s="288"/>
      <c r="E48" s="288"/>
      <c r="F48" s="288"/>
      <c r="G48" s="288"/>
    </row>
    <row r="49" spans="1:7">
      <c r="A49" s="288"/>
      <c r="B49" s="288"/>
      <c r="C49" s="288"/>
      <c r="D49" s="288"/>
      <c r="E49" s="288"/>
      <c r="F49" s="288"/>
      <c r="G49" s="288"/>
    </row>
    <row r="50" spans="1:7">
      <c r="A50" s="288"/>
      <c r="B50" s="288"/>
      <c r="C50" s="288"/>
      <c r="D50" s="288"/>
      <c r="E50" s="288"/>
      <c r="F50" s="288"/>
      <c r="G50" s="288"/>
    </row>
  </sheetData>
  <pageMargins left="0.66700000000000004" right="0.66700000000000004" top="0.66700000000000004" bottom="0.72" header="0" footer="0"/>
  <pageSetup scale="87" firstPageNumber="34" orientation="portrait" useFirstPageNumber="1" r:id="rId1"/>
  <headerFooter alignWithMargins="0"/>
  <ignoredErrors>
    <ignoredError sqref="A8:A27 E31 C31:D31 F31:G31"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48"/>
  <sheetViews>
    <sheetView showGridLines="0" topLeftCell="A4" zoomScaleNormal="100" workbookViewId="0">
      <selection activeCell="M26" sqref="M26"/>
    </sheetView>
  </sheetViews>
  <sheetFormatPr defaultColWidth="9.140625" defaultRowHeight="12"/>
  <cols>
    <col min="1" max="2" width="16.140625" style="44" customWidth="1"/>
    <col min="3" max="4" width="16.7109375" style="44" customWidth="1"/>
    <col min="5" max="5" width="7.7109375" style="44" customWidth="1"/>
    <col min="6" max="7" width="16.7109375" style="44" customWidth="1"/>
    <col min="8" max="16384" width="9.140625" style="44"/>
  </cols>
  <sheetData>
    <row r="1" spans="1:16">
      <c r="A1" s="65" t="s">
        <v>244</v>
      </c>
      <c r="B1" s="71"/>
      <c r="C1" s="71"/>
      <c r="D1" s="71"/>
      <c r="E1" s="71"/>
      <c r="F1" s="71"/>
      <c r="G1" s="71"/>
      <c r="H1" s="46"/>
      <c r="I1" s="304"/>
      <c r="J1" s="304"/>
      <c r="K1" s="304"/>
      <c r="L1" s="50"/>
      <c r="M1" s="50"/>
      <c r="N1" s="50"/>
      <c r="O1" s="50"/>
      <c r="P1" s="50"/>
    </row>
    <row r="2" spans="1:16">
      <c r="A2" s="53"/>
      <c r="B2" s="53"/>
      <c r="C2" s="276" t="s">
        <v>216</v>
      </c>
      <c r="D2" s="276"/>
      <c r="E2" s="53"/>
      <c r="F2" s="276" t="s">
        <v>217</v>
      </c>
      <c r="G2" s="276"/>
      <c r="H2" s="46"/>
      <c r="I2" s="304"/>
      <c r="J2" s="304"/>
      <c r="K2" s="304"/>
      <c r="L2" s="50"/>
      <c r="M2" s="50"/>
      <c r="N2" s="50"/>
      <c r="O2" s="50"/>
      <c r="P2" s="50"/>
    </row>
    <row r="3" spans="1:16">
      <c r="A3" s="53"/>
      <c r="B3" s="53"/>
      <c r="C3" s="53"/>
      <c r="D3" s="47" t="s">
        <v>218</v>
      </c>
      <c r="E3" s="53"/>
      <c r="F3" s="53"/>
      <c r="G3" s="106"/>
      <c r="H3" s="53"/>
      <c r="I3" s="305"/>
      <c r="J3" s="305"/>
      <c r="K3" s="305"/>
    </row>
    <row r="4" spans="1:16">
      <c r="A4" s="71" t="s">
        <v>245</v>
      </c>
      <c r="B4" s="49" t="s">
        <v>246</v>
      </c>
      <c r="C4" s="49" t="s">
        <v>220</v>
      </c>
      <c r="D4" s="49" t="s">
        <v>221</v>
      </c>
      <c r="E4" s="71"/>
      <c r="F4" s="49" t="s">
        <v>220</v>
      </c>
      <c r="G4" s="49" t="s">
        <v>222</v>
      </c>
      <c r="H4" s="53"/>
      <c r="I4" s="305"/>
      <c r="J4" s="305"/>
      <c r="K4" s="305"/>
    </row>
    <row r="5" spans="1:16" ht="3" customHeight="1">
      <c r="A5" s="46"/>
      <c r="B5" s="52"/>
      <c r="C5" s="52"/>
      <c r="D5" s="52"/>
      <c r="E5" s="46"/>
      <c r="F5" s="52"/>
      <c r="G5" s="52"/>
      <c r="H5" s="53"/>
      <c r="I5" s="305"/>
      <c r="J5" s="305"/>
      <c r="K5" s="305"/>
    </row>
    <row r="6" spans="1:16" s="84" customFormat="1">
      <c r="A6" s="80"/>
      <c r="B6" s="54" t="s">
        <v>223</v>
      </c>
      <c r="C6" s="200"/>
      <c r="D6" s="277" t="s">
        <v>224</v>
      </c>
      <c r="E6" s="80"/>
      <c r="F6" s="277" t="s">
        <v>225</v>
      </c>
      <c r="G6" s="277" t="s">
        <v>224</v>
      </c>
      <c r="H6" s="80"/>
      <c r="I6" s="306"/>
      <c r="J6" s="306"/>
      <c r="K6" s="306"/>
    </row>
    <row r="7" spans="1:16" ht="3" customHeight="1">
      <c r="A7" s="53"/>
      <c r="B7" s="55"/>
      <c r="C7" s="300"/>
      <c r="D7" s="47"/>
      <c r="E7" s="53"/>
      <c r="F7" s="47"/>
      <c r="G7" s="47"/>
      <c r="H7" s="53"/>
      <c r="I7" s="305"/>
      <c r="J7" s="305"/>
      <c r="K7" s="305"/>
    </row>
    <row r="8" spans="1:16">
      <c r="A8" s="53" t="s">
        <v>247</v>
      </c>
      <c r="B8" s="292">
        <v>0.54594833333333326</v>
      </c>
      <c r="C8" s="292">
        <v>0.43613722222222212</v>
      </c>
      <c r="D8" s="292">
        <v>79.886171564871304</v>
      </c>
      <c r="E8" s="292"/>
      <c r="F8" s="292">
        <v>0.10981111111111112</v>
      </c>
      <c r="G8" s="292">
        <v>20.113828435128685</v>
      </c>
      <c r="H8" s="53"/>
      <c r="I8" s="305"/>
      <c r="J8" s="305"/>
      <c r="K8" s="305"/>
    </row>
    <row r="9" spans="1:16">
      <c r="A9" s="53" t="s">
        <v>248</v>
      </c>
      <c r="B9" s="292">
        <v>0.8292422222222221</v>
      </c>
      <c r="C9" s="292">
        <v>0.50106444444444431</v>
      </c>
      <c r="D9" s="292">
        <v>60.424376740209929</v>
      </c>
      <c r="E9" s="292"/>
      <c r="F9" s="292">
        <v>0.32817777777777779</v>
      </c>
      <c r="G9" s="292">
        <v>39.575623259790071</v>
      </c>
      <c r="H9" s="53"/>
      <c r="I9" s="305"/>
      <c r="J9" s="305"/>
      <c r="K9" s="305"/>
    </row>
    <row r="10" spans="1:16">
      <c r="A10" s="53" t="s">
        <v>249</v>
      </c>
      <c r="B10" s="292">
        <v>0.5777672727272728</v>
      </c>
      <c r="C10" s="292">
        <v>0.46874505050505055</v>
      </c>
      <c r="D10" s="292">
        <v>81.130426147608276</v>
      </c>
      <c r="E10" s="292"/>
      <c r="F10" s="292">
        <v>0.10902222222222223</v>
      </c>
      <c r="G10" s="292">
        <v>18.869573852391721</v>
      </c>
      <c r="H10" s="53"/>
      <c r="I10" s="305"/>
      <c r="J10" s="305"/>
      <c r="K10" s="305"/>
    </row>
    <row r="11" spans="1:16">
      <c r="A11" s="53" t="s">
        <v>250</v>
      </c>
      <c r="B11" s="292">
        <v>0.56211500000000003</v>
      </c>
      <c r="C11" s="292">
        <v>0.44260388888888891</v>
      </c>
      <c r="D11" s="292">
        <v>78.739028292945193</v>
      </c>
      <c r="E11" s="292"/>
      <c r="F11" s="292">
        <v>0.11951111111111112</v>
      </c>
      <c r="G11" s="292">
        <v>21.260971707054804</v>
      </c>
      <c r="H11" s="53"/>
      <c r="I11" s="305"/>
      <c r="J11" s="305"/>
      <c r="K11" s="305"/>
    </row>
    <row r="12" spans="1:16">
      <c r="A12" s="53" t="s">
        <v>251</v>
      </c>
      <c r="B12" s="292">
        <v>0.55556749999999999</v>
      </c>
      <c r="C12" s="292">
        <v>0.44708972222222221</v>
      </c>
      <c r="D12" s="292">
        <v>80.474419799974299</v>
      </c>
      <c r="E12" s="292"/>
      <c r="F12" s="292">
        <v>0.10847777777777777</v>
      </c>
      <c r="G12" s="292">
        <v>19.525580200025701</v>
      </c>
      <c r="H12" s="53"/>
      <c r="I12" s="305"/>
      <c r="J12" s="305"/>
      <c r="K12" s="305"/>
    </row>
    <row r="13" spans="1:16">
      <c r="A13" s="53" t="s">
        <v>252</v>
      </c>
      <c r="B13" s="292">
        <v>0.59452916666666666</v>
      </c>
      <c r="C13" s="292">
        <v>0.47585138888888889</v>
      </c>
      <c r="D13" s="292">
        <v>80.038359018924879</v>
      </c>
      <c r="E13" s="292"/>
      <c r="F13" s="292">
        <v>0.11867777777777777</v>
      </c>
      <c r="G13" s="292">
        <v>19.961640981075128</v>
      </c>
      <c r="H13" s="53"/>
      <c r="I13" s="305"/>
      <c r="J13" s="305"/>
      <c r="K13" s="305"/>
    </row>
    <row r="14" spans="1:16">
      <c r="A14" s="53" t="s">
        <v>253</v>
      </c>
      <c r="B14" s="292">
        <v>0.6402808333333333</v>
      </c>
      <c r="C14" s="292">
        <v>0.49815861111111109</v>
      </c>
      <c r="D14" s="292">
        <v>77.803142804958412</v>
      </c>
      <c r="E14" s="292"/>
      <c r="F14" s="292">
        <v>0.14212222222222221</v>
      </c>
      <c r="G14" s="292">
        <v>22.196857195041584</v>
      </c>
      <c r="H14" s="53"/>
      <c r="I14" s="305"/>
      <c r="J14" s="305"/>
      <c r="K14" s="305"/>
    </row>
    <row r="15" spans="1:16">
      <c r="A15" s="53" t="s">
        <v>254</v>
      </c>
      <c r="B15" s="292">
        <v>0.59824750000000004</v>
      </c>
      <c r="C15" s="292">
        <v>0.47801416666666674</v>
      </c>
      <c r="D15" s="292">
        <v>79.902409398562753</v>
      </c>
      <c r="E15" s="292"/>
      <c r="F15" s="292">
        <v>0.12023333333333333</v>
      </c>
      <c r="G15" s="292">
        <v>20.097590601437251</v>
      </c>
      <c r="H15" s="53"/>
      <c r="I15" s="305"/>
      <c r="J15" s="305"/>
      <c r="K15" s="305"/>
    </row>
    <row r="16" spans="1:16">
      <c r="A16" s="53" t="s">
        <v>255</v>
      </c>
      <c r="B16" s="292">
        <v>0.59202333333333323</v>
      </c>
      <c r="C16" s="292">
        <v>0.48475666666666656</v>
      </c>
      <c r="D16" s="292">
        <v>81.881344766816625</v>
      </c>
      <c r="E16" s="292"/>
      <c r="F16" s="292">
        <v>0.10726666666666666</v>
      </c>
      <c r="G16" s="292">
        <v>18.118655233183379</v>
      </c>
      <c r="H16" s="53"/>
      <c r="I16" s="305"/>
      <c r="J16" s="305"/>
      <c r="K16" s="305"/>
    </row>
    <row r="17" spans="1:18">
      <c r="A17" s="46" t="s">
        <v>256</v>
      </c>
      <c r="B17" s="292">
        <v>0.84478181818181819</v>
      </c>
      <c r="C17" s="292">
        <v>0.60524848484848492</v>
      </c>
      <c r="D17" s="292">
        <v>71.645538744090288</v>
      </c>
      <c r="E17" s="292"/>
      <c r="F17" s="292">
        <v>0.23953333333333332</v>
      </c>
      <c r="G17" s="292">
        <v>28.354461255909719</v>
      </c>
      <c r="H17" s="53"/>
      <c r="I17" s="305"/>
      <c r="J17" s="305"/>
      <c r="K17" s="305"/>
    </row>
    <row r="18" spans="1:18">
      <c r="A18" s="45" t="s">
        <v>257</v>
      </c>
      <c r="B18" s="292">
        <v>0.63534999999999997</v>
      </c>
      <c r="C18" s="292">
        <v>0.55906111111111101</v>
      </c>
      <c r="D18" s="292">
        <v>87.992619990731257</v>
      </c>
      <c r="E18" s="292"/>
      <c r="F18" s="292">
        <v>7.6288888888888906E-2</v>
      </c>
      <c r="G18" s="292">
        <v>12.007380009268735</v>
      </c>
      <c r="H18" s="53"/>
      <c r="I18" s="305"/>
      <c r="J18" s="305"/>
      <c r="K18" s="305"/>
    </row>
    <row r="19" spans="1:18">
      <c r="A19" s="45" t="s">
        <v>258</v>
      </c>
      <c r="B19" s="293">
        <v>0.60172333333333339</v>
      </c>
      <c r="C19" s="293">
        <v>0.48927888888888893</v>
      </c>
      <c r="D19" s="293">
        <v>81.31293266931462</v>
      </c>
      <c r="E19" s="293"/>
      <c r="F19" s="293">
        <v>0.11244444444444447</v>
      </c>
      <c r="G19" s="293">
        <v>18.687067330685387</v>
      </c>
      <c r="H19" s="53"/>
      <c r="I19" s="305"/>
      <c r="J19" s="305"/>
      <c r="K19" s="305"/>
    </row>
    <row r="20" spans="1:18">
      <c r="A20" s="45" t="s">
        <v>259</v>
      </c>
      <c r="B20" s="293">
        <v>0.66210583333333317</v>
      </c>
      <c r="C20" s="293">
        <v>0.53415027777777757</v>
      </c>
      <c r="D20" s="293">
        <v>80.674455787321676</v>
      </c>
      <c r="E20" s="293"/>
      <c r="F20" s="293">
        <v>0.12795555555555554</v>
      </c>
      <c r="G20" s="293">
        <v>19.325544212678324</v>
      </c>
      <c r="H20" s="53"/>
      <c r="I20" s="305"/>
      <c r="J20" s="305"/>
      <c r="K20" s="305"/>
    </row>
    <row r="21" spans="1:18">
      <c r="A21" s="45" t="s">
        <v>260</v>
      </c>
      <c r="B21" s="293">
        <v>0.68208636363636355</v>
      </c>
      <c r="C21" s="293">
        <v>0.59254191919191912</v>
      </c>
      <c r="D21" s="293">
        <v>86.871978503270199</v>
      </c>
      <c r="E21" s="293"/>
      <c r="F21" s="293">
        <v>8.954444444444444E-2</v>
      </c>
      <c r="G21" s="293">
        <v>13.128021496729806</v>
      </c>
      <c r="H21" s="53"/>
      <c r="I21" s="305"/>
      <c r="J21" s="305"/>
      <c r="K21" s="305"/>
    </row>
    <row r="22" spans="1:18">
      <c r="A22" s="45" t="s">
        <v>261</v>
      </c>
      <c r="B22" s="293">
        <v>0.77007222222222205</v>
      </c>
      <c r="C22" s="293">
        <v>0.61707222222222202</v>
      </c>
      <c r="D22" s="293">
        <v>80.131733675773546</v>
      </c>
      <c r="E22" s="293"/>
      <c r="F22" s="293">
        <v>0.153</v>
      </c>
      <c r="G22" s="293">
        <v>19.868266324226447</v>
      </c>
      <c r="H22" s="53"/>
      <c r="I22" s="305"/>
      <c r="J22" s="305"/>
      <c r="K22" s="305"/>
    </row>
    <row r="23" spans="1:18">
      <c r="A23" s="45" t="s">
        <v>262</v>
      </c>
      <c r="B23" s="293">
        <v>0.94170833333333326</v>
      </c>
      <c r="C23" s="293">
        <v>0.78870833333333323</v>
      </c>
      <c r="D23" s="293">
        <v>83.752931286226271</v>
      </c>
      <c r="E23" s="293"/>
      <c r="F23" s="293">
        <v>0.153</v>
      </c>
      <c r="G23" s="293">
        <v>16.247068713773729</v>
      </c>
      <c r="H23" s="53"/>
      <c r="I23" s="305"/>
      <c r="J23" s="305"/>
      <c r="K23" s="305"/>
    </row>
    <row r="24" spans="1:18">
      <c r="A24" s="45" t="s">
        <v>263</v>
      </c>
      <c r="B24" s="293">
        <v>1.04566</v>
      </c>
      <c r="C24" s="293">
        <v>0.9219155555555556</v>
      </c>
      <c r="D24" s="293">
        <v>88.16590053703456</v>
      </c>
      <c r="E24" s="293"/>
      <c r="F24" s="293">
        <v>0.12374444444444442</v>
      </c>
      <c r="G24" s="293">
        <v>11.83409946296544</v>
      </c>
      <c r="H24" s="281"/>
      <c r="I24" s="305"/>
      <c r="J24" s="305"/>
      <c r="K24" s="305"/>
    </row>
    <row r="25" spans="1:18" ht="12.75">
      <c r="A25" s="45" t="s">
        <v>264</v>
      </c>
      <c r="B25" s="293">
        <v>1.2612645454545455</v>
      </c>
      <c r="C25" s="293">
        <v>1.1026201010101011</v>
      </c>
      <c r="D25" s="293">
        <v>87.421794657101799</v>
      </c>
      <c r="E25" s="293"/>
      <c r="F25" s="293">
        <v>0.15864444444444448</v>
      </c>
      <c r="G25" s="293">
        <v>12.57820534289821</v>
      </c>
      <c r="H25" s="281"/>
      <c r="I25" s="305"/>
      <c r="J25" s="70"/>
      <c r="K25" s="307"/>
      <c r="M25" s="70"/>
      <c r="N25" s="70"/>
      <c r="O25" s="60"/>
      <c r="P25" s="308"/>
      <c r="Q25" s="308"/>
      <c r="R25" s="60"/>
    </row>
    <row r="26" spans="1:18" ht="12.75">
      <c r="A26" s="45" t="s">
        <v>265</v>
      </c>
      <c r="B26" s="293">
        <v>1.0809841666666669</v>
      </c>
      <c r="C26" s="293">
        <v>0.95808416666666685</v>
      </c>
      <c r="D26" s="293">
        <v>88.630730792387496</v>
      </c>
      <c r="E26" s="293"/>
      <c r="F26" s="293">
        <v>0.12290000000000001</v>
      </c>
      <c r="G26" s="293">
        <v>11.369269207612506</v>
      </c>
      <c r="H26" s="281"/>
      <c r="I26" s="305"/>
      <c r="J26" s="70"/>
      <c r="K26" s="307"/>
      <c r="M26" s="70"/>
      <c r="N26" s="70"/>
      <c r="O26" s="60"/>
      <c r="P26" s="308"/>
      <c r="Q26" s="308"/>
      <c r="R26" s="60"/>
    </row>
    <row r="27" spans="1:18">
      <c r="A27" s="51" t="s">
        <v>266</v>
      </c>
      <c r="B27" s="293">
        <v>1.0528541666666669</v>
      </c>
      <c r="C27" s="293">
        <v>0.90741416666666685</v>
      </c>
      <c r="D27" s="293">
        <v>86.186121059817552</v>
      </c>
      <c r="E27" s="293"/>
      <c r="F27" s="293">
        <v>0.14544000000000001</v>
      </c>
      <c r="G27" s="293">
        <v>13.813878940182439</v>
      </c>
      <c r="H27" s="281"/>
      <c r="I27" s="309"/>
      <c r="J27" s="309"/>
      <c r="K27" s="309"/>
    </row>
    <row r="28" spans="1:18">
      <c r="A28" s="51" t="s">
        <v>267</v>
      </c>
      <c r="B28" s="293">
        <v>1.0156708333333333</v>
      </c>
      <c r="C28" s="293">
        <v>0.86263749999999995</v>
      </c>
      <c r="D28" s="293">
        <v>84.932782520583686</v>
      </c>
      <c r="E28" s="293"/>
      <c r="F28" s="293">
        <v>0.15303333333333333</v>
      </c>
      <c r="G28" s="293">
        <v>15.067217479416314</v>
      </c>
      <c r="H28" s="281"/>
      <c r="I28" s="309"/>
      <c r="J28" s="309"/>
      <c r="K28" s="309"/>
    </row>
    <row r="29" spans="1:18">
      <c r="A29" s="51" t="s">
        <v>268</v>
      </c>
      <c r="B29" s="293">
        <v>1.0706374999999999</v>
      </c>
      <c r="C29" s="293">
        <v>0.93364791666666658</v>
      </c>
      <c r="D29" s="293">
        <v>87.20485847606372</v>
      </c>
      <c r="E29" s="293"/>
      <c r="F29" s="293">
        <v>0.13698958333333333</v>
      </c>
      <c r="G29" s="293">
        <v>12.795141523936286</v>
      </c>
      <c r="H29" s="281"/>
      <c r="I29" s="309"/>
      <c r="J29" s="309"/>
      <c r="K29" s="309"/>
    </row>
    <row r="30" spans="1:18">
      <c r="A30" s="51" t="s">
        <v>269</v>
      </c>
      <c r="B30" s="293">
        <v>1.0206016666666666</v>
      </c>
      <c r="C30" s="293">
        <v>0.86515374999999994</v>
      </c>
      <c r="D30" s="293">
        <v>84.768992473393951</v>
      </c>
      <c r="E30" s="293"/>
      <c r="F30" s="293">
        <v>0.15544791666666666</v>
      </c>
      <c r="G30" s="293">
        <v>15.231007526606039</v>
      </c>
      <c r="H30" s="281"/>
      <c r="I30" s="309"/>
      <c r="J30" s="309"/>
      <c r="K30" s="309"/>
    </row>
    <row r="31" spans="1:18">
      <c r="A31" s="51" t="s">
        <v>270</v>
      </c>
      <c r="B31" s="293">
        <v>1.1006266666666666</v>
      </c>
      <c r="C31" s="293">
        <v>0.94187666666666658</v>
      </c>
      <c r="D31" s="293">
        <v>85.576398900020592</v>
      </c>
      <c r="E31" s="293"/>
      <c r="F31" s="293">
        <v>0.15875000000000003</v>
      </c>
      <c r="G31" s="293">
        <v>14.423601099979408</v>
      </c>
      <c r="H31" s="281"/>
      <c r="I31" s="309"/>
      <c r="J31" s="309"/>
      <c r="K31" s="309"/>
    </row>
    <row r="32" spans="1:18">
      <c r="A32" s="51" t="s">
        <v>271</v>
      </c>
      <c r="B32" s="293">
        <v>1.2577666666666669</v>
      </c>
      <c r="C32" s="293">
        <v>1.0149125000000003</v>
      </c>
      <c r="D32" s="293">
        <v>80.691635968515627</v>
      </c>
      <c r="E32" s="293"/>
      <c r="F32" s="293">
        <v>0.24285416666666665</v>
      </c>
      <c r="G32" s="293">
        <v>19.30836403148437</v>
      </c>
      <c r="H32" s="281"/>
      <c r="I32" s="309"/>
      <c r="J32" s="309"/>
      <c r="K32" s="309"/>
    </row>
    <row r="33" spans="1:256">
      <c r="A33" s="51" t="s">
        <v>272</v>
      </c>
      <c r="B33" s="293">
        <v>1.2685175</v>
      </c>
      <c r="C33" s="293">
        <v>1.05233</v>
      </c>
      <c r="D33" s="293">
        <v>82.957468068040058</v>
      </c>
      <c r="E33" s="293"/>
      <c r="F33" s="293">
        <v>0.21618749999999998</v>
      </c>
      <c r="G33" s="293">
        <v>17.042531931959946</v>
      </c>
      <c r="H33" s="447"/>
      <c r="I33" s="309"/>
      <c r="J33" s="309"/>
      <c r="K33" s="309"/>
    </row>
    <row r="34" spans="1:256">
      <c r="A34" s="51" t="s">
        <v>417</v>
      </c>
      <c r="B34" s="293">
        <v>1.2206641666666664</v>
      </c>
      <c r="C34" s="293">
        <v>1.0312370833333331</v>
      </c>
      <c r="D34" s="293">
        <v>84.481638069985124</v>
      </c>
      <c r="E34" s="293"/>
      <c r="F34" s="293">
        <v>0.18942708333333336</v>
      </c>
      <c r="G34" s="293">
        <v>15.518361930014882</v>
      </c>
      <c r="H34" s="281"/>
      <c r="I34" s="309"/>
      <c r="J34" s="309"/>
      <c r="K34" s="309"/>
    </row>
    <row r="35" spans="1:256">
      <c r="A35" s="51" t="s">
        <v>426</v>
      </c>
      <c r="B35" s="293">
        <v>1.2687599999999999</v>
      </c>
      <c r="C35" s="293">
        <v>1.00101</v>
      </c>
      <c r="D35" s="293">
        <v>78.896718055424202</v>
      </c>
      <c r="E35" s="293"/>
      <c r="F35" s="293">
        <v>0.26775000000000004</v>
      </c>
      <c r="G35" s="293">
        <v>21.103281944575812</v>
      </c>
      <c r="H35" s="281"/>
      <c r="I35" s="309"/>
      <c r="J35" s="309"/>
      <c r="K35" s="309"/>
    </row>
    <row r="36" spans="1:256">
      <c r="A36" s="51" t="s">
        <v>452</v>
      </c>
      <c r="B36" s="293">
        <v>1.3684275000000001</v>
      </c>
      <c r="C36" s="293">
        <v>1.0414587500000001</v>
      </c>
      <c r="D36" s="293">
        <v>76.106242384050304</v>
      </c>
      <c r="E36" s="293"/>
      <c r="F36" s="293">
        <v>0.32696874999999997</v>
      </c>
      <c r="G36" s="293">
        <v>23.893757615949688</v>
      </c>
      <c r="H36" s="281"/>
      <c r="I36" s="309"/>
      <c r="J36" s="309"/>
      <c r="K36" s="309"/>
    </row>
    <row r="37" spans="1:256">
      <c r="A37" s="48" t="s">
        <v>465</v>
      </c>
      <c r="B37" s="296">
        <v>1.3371719444444443</v>
      </c>
      <c r="C37" s="296">
        <v>1.1286850499883407</v>
      </c>
      <c r="D37" s="296">
        <v>84.408370567277814</v>
      </c>
      <c r="E37" s="296"/>
      <c r="F37" s="296">
        <v>0.20848689445610352</v>
      </c>
      <c r="G37" s="296">
        <v>15.591629432722184</v>
      </c>
      <c r="H37" s="281"/>
      <c r="I37" s="309"/>
      <c r="J37" s="309"/>
      <c r="K37" s="309"/>
    </row>
    <row r="38" spans="1:256">
      <c r="A38" s="310" t="s">
        <v>273</v>
      </c>
      <c r="B38" s="284"/>
      <c r="C38" s="284"/>
      <c r="D38" s="284"/>
      <c r="E38" s="284"/>
      <c r="F38" s="284"/>
      <c r="G38" s="284"/>
      <c r="H38" s="53"/>
      <c r="I38" s="305"/>
      <c r="J38" s="305"/>
      <c r="K38" s="305"/>
    </row>
    <row r="39" spans="1:256">
      <c r="A39" s="311" t="s">
        <v>274</v>
      </c>
      <c r="B39" s="284"/>
      <c r="C39" s="284"/>
      <c r="D39" s="284"/>
      <c r="E39" s="284"/>
      <c r="F39" s="284"/>
      <c r="G39" s="284"/>
      <c r="H39" s="53"/>
      <c r="I39" s="305"/>
      <c r="J39" s="305"/>
      <c r="K39" s="305"/>
    </row>
    <row r="40" spans="1:256">
      <c r="A40" s="311" t="s">
        <v>275</v>
      </c>
      <c r="B40" s="284"/>
      <c r="C40" s="284"/>
      <c r="D40" s="284"/>
      <c r="E40" s="284"/>
      <c r="F40" s="284"/>
      <c r="G40" s="284"/>
      <c r="H40" s="53"/>
      <c r="I40" s="305"/>
      <c r="J40" s="305"/>
      <c r="K40" s="305"/>
    </row>
    <row r="41" spans="1:256">
      <c r="A41" s="69" t="s">
        <v>230</v>
      </c>
      <c r="B41" s="53"/>
      <c r="C41" s="53"/>
      <c r="D41" s="53"/>
      <c r="E41" s="53"/>
      <c r="F41" s="53"/>
      <c r="G41" s="53"/>
      <c r="H41" s="53"/>
      <c r="I41" s="305"/>
      <c r="J41" s="305"/>
      <c r="K41" s="305"/>
    </row>
    <row r="42" spans="1:256">
      <c r="A42" s="266"/>
      <c r="B42" s="69"/>
      <c r="C42" s="69"/>
      <c r="D42" s="69"/>
      <c r="E42" s="69"/>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69"/>
      <c r="AI42" s="69"/>
      <c r="AJ42" s="69"/>
      <c r="AK42" s="69"/>
      <c r="AL42" s="69"/>
      <c r="AM42" s="69"/>
      <c r="AN42" s="69"/>
      <c r="AO42" s="69"/>
      <c r="AP42" s="69"/>
      <c r="AQ42" s="69"/>
      <c r="AR42" s="69"/>
      <c r="AS42" s="69"/>
      <c r="AT42" s="69"/>
      <c r="AU42" s="69"/>
      <c r="AV42" s="69"/>
      <c r="AW42" s="69"/>
      <c r="AX42" s="69"/>
      <c r="AY42" s="69"/>
      <c r="AZ42" s="69"/>
      <c r="BA42" s="69"/>
      <c r="BB42" s="69"/>
      <c r="BC42" s="69"/>
      <c r="BD42" s="69"/>
      <c r="BE42" s="69"/>
      <c r="BF42" s="69"/>
      <c r="BG42" s="69"/>
      <c r="BH42" s="69"/>
      <c r="BI42" s="69"/>
      <c r="BJ42" s="69"/>
      <c r="BK42" s="69"/>
      <c r="BL42" s="69"/>
      <c r="BM42" s="69"/>
      <c r="BN42" s="69"/>
      <c r="BO42" s="69"/>
      <c r="BP42" s="69"/>
      <c r="BQ42" s="69"/>
      <c r="BR42" s="69"/>
      <c r="BS42" s="69"/>
      <c r="BT42" s="69"/>
      <c r="BU42" s="69"/>
      <c r="BV42" s="69"/>
      <c r="BW42" s="69"/>
      <c r="BX42" s="69"/>
      <c r="BY42" s="69"/>
      <c r="BZ42" s="69"/>
      <c r="CA42" s="69"/>
      <c r="CB42" s="69"/>
      <c r="CC42" s="69"/>
      <c r="CD42" s="69"/>
      <c r="CE42" s="69"/>
      <c r="CF42" s="69"/>
      <c r="CG42" s="69"/>
      <c r="CH42" s="69"/>
      <c r="CI42" s="69"/>
      <c r="CJ42" s="69"/>
      <c r="CK42" s="69"/>
      <c r="CL42" s="69"/>
      <c r="CM42" s="69"/>
      <c r="CN42" s="69"/>
      <c r="CO42" s="69"/>
      <c r="CP42" s="69"/>
      <c r="CQ42" s="69"/>
      <c r="CR42" s="69"/>
      <c r="CS42" s="69"/>
      <c r="CT42" s="69"/>
      <c r="CU42" s="69"/>
      <c r="CV42" s="69"/>
      <c r="CW42" s="69"/>
      <c r="CX42" s="69"/>
      <c r="CY42" s="69"/>
      <c r="CZ42" s="69"/>
      <c r="DA42" s="69"/>
      <c r="DB42" s="69"/>
      <c r="DC42" s="69"/>
      <c r="DD42" s="69"/>
      <c r="DE42" s="69"/>
      <c r="DF42" s="69"/>
      <c r="DG42" s="69"/>
      <c r="DH42" s="69"/>
      <c r="DI42" s="69"/>
      <c r="DJ42" s="69"/>
      <c r="DK42" s="69"/>
      <c r="DL42" s="69"/>
      <c r="DM42" s="69"/>
      <c r="DN42" s="69"/>
      <c r="DO42" s="69"/>
      <c r="DP42" s="69"/>
      <c r="DQ42" s="69"/>
      <c r="DR42" s="69"/>
      <c r="DS42" s="69"/>
      <c r="DT42" s="69"/>
      <c r="DU42" s="69"/>
      <c r="DV42" s="69"/>
      <c r="DW42" s="69"/>
      <c r="DX42" s="69"/>
      <c r="DY42" s="69"/>
      <c r="DZ42" s="69"/>
      <c r="EA42" s="69"/>
      <c r="EB42" s="69"/>
      <c r="EC42" s="69"/>
      <c r="ED42" s="69"/>
      <c r="EE42" s="69"/>
      <c r="EF42" s="69"/>
      <c r="EG42" s="69"/>
      <c r="EH42" s="69"/>
      <c r="EI42" s="69"/>
      <c r="EJ42" s="69"/>
      <c r="EK42" s="69"/>
      <c r="EL42" s="69"/>
      <c r="EM42" s="69"/>
      <c r="EN42" s="69"/>
      <c r="EO42" s="69"/>
      <c r="EP42" s="69"/>
      <c r="EQ42" s="69"/>
      <c r="ER42" s="69"/>
      <c r="ES42" s="69"/>
      <c r="ET42" s="69"/>
      <c r="EU42" s="69"/>
      <c r="EV42" s="69"/>
      <c r="EW42" s="69"/>
      <c r="EX42" s="69"/>
      <c r="EY42" s="69"/>
      <c r="EZ42" s="69"/>
      <c r="FA42" s="69"/>
      <c r="FB42" s="69"/>
      <c r="FC42" s="69"/>
      <c r="FD42" s="69"/>
      <c r="FE42" s="69"/>
      <c r="FF42" s="69"/>
      <c r="FG42" s="69"/>
      <c r="FH42" s="69"/>
      <c r="FI42" s="69"/>
      <c r="FJ42" s="69"/>
      <c r="FK42" s="69"/>
      <c r="FL42" s="69"/>
      <c r="FM42" s="69"/>
      <c r="FN42" s="69"/>
      <c r="FO42" s="69"/>
      <c r="FP42" s="69"/>
      <c r="FQ42" s="69"/>
      <c r="FR42" s="69"/>
      <c r="FS42" s="69"/>
      <c r="FT42" s="69"/>
      <c r="FU42" s="69"/>
      <c r="FV42" s="69"/>
      <c r="FW42" s="69"/>
      <c r="FX42" s="69"/>
      <c r="FY42" s="69"/>
      <c r="FZ42" s="69"/>
      <c r="GA42" s="69"/>
      <c r="GB42" s="69"/>
      <c r="GC42" s="69"/>
      <c r="GD42" s="69"/>
      <c r="GE42" s="69"/>
      <c r="GF42" s="69"/>
      <c r="GG42" s="69"/>
      <c r="GH42" s="69"/>
      <c r="GI42" s="69"/>
      <c r="GJ42" s="69"/>
      <c r="GK42" s="69"/>
      <c r="GL42" s="69"/>
      <c r="GM42" s="69"/>
      <c r="GN42" s="69"/>
      <c r="GO42" s="69"/>
      <c r="GP42" s="69"/>
      <c r="GQ42" s="69"/>
      <c r="GR42" s="69"/>
      <c r="GS42" s="69"/>
      <c r="GT42" s="69"/>
      <c r="GU42" s="69"/>
      <c r="GV42" s="69"/>
      <c r="GW42" s="69"/>
      <c r="GX42" s="69"/>
      <c r="GY42" s="69"/>
      <c r="GZ42" s="69"/>
      <c r="HA42" s="69"/>
      <c r="HB42" s="69"/>
      <c r="HC42" s="69"/>
      <c r="HD42" s="69"/>
      <c r="HE42" s="69"/>
      <c r="HF42" s="69"/>
      <c r="HG42" s="69"/>
      <c r="HH42" s="69"/>
      <c r="HI42" s="69"/>
      <c r="HJ42" s="69"/>
      <c r="HK42" s="69"/>
      <c r="HL42" s="69"/>
      <c r="HM42" s="69"/>
      <c r="HN42" s="69"/>
      <c r="HO42" s="69"/>
      <c r="HP42" s="69"/>
      <c r="HQ42" s="69"/>
      <c r="HR42" s="69"/>
      <c r="HS42" s="69"/>
      <c r="HT42" s="69"/>
      <c r="HU42" s="69"/>
      <c r="HV42" s="69"/>
      <c r="HW42" s="69"/>
      <c r="HX42" s="69"/>
      <c r="HY42" s="69"/>
      <c r="HZ42" s="69"/>
      <c r="IA42" s="69"/>
      <c r="IB42" s="69"/>
      <c r="IC42" s="69"/>
      <c r="ID42" s="69"/>
      <c r="IE42" s="69"/>
      <c r="IF42" s="69"/>
      <c r="IG42" s="69"/>
      <c r="IH42" s="69"/>
      <c r="II42" s="69"/>
      <c r="IJ42" s="69"/>
      <c r="IK42" s="69"/>
      <c r="IL42" s="69"/>
      <c r="IM42" s="69"/>
      <c r="IN42" s="69"/>
      <c r="IO42" s="69"/>
      <c r="IP42" s="69"/>
      <c r="IQ42" s="69"/>
      <c r="IR42" s="69"/>
      <c r="IS42" s="69"/>
      <c r="IT42" s="69"/>
      <c r="IU42" s="69"/>
      <c r="IV42" s="69"/>
    </row>
    <row r="43" spans="1:256">
      <c r="B43" s="307"/>
      <c r="C43" s="307"/>
      <c r="D43" s="307"/>
      <c r="E43" s="307"/>
      <c r="F43" s="307"/>
      <c r="G43" s="307"/>
    </row>
    <row r="44" spans="1:256">
      <c r="B44" s="307"/>
      <c r="C44" s="307"/>
      <c r="D44" s="307"/>
      <c r="E44" s="307"/>
      <c r="F44" s="307"/>
      <c r="G44" s="307"/>
    </row>
    <row r="45" spans="1:256">
      <c r="B45" s="307"/>
      <c r="C45" s="307"/>
      <c r="D45" s="307"/>
      <c r="E45" s="307"/>
      <c r="F45" s="307"/>
      <c r="G45" s="307"/>
    </row>
    <row r="46" spans="1:256">
      <c r="B46" s="307"/>
      <c r="C46" s="307"/>
      <c r="D46" s="307"/>
      <c r="E46" s="307"/>
      <c r="F46" s="307"/>
      <c r="G46" s="307"/>
    </row>
    <row r="48" spans="1:256">
      <c r="D48" s="293"/>
      <c r="E48" s="293"/>
      <c r="F48" s="293"/>
      <c r="G48" s="293"/>
      <c r="H48" s="293"/>
      <c r="I48" s="293"/>
    </row>
  </sheetData>
  <pageMargins left="0.66700000000000004" right="0.66700000000000004" top="0.66700000000000004" bottom="0.72" header="0" footer="0"/>
  <pageSetup scale="85" firstPageNumber="35" orientation="portrait" useFirstPageNumber="1"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AL219"/>
  <sheetViews>
    <sheetView showGridLines="0" zoomScale="120" zoomScaleNormal="120" workbookViewId="0">
      <selection activeCell="M42" sqref="M42"/>
    </sheetView>
  </sheetViews>
  <sheetFormatPr defaultColWidth="13.42578125" defaultRowHeight="9"/>
  <cols>
    <col min="1" max="1" width="17.5703125" style="17" customWidth="1"/>
    <col min="2" max="11" width="8" style="17" customWidth="1"/>
    <col min="12" max="24" width="8" style="4" customWidth="1"/>
    <col min="25" max="25" width="8.42578125" style="4" customWidth="1"/>
    <col min="26" max="26" width="8" style="4" customWidth="1"/>
    <col min="27" max="29" width="8.140625" style="4" customWidth="1"/>
    <col min="30" max="38" width="13.42578125" style="4"/>
    <col min="39" max="16384" width="13.42578125" style="17"/>
  </cols>
  <sheetData>
    <row r="1" spans="1:29" ht="10.35" customHeight="1">
      <c r="A1" s="1" t="s">
        <v>466</v>
      </c>
      <c r="B1" s="1"/>
      <c r="C1" s="1"/>
      <c r="D1" s="1"/>
      <c r="E1" s="1"/>
      <c r="F1" s="1"/>
      <c r="G1" s="1"/>
      <c r="H1" s="1"/>
      <c r="I1" s="1"/>
      <c r="J1" s="1"/>
      <c r="K1" s="1"/>
      <c r="L1" s="2"/>
      <c r="M1" s="2"/>
      <c r="N1" s="2"/>
      <c r="O1" s="2"/>
      <c r="P1" s="2"/>
      <c r="Q1" s="2"/>
      <c r="R1" s="2"/>
      <c r="S1" s="2"/>
      <c r="T1" s="2"/>
      <c r="U1" s="2"/>
      <c r="V1" s="2"/>
      <c r="W1" s="2"/>
      <c r="X1" s="2"/>
      <c r="Y1" s="3"/>
      <c r="Z1" s="3"/>
      <c r="AA1" s="3"/>
      <c r="AB1" s="3"/>
      <c r="AC1" s="3"/>
    </row>
    <row r="2" spans="1:29" ht="10.35" customHeight="1">
      <c r="A2" s="5" t="s">
        <v>0</v>
      </c>
      <c r="B2" s="6">
        <v>1976</v>
      </c>
      <c r="C2" s="6" t="s">
        <v>1</v>
      </c>
      <c r="D2" s="6" t="s">
        <v>2</v>
      </c>
      <c r="E2" s="6" t="s">
        <v>3</v>
      </c>
      <c r="F2" s="6" t="s">
        <v>4</v>
      </c>
      <c r="G2" s="6" t="s">
        <v>5</v>
      </c>
      <c r="H2" s="6" t="s">
        <v>6</v>
      </c>
      <c r="I2" s="6" t="s">
        <v>7</v>
      </c>
      <c r="J2" s="6" t="s">
        <v>8</v>
      </c>
      <c r="K2" s="6" t="s">
        <v>9</v>
      </c>
      <c r="L2" s="7"/>
      <c r="M2" s="7"/>
      <c r="N2" s="7"/>
      <c r="O2" s="7"/>
      <c r="P2" s="7"/>
      <c r="Q2" s="7"/>
      <c r="R2" s="7"/>
      <c r="S2" s="7"/>
      <c r="T2" s="7"/>
      <c r="U2" s="7"/>
      <c r="V2" s="7"/>
      <c r="W2" s="7"/>
      <c r="X2" s="7"/>
      <c r="Y2" s="7"/>
      <c r="Z2" s="7"/>
      <c r="AA2" s="7"/>
      <c r="AB2" s="7"/>
      <c r="AC2" s="7"/>
    </row>
    <row r="3" spans="1:29" ht="10.35" customHeight="1">
      <c r="A3" s="1"/>
      <c r="B3" s="8"/>
      <c r="C3" s="9"/>
      <c r="D3" s="9"/>
      <c r="E3" s="9"/>
      <c r="F3" s="374" t="s">
        <v>411</v>
      </c>
      <c r="G3" s="9"/>
      <c r="H3" s="9"/>
      <c r="I3" s="9"/>
      <c r="J3" s="10"/>
      <c r="K3" s="9"/>
      <c r="L3" s="2"/>
      <c r="M3" s="2"/>
      <c r="N3" s="2"/>
      <c r="O3" s="2"/>
      <c r="P3" s="2"/>
      <c r="Q3" s="2"/>
      <c r="R3" s="2"/>
      <c r="S3" s="2"/>
      <c r="T3" s="2"/>
      <c r="U3" s="2"/>
      <c r="V3" s="2"/>
      <c r="W3" s="2"/>
      <c r="X3" s="2"/>
      <c r="Y3" s="3"/>
      <c r="Z3" s="3"/>
      <c r="AA3" s="3"/>
      <c r="AB3" s="3"/>
      <c r="AC3" s="3"/>
    </row>
    <row r="4" spans="1:29" ht="1.9" customHeight="1">
      <c r="A4" s="1"/>
      <c r="B4" s="1"/>
      <c r="C4" s="1"/>
      <c r="D4" s="1"/>
      <c r="E4" s="1"/>
      <c r="F4" s="1"/>
      <c r="G4" s="1"/>
      <c r="H4" s="1"/>
      <c r="I4" s="1"/>
      <c r="J4" s="1"/>
      <c r="K4" s="1"/>
      <c r="L4" s="2"/>
      <c r="M4" s="2"/>
      <c r="N4" s="2"/>
      <c r="O4" s="2"/>
      <c r="P4" s="2"/>
      <c r="Q4" s="2"/>
      <c r="R4" s="2"/>
      <c r="S4" s="2"/>
      <c r="T4" s="2"/>
      <c r="U4" s="2"/>
      <c r="V4" s="2"/>
      <c r="W4" s="2"/>
      <c r="X4" s="2"/>
      <c r="Y4" s="3"/>
      <c r="Z4" s="3"/>
      <c r="AA4" s="3"/>
      <c r="AB4" s="3"/>
      <c r="AC4" s="3"/>
    </row>
    <row r="5" spans="1:29" ht="9" customHeight="1">
      <c r="A5" s="1" t="s">
        <v>10</v>
      </c>
      <c r="B5" s="11">
        <v>29.857280121879079</v>
      </c>
      <c r="C5" s="11">
        <v>31.497776315749867</v>
      </c>
      <c r="D5" s="11">
        <v>35.883690548991581</v>
      </c>
      <c r="E5" s="11">
        <v>36.098739871981131</v>
      </c>
      <c r="F5" s="11">
        <v>39.799759273657529</v>
      </c>
      <c r="G5" s="11">
        <v>34.593049684846228</v>
      </c>
      <c r="H5" s="11">
        <v>39.671380872070927</v>
      </c>
      <c r="I5" s="11">
        <v>41.586979216673384</v>
      </c>
      <c r="J5" s="11">
        <v>44.334537478733985</v>
      </c>
      <c r="K5" s="11">
        <v>43.183762912531954</v>
      </c>
      <c r="L5" s="12"/>
      <c r="M5" s="12"/>
      <c r="N5" s="12"/>
      <c r="O5" s="12"/>
      <c r="P5" s="12"/>
      <c r="Q5" s="12"/>
      <c r="R5" s="12"/>
      <c r="S5" s="12"/>
      <c r="T5" s="12"/>
      <c r="U5" s="12"/>
      <c r="V5" s="12"/>
      <c r="W5" s="12"/>
      <c r="X5" s="12"/>
      <c r="Y5" s="12"/>
      <c r="Z5" s="12"/>
      <c r="AA5" s="12"/>
      <c r="AB5" s="12"/>
      <c r="AC5" s="12"/>
    </row>
    <row r="6" spans="1:29" ht="9" customHeight="1">
      <c r="A6" s="1" t="s">
        <v>11</v>
      </c>
      <c r="B6" s="11">
        <v>17.081015973245613</v>
      </c>
      <c r="C6" s="11">
        <v>16.515936192019936</v>
      </c>
      <c r="D6" s="11">
        <v>17.94540459652022</v>
      </c>
      <c r="E6" s="11">
        <v>17.140220180083109</v>
      </c>
      <c r="F6" s="11">
        <v>19.198687848622107</v>
      </c>
      <c r="G6" s="11">
        <v>16.8491025580017</v>
      </c>
      <c r="H6" s="11">
        <v>17.537746119097211</v>
      </c>
      <c r="I6" s="11">
        <v>18.26915054060369</v>
      </c>
      <c r="J6" s="11">
        <v>18.353083362810992</v>
      </c>
      <c r="K6" s="11">
        <v>17.260234186564738</v>
      </c>
      <c r="L6" s="12"/>
      <c r="M6" s="12"/>
      <c r="N6" s="12"/>
      <c r="O6" s="12"/>
      <c r="P6" s="12"/>
      <c r="Q6" s="12"/>
      <c r="R6" s="12"/>
      <c r="S6" s="12"/>
      <c r="T6" s="12"/>
      <c r="U6" s="12"/>
      <c r="V6" s="12"/>
      <c r="W6" s="12"/>
      <c r="X6" s="12"/>
      <c r="Y6" s="12"/>
      <c r="Z6" s="12"/>
      <c r="AA6" s="12"/>
      <c r="AB6" s="13"/>
      <c r="AC6" s="12"/>
    </row>
    <row r="7" spans="1:29" ht="9" customHeight="1">
      <c r="A7" s="1" t="s">
        <v>12</v>
      </c>
      <c r="B7" s="11">
        <v>4.2609457224460376</v>
      </c>
      <c r="C7" s="11">
        <v>4.8847455209796058</v>
      </c>
      <c r="D7" s="11">
        <v>5.5095086268510043</v>
      </c>
      <c r="E7" s="11">
        <v>5.9165500649147065</v>
      </c>
      <c r="F7" s="11">
        <v>5.2709378890262384</v>
      </c>
      <c r="G7" s="11">
        <v>4.3507328352591523</v>
      </c>
      <c r="H7" s="11">
        <v>5.3665216417654564</v>
      </c>
      <c r="I7" s="11">
        <v>5.1344835747817408</v>
      </c>
      <c r="J7" s="11">
        <v>5.0075436269307874</v>
      </c>
      <c r="K7" s="11">
        <v>5.2647665541358215</v>
      </c>
      <c r="L7" s="12"/>
      <c r="M7" s="12"/>
      <c r="N7" s="12"/>
      <c r="O7" s="12"/>
      <c r="P7" s="12"/>
      <c r="Q7" s="12"/>
      <c r="R7" s="12"/>
      <c r="S7" s="12"/>
      <c r="T7" s="12"/>
      <c r="U7" s="12"/>
      <c r="V7" s="12"/>
      <c r="W7" s="12"/>
      <c r="X7" s="12"/>
      <c r="Y7" s="12"/>
      <c r="Z7" s="12"/>
      <c r="AA7" s="12"/>
      <c r="AB7" s="12"/>
      <c r="AC7" s="12"/>
    </row>
    <row r="8" spans="1:29" ht="9" customHeight="1">
      <c r="A8" s="1" t="s">
        <v>13</v>
      </c>
      <c r="B8" s="11">
        <v>0.81546741856351812</v>
      </c>
      <c r="C8" s="11">
        <v>0.68283990361677882</v>
      </c>
      <c r="D8" s="11">
        <v>1.0381256560873742</v>
      </c>
      <c r="E8" s="11">
        <v>0.72907604735682319</v>
      </c>
      <c r="F8" s="11">
        <v>0.78333049412429345</v>
      </c>
      <c r="G8" s="11">
        <v>0.67356818093330495</v>
      </c>
      <c r="H8" s="11">
        <v>0.83846929708014384</v>
      </c>
      <c r="I8" s="11">
        <v>0.73609901508875542</v>
      </c>
      <c r="J8" s="11">
        <v>0.87422305321138016</v>
      </c>
      <c r="K8" s="11">
        <v>0.79133248204931317</v>
      </c>
      <c r="L8" s="12"/>
      <c r="M8" s="12"/>
      <c r="N8" s="12"/>
      <c r="O8" s="12"/>
      <c r="P8" s="12"/>
      <c r="Q8" s="12"/>
      <c r="R8" s="12"/>
      <c r="S8" s="12"/>
      <c r="T8" s="12"/>
      <c r="U8" s="12"/>
      <c r="V8" s="12"/>
      <c r="W8" s="12"/>
      <c r="X8" s="12"/>
      <c r="Y8" s="12"/>
      <c r="Z8" s="12"/>
      <c r="AA8" s="12"/>
      <c r="AB8" s="12"/>
      <c r="AC8" s="12"/>
    </row>
    <row r="9" spans="1:29" ht="9" customHeight="1">
      <c r="A9" s="1" t="s">
        <v>14</v>
      </c>
      <c r="B9" s="11">
        <v>6.2974821675434232</v>
      </c>
      <c r="C9" s="11">
        <v>7.874619576750634</v>
      </c>
      <c r="D9" s="11">
        <v>9.5691028610993225</v>
      </c>
      <c r="E9" s="11">
        <v>10.634682151988731</v>
      </c>
      <c r="F9" s="11">
        <v>13.00920169304219</v>
      </c>
      <c r="G9" s="11">
        <v>11.524678153808884</v>
      </c>
      <c r="H9" s="11">
        <v>14.575193252243679</v>
      </c>
      <c r="I9" s="11">
        <v>15.832848057437815</v>
      </c>
      <c r="J9" s="11">
        <v>18.407122340694329</v>
      </c>
      <c r="K9" s="11">
        <v>18.406506964671713</v>
      </c>
      <c r="L9" s="12"/>
      <c r="M9" s="12"/>
      <c r="N9" s="12"/>
      <c r="O9" s="12"/>
      <c r="P9" s="12"/>
      <c r="Q9" s="12"/>
      <c r="R9" s="12"/>
      <c r="S9" s="12"/>
      <c r="T9" s="12"/>
      <c r="U9" s="12"/>
      <c r="V9" s="12"/>
      <c r="W9" s="12"/>
      <c r="X9" s="12"/>
      <c r="Y9" s="12"/>
      <c r="Z9" s="12"/>
      <c r="AA9" s="12"/>
      <c r="AB9" s="12"/>
      <c r="AC9" s="12"/>
    </row>
    <row r="10" spans="1:29" ht="9" customHeight="1">
      <c r="A10" s="1" t="s">
        <v>15</v>
      </c>
      <c r="B10" s="11">
        <v>1.0720452233106272</v>
      </c>
      <c r="C10" s="11">
        <v>0.99375451175517104</v>
      </c>
      <c r="D10" s="11">
        <v>0.98890413418801515</v>
      </c>
      <c r="E10" s="11">
        <v>1.1050189930713488</v>
      </c>
      <c r="F10" s="11">
        <v>0.81775265684445919</v>
      </c>
      <c r="G10" s="11">
        <v>0.81773516700770466</v>
      </c>
      <c r="H10" s="11">
        <v>0.85456918764625711</v>
      </c>
      <c r="I10" s="11">
        <v>1.2091045733585402</v>
      </c>
      <c r="J10" s="11">
        <v>1.2617702090386917</v>
      </c>
      <c r="K10" s="11">
        <v>1.1525409158814546</v>
      </c>
      <c r="L10" s="12"/>
      <c r="M10" s="12"/>
      <c r="N10" s="12"/>
      <c r="O10" s="12"/>
      <c r="P10" s="12"/>
      <c r="Q10" s="12"/>
      <c r="R10" s="12"/>
      <c r="S10" s="12"/>
      <c r="T10" s="12"/>
      <c r="U10" s="12"/>
      <c r="V10" s="12"/>
      <c r="W10" s="12"/>
      <c r="X10" s="12"/>
      <c r="Y10" s="12"/>
      <c r="Z10" s="12"/>
      <c r="AA10" s="12"/>
      <c r="AB10" s="12"/>
      <c r="AC10" s="12"/>
    </row>
    <row r="11" spans="1:29" ht="9" customHeight="1">
      <c r="A11" s="1" t="s">
        <v>16</v>
      </c>
      <c r="B11" s="11">
        <v>0.33032361676985478</v>
      </c>
      <c r="C11" s="11">
        <v>0.54588061062774018</v>
      </c>
      <c r="D11" s="11">
        <v>0.83264467424563915</v>
      </c>
      <c r="E11" s="11">
        <v>0.57319243456641844</v>
      </c>
      <c r="F11" s="11">
        <v>0.71984869199823531</v>
      </c>
      <c r="G11" s="11">
        <v>0.37723278983547975</v>
      </c>
      <c r="H11" s="11">
        <v>0.4988813742381773</v>
      </c>
      <c r="I11" s="11">
        <v>0.40529345540285067</v>
      </c>
      <c r="J11" s="11">
        <v>0.43079488604780436</v>
      </c>
      <c r="K11" s="11">
        <v>0.30838180922892028</v>
      </c>
      <c r="L11" s="12"/>
      <c r="M11" s="12"/>
      <c r="N11" s="12"/>
      <c r="O11" s="12"/>
      <c r="P11" s="12"/>
      <c r="Q11" s="12"/>
      <c r="R11" s="12"/>
      <c r="S11" s="12"/>
      <c r="T11" s="12"/>
      <c r="U11" s="12"/>
      <c r="V11" s="12"/>
      <c r="W11" s="12"/>
      <c r="X11" s="12"/>
      <c r="Y11" s="12"/>
      <c r="Z11" s="12"/>
      <c r="AA11" s="12"/>
      <c r="AB11" s="12"/>
      <c r="AC11" s="12"/>
    </row>
    <row r="12" spans="1:29" ht="3" customHeight="1">
      <c r="A12" s="1"/>
      <c r="B12" s="11"/>
      <c r="C12" s="11"/>
      <c r="D12" s="11"/>
      <c r="E12" s="11"/>
      <c r="F12" s="11"/>
      <c r="G12" s="11"/>
      <c r="H12" s="11"/>
      <c r="I12" s="11"/>
      <c r="J12" s="11"/>
      <c r="K12" s="11"/>
      <c r="L12" s="12"/>
      <c r="M12" s="12"/>
      <c r="N12" s="12"/>
      <c r="O12" s="12"/>
      <c r="P12" s="12"/>
      <c r="Q12" s="12"/>
      <c r="R12" s="12"/>
      <c r="S12" s="12"/>
      <c r="T12" s="12"/>
      <c r="U12" s="12"/>
      <c r="V12" s="12"/>
      <c r="W12" s="12"/>
      <c r="X12" s="12"/>
      <c r="Y12" s="3"/>
      <c r="Z12" s="3"/>
      <c r="AA12" s="3"/>
      <c r="AB12" s="3"/>
      <c r="AC12" s="3"/>
    </row>
    <row r="13" spans="1:29" ht="9" customHeight="1">
      <c r="A13" s="1" t="s">
        <v>17</v>
      </c>
      <c r="B13" s="11">
        <v>40.630204219221547</v>
      </c>
      <c r="C13" s="11">
        <v>37.892396019809738</v>
      </c>
      <c r="D13" s="11">
        <v>41.338120786294219</v>
      </c>
      <c r="E13" s="11">
        <v>42.155886132976534</v>
      </c>
      <c r="F13" s="11">
        <v>47.215058371698511</v>
      </c>
      <c r="G13" s="11">
        <v>41.152177219496323</v>
      </c>
      <c r="H13" s="11">
        <v>51.247418864497959</v>
      </c>
      <c r="I13" s="11">
        <v>44.612675539139154</v>
      </c>
      <c r="J13" s="11">
        <v>48.173226605651706</v>
      </c>
      <c r="K13" s="11">
        <v>50.45859909886201</v>
      </c>
      <c r="L13" s="12"/>
      <c r="M13" s="12"/>
      <c r="N13" s="12"/>
      <c r="O13" s="12"/>
      <c r="P13" s="12"/>
      <c r="Q13" s="12"/>
      <c r="R13" s="12"/>
      <c r="S13" s="12"/>
      <c r="T13" s="12"/>
      <c r="U13" s="12"/>
      <c r="V13" s="12"/>
      <c r="W13" s="12"/>
      <c r="X13" s="12"/>
      <c r="Y13" s="12"/>
      <c r="Z13" s="12"/>
      <c r="AA13" s="12"/>
      <c r="AB13" s="12"/>
      <c r="AC13" s="12"/>
    </row>
    <row r="14" spans="1:29" ht="9" customHeight="1">
      <c r="A14" s="1" t="s">
        <v>11</v>
      </c>
      <c r="B14" s="11">
        <v>3.5359226933237218</v>
      </c>
      <c r="C14" s="11">
        <v>3.5394194431024446</v>
      </c>
      <c r="D14" s="11">
        <v>3.0847073012753219</v>
      </c>
      <c r="E14" s="11">
        <v>3.4485694476950863</v>
      </c>
      <c r="F14" s="11">
        <v>3.9702363532325489</v>
      </c>
      <c r="G14" s="11">
        <v>4.0535783039233069</v>
      </c>
      <c r="H14" s="11">
        <v>5.7196835274856204</v>
      </c>
      <c r="I14" s="11">
        <v>5.5934447819529707</v>
      </c>
      <c r="J14" s="11">
        <v>6.0871064732932441</v>
      </c>
      <c r="K14" s="11">
        <v>6.843518139860957</v>
      </c>
      <c r="L14" s="12"/>
      <c r="M14" s="12"/>
      <c r="N14" s="12"/>
      <c r="O14" s="12"/>
      <c r="P14" s="12"/>
      <c r="Q14" s="12"/>
      <c r="R14" s="12"/>
      <c r="S14" s="12"/>
      <c r="T14" s="12"/>
      <c r="U14" s="12"/>
      <c r="V14" s="12"/>
      <c r="W14" s="12"/>
      <c r="X14" s="12"/>
      <c r="Y14" s="12"/>
      <c r="Z14" s="12"/>
      <c r="AA14" s="12"/>
      <c r="AB14" s="12"/>
      <c r="AC14" s="12"/>
    </row>
    <row r="15" spans="1:29" ht="9" customHeight="1">
      <c r="A15" s="1" t="s">
        <v>12</v>
      </c>
      <c r="B15" s="11">
        <v>0.43799816588268037</v>
      </c>
      <c r="C15" s="11">
        <v>0.48763528492800606</v>
      </c>
      <c r="D15" s="11">
        <v>0.49136756527371406</v>
      </c>
      <c r="E15" s="11">
        <v>0.52991596416001696</v>
      </c>
      <c r="F15" s="11">
        <v>0.55036975237729158</v>
      </c>
      <c r="G15" s="11">
        <v>0.36338938470390253</v>
      </c>
      <c r="H15" s="11">
        <v>0.3000145721363609</v>
      </c>
      <c r="I15" s="11">
        <v>0.29738513499160951</v>
      </c>
      <c r="J15" s="11">
        <v>0.25266562231542777</v>
      </c>
      <c r="K15" s="11">
        <v>0.37556647943982174</v>
      </c>
      <c r="L15" s="12"/>
      <c r="M15" s="12"/>
      <c r="N15" s="12"/>
      <c r="O15" s="12"/>
      <c r="P15" s="12"/>
      <c r="Q15" s="12"/>
      <c r="R15" s="12"/>
      <c r="S15" s="12"/>
      <c r="T15" s="12"/>
      <c r="U15" s="12"/>
      <c r="V15" s="12"/>
      <c r="W15" s="12"/>
      <c r="X15" s="12"/>
      <c r="Y15" s="12"/>
      <c r="Z15" s="12"/>
      <c r="AA15" s="12"/>
      <c r="AB15" s="12"/>
      <c r="AC15" s="12"/>
    </row>
    <row r="16" spans="1:29" ht="9" customHeight="1">
      <c r="A16" s="1" t="s">
        <v>14</v>
      </c>
      <c r="B16" s="11">
        <v>2.4381480037608645</v>
      </c>
      <c r="C16" s="11">
        <v>1.9225940909648156</v>
      </c>
      <c r="D16" s="11">
        <v>3.3590325313925016</v>
      </c>
      <c r="E16" s="11">
        <v>2.5428335749039119</v>
      </c>
      <c r="F16" s="11">
        <v>2.732456157487507</v>
      </c>
      <c r="G16" s="11">
        <v>2.609943212735796</v>
      </c>
      <c r="H16" s="11">
        <v>2.6182471797853468</v>
      </c>
      <c r="I16" s="11">
        <v>3.6628119503898731</v>
      </c>
      <c r="J16" s="11">
        <v>3.1543289539154129</v>
      </c>
      <c r="K16" s="11">
        <v>2.5499211966485786</v>
      </c>
      <c r="L16" s="12"/>
      <c r="M16" s="12"/>
      <c r="N16" s="12"/>
      <c r="O16" s="12"/>
      <c r="P16" s="12"/>
      <c r="Q16" s="12"/>
      <c r="R16" s="12"/>
      <c r="S16" s="12"/>
      <c r="T16" s="12"/>
      <c r="U16" s="12"/>
      <c r="V16" s="12"/>
      <c r="W16" s="12"/>
      <c r="X16" s="12"/>
      <c r="Y16" s="12"/>
      <c r="Z16" s="12"/>
      <c r="AA16" s="12"/>
      <c r="AB16" s="12"/>
      <c r="AC16" s="12"/>
    </row>
    <row r="17" spans="1:29" ht="9" customHeight="1">
      <c r="A17" s="1" t="s">
        <v>18</v>
      </c>
      <c r="B17" s="11">
        <v>9.6237909849377488</v>
      </c>
      <c r="C17" s="11">
        <v>6.2265877104426535</v>
      </c>
      <c r="D17" s="11">
        <v>5.2548834604599675</v>
      </c>
      <c r="E17" s="11">
        <v>6.6915476620914163</v>
      </c>
      <c r="F17" s="11">
        <v>8.4521449058399458</v>
      </c>
      <c r="G17" s="11">
        <v>6.5351481050061571</v>
      </c>
      <c r="H17" s="11">
        <v>8.7282254155039123</v>
      </c>
      <c r="I17" s="11">
        <v>7.796033099905439</v>
      </c>
      <c r="J17" s="11">
        <v>8.6781936675565294</v>
      </c>
      <c r="K17" s="11">
        <v>9.3746993357671435</v>
      </c>
      <c r="L17" s="12"/>
      <c r="M17" s="12"/>
      <c r="N17" s="12"/>
      <c r="O17" s="12"/>
      <c r="P17" s="12"/>
      <c r="Q17" s="12"/>
      <c r="R17" s="12"/>
      <c r="S17" s="12"/>
      <c r="T17" s="12"/>
      <c r="U17" s="12"/>
      <c r="V17" s="12"/>
      <c r="W17" s="12"/>
      <c r="X17" s="12"/>
      <c r="Y17" s="12"/>
      <c r="Z17" s="12"/>
      <c r="AA17" s="12"/>
      <c r="AB17" s="12"/>
      <c r="AC17" s="12"/>
    </row>
    <row r="18" spans="1:29" ht="9" customHeight="1">
      <c r="A18" s="1" t="s">
        <v>19</v>
      </c>
      <c r="B18" s="11">
        <v>24.594344371316531</v>
      </c>
      <c r="C18" s="11">
        <v>25.716159490371822</v>
      </c>
      <c r="D18" s="11">
        <v>29.148129927892715</v>
      </c>
      <c r="E18" s="11">
        <v>28.943019484126101</v>
      </c>
      <c r="F18" s="11">
        <v>31.509851202761215</v>
      </c>
      <c r="G18" s="11">
        <v>27.590118213127159</v>
      </c>
      <c r="H18" s="11">
        <v>33.881248169586719</v>
      </c>
      <c r="I18" s="11">
        <v>27.263000571899262</v>
      </c>
      <c r="J18" s="11">
        <v>30.000931888571088</v>
      </c>
      <c r="K18" s="11">
        <v>31.314893947145507</v>
      </c>
      <c r="L18" s="12"/>
      <c r="M18" s="12"/>
      <c r="N18" s="12"/>
      <c r="O18" s="12"/>
      <c r="P18" s="12"/>
      <c r="Q18" s="12"/>
      <c r="R18" s="12"/>
      <c r="S18" s="12"/>
      <c r="T18" s="12"/>
      <c r="U18" s="12"/>
      <c r="V18" s="12"/>
      <c r="W18" s="12"/>
      <c r="X18" s="12"/>
      <c r="Y18" s="12"/>
      <c r="Z18" s="12"/>
      <c r="AA18" s="12"/>
      <c r="AB18" s="12"/>
      <c r="AC18" s="12"/>
    </row>
    <row r="19" spans="1:29" ht="3" customHeight="1">
      <c r="A19" s="1"/>
      <c r="B19" s="11"/>
      <c r="C19" s="11"/>
      <c r="D19" s="11"/>
      <c r="E19" s="11"/>
      <c r="F19" s="11"/>
      <c r="G19" s="11"/>
      <c r="H19" s="11"/>
      <c r="I19" s="11"/>
      <c r="J19" s="11"/>
      <c r="K19" s="11"/>
      <c r="L19" s="12"/>
      <c r="M19" s="12"/>
      <c r="N19" s="12"/>
      <c r="O19" s="12"/>
      <c r="P19" s="12"/>
      <c r="Q19" s="12"/>
      <c r="R19" s="12"/>
      <c r="S19" s="12"/>
      <c r="T19" s="12"/>
      <c r="U19" s="12"/>
      <c r="V19" s="12"/>
      <c r="W19" s="12"/>
      <c r="X19" s="12"/>
      <c r="Y19" s="2"/>
      <c r="Z19" s="3"/>
      <c r="AA19" s="3"/>
      <c r="AB19" s="3"/>
      <c r="AC19" s="3"/>
    </row>
    <row r="20" spans="1:29" ht="9" customHeight="1">
      <c r="A20" s="1" t="s">
        <v>20</v>
      </c>
      <c r="B20" s="11">
        <v>19.253330887242871</v>
      </c>
      <c r="C20" s="11">
        <v>19.209585949809075</v>
      </c>
      <c r="D20" s="11">
        <v>20.188242693802366</v>
      </c>
      <c r="E20" s="11">
        <v>20.976650152185023</v>
      </c>
      <c r="F20" s="11">
        <v>20.769696916469794</v>
      </c>
      <c r="G20" s="11">
        <v>21.48404546759086</v>
      </c>
      <c r="H20" s="11">
        <v>22.540355229383088</v>
      </c>
      <c r="I20" s="11">
        <v>21.254593332678922</v>
      </c>
      <c r="J20" s="11">
        <v>22.180428859139912</v>
      </c>
      <c r="K20" s="11">
        <v>23.48175421234054</v>
      </c>
      <c r="L20" s="12"/>
      <c r="M20" s="12"/>
      <c r="N20" s="12"/>
      <c r="O20" s="12"/>
      <c r="P20" s="12"/>
      <c r="Q20" s="12"/>
      <c r="R20" s="12"/>
      <c r="S20" s="12"/>
      <c r="T20" s="12"/>
      <c r="U20" s="12"/>
      <c r="V20" s="12"/>
      <c r="W20" s="12"/>
      <c r="X20" s="12"/>
      <c r="Y20" s="12"/>
      <c r="Z20" s="12"/>
      <c r="AA20" s="12"/>
      <c r="AB20" s="12"/>
      <c r="AC20" s="12"/>
    </row>
    <row r="21" spans="1:29" ht="3" customHeight="1">
      <c r="A21" s="1"/>
      <c r="B21" s="11"/>
      <c r="C21" s="11"/>
      <c r="D21" s="11"/>
      <c r="E21" s="11"/>
      <c r="F21" s="11"/>
      <c r="G21" s="11"/>
      <c r="H21" s="11"/>
      <c r="I21" s="11"/>
      <c r="J21" s="11"/>
      <c r="K21" s="11"/>
      <c r="L21" s="12"/>
      <c r="M21" s="12"/>
      <c r="N21" s="12"/>
      <c r="O21" s="12"/>
      <c r="P21" s="12"/>
      <c r="Q21" s="12"/>
      <c r="R21" s="12"/>
      <c r="S21" s="12"/>
      <c r="T21" s="12"/>
      <c r="U21" s="12"/>
      <c r="V21" s="12"/>
      <c r="W21" s="12"/>
      <c r="X21" s="12"/>
      <c r="Y21" s="2"/>
      <c r="Z21" s="3"/>
      <c r="AA21" s="3"/>
      <c r="AB21" s="3"/>
      <c r="AC21" s="3"/>
    </row>
    <row r="22" spans="1:29" ht="9" customHeight="1">
      <c r="A22" s="1" t="s">
        <v>21</v>
      </c>
      <c r="B22" s="11">
        <v>102.11849621991249</v>
      </c>
      <c r="C22" s="11">
        <v>110.55612277301856</v>
      </c>
      <c r="D22" s="11">
        <v>91.783196890725719</v>
      </c>
      <c r="E22" s="11">
        <v>86.0719747794288</v>
      </c>
      <c r="F22" s="11">
        <v>95.265362336310702</v>
      </c>
      <c r="G22" s="11">
        <v>95.183402389719319</v>
      </c>
      <c r="H22" s="11">
        <v>86.674883120201429</v>
      </c>
      <c r="I22" s="11">
        <v>106.07620875947487</v>
      </c>
      <c r="J22" s="11">
        <v>92.130300943651292</v>
      </c>
      <c r="K22" s="11">
        <v>89.955268066936668</v>
      </c>
      <c r="L22" s="12"/>
      <c r="M22" s="12"/>
      <c r="N22" s="12"/>
      <c r="O22" s="12"/>
      <c r="P22" s="12"/>
      <c r="Q22" s="12"/>
      <c r="R22" s="12"/>
      <c r="S22" s="12"/>
      <c r="T22" s="12"/>
      <c r="U22" s="12"/>
      <c r="V22" s="12"/>
      <c r="W22" s="12"/>
      <c r="X22" s="12"/>
      <c r="Y22" s="12"/>
      <c r="Z22" s="12"/>
      <c r="AA22" s="12"/>
      <c r="AB22" s="12"/>
      <c r="AC22" s="12"/>
    </row>
    <row r="23" spans="1:29" ht="9" customHeight="1">
      <c r="A23" s="1" t="s">
        <v>11</v>
      </c>
      <c r="B23" s="11">
        <v>14.743091705460131</v>
      </c>
      <c r="C23" s="11">
        <v>13.44339558388841</v>
      </c>
      <c r="D23" s="11">
        <v>13.443448570209133</v>
      </c>
      <c r="E23" s="11">
        <v>11.49536335562418</v>
      </c>
      <c r="F23" s="11">
        <v>14.282269042621396</v>
      </c>
      <c r="G23" s="11">
        <v>12.36407990746458</v>
      </c>
      <c r="H23" s="11">
        <v>11.694867951832139</v>
      </c>
      <c r="I23" s="11">
        <v>15.038163605867517</v>
      </c>
      <c r="J23" s="11">
        <v>11.86537224770254</v>
      </c>
      <c r="K23" s="11">
        <v>11.597233987235079</v>
      </c>
      <c r="L23" s="12"/>
      <c r="M23" s="12"/>
      <c r="N23" s="12"/>
      <c r="O23" s="12"/>
      <c r="P23" s="12"/>
      <c r="Q23" s="12"/>
      <c r="R23" s="12"/>
      <c r="S23" s="12"/>
      <c r="T23" s="12"/>
      <c r="U23" s="12"/>
      <c r="V23" s="12"/>
      <c r="W23" s="12"/>
      <c r="X23" s="12"/>
      <c r="Y23" s="12"/>
      <c r="Z23" s="12"/>
      <c r="AA23" s="12"/>
      <c r="AB23" s="12"/>
      <c r="AC23" s="12"/>
    </row>
    <row r="24" spans="1:29" ht="9" customHeight="1">
      <c r="A24" s="1" t="s">
        <v>22</v>
      </c>
      <c r="B24" s="11">
        <v>87.375404514452356</v>
      </c>
      <c r="C24" s="11">
        <v>97.112727189130155</v>
      </c>
      <c r="D24" s="11">
        <v>78.339748320516591</v>
      </c>
      <c r="E24" s="11">
        <v>74.576611423804621</v>
      </c>
      <c r="F24" s="11">
        <v>80.983093293689308</v>
      </c>
      <c r="G24" s="11">
        <v>82.819322482254734</v>
      </c>
      <c r="H24" s="11">
        <v>74.980015168369292</v>
      </c>
      <c r="I24" s="11">
        <v>91.038045153607342</v>
      </c>
      <c r="J24" s="11">
        <v>80.264928695948754</v>
      </c>
      <c r="K24" s="11">
        <v>78.358034079701582</v>
      </c>
      <c r="L24" s="12"/>
      <c r="M24" s="12"/>
      <c r="N24" s="12"/>
      <c r="O24" s="12"/>
      <c r="P24" s="12"/>
      <c r="Q24" s="12"/>
      <c r="R24" s="12"/>
      <c r="S24" s="12"/>
      <c r="T24" s="12"/>
      <c r="U24" s="12"/>
      <c r="V24" s="12"/>
      <c r="W24" s="12"/>
      <c r="X24" s="12"/>
      <c r="Y24" s="12"/>
      <c r="Z24" s="12"/>
      <c r="AA24" s="12"/>
      <c r="AB24" s="12"/>
      <c r="AC24" s="12"/>
    </row>
    <row r="25" spans="1:29" ht="3" customHeight="1">
      <c r="A25" s="1"/>
      <c r="B25" s="11"/>
      <c r="C25" s="11"/>
      <c r="D25" s="11"/>
      <c r="E25" s="11"/>
      <c r="F25" s="11"/>
      <c r="G25" s="11"/>
      <c r="H25" s="11"/>
      <c r="I25" s="11"/>
      <c r="J25" s="11"/>
      <c r="K25" s="11"/>
      <c r="L25" s="12"/>
      <c r="M25" s="12"/>
      <c r="N25" s="12"/>
      <c r="O25" s="12"/>
      <c r="P25" s="12"/>
      <c r="Q25" s="12"/>
      <c r="R25" s="12"/>
      <c r="S25" s="12"/>
      <c r="T25" s="12"/>
      <c r="U25" s="12"/>
      <c r="V25" s="12"/>
      <c r="W25" s="12"/>
      <c r="X25" s="12"/>
      <c r="Y25" s="2"/>
      <c r="Z25" s="3"/>
      <c r="AA25" s="3"/>
      <c r="AB25" s="3"/>
      <c r="AC25" s="3"/>
    </row>
    <row r="26" spans="1:29" ht="9" customHeight="1">
      <c r="A26" s="1" t="s">
        <v>23</v>
      </c>
      <c r="B26" s="11">
        <v>19.709547693335622</v>
      </c>
      <c r="C26" s="11">
        <v>22.1058711945781</v>
      </c>
      <c r="D26" s="11">
        <v>24.355589044776035</v>
      </c>
      <c r="E26" s="11">
        <v>21.378551578081154</v>
      </c>
      <c r="F26" s="11">
        <v>17.499110246282939</v>
      </c>
      <c r="G26" s="11">
        <v>19.687055496573233</v>
      </c>
      <c r="H26" s="11">
        <v>19.393968134142703</v>
      </c>
      <c r="I26" s="11">
        <v>19.370564675926751</v>
      </c>
      <c r="J26" s="11">
        <v>12.209167996855744</v>
      </c>
      <c r="K26" s="11">
        <v>16.625823698325053</v>
      </c>
      <c r="L26" s="12"/>
      <c r="M26" s="12"/>
      <c r="N26" s="12"/>
      <c r="O26" s="12"/>
      <c r="P26" s="12"/>
      <c r="Q26" s="12"/>
      <c r="R26" s="12"/>
      <c r="S26" s="12"/>
      <c r="T26" s="12"/>
      <c r="U26" s="12"/>
      <c r="V26" s="12"/>
      <c r="W26" s="12"/>
      <c r="X26" s="12"/>
      <c r="Y26" s="12"/>
      <c r="Z26" s="12"/>
      <c r="AA26" s="12"/>
      <c r="AB26" s="12"/>
      <c r="AC26" s="12"/>
    </row>
    <row r="27" spans="1:29" ht="9" customHeight="1">
      <c r="A27" s="1" t="s">
        <v>11</v>
      </c>
      <c r="B27" s="11">
        <v>9.2609917317303481</v>
      </c>
      <c r="C27" s="11">
        <v>7.7269948307091472</v>
      </c>
      <c r="D27" s="11">
        <v>8.3450200246526727</v>
      </c>
      <c r="E27" s="11">
        <v>7.2921358854666858</v>
      </c>
      <c r="F27" s="11">
        <v>7.2972210323646189</v>
      </c>
      <c r="G27" s="11">
        <v>6.6527865744724561</v>
      </c>
      <c r="H27" s="11">
        <v>7.2013436755105857</v>
      </c>
      <c r="I27" s="11">
        <v>7.8363591945894484</v>
      </c>
      <c r="J27" s="11">
        <v>5.9807506850479006</v>
      </c>
      <c r="K27" s="11">
        <v>5.5065777283676125</v>
      </c>
      <c r="L27" s="12"/>
      <c r="M27" s="12"/>
      <c r="N27" s="12"/>
      <c r="O27" s="12"/>
      <c r="P27" s="12"/>
      <c r="Q27" s="12"/>
      <c r="R27" s="12"/>
      <c r="S27" s="12"/>
      <c r="T27" s="12"/>
      <c r="U27" s="12"/>
      <c r="V27" s="12"/>
      <c r="W27" s="12"/>
      <c r="X27" s="12"/>
      <c r="Y27" s="12"/>
      <c r="Z27" s="12"/>
      <c r="AA27" s="12"/>
      <c r="AB27" s="12"/>
      <c r="AC27" s="12"/>
    </row>
    <row r="28" spans="1:29" ht="9" customHeight="1">
      <c r="A28" s="1" t="s">
        <v>14</v>
      </c>
      <c r="B28" s="11">
        <v>10.448555961605276</v>
      </c>
      <c r="C28" s="11">
        <v>14.378876363868953</v>
      </c>
      <c r="D28" s="11">
        <v>16.010569020123363</v>
      </c>
      <c r="E28" s="11">
        <v>14.086415692614469</v>
      </c>
      <c r="F28" s="11">
        <v>10.201889213918321</v>
      </c>
      <c r="G28" s="11">
        <v>13.034268922100777</v>
      </c>
      <c r="H28" s="11">
        <v>12.192624458632116</v>
      </c>
      <c r="I28" s="11">
        <v>11.534205481337303</v>
      </c>
      <c r="J28" s="11">
        <v>6.2284173118078421</v>
      </c>
      <c r="K28" s="11">
        <v>11.11924596995744</v>
      </c>
      <c r="L28" s="12"/>
      <c r="M28" s="12"/>
      <c r="N28" s="12"/>
      <c r="O28" s="12"/>
      <c r="P28" s="12"/>
      <c r="Q28" s="12"/>
      <c r="R28" s="12"/>
      <c r="S28" s="12"/>
      <c r="T28" s="12"/>
      <c r="U28" s="12"/>
      <c r="V28" s="12"/>
      <c r="W28" s="12"/>
      <c r="X28" s="12"/>
      <c r="Y28" s="12"/>
      <c r="Z28" s="12"/>
      <c r="AA28" s="12"/>
      <c r="AB28" s="12"/>
      <c r="AC28" s="12"/>
    </row>
    <row r="29" spans="1:29" ht="3" customHeight="1">
      <c r="A29" s="1"/>
      <c r="B29" s="11"/>
      <c r="C29" s="11"/>
      <c r="D29" s="11"/>
      <c r="E29" s="11"/>
      <c r="F29" s="11"/>
      <c r="G29" s="11"/>
      <c r="H29" s="11"/>
      <c r="I29" s="11"/>
      <c r="J29" s="11"/>
      <c r="K29" s="11"/>
      <c r="L29" s="12"/>
      <c r="M29" s="12"/>
      <c r="N29" s="12"/>
      <c r="O29" s="12"/>
      <c r="P29" s="12"/>
      <c r="Q29" s="12"/>
      <c r="R29" s="12"/>
      <c r="S29" s="12"/>
      <c r="T29" s="12"/>
      <c r="U29" s="12"/>
      <c r="V29" s="12"/>
      <c r="W29" s="12"/>
      <c r="X29" s="12"/>
      <c r="Y29" s="2"/>
      <c r="Z29" s="3"/>
      <c r="AA29" s="3"/>
      <c r="AB29" s="3"/>
      <c r="AC29" s="3"/>
    </row>
    <row r="30" spans="1:29" ht="9" customHeight="1">
      <c r="A30" s="1" t="s">
        <v>24</v>
      </c>
      <c r="B30" s="11">
        <v>4.2888024345800542</v>
      </c>
      <c r="C30" s="11">
        <v>6.6603983604040362</v>
      </c>
      <c r="D30" s="11">
        <v>6.9790792049563555</v>
      </c>
      <c r="E30" s="11">
        <v>4.5677388800934393</v>
      </c>
      <c r="F30" s="11">
        <v>5.3105396555960063</v>
      </c>
      <c r="G30" s="11">
        <v>8.6336915270853307</v>
      </c>
      <c r="H30" s="11">
        <v>6.7590516168203472</v>
      </c>
      <c r="I30" s="11">
        <v>6.7372698209442072</v>
      </c>
      <c r="J30" s="11">
        <v>5.224994814033824</v>
      </c>
      <c r="K30" s="11">
        <v>6.1742681564245796</v>
      </c>
      <c r="L30" s="12"/>
      <c r="M30" s="12"/>
      <c r="N30" s="12"/>
      <c r="O30" s="12"/>
      <c r="P30" s="12"/>
      <c r="Q30" s="12"/>
      <c r="R30" s="12"/>
      <c r="S30" s="12"/>
      <c r="T30" s="12"/>
      <c r="U30" s="12"/>
      <c r="V30" s="12"/>
      <c r="W30" s="12"/>
      <c r="X30" s="12"/>
      <c r="Y30" s="12"/>
      <c r="Z30" s="12"/>
      <c r="AA30" s="12"/>
      <c r="AB30" s="12"/>
      <c r="AC30" s="12"/>
    </row>
    <row r="31" spans="1:29" ht="9" customHeight="1">
      <c r="A31" s="1" t="s">
        <v>11</v>
      </c>
      <c r="B31" s="11">
        <v>1.9314147239494299</v>
      </c>
      <c r="C31" s="11">
        <v>2.1501784293563984</v>
      </c>
      <c r="D31" s="11">
        <v>2.1713996176788966</v>
      </c>
      <c r="E31" s="11">
        <v>1.9537957559802719</v>
      </c>
      <c r="F31" s="11">
        <v>1.941281575949791</v>
      </c>
      <c r="G31" s="11">
        <v>2.0318126217150732</v>
      </c>
      <c r="H31" s="11">
        <v>2.0852592634654949</v>
      </c>
      <c r="I31" s="11">
        <v>2.3406213093265622</v>
      </c>
      <c r="J31" s="11">
        <v>2.1741284576679436</v>
      </c>
      <c r="K31" s="11">
        <v>2.3185079762941565</v>
      </c>
      <c r="L31" s="12"/>
      <c r="M31" s="12"/>
      <c r="N31" s="12"/>
      <c r="O31" s="12"/>
      <c r="P31" s="12"/>
      <c r="Q31" s="12"/>
      <c r="R31" s="12"/>
      <c r="S31" s="12"/>
      <c r="T31" s="12"/>
      <c r="U31" s="12"/>
      <c r="V31" s="12"/>
      <c r="W31" s="12"/>
      <c r="X31" s="12"/>
      <c r="Y31" s="12"/>
      <c r="Z31" s="12"/>
      <c r="AA31" s="12"/>
      <c r="AB31" s="12"/>
      <c r="AC31" s="12"/>
    </row>
    <row r="32" spans="1:29" ht="9" customHeight="1">
      <c r="A32" s="1" t="s">
        <v>14</v>
      </c>
      <c r="B32" s="11">
        <v>2.3573877106306238</v>
      </c>
      <c r="C32" s="11">
        <v>4.5102199310476383</v>
      </c>
      <c r="D32" s="11">
        <v>4.8076795872774589</v>
      </c>
      <c r="E32" s="11">
        <v>2.6139431241131676</v>
      </c>
      <c r="F32" s="11">
        <v>3.3692580796462153</v>
      </c>
      <c r="G32" s="11">
        <v>6.6018789053702571</v>
      </c>
      <c r="H32" s="11">
        <v>4.6737923533548518</v>
      </c>
      <c r="I32" s="11">
        <v>4.396648511617645</v>
      </c>
      <c r="J32" s="11">
        <v>3.0508663563658809</v>
      </c>
      <c r="K32" s="11">
        <v>3.8557601801304235</v>
      </c>
      <c r="L32" s="12"/>
      <c r="M32" s="12"/>
      <c r="N32" s="12"/>
      <c r="O32" s="12"/>
      <c r="P32" s="12"/>
      <c r="Q32" s="12"/>
      <c r="R32" s="12"/>
      <c r="S32" s="12"/>
      <c r="T32" s="12"/>
      <c r="U32" s="12"/>
      <c r="V32" s="12"/>
      <c r="W32" s="12"/>
      <c r="X32" s="12"/>
      <c r="Y32" s="12"/>
      <c r="Z32" s="12"/>
      <c r="AA32" s="12"/>
      <c r="AB32" s="12"/>
      <c r="AC32" s="12"/>
    </row>
    <row r="33" spans="1:29" ht="3" customHeight="1">
      <c r="A33" s="1"/>
      <c r="B33" s="11"/>
      <c r="C33" s="11"/>
      <c r="D33" s="11"/>
      <c r="E33" s="11"/>
      <c r="F33" s="11"/>
      <c r="G33" s="11"/>
      <c r="H33" s="11"/>
      <c r="I33" s="11"/>
      <c r="J33" s="11"/>
      <c r="K33" s="11"/>
      <c r="L33" s="12"/>
      <c r="M33" s="12"/>
      <c r="N33" s="12"/>
      <c r="O33" s="12"/>
      <c r="P33" s="12"/>
      <c r="Q33" s="12"/>
      <c r="R33" s="12"/>
      <c r="S33" s="12"/>
      <c r="T33" s="12"/>
      <c r="U33" s="12"/>
      <c r="V33" s="12"/>
      <c r="W33" s="12"/>
      <c r="X33" s="12"/>
      <c r="Y33" s="3"/>
      <c r="Z33" s="3"/>
      <c r="AA33" s="3"/>
      <c r="AB33" s="3"/>
      <c r="AC33" s="3"/>
    </row>
    <row r="34" spans="1:29" ht="9" customHeight="1">
      <c r="A34" s="1" t="s">
        <v>25</v>
      </c>
      <c r="B34" s="11">
        <v>4.8564300796720259</v>
      </c>
      <c r="C34" s="11">
        <v>4.7734583968256761</v>
      </c>
      <c r="D34" s="11">
        <v>4.3491864366370905</v>
      </c>
      <c r="E34" s="11">
        <v>4.2921959145196684</v>
      </c>
      <c r="F34" s="11">
        <v>5.4943992234712091</v>
      </c>
      <c r="G34" s="11">
        <v>4.5851737139463804</v>
      </c>
      <c r="H34" s="11">
        <v>4.5345146828037759</v>
      </c>
      <c r="I34" s="11">
        <v>4.15207335072561</v>
      </c>
      <c r="J34" s="11">
        <v>3.8834817042635708</v>
      </c>
      <c r="K34" s="11">
        <v>3.6068094639712376</v>
      </c>
      <c r="L34" s="12"/>
      <c r="M34" s="12"/>
      <c r="N34" s="12"/>
      <c r="O34" s="12"/>
      <c r="P34" s="12"/>
      <c r="Q34" s="12"/>
      <c r="R34" s="12"/>
      <c r="S34" s="12"/>
      <c r="T34" s="12"/>
      <c r="U34" s="12"/>
      <c r="V34" s="12"/>
      <c r="W34" s="12"/>
      <c r="X34" s="12"/>
      <c r="Y34" s="12"/>
      <c r="Z34" s="12"/>
      <c r="AA34" s="12"/>
      <c r="AB34" s="12"/>
      <c r="AC34" s="12"/>
    </row>
    <row r="35" spans="1:29" ht="9" customHeight="1">
      <c r="A35" s="1" t="s">
        <v>11</v>
      </c>
      <c r="B35" s="11">
        <v>2.6130264257959874</v>
      </c>
      <c r="C35" s="11">
        <v>2.868014212782759</v>
      </c>
      <c r="D35" s="11">
        <v>2.3085276870891853</v>
      </c>
      <c r="E35" s="11">
        <v>2.2872329255590365</v>
      </c>
      <c r="F35" s="11">
        <v>2.4573877491599472</v>
      </c>
      <c r="G35" s="11">
        <v>2.3710082886326926</v>
      </c>
      <c r="H35" s="11">
        <v>2.3222013404887134</v>
      </c>
      <c r="I35" s="11">
        <v>2.3960430803887394</v>
      </c>
      <c r="J35" s="11">
        <v>2.2769484432737328</v>
      </c>
      <c r="K35" s="11">
        <v>1.9477928977418895</v>
      </c>
      <c r="L35" s="12"/>
      <c r="M35" s="12"/>
      <c r="N35" s="12"/>
      <c r="O35" s="12"/>
      <c r="P35" s="12"/>
      <c r="Q35" s="12"/>
      <c r="R35" s="12"/>
      <c r="S35" s="12"/>
      <c r="T35" s="12"/>
      <c r="U35" s="12"/>
      <c r="V35" s="12"/>
      <c r="W35" s="12"/>
      <c r="X35" s="12"/>
      <c r="Y35" s="12"/>
      <c r="Z35" s="12"/>
      <c r="AA35" s="12"/>
      <c r="AB35" s="12"/>
      <c r="AC35" s="12"/>
    </row>
    <row r="36" spans="1:29" ht="9" customHeight="1">
      <c r="A36" s="1" t="s">
        <v>14</v>
      </c>
      <c r="B36" s="11">
        <v>2.2434036538760385</v>
      </c>
      <c r="C36" s="11">
        <v>1.905444184042917</v>
      </c>
      <c r="D36" s="11">
        <v>2.0406587495479052</v>
      </c>
      <c r="E36" s="11">
        <v>2.0049629889606324</v>
      </c>
      <c r="F36" s="11">
        <v>3.0370114743112619</v>
      </c>
      <c r="G36" s="11">
        <v>2.2141654253136878</v>
      </c>
      <c r="H36" s="11">
        <v>2.2123133423150629</v>
      </c>
      <c r="I36" s="11">
        <v>1.7560302703368704</v>
      </c>
      <c r="J36" s="11">
        <v>1.606533260989838</v>
      </c>
      <c r="K36" s="11">
        <v>1.6590165662293481</v>
      </c>
      <c r="L36" s="12"/>
      <c r="M36" s="12"/>
      <c r="N36" s="12"/>
      <c r="O36" s="12"/>
      <c r="P36" s="12"/>
      <c r="Q36" s="12"/>
      <c r="R36" s="12"/>
      <c r="S36" s="12"/>
      <c r="T36" s="12"/>
      <c r="U36" s="12"/>
      <c r="V36" s="12"/>
      <c r="W36" s="12"/>
      <c r="X36" s="12"/>
      <c r="Y36" s="12"/>
      <c r="Z36" s="12"/>
      <c r="AA36" s="12"/>
      <c r="AB36" s="12"/>
      <c r="AC36" s="12"/>
    </row>
    <row r="37" spans="1:29" ht="3" customHeight="1">
      <c r="A37" s="1"/>
      <c r="B37" s="11"/>
      <c r="C37" s="11"/>
      <c r="D37" s="11"/>
      <c r="E37" s="11"/>
      <c r="F37" s="11"/>
      <c r="G37" s="11"/>
      <c r="H37" s="11"/>
      <c r="I37" s="11"/>
      <c r="J37" s="11"/>
      <c r="K37" s="11"/>
      <c r="L37" s="12"/>
      <c r="M37" s="12"/>
      <c r="N37" s="12"/>
      <c r="O37" s="12"/>
      <c r="P37" s="12"/>
      <c r="Q37" s="12"/>
      <c r="R37" s="12"/>
      <c r="S37" s="12"/>
      <c r="T37" s="12"/>
      <c r="U37" s="12"/>
      <c r="V37" s="12"/>
      <c r="W37" s="12"/>
      <c r="X37" s="12"/>
      <c r="Y37" s="3"/>
      <c r="Z37" s="3"/>
      <c r="AA37" s="3"/>
      <c r="AB37" s="3"/>
      <c r="AC37" s="3"/>
    </row>
    <row r="38" spans="1:29" ht="9" customHeight="1">
      <c r="A38" s="1" t="s">
        <v>467</v>
      </c>
      <c r="B38" s="11">
        <v>11.182010323215922</v>
      </c>
      <c r="C38" s="11">
        <v>11.516352631171534</v>
      </c>
      <c r="D38" s="11">
        <v>11.912739256613065</v>
      </c>
      <c r="E38" s="11">
        <v>12.530598983109805</v>
      </c>
      <c r="F38" s="11">
        <v>13.101824819570124</v>
      </c>
      <c r="G38" s="11">
        <v>11.725517864707715</v>
      </c>
      <c r="H38" s="11">
        <v>9.9936016899946392</v>
      </c>
      <c r="I38" s="11">
        <v>9.4333810524557897</v>
      </c>
      <c r="J38" s="11">
        <v>11.02269298288695</v>
      </c>
      <c r="K38" s="11">
        <v>9.9478643970935323</v>
      </c>
      <c r="L38" s="12"/>
      <c r="M38" s="12"/>
      <c r="N38" s="12"/>
      <c r="O38" s="12"/>
      <c r="P38" s="12"/>
      <c r="Q38" s="12"/>
      <c r="R38" s="12"/>
      <c r="S38" s="12"/>
      <c r="T38" s="12"/>
      <c r="U38" s="12"/>
      <c r="V38" s="12"/>
      <c r="W38" s="12"/>
      <c r="X38" s="12"/>
      <c r="Y38" s="12"/>
      <c r="Z38" s="12"/>
      <c r="AA38" s="12"/>
      <c r="AB38" s="12"/>
      <c r="AC38" s="12"/>
    </row>
    <row r="39" spans="1:29" ht="9" customHeight="1">
      <c r="A39" s="1" t="s">
        <v>11</v>
      </c>
      <c r="B39" s="11">
        <v>5.1386245327585014</v>
      </c>
      <c r="C39" s="11">
        <v>5.0944655578712217</v>
      </c>
      <c r="D39" s="11">
        <v>6.0955230586068252</v>
      </c>
      <c r="E39" s="11">
        <v>6.6671080402568252</v>
      </c>
      <c r="F39" s="11">
        <v>7.083868332996671</v>
      </c>
      <c r="G39" s="11">
        <v>6.8716027586686721</v>
      </c>
      <c r="H39" s="11">
        <v>5.3463185005254372</v>
      </c>
      <c r="I39" s="11">
        <v>5.4320144084470376</v>
      </c>
      <c r="J39" s="11">
        <v>6.6994558870817604</v>
      </c>
      <c r="K39" s="11">
        <v>5.495324281029581</v>
      </c>
      <c r="L39" s="12"/>
      <c r="M39" s="12"/>
      <c r="N39" s="12"/>
      <c r="O39" s="12"/>
      <c r="P39" s="12"/>
      <c r="Q39" s="12"/>
      <c r="R39" s="12"/>
      <c r="S39" s="12"/>
      <c r="T39" s="12"/>
      <c r="U39" s="12"/>
      <c r="V39" s="12"/>
      <c r="W39" s="12"/>
      <c r="X39" s="12"/>
      <c r="Y39" s="12"/>
      <c r="Z39" s="12"/>
      <c r="AA39" s="12"/>
      <c r="AB39" s="12"/>
      <c r="AC39" s="12"/>
    </row>
    <row r="40" spans="1:29" ht="9" customHeight="1">
      <c r="A40" s="1" t="s">
        <v>12</v>
      </c>
      <c r="B40" s="11">
        <v>5.8808857904574197</v>
      </c>
      <c r="C40" s="11">
        <v>6.0718870733003136</v>
      </c>
      <c r="D40" s="11">
        <v>5.4797161980062397</v>
      </c>
      <c r="E40" s="11">
        <v>5.6009909428529792</v>
      </c>
      <c r="F40" s="11">
        <v>5.680456486573453</v>
      </c>
      <c r="G40" s="11">
        <v>4.6164151060390424</v>
      </c>
      <c r="H40" s="11">
        <v>4.3597831894692032</v>
      </c>
      <c r="I40" s="11">
        <v>3.6138666440087519</v>
      </c>
      <c r="J40" s="11">
        <v>3.9732370958051897</v>
      </c>
      <c r="K40" s="11">
        <v>3.940040116063952</v>
      </c>
      <c r="L40" s="12"/>
      <c r="M40" s="12"/>
      <c r="N40" s="12"/>
      <c r="O40" s="12"/>
      <c r="P40" s="12"/>
      <c r="Q40" s="12"/>
      <c r="R40" s="12"/>
      <c r="S40" s="12"/>
      <c r="T40" s="12"/>
      <c r="U40" s="12"/>
      <c r="V40" s="12"/>
      <c r="W40" s="12"/>
      <c r="X40" s="12"/>
      <c r="Y40" s="12"/>
      <c r="Z40" s="12"/>
      <c r="AA40" s="12"/>
      <c r="AB40" s="12"/>
      <c r="AC40" s="12"/>
    </row>
    <row r="41" spans="1:29" ht="9" customHeight="1">
      <c r="A41" s="1" t="s">
        <v>13</v>
      </c>
      <c r="B41" s="11">
        <v>0.16250000000000001</v>
      </c>
      <c r="C41" s="11">
        <v>0.35000000000000003</v>
      </c>
      <c r="D41" s="11">
        <v>0.33750000000000002</v>
      </c>
      <c r="E41" s="11">
        <v>0.26250000000000001</v>
      </c>
      <c r="F41" s="11">
        <v>0.33750000000000002</v>
      </c>
      <c r="G41" s="11">
        <v>0.23749999999999999</v>
      </c>
      <c r="H41" s="11">
        <v>0.28750000000000003</v>
      </c>
      <c r="I41" s="11">
        <v>0.38750000000000001</v>
      </c>
      <c r="J41" s="11">
        <v>0.35000000000000003</v>
      </c>
      <c r="K41" s="11">
        <v>0.51250000000000007</v>
      </c>
      <c r="L41" s="12"/>
      <c r="M41" s="12"/>
      <c r="N41" s="12"/>
      <c r="O41" s="12"/>
      <c r="P41" s="12"/>
      <c r="Q41" s="12"/>
      <c r="R41" s="12"/>
      <c r="S41" s="12"/>
      <c r="T41" s="12"/>
      <c r="U41" s="12"/>
      <c r="V41" s="12"/>
      <c r="W41" s="12"/>
      <c r="X41" s="12"/>
      <c r="Y41" s="12"/>
      <c r="Z41" s="12"/>
      <c r="AA41" s="12"/>
      <c r="AB41" s="12"/>
      <c r="AC41" s="12"/>
    </row>
    <row r="42" spans="1:29" ht="3" customHeight="1">
      <c r="A42" s="1"/>
      <c r="B42" s="11"/>
      <c r="C42" s="11"/>
      <c r="D42" s="11"/>
      <c r="E42" s="11"/>
      <c r="F42" s="11"/>
      <c r="G42" s="11"/>
      <c r="H42" s="11"/>
      <c r="I42" s="11"/>
      <c r="J42" s="11"/>
      <c r="K42" s="11"/>
      <c r="L42" s="12"/>
      <c r="M42" s="12"/>
      <c r="N42" s="12"/>
      <c r="O42" s="12"/>
      <c r="P42" s="12"/>
      <c r="Q42" s="12"/>
      <c r="R42" s="12"/>
      <c r="S42" s="12"/>
      <c r="T42" s="12"/>
      <c r="U42" s="12"/>
      <c r="V42" s="12"/>
      <c r="W42" s="12"/>
      <c r="X42" s="12"/>
      <c r="Y42" s="3"/>
      <c r="Z42" s="3"/>
      <c r="AA42" s="3"/>
      <c r="AB42" s="3"/>
      <c r="AC42" s="3"/>
    </row>
    <row r="43" spans="1:29" ht="9" customHeight="1">
      <c r="A43" s="1" t="s">
        <v>26</v>
      </c>
      <c r="B43" s="11">
        <v>7.140921347391858</v>
      </c>
      <c r="C43" s="11">
        <v>6.8426969843369747</v>
      </c>
      <c r="D43" s="11">
        <v>6.0936725258526341</v>
      </c>
      <c r="E43" s="11">
        <v>6.9410159372226232</v>
      </c>
      <c r="F43" s="11">
        <v>7.1935947444056652</v>
      </c>
      <c r="G43" s="11">
        <v>7.1946772107269084</v>
      </c>
      <c r="H43" s="11">
        <v>6.8990493823985748</v>
      </c>
      <c r="I43" s="11">
        <v>6.630923805680057</v>
      </c>
      <c r="J43" s="11">
        <v>5.7161385955160284</v>
      </c>
      <c r="K43" s="11">
        <v>5.9957101962126202</v>
      </c>
      <c r="L43" s="12"/>
      <c r="M43" s="12"/>
      <c r="N43" s="12"/>
      <c r="O43" s="12"/>
      <c r="P43" s="12"/>
      <c r="Q43" s="12"/>
      <c r="R43" s="12"/>
      <c r="S43" s="12"/>
      <c r="T43" s="12"/>
      <c r="U43" s="12"/>
      <c r="V43" s="12"/>
      <c r="W43" s="12"/>
      <c r="X43" s="12"/>
      <c r="Y43" s="12"/>
      <c r="Z43" s="12"/>
      <c r="AA43" s="12"/>
      <c r="AB43" s="12"/>
      <c r="AC43" s="12"/>
    </row>
    <row r="44" spans="1:29" ht="9" customHeight="1">
      <c r="A44" s="1" t="s">
        <v>11</v>
      </c>
      <c r="B44" s="11">
        <v>2.8232631775854435</v>
      </c>
      <c r="C44" s="11">
        <v>2.3790280706348739</v>
      </c>
      <c r="D44" s="11">
        <v>2.2987068099077566</v>
      </c>
      <c r="E44" s="11">
        <v>2.2967441079968736</v>
      </c>
      <c r="F44" s="11">
        <v>2.6120723168382565</v>
      </c>
      <c r="G44" s="11">
        <v>2.823622040431395</v>
      </c>
      <c r="H44" s="11">
        <v>2.8458525128363381</v>
      </c>
      <c r="I44" s="11">
        <v>2.9895702784799374</v>
      </c>
      <c r="J44" s="11">
        <v>2.5413950511226782</v>
      </c>
      <c r="K44" s="11">
        <v>2.7858686852669443</v>
      </c>
      <c r="L44" s="12"/>
      <c r="M44" s="12"/>
      <c r="N44" s="12"/>
      <c r="O44" s="12"/>
      <c r="P44" s="12"/>
      <c r="Q44" s="12"/>
      <c r="R44" s="12"/>
      <c r="S44" s="12"/>
      <c r="T44" s="12"/>
      <c r="U44" s="12"/>
      <c r="V44" s="12"/>
      <c r="W44" s="12"/>
      <c r="X44" s="12"/>
      <c r="Y44" s="12"/>
      <c r="Z44" s="12"/>
      <c r="AA44" s="12"/>
      <c r="AB44" s="12"/>
      <c r="AC44" s="12"/>
    </row>
    <row r="45" spans="1:29" ht="9" customHeight="1">
      <c r="A45" s="1" t="s">
        <v>12</v>
      </c>
      <c r="B45" s="11">
        <v>4.317658169806414</v>
      </c>
      <c r="C45" s="11">
        <v>4.4636689137021008</v>
      </c>
      <c r="D45" s="11">
        <v>3.7949657159448771</v>
      </c>
      <c r="E45" s="11">
        <v>4.6442718292257492</v>
      </c>
      <c r="F45" s="11">
        <v>4.5815224275674087</v>
      </c>
      <c r="G45" s="11">
        <v>4.3710551702955129</v>
      </c>
      <c r="H45" s="11">
        <v>4.0531968695622362</v>
      </c>
      <c r="I45" s="11">
        <v>3.6413535272001196</v>
      </c>
      <c r="J45" s="11">
        <v>3.1747435443933498</v>
      </c>
      <c r="K45" s="11">
        <v>3.2098415109456764</v>
      </c>
      <c r="L45" s="12"/>
      <c r="M45" s="12"/>
      <c r="N45" s="12"/>
      <c r="O45" s="12"/>
      <c r="P45" s="12"/>
      <c r="Q45" s="12"/>
      <c r="R45" s="12"/>
      <c r="S45" s="12"/>
      <c r="T45" s="12"/>
      <c r="U45" s="12"/>
      <c r="V45" s="12"/>
      <c r="W45" s="12"/>
      <c r="X45" s="12"/>
      <c r="Y45" s="12"/>
      <c r="Z45" s="12"/>
      <c r="AA45" s="12"/>
      <c r="AB45" s="12"/>
      <c r="AC45" s="12"/>
    </row>
    <row r="46" spans="1:29" ht="3" customHeight="1">
      <c r="A46" s="1"/>
      <c r="B46" s="11"/>
      <c r="C46" s="11"/>
      <c r="D46" s="11"/>
      <c r="E46" s="11"/>
      <c r="F46" s="11"/>
      <c r="G46" s="11"/>
      <c r="H46" s="11"/>
      <c r="I46" s="11"/>
      <c r="J46" s="11"/>
      <c r="K46" s="11"/>
      <c r="L46" s="12"/>
      <c r="M46" s="12"/>
      <c r="N46" s="12"/>
      <c r="O46" s="12"/>
      <c r="P46" s="12"/>
      <c r="Q46" s="12"/>
      <c r="R46" s="12"/>
      <c r="S46" s="12"/>
      <c r="T46" s="12"/>
      <c r="U46" s="12"/>
      <c r="V46" s="12"/>
      <c r="W46" s="12"/>
      <c r="X46" s="12"/>
      <c r="Y46" s="3"/>
      <c r="Z46" s="3"/>
      <c r="AA46" s="3"/>
      <c r="AB46" s="3"/>
      <c r="AC46" s="3"/>
    </row>
    <row r="47" spans="1:29" ht="9" customHeight="1">
      <c r="A47" s="1" t="s">
        <v>27</v>
      </c>
      <c r="B47" s="11">
        <v>1.7095443634983347</v>
      </c>
      <c r="C47" s="11">
        <v>1.6089579625331016</v>
      </c>
      <c r="D47" s="11">
        <v>1.437016191970947</v>
      </c>
      <c r="E47" s="11">
        <v>1.4881761853078119</v>
      </c>
      <c r="F47" s="11">
        <v>1.5579465405764177</v>
      </c>
      <c r="G47" s="11">
        <v>1.3110561089215853</v>
      </c>
      <c r="H47" s="11">
        <v>1.5598054742168641</v>
      </c>
      <c r="I47" s="11">
        <v>1.6109332723445009</v>
      </c>
      <c r="J47" s="11">
        <v>1.7033391315886472</v>
      </c>
      <c r="K47" s="11">
        <v>1.411780120018594</v>
      </c>
      <c r="L47" s="12"/>
      <c r="M47" s="12"/>
      <c r="N47" s="12"/>
      <c r="O47" s="12"/>
      <c r="P47" s="12"/>
      <c r="Q47" s="12"/>
      <c r="R47" s="12"/>
      <c r="S47" s="12"/>
      <c r="T47" s="12"/>
      <c r="U47" s="12"/>
      <c r="V47" s="12"/>
      <c r="W47" s="12"/>
      <c r="X47" s="12"/>
      <c r="Y47" s="12"/>
      <c r="Z47" s="12"/>
      <c r="AA47" s="12"/>
      <c r="AB47" s="12"/>
      <c r="AC47" s="12"/>
    </row>
    <row r="48" spans="1:29" ht="9" customHeight="1">
      <c r="A48" s="1" t="s">
        <v>11</v>
      </c>
      <c r="B48" s="11">
        <v>0.82005182654161024</v>
      </c>
      <c r="C48" s="11">
        <v>0.6302244379969032</v>
      </c>
      <c r="D48" s="11">
        <v>0.53193162162769281</v>
      </c>
      <c r="E48" s="11">
        <v>0.67539046010975079</v>
      </c>
      <c r="F48" s="11">
        <v>0.6859120170731493</v>
      </c>
      <c r="G48" s="11">
        <v>0.52920866562883195</v>
      </c>
      <c r="H48" s="11">
        <v>0.51940668768411813</v>
      </c>
      <c r="I48" s="11">
        <v>0.72853137123517431</v>
      </c>
      <c r="J48" s="11">
        <v>0.70235415573645632</v>
      </c>
      <c r="K48" s="11">
        <v>0.42312111579847855</v>
      </c>
      <c r="L48" s="12"/>
      <c r="M48" s="12"/>
      <c r="N48" s="12"/>
      <c r="O48" s="12"/>
      <c r="P48" s="12"/>
      <c r="Q48" s="12"/>
      <c r="R48" s="12"/>
      <c r="S48" s="12"/>
      <c r="T48" s="12"/>
      <c r="U48" s="12"/>
      <c r="V48" s="12"/>
      <c r="W48" s="12"/>
      <c r="X48" s="12"/>
      <c r="Y48" s="12"/>
      <c r="Z48" s="12"/>
      <c r="AA48" s="12"/>
      <c r="AB48" s="12"/>
      <c r="AC48" s="12"/>
    </row>
    <row r="49" spans="1:29" ht="9" customHeight="1">
      <c r="A49" s="1" t="s">
        <v>12</v>
      </c>
      <c r="B49" s="11">
        <v>0.23186876095745823</v>
      </c>
      <c r="C49" s="11">
        <v>0.28062828431988779</v>
      </c>
      <c r="D49" s="11">
        <v>0.21277826039424608</v>
      </c>
      <c r="E49" s="11">
        <v>0.20401009257492447</v>
      </c>
      <c r="F49" s="11">
        <v>0.32725263649871039</v>
      </c>
      <c r="G49" s="11">
        <v>0.24615521052790962</v>
      </c>
      <c r="H49" s="11">
        <v>0.31998257208583214</v>
      </c>
      <c r="I49" s="11">
        <v>0.21070195189739538</v>
      </c>
      <c r="J49" s="11">
        <v>0.34606934297186193</v>
      </c>
      <c r="K49" s="11">
        <v>0.30226765283249607</v>
      </c>
      <c r="L49" s="12"/>
      <c r="M49" s="12"/>
      <c r="N49" s="12"/>
      <c r="O49" s="12"/>
      <c r="P49" s="12"/>
      <c r="Q49" s="12"/>
      <c r="R49" s="12"/>
      <c r="S49" s="12"/>
      <c r="T49" s="12"/>
      <c r="U49" s="12"/>
      <c r="V49" s="12"/>
      <c r="W49" s="12"/>
      <c r="X49" s="12"/>
      <c r="Y49" s="12"/>
      <c r="Z49" s="12"/>
      <c r="AA49" s="12"/>
      <c r="AB49" s="12"/>
      <c r="AC49" s="12"/>
    </row>
    <row r="50" spans="1:29" ht="9" customHeight="1">
      <c r="A50" s="1" t="s">
        <v>13</v>
      </c>
      <c r="B50" s="11">
        <v>0.65762377599926625</v>
      </c>
      <c r="C50" s="11">
        <v>0.6981052402163106</v>
      </c>
      <c r="D50" s="11">
        <v>0.69230630994900821</v>
      </c>
      <c r="E50" s="11">
        <v>0.60877563262313672</v>
      </c>
      <c r="F50" s="11">
        <v>0.5447818870045581</v>
      </c>
      <c r="G50" s="11">
        <v>0.53569223276484357</v>
      </c>
      <c r="H50" s="11">
        <v>0.72041621444691384</v>
      </c>
      <c r="I50" s="11">
        <v>0.67169994921193132</v>
      </c>
      <c r="J50" s="11">
        <v>0.65491563288032906</v>
      </c>
      <c r="K50" s="11">
        <v>0.68639135138761931</v>
      </c>
      <c r="L50" s="12"/>
      <c r="M50" s="12"/>
      <c r="N50" s="12"/>
      <c r="O50" s="12"/>
      <c r="P50" s="12"/>
      <c r="Q50" s="12"/>
      <c r="R50" s="12"/>
      <c r="S50" s="12"/>
      <c r="T50" s="12"/>
      <c r="U50" s="12"/>
      <c r="V50" s="12"/>
      <c r="W50" s="12"/>
      <c r="X50" s="12"/>
      <c r="Y50" s="12"/>
      <c r="Z50" s="12"/>
      <c r="AA50" s="12"/>
      <c r="AB50" s="12"/>
      <c r="AC50" s="12"/>
    </row>
    <row r="51" spans="1:29" ht="3" customHeight="1">
      <c r="A51" s="1"/>
      <c r="B51" s="11"/>
      <c r="C51" s="11"/>
      <c r="D51" s="11"/>
      <c r="E51" s="11"/>
      <c r="F51" s="11"/>
      <c r="G51" s="11"/>
      <c r="H51" s="11"/>
      <c r="I51" s="11"/>
      <c r="J51" s="11"/>
      <c r="K51" s="11"/>
      <c r="L51" s="12"/>
      <c r="M51" s="12"/>
      <c r="N51" s="12"/>
      <c r="O51" s="12"/>
      <c r="P51" s="12"/>
      <c r="Q51" s="12"/>
      <c r="R51" s="12"/>
      <c r="S51" s="12"/>
      <c r="T51" s="12"/>
      <c r="U51" s="12"/>
      <c r="V51" s="12"/>
      <c r="W51" s="12"/>
      <c r="X51" s="12"/>
      <c r="Y51" s="3"/>
      <c r="Z51" s="3"/>
      <c r="AA51" s="3"/>
      <c r="AB51" s="3"/>
      <c r="AC51" s="3"/>
    </row>
    <row r="52" spans="1:29" ht="9" customHeight="1">
      <c r="A52" s="1" t="s">
        <v>28</v>
      </c>
      <c r="B52" s="11">
        <v>2.7594973284105766</v>
      </c>
      <c r="C52" s="11">
        <v>2.9635486902864616</v>
      </c>
      <c r="D52" s="11">
        <v>3.2912819821641168</v>
      </c>
      <c r="E52" s="11">
        <v>2.984128324187421</v>
      </c>
      <c r="F52" s="11">
        <v>3.1883670727101867</v>
      </c>
      <c r="G52" s="11">
        <v>3.3375221554490664</v>
      </c>
      <c r="H52" s="11">
        <v>3.4262780160904098</v>
      </c>
      <c r="I52" s="11">
        <v>3.4339271980777362</v>
      </c>
      <c r="J52" s="11">
        <v>4.0377344424323454</v>
      </c>
      <c r="K52" s="11">
        <v>4.0361069502570599</v>
      </c>
      <c r="L52" s="12"/>
      <c r="M52" s="12"/>
      <c r="N52" s="12"/>
      <c r="O52" s="12"/>
      <c r="P52" s="12"/>
      <c r="Q52" s="12"/>
      <c r="R52" s="12"/>
      <c r="S52" s="12"/>
      <c r="T52" s="12"/>
      <c r="U52" s="12"/>
      <c r="V52" s="12"/>
      <c r="W52" s="12"/>
      <c r="X52" s="12"/>
      <c r="Y52" s="12"/>
      <c r="Z52" s="12"/>
      <c r="AA52" s="12"/>
      <c r="AB52" s="12"/>
      <c r="AC52" s="12"/>
    </row>
    <row r="53" spans="1:29" ht="9" customHeight="1">
      <c r="A53" s="1" t="s">
        <v>11</v>
      </c>
      <c r="B53" s="11">
        <v>1.6561561217235765</v>
      </c>
      <c r="C53" s="11">
        <v>1.9124678190511217</v>
      </c>
      <c r="D53" s="11">
        <v>2.1225284722690207</v>
      </c>
      <c r="E53" s="11">
        <v>1.9017573482037724</v>
      </c>
      <c r="F53" s="11">
        <v>1.9659898298832807</v>
      </c>
      <c r="G53" s="11">
        <v>2.1735473939625858</v>
      </c>
      <c r="H53" s="11">
        <v>2.3692008200251524</v>
      </c>
      <c r="I53" s="11">
        <v>2.3222695011245933</v>
      </c>
      <c r="J53" s="11">
        <v>2.9648526748692601</v>
      </c>
      <c r="K53" s="11">
        <v>2.9867947631947533</v>
      </c>
      <c r="L53" s="12"/>
      <c r="M53" s="12"/>
      <c r="N53" s="12"/>
      <c r="O53" s="12"/>
      <c r="P53" s="12"/>
      <c r="Q53" s="12"/>
      <c r="R53" s="12"/>
      <c r="S53" s="12"/>
      <c r="T53" s="12"/>
      <c r="U53" s="12"/>
      <c r="V53" s="12"/>
      <c r="W53" s="12"/>
      <c r="X53" s="12"/>
      <c r="Y53" s="12"/>
      <c r="Z53" s="12"/>
      <c r="AA53" s="12"/>
      <c r="AB53" s="12"/>
      <c r="AC53" s="12"/>
    </row>
    <row r="54" spans="1:29" ht="9" customHeight="1">
      <c r="A54" s="1" t="s">
        <v>13</v>
      </c>
      <c r="B54" s="11">
        <v>1.1033412066869999</v>
      </c>
      <c r="C54" s="11">
        <v>1.0510808712353399</v>
      </c>
      <c r="D54" s="11">
        <v>1.1687535098950963</v>
      </c>
      <c r="E54" s="11">
        <v>1.0823709759836484</v>
      </c>
      <c r="F54" s="11">
        <v>1.222377242826906</v>
      </c>
      <c r="G54" s="11">
        <v>1.1639747614864806</v>
      </c>
      <c r="H54" s="11">
        <v>1.0570771960652574</v>
      </c>
      <c r="I54" s="11">
        <v>1.1116576969531429</v>
      </c>
      <c r="J54" s="11">
        <v>1.0728817675630848</v>
      </c>
      <c r="K54" s="11">
        <v>1.0493121870623066</v>
      </c>
      <c r="L54" s="12"/>
      <c r="M54" s="12"/>
      <c r="N54" s="12"/>
      <c r="O54" s="12"/>
      <c r="P54" s="12"/>
      <c r="Q54" s="12"/>
      <c r="R54" s="12"/>
      <c r="S54" s="12"/>
      <c r="T54" s="12"/>
      <c r="U54" s="12"/>
      <c r="V54" s="12"/>
      <c r="W54" s="12"/>
      <c r="X54" s="12"/>
      <c r="Y54" s="12"/>
      <c r="Z54" s="12"/>
      <c r="AA54" s="12"/>
      <c r="AB54" s="12"/>
      <c r="AC54" s="12"/>
    </row>
    <row r="55" spans="1:29" ht="3" customHeight="1">
      <c r="A55" s="1"/>
      <c r="B55" s="11"/>
      <c r="C55" s="11"/>
      <c r="D55" s="11"/>
      <c r="E55" s="11"/>
      <c r="F55" s="11"/>
      <c r="G55" s="11"/>
      <c r="H55" s="11"/>
      <c r="I55" s="11"/>
      <c r="J55" s="11"/>
      <c r="K55" s="11"/>
      <c r="L55" s="12"/>
      <c r="M55" s="12"/>
      <c r="N55" s="12"/>
      <c r="O55" s="12"/>
      <c r="P55" s="12"/>
      <c r="Q55" s="12"/>
      <c r="R55" s="12"/>
      <c r="S55" s="12"/>
      <c r="T55" s="12"/>
      <c r="U55" s="12"/>
      <c r="V55" s="12"/>
      <c r="W55" s="12"/>
      <c r="X55" s="12"/>
      <c r="Y55" s="3"/>
      <c r="Z55" s="3"/>
      <c r="AA55" s="3"/>
      <c r="AB55" s="3"/>
      <c r="AC55" s="3"/>
    </row>
    <row r="56" spans="1:29" ht="9" customHeight="1">
      <c r="A56" s="1" t="s">
        <v>29</v>
      </c>
      <c r="B56" s="11">
        <v>10.267900340092186</v>
      </c>
      <c r="C56" s="11">
        <v>10.925965240702148</v>
      </c>
      <c r="D56" s="11">
        <v>10.819524170312466</v>
      </c>
      <c r="E56" s="11">
        <v>12.014885747070718</v>
      </c>
      <c r="F56" s="11">
        <v>12.069300714806392</v>
      </c>
      <c r="G56" s="11">
        <v>11.256493997069132</v>
      </c>
      <c r="H56" s="11">
        <v>11.462089312763794</v>
      </c>
      <c r="I56" s="11">
        <v>11.40725582863935</v>
      </c>
      <c r="J56" s="11">
        <v>10.580565498933776</v>
      </c>
      <c r="K56" s="11">
        <v>12.216016388566924</v>
      </c>
      <c r="L56" s="12"/>
      <c r="M56" s="12"/>
      <c r="N56" s="12"/>
      <c r="O56" s="12"/>
      <c r="P56" s="12"/>
      <c r="Q56" s="12"/>
      <c r="R56" s="12"/>
      <c r="S56" s="12"/>
      <c r="T56" s="12"/>
      <c r="U56" s="12"/>
      <c r="V56" s="12"/>
      <c r="W56" s="12"/>
      <c r="X56" s="12"/>
      <c r="Y56" s="12"/>
      <c r="Z56" s="12"/>
      <c r="AA56" s="12"/>
      <c r="AB56" s="12"/>
      <c r="AC56" s="12"/>
    </row>
    <row r="57" spans="1:29" ht="9" customHeight="1">
      <c r="A57" s="1" t="s">
        <v>11</v>
      </c>
      <c r="B57" s="11">
        <v>1.1479808287660238</v>
      </c>
      <c r="C57" s="11">
        <v>1.3612484618982106</v>
      </c>
      <c r="D57" s="11">
        <v>1.4448412965833277</v>
      </c>
      <c r="E57" s="11">
        <v>1.4649752282775321</v>
      </c>
      <c r="F57" s="11">
        <v>1.4987309310311516</v>
      </c>
      <c r="G57" s="11">
        <v>1.5563170207769843</v>
      </c>
      <c r="H57" s="11">
        <v>1.6598618360983342</v>
      </c>
      <c r="I57" s="11">
        <v>1.6815545416910294</v>
      </c>
      <c r="J57" s="11">
        <v>1.5083690151810043</v>
      </c>
      <c r="K57" s="11">
        <v>1.477359455855342</v>
      </c>
      <c r="L57" s="12"/>
      <c r="M57" s="12"/>
      <c r="N57" s="12"/>
      <c r="O57" s="12"/>
      <c r="P57" s="12"/>
      <c r="Q57" s="12"/>
      <c r="R57" s="12"/>
      <c r="S57" s="12"/>
      <c r="T57" s="12"/>
      <c r="U57" s="12"/>
      <c r="V57" s="12"/>
      <c r="W57" s="12"/>
      <c r="X57" s="12"/>
      <c r="Y57" s="12"/>
      <c r="Z57" s="12"/>
      <c r="AA57" s="12"/>
      <c r="AB57" s="12"/>
      <c r="AC57" s="12"/>
    </row>
    <row r="58" spans="1:29" ht="9" customHeight="1">
      <c r="A58" s="1" t="s">
        <v>12</v>
      </c>
      <c r="B58" s="11">
        <v>6.0341720854541698</v>
      </c>
      <c r="C58" s="11">
        <v>5.9932123676869233</v>
      </c>
      <c r="D58" s="11">
        <v>5.7136378572185906</v>
      </c>
      <c r="E58" s="11">
        <v>6.2516599356024098</v>
      </c>
      <c r="F58" s="11">
        <v>5.9513913412609893</v>
      </c>
      <c r="G58" s="11">
        <v>5.4560344508753467</v>
      </c>
      <c r="H58" s="11">
        <v>5.4723625827002254</v>
      </c>
      <c r="I58" s="11">
        <v>5.534488049614394</v>
      </c>
      <c r="J58" s="11">
        <v>5.0179778950615193</v>
      </c>
      <c r="K58" s="11">
        <v>5.6555914223243562</v>
      </c>
      <c r="L58" s="12"/>
      <c r="M58" s="12"/>
      <c r="N58" s="12"/>
      <c r="O58" s="12"/>
      <c r="P58" s="12"/>
      <c r="Q58" s="12"/>
      <c r="R58" s="12"/>
      <c r="S58" s="12"/>
      <c r="T58" s="12"/>
      <c r="U58" s="12"/>
      <c r="V58" s="12"/>
      <c r="W58" s="12"/>
      <c r="X58" s="12"/>
      <c r="Y58" s="12"/>
      <c r="Z58" s="12"/>
      <c r="AA58" s="12"/>
      <c r="AB58" s="12"/>
      <c r="AC58" s="12"/>
    </row>
    <row r="59" spans="1:29" ht="9" customHeight="1">
      <c r="A59" s="1" t="s">
        <v>14</v>
      </c>
      <c r="B59" s="11">
        <v>3.0857474258719928</v>
      </c>
      <c r="C59" s="11">
        <v>3.5715044111170138</v>
      </c>
      <c r="D59" s="11">
        <v>3.6610450165105464</v>
      </c>
      <c r="E59" s="11">
        <v>4.298250583190776</v>
      </c>
      <c r="F59" s="11">
        <v>4.6191784425142499</v>
      </c>
      <c r="G59" s="11">
        <v>4.2441425254168008</v>
      </c>
      <c r="H59" s="11">
        <v>4.3298648939652358</v>
      </c>
      <c r="I59" s="11">
        <v>4.1912132373339261</v>
      </c>
      <c r="J59" s="11">
        <v>4.0542185886912518</v>
      </c>
      <c r="K59" s="11">
        <v>5.0830655103872253</v>
      </c>
      <c r="L59" s="12"/>
      <c r="M59" s="12"/>
      <c r="N59" s="12"/>
      <c r="O59" s="12"/>
      <c r="P59" s="12"/>
      <c r="Q59" s="12"/>
      <c r="R59" s="12"/>
      <c r="S59" s="12"/>
      <c r="T59" s="12"/>
      <c r="U59" s="12"/>
      <c r="V59" s="12"/>
      <c r="W59" s="12"/>
      <c r="X59" s="12"/>
      <c r="Y59" s="12"/>
      <c r="Z59" s="12"/>
      <c r="AA59" s="12"/>
      <c r="AB59" s="12"/>
      <c r="AC59" s="12"/>
    </row>
    <row r="60" spans="1:29" ht="3" customHeight="1">
      <c r="A60" s="1"/>
      <c r="B60" s="11"/>
      <c r="C60" s="11"/>
      <c r="D60" s="11"/>
      <c r="E60" s="11"/>
      <c r="F60" s="11"/>
      <c r="G60" s="11"/>
      <c r="H60" s="11"/>
      <c r="I60" s="11"/>
      <c r="J60" s="11"/>
      <c r="K60" s="11"/>
      <c r="L60" s="12"/>
      <c r="M60" s="12"/>
      <c r="N60" s="12"/>
      <c r="O60" s="12"/>
      <c r="P60" s="12"/>
      <c r="Q60" s="12"/>
      <c r="R60" s="12"/>
      <c r="S60" s="12"/>
      <c r="T60" s="12"/>
      <c r="U60" s="12"/>
      <c r="V60" s="12"/>
      <c r="W60" s="12"/>
      <c r="X60" s="12"/>
      <c r="Y60" s="3"/>
      <c r="Z60" s="3"/>
      <c r="AA60" s="3"/>
      <c r="AB60" s="3"/>
      <c r="AC60" s="3"/>
    </row>
    <row r="61" spans="1:29" ht="9" customHeight="1">
      <c r="A61" s="1" t="s">
        <v>30</v>
      </c>
      <c r="B61" s="11">
        <v>1.0342369427177081</v>
      </c>
      <c r="C61" s="11">
        <v>1.1164837509001528</v>
      </c>
      <c r="D61" s="11">
        <v>1.773086795487004</v>
      </c>
      <c r="E61" s="11">
        <v>0.8731448671098242</v>
      </c>
      <c r="F61" s="11">
        <v>1.271767853082429</v>
      </c>
      <c r="G61" s="11">
        <v>0.80690074156084868</v>
      </c>
      <c r="H61" s="11">
        <v>1.3766221205676887</v>
      </c>
      <c r="I61" s="11">
        <v>1.0219307509455602</v>
      </c>
      <c r="J61" s="11">
        <v>1.1770245269988315</v>
      </c>
      <c r="K61" s="11">
        <v>1.3143409548395875</v>
      </c>
      <c r="L61" s="12"/>
      <c r="M61" s="12"/>
      <c r="N61" s="12"/>
      <c r="O61" s="12"/>
      <c r="P61" s="12"/>
      <c r="Q61" s="12"/>
      <c r="R61" s="12"/>
      <c r="S61" s="12"/>
      <c r="T61" s="12"/>
      <c r="U61" s="12"/>
      <c r="V61" s="12"/>
      <c r="W61" s="12"/>
      <c r="X61" s="12"/>
      <c r="Y61" s="12"/>
      <c r="Z61" s="12"/>
      <c r="AA61" s="12"/>
      <c r="AB61" s="12"/>
      <c r="AC61" s="12"/>
    </row>
    <row r="62" spans="1:29" ht="9" customHeight="1">
      <c r="A62" s="1" t="s">
        <v>31</v>
      </c>
      <c r="B62" s="11">
        <v>1.1759951688847117</v>
      </c>
      <c r="C62" s="11">
        <v>1.1222678976570748</v>
      </c>
      <c r="D62" s="11">
        <v>1.2561373886383329</v>
      </c>
      <c r="E62" s="11">
        <v>0.8444358571265469</v>
      </c>
      <c r="F62" s="11">
        <v>2.0820469112825375</v>
      </c>
      <c r="G62" s="11">
        <v>1.5504677244302034</v>
      </c>
      <c r="H62" s="11">
        <v>1.8458688814247974</v>
      </c>
      <c r="I62" s="11">
        <v>2.193375869480596</v>
      </c>
      <c r="J62" s="11">
        <v>1.8308689708386099</v>
      </c>
      <c r="K62" s="11">
        <v>1.5067462840378807</v>
      </c>
      <c r="L62" s="12"/>
      <c r="M62" s="12"/>
      <c r="N62" s="12"/>
      <c r="O62" s="12"/>
      <c r="P62" s="12"/>
      <c r="Q62" s="12"/>
      <c r="R62" s="12"/>
      <c r="S62" s="12"/>
      <c r="T62" s="12"/>
      <c r="U62" s="12"/>
      <c r="V62" s="12"/>
      <c r="W62" s="12"/>
      <c r="X62" s="12"/>
      <c r="Y62" s="12"/>
      <c r="Z62" s="12"/>
      <c r="AA62" s="12"/>
      <c r="AB62" s="12"/>
      <c r="AC62" s="12"/>
    </row>
    <row r="63" spans="1:29" ht="3" customHeight="1">
      <c r="A63" s="1"/>
      <c r="B63" s="11"/>
      <c r="C63" s="11"/>
      <c r="D63" s="11"/>
      <c r="E63" s="11"/>
      <c r="F63" s="11"/>
      <c r="G63" s="11"/>
      <c r="H63" s="11"/>
      <c r="I63" s="11"/>
      <c r="J63" s="11"/>
      <c r="K63" s="11"/>
      <c r="L63" s="12"/>
      <c r="M63" s="12"/>
      <c r="N63" s="12"/>
      <c r="O63" s="12"/>
      <c r="P63" s="12"/>
      <c r="Q63" s="12"/>
      <c r="R63" s="12"/>
      <c r="S63" s="12"/>
      <c r="T63" s="12"/>
      <c r="U63" s="12"/>
      <c r="V63" s="12"/>
      <c r="W63" s="12"/>
      <c r="X63" s="12"/>
      <c r="Y63" s="3"/>
      <c r="Z63" s="3"/>
      <c r="AA63" s="3"/>
      <c r="AB63" s="3"/>
      <c r="AC63" s="3"/>
    </row>
    <row r="64" spans="1:29" ht="9" customHeight="1">
      <c r="A64" s="1" t="s">
        <v>32</v>
      </c>
      <c r="B64" s="11">
        <v>7.6232061214671605</v>
      </c>
      <c r="C64" s="11">
        <v>7.4692417396330661</v>
      </c>
      <c r="D64" s="11">
        <v>7.2164155297754631</v>
      </c>
      <c r="E64" s="11">
        <v>6.78978457908776</v>
      </c>
      <c r="F64" s="11">
        <v>6.6925000919977462</v>
      </c>
      <c r="G64" s="11">
        <v>7.1407027446454601</v>
      </c>
      <c r="H64" s="11">
        <v>6.5086339610113235</v>
      </c>
      <c r="I64" s="11">
        <v>6.7946047935367559</v>
      </c>
      <c r="J64" s="11">
        <v>7.9395460134791414</v>
      </c>
      <c r="K64" s="11">
        <v>7.0942314073172748</v>
      </c>
      <c r="L64" s="12"/>
      <c r="M64" s="12"/>
      <c r="N64" s="12"/>
      <c r="O64" s="12"/>
      <c r="P64" s="12"/>
      <c r="Q64" s="12"/>
      <c r="R64" s="12"/>
      <c r="S64" s="12"/>
      <c r="T64" s="12"/>
      <c r="U64" s="12"/>
      <c r="V64" s="12"/>
      <c r="W64" s="12"/>
      <c r="X64" s="12"/>
      <c r="Y64" s="12"/>
      <c r="Z64" s="12"/>
      <c r="AA64" s="12"/>
      <c r="AB64" s="12"/>
      <c r="AC64" s="12"/>
    </row>
    <row r="65" spans="1:30" ht="9" customHeight="1">
      <c r="A65" s="1" t="s">
        <v>33</v>
      </c>
      <c r="B65" s="11">
        <v>1.9268970578118192</v>
      </c>
      <c r="C65" s="11">
        <v>2.2177066732050181</v>
      </c>
      <c r="D65" s="11">
        <v>2.2540580003144868</v>
      </c>
      <c r="E65" s="11">
        <v>2.2188242873964139</v>
      </c>
      <c r="F65" s="11">
        <v>2.4163314685191852</v>
      </c>
      <c r="G65" s="11">
        <v>2.5888489167963962</v>
      </c>
      <c r="H65" s="11">
        <v>2.0299038710010855</v>
      </c>
      <c r="I65" s="11">
        <v>2.4661554499011977</v>
      </c>
      <c r="J65" s="11">
        <v>3.1756007878213479</v>
      </c>
      <c r="K65" s="11">
        <v>2.7623916365435739</v>
      </c>
      <c r="L65" s="12"/>
      <c r="M65" s="12"/>
      <c r="N65" s="12"/>
      <c r="O65" s="12"/>
      <c r="P65" s="12"/>
      <c r="Q65" s="12"/>
      <c r="R65" s="12"/>
      <c r="S65" s="12"/>
      <c r="T65" s="12"/>
      <c r="U65" s="12"/>
      <c r="V65" s="12"/>
      <c r="W65" s="12"/>
      <c r="X65" s="12"/>
      <c r="Y65" s="12"/>
      <c r="Z65" s="12"/>
      <c r="AA65" s="12"/>
      <c r="AB65" s="12"/>
      <c r="AC65" s="12"/>
    </row>
    <row r="66" spans="1:30" ht="9" customHeight="1">
      <c r="A66" s="1" t="s">
        <v>34</v>
      </c>
      <c r="B66" s="11">
        <v>1.0010090636553406</v>
      </c>
      <c r="C66" s="11">
        <v>0.91753506642804783</v>
      </c>
      <c r="D66" s="11">
        <v>0.87980752946097618</v>
      </c>
      <c r="E66" s="11">
        <v>0.79821029169134561</v>
      </c>
      <c r="F66" s="11">
        <v>0.76571862347856068</v>
      </c>
      <c r="G66" s="11">
        <v>0.61215382784906336</v>
      </c>
      <c r="H66" s="11">
        <v>0.65943009001023756</v>
      </c>
      <c r="I66" s="11">
        <v>0.52354934363555738</v>
      </c>
      <c r="J66" s="11">
        <v>0.626745225657793</v>
      </c>
      <c r="K66" s="11">
        <v>0.66503977077370102</v>
      </c>
      <c r="L66" s="12"/>
      <c r="M66" s="12"/>
      <c r="N66" s="12"/>
      <c r="O66" s="12"/>
      <c r="P66" s="12"/>
      <c r="Q66" s="12"/>
      <c r="R66" s="12"/>
      <c r="S66" s="12"/>
      <c r="T66" s="12"/>
      <c r="U66" s="12"/>
      <c r="V66" s="12"/>
      <c r="W66" s="12"/>
      <c r="X66" s="12"/>
      <c r="Y66" s="12"/>
      <c r="Z66" s="12"/>
      <c r="AA66" s="12"/>
      <c r="AB66" s="12"/>
      <c r="AC66" s="12"/>
    </row>
    <row r="67" spans="1:30" ht="9" customHeight="1">
      <c r="A67" s="1" t="s">
        <v>35</v>
      </c>
      <c r="B67" s="11">
        <v>0.51740000000000008</v>
      </c>
      <c r="C67" s="11">
        <v>0.51740000000000008</v>
      </c>
      <c r="D67" s="11">
        <v>0.45530000000000004</v>
      </c>
      <c r="E67" s="11">
        <v>0.37990000000000007</v>
      </c>
      <c r="F67" s="11">
        <v>0.40040000000000003</v>
      </c>
      <c r="G67" s="11">
        <v>0.37810000000000005</v>
      </c>
      <c r="H67" s="11">
        <v>0.36930000000000002</v>
      </c>
      <c r="I67" s="11">
        <v>0.31970000000000004</v>
      </c>
      <c r="J67" s="11">
        <v>0.45050000000000001</v>
      </c>
      <c r="K67" s="11">
        <v>0.49359999999999998</v>
      </c>
      <c r="L67" s="12"/>
      <c r="M67" s="12"/>
      <c r="N67" s="12"/>
      <c r="O67" s="12"/>
      <c r="P67" s="12"/>
      <c r="Q67" s="12"/>
      <c r="R67" s="12"/>
      <c r="S67" s="12"/>
      <c r="T67" s="12"/>
      <c r="U67" s="12"/>
      <c r="V67" s="12"/>
      <c r="W67" s="12"/>
      <c r="X67" s="12"/>
      <c r="Y67" s="12"/>
      <c r="Z67" s="12"/>
      <c r="AA67" s="12"/>
      <c r="AB67" s="12"/>
      <c r="AC67" s="12"/>
    </row>
    <row r="68" spans="1:30" ht="9" customHeight="1">
      <c r="A68" s="1" t="s">
        <v>36</v>
      </c>
      <c r="B68" s="11">
        <v>1.43</v>
      </c>
      <c r="C68" s="11">
        <v>1.17</v>
      </c>
      <c r="D68" s="11">
        <v>1.3</v>
      </c>
      <c r="E68" s="11">
        <v>1.17</v>
      </c>
      <c r="F68" s="11">
        <v>1.17</v>
      </c>
      <c r="G68" s="11">
        <v>1.3</v>
      </c>
      <c r="H68" s="11">
        <v>1.04</v>
      </c>
      <c r="I68" s="11">
        <v>0.78</v>
      </c>
      <c r="J68" s="11">
        <v>0.91000000000000014</v>
      </c>
      <c r="K68" s="11">
        <v>0.91000000000000014</v>
      </c>
      <c r="L68" s="12"/>
      <c r="M68" s="12"/>
      <c r="N68" s="12"/>
      <c r="O68" s="12"/>
      <c r="P68" s="12"/>
      <c r="Q68" s="12"/>
      <c r="R68" s="12"/>
      <c r="S68" s="12"/>
      <c r="T68" s="12"/>
      <c r="U68" s="12"/>
      <c r="V68" s="12"/>
      <c r="W68" s="12"/>
      <c r="X68" s="12"/>
      <c r="Y68" s="12"/>
      <c r="Z68" s="12"/>
      <c r="AA68" s="12"/>
      <c r="AB68" s="12"/>
      <c r="AC68" s="12"/>
    </row>
    <row r="69" spans="1:30" ht="9" customHeight="1">
      <c r="A69" s="1" t="s">
        <v>37</v>
      </c>
      <c r="B69" s="11">
        <v>2.7479000000000005</v>
      </c>
      <c r="C69" s="11">
        <v>2.6466000000000003</v>
      </c>
      <c r="D69" s="11">
        <v>2.3272500000000003</v>
      </c>
      <c r="E69" s="11">
        <v>2.2228500000000002</v>
      </c>
      <c r="F69" s="11">
        <v>1.9400500000000003</v>
      </c>
      <c r="G69" s="11">
        <v>2.2616000000000005</v>
      </c>
      <c r="H69" s="11">
        <v>2.41</v>
      </c>
      <c r="I69" s="11">
        <v>2.7052000000000005</v>
      </c>
      <c r="J69" s="11">
        <v>2.7766999999999999</v>
      </c>
      <c r="K69" s="11">
        <v>2.2632000000000003</v>
      </c>
      <c r="L69" s="12"/>
      <c r="M69" s="12"/>
      <c r="N69" s="12"/>
      <c r="O69" s="12"/>
      <c r="P69" s="12"/>
      <c r="Q69" s="12"/>
      <c r="R69" s="12"/>
      <c r="S69" s="12"/>
      <c r="T69" s="12"/>
      <c r="U69" s="12"/>
      <c r="V69" s="12"/>
      <c r="W69" s="12"/>
      <c r="X69" s="12"/>
      <c r="Y69" s="12"/>
      <c r="Z69" s="12"/>
      <c r="AA69" s="12"/>
      <c r="AB69" s="12"/>
      <c r="AC69" s="12"/>
    </row>
    <row r="70" spans="1:30" ht="3" customHeight="1">
      <c r="A70" s="1"/>
      <c r="B70" s="11"/>
      <c r="C70" s="11"/>
      <c r="D70" s="11"/>
      <c r="E70" s="11"/>
      <c r="F70" s="11"/>
      <c r="G70" s="11"/>
      <c r="H70" s="11"/>
      <c r="I70" s="11"/>
      <c r="J70" s="11"/>
      <c r="K70" s="11"/>
      <c r="L70" s="12"/>
      <c r="M70" s="12"/>
      <c r="N70" s="12"/>
      <c r="O70" s="12"/>
      <c r="P70" s="12"/>
      <c r="Q70" s="12"/>
      <c r="R70" s="12"/>
      <c r="S70" s="12"/>
      <c r="T70" s="12"/>
      <c r="U70" s="12"/>
      <c r="V70" s="12"/>
      <c r="W70" s="12"/>
      <c r="X70" s="12"/>
      <c r="Y70" s="3"/>
      <c r="Z70" s="3"/>
      <c r="AA70" s="3"/>
      <c r="AB70" s="3"/>
      <c r="AC70" s="3"/>
    </row>
    <row r="71" spans="1:30" ht="9" customHeight="1">
      <c r="A71" s="1" t="s">
        <v>360</v>
      </c>
      <c r="B71" s="11">
        <v>263.60740359152209</v>
      </c>
      <c r="C71" s="11">
        <v>276.26112390741554</v>
      </c>
      <c r="D71" s="11">
        <v>268.67697944699739</v>
      </c>
      <c r="E71" s="11">
        <v>260.00790778948823</v>
      </c>
      <c r="F71" s="11">
        <v>278.51127477191818</v>
      </c>
      <c r="G71" s="11">
        <v>269.6419340467686</v>
      </c>
      <c r="H71" s="11">
        <v>273.89352135838834</v>
      </c>
      <c r="I71" s="11">
        <v>286.31669726672322</v>
      </c>
      <c r="J71" s="11">
        <v>272.14404856500437</v>
      </c>
      <c r="K71" s="11">
        <v>277.00908230773553</v>
      </c>
      <c r="L71" s="12"/>
      <c r="M71" s="12"/>
      <c r="N71" s="12"/>
      <c r="O71" s="12"/>
      <c r="P71" s="12"/>
      <c r="Q71" s="12"/>
      <c r="R71" s="12"/>
      <c r="S71" s="12"/>
      <c r="T71" s="12"/>
      <c r="U71" s="12"/>
      <c r="V71" s="12"/>
      <c r="W71" s="12"/>
      <c r="X71" s="12"/>
      <c r="Y71" s="12"/>
      <c r="Z71" s="12"/>
      <c r="AA71" s="12"/>
      <c r="AB71" s="12"/>
      <c r="AC71" s="12"/>
    </row>
    <row r="72" spans="1:30" ht="9" customHeight="1">
      <c r="A72" s="1" t="s">
        <v>38</v>
      </c>
      <c r="B72" s="11">
        <v>83.107762854819796</v>
      </c>
      <c r="C72" s="11">
        <v>80.170933559982586</v>
      </c>
      <c r="D72" s="11">
        <v>83.490477139175255</v>
      </c>
      <c r="E72" s="11">
        <v>80.663203031961103</v>
      </c>
      <c r="F72" s="11">
        <v>88.261732326044424</v>
      </c>
      <c r="G72" s="11">
        <v>83.900028242495722</v>
      </c>
      <c r="H72" s="11">
        <v>85.717870216858117</v>
      </c>
      <c r="I72" s="11">
        <v>90.541847265767402</v>
      </c>
      <c r="J72" s="11">
        <v>88.340715071587383</v>
      </c>
      <c r="K72" s="11">
        <v>86.393225350131516</v>
      </c>
      <c r="L72" s="12"/>
      <c r="M72" s="12"/>
      <c r="N72" s="12"/>
      <c r="O72" s="12"/>
      <c r="P72" s="12"/>
      <c r="Q72" s="12"/>
      <c r="R72" s="12"/>
      <c r="S72" s="12"/>
      <c r="T72" s="12"/>
      <c r="U72" s="12"/>
      <c r="V72" s="12"/>
      <c r="W72" s="12"/>
      <c r="X72" s="12"/>
      <c r="Y72" s="12"/>
      <c r="Z72" s="12"/>
      <c r="AA72" s="12"/>
      <c r="AB72" s="12"/>
      <c r="AC72" s="12"/>
      <c r="AD72" s="14"/>
    </row>
    <row r="73" spans="1:30" ht="9" customHeight="1">
      <c r="A73" s="1" t="s">
        <v>39</v>
      </c>
      <c r="B73" s="11">
        <v>23.198774701377229</v>
      </c>
      <c r="C73" s="11">
        <v>24.215796262245036</v>
      </c>
      <c r="D73" s="11">
        <v>23.854868548636652</v>
      </c>
      <c r="E73" s="11">
        <v>24.818753988131959</v>
      </c>
      <c r="F73" s="11">
        <v>24.399417009865079</v>
      </c>
      <c r="G73" s="11">
        <v>20.822836727110779</v>
      </c>
      <c r="H73" s="11">
        <v>21.907913638297238</v>
      </c>
      <c r="I73" s="11">
        <v>19.97775897707513</v>
      </c>
      <c r="J73" s="11">
        <v>19.576006880134759</v>
      </c>
      <c r="K73" s="11">
        <v>20.727454461355414</v>
      </c>
      <c r="L73" s="12"/>
      <c r="M73" s="12"/>
      <c r="N73" s="12"/>
      <c r="O73" s="12"/>
      <c r="P73" s="12"/>
      <c r="Q73" s="12"/>
      <c r="R73" s="12"/>
      <c r="S73" s="12"/>
      <c r="T73" s="12"/>
      <c r="U73" s="12"/>
      <c r="V73" s="12"/>
      <c r="W73" s="12"/>
      <c r="X73" s="12"/>
      <c r="Y73" s="12"/>
      <c r="Z73" s="12"/>
      <c r="AA73" s="12"/>
      <c r="AB73" s="12"/>
      <c r="AC73" s="12"/>
    </row>
    <row r="74" spans="1:30" ht="9" customHeight="1">
      <c r="A74" s="1" t="s">
        <v>40</v>
      </c>
      <c r="B74" s="11">
        <v>3.2563324012497841</v>
      </c>
      <c r="C74" s="11">
        <v>3.2994260150684296</v>
      </c>
      <c r="D74" s="11">
        <v>3.691985475931479</v>
      </c>
      <c r="E74" s="11">
        <v>3.0626226559636081</v>
      </c>
      <c r="F74" s="11">
        <v>3.2883896239557573</v>
      </c>
      <c r="G74" s="11">
        <v>2.9888351751846289</v>
      </c>
      <c r="H74" s="11">
        <v>3.2727627075923151</v>
      </c>
      <c r="I74" s="11">
        <v>3.2266566612538297</v>
      </c>
      <c r="J74" s="11">
        <v>3.4025204536547942</v>
      </c>
      <c r="K74" s="11">
        <v>3.533136020499239</v>
      </c>
      <c r="L74" s="12"/>
      <c r="M74" s="12"/>
      <c r="N74" s="12"/>
      <c r="O74" s="12"/>
      <c r="P74" s="12"/>
      <c r="Q74" s="12"/>
      <c r="R74" s="12"/>
      <c r="S74" s="12"/>
      <c r="T74" s="12"/>
      <c r="U74" s="12"/>
      <c r="V74" s="12"/>
      <c r="W74" s="12"/>
      <c r="X74" s="12"/>
      <c r="Y74" s="12"/>
      <c r="Z74" s="12"/>
      <c r="AA74" s="12"/>
      <c r="AB74" s="12"/>
      <c r="AC74" s="12"/>
    </row>
    <row r="75" spans="1:30" ht="9" customHeight="1">
      <c r="A75" s="1" t="s">
        <v>41</v>
      </c>
      <c r="B75" s="11">
        <v>115.67612943774057</v>
      </c>
      <c r="C75" s="11">
        <v>132.44598574692213</v>
      </c>
      <c r="D75" s="11">
        <v>119.08783608646769</v>
      </c>
      <c r="E75" s="11">
        <v>111.9276995395763</v>
      </c>
      <c r="F75" s="11">
        <v>119.12208835460905</v>
      </c>
      <c r="G75" s="11">
        <v>124.34839962700094</v>
      </c>
      <c r="H75" s="11">
        <v>116.62205064866558</v>
      </c>
      <c r="I75" s="11">
        <v>133.19180266206075</v>
      </c>
      <c r="J75" s="11">
        <v>117.67641550841331</v>
      </c>
      <c r="K75" s="11">
        <v>121.94155046772632</v>
      </c>
      <c r="L75" s="12"/>
      <c r="M75" s="12"/>
      <c r="N75" s="12"/>
      <c r="O75" s="12"/>
      <c r="P75" s="12"/>
      <c r="Q75" s="12"/>
      <c r="R75" s="12"/>
      <c r="S75" s="12"/>
      <c r="T75" s="12"/>
      <c r="U75" s="12"/>
      <c r="V75" s="12"/>
      <c r="W75" s="12"/>
      <c r="X75" s="12"/>
      <c r="Y75" s="12"/>
      <c r="Z75" s="12"/>
      <c r="AA75" s="12"/>
      <c r="AB75" s="12"/>
      <c r="AC75" s="12"/>
    </row>
    <row r="76" spans="1:30" ht="9" customHeight="1">
      <c r="A76" s="1" t="s">
        <v>42</v>
      </c>
      <c r="B76" s="11">
        <v>13.443736208248378</v>
      </c>
      <c r="C76" s="11">
        <v>9.8669422221978245</v>
      </c>
      <c r="D76" s="11">
        <v>8.5710375946479829</v>
      </c>
      <c r="E76" s="11">
        <v>10.019416655162765</v>
      </c>
      <c r="F76" s="11">
        <v>11.209947562684405</v>
      </c>
      <c r="G76" s="11">
        <v>9.614483272013862</v>
      </c>
      <c r="H76" s="11">
        <v>11.99279460315017</v>
      </c>
      <c r="I76" s="11">
        <v>11.710337673263979</v>
      </c>
      <c r="J76" s="11">
        <v>12.716663876595222</v>
      </c>
      <c r="K76" s="11">
        <v>12.790440251648597</v>
      </c>
      <c r="L76" s="12"/>
      <c r="M76" s="12"/>
      <c r="N76" s="12"/>
      <c r="O76" s="12"/>
      <c r="P76" s="12"/>
      <c r="Q76" s="12"/>
      <c r="R76" s="12"/>
      <c r="S76" s="12"/>
      <c r="T76" s="12"/>
      <c r="U76" s="12"/>
      <c r="V76" s="12"/>
      <c r="W76" s="12"/>
      <c r="X76" s="12"/>
      <c r="Y76" s="12"/>
      <c r="Z76" s="12"/>
      <c r="AA76" s="12"/>
      <c r="AB76" s="12"/>
      <c r="AC76" s="12"/>
    </row>
    <row r="77" spans="1:30" ht="3" customHeight="1">
      <c r="A77" s="1"/>
      <c r="B77" s="11"/>
      <c r="C77" s="11"/>
      <c r="D77" s="11"/>
      <c r="E77" s="11"/>
      <c r="F77" s="11"/>
      <c r="G77" s="11"/>
      <c r="H77" s="11"/>
      <c r="I77" s="11"/>
      <c r="J77" s="11"/>
      <c r="K77" s="11"/>
      <c r="L77" s="12"/>
      <c r="M77" s="12"/>
      <c r="N77" s="12"/>
      <c r="O77" s="12"/>
      <c r="P77" s="12"/>
      <c r="Q77" s="12"/>
      <c r="R77" s="12"/>
      <c r="S77" s="12"/>
      <c r="T77" s="12"/>
      <c r="U77" s="12"/>
      <c r="V77" s="12"/>
      <c r="W77" s="12"/>
      <c r="X77" s="12"/>
      <c r="Y77" s="3"/>
      <c r="Z77" s="3"/>
      <c r="AA77" s="3"/>
      <c r="AB77" s="3"/>
      <c r="AC77" s="3"/>
    </row>
    <row r="78" spans="1:30" ht="9" customHeight="1">
      <c r="A78" s="1" t="s">
        <v>361</v>
      </c>
      <c r="B78" s="11">
        <v>1.9276615378061077</v>
      </c>
      <c r="C78" s="11">
        <v>1.731077139404801</v>
      </c>
      <c r="D78" s="11">
        <v>1.7288686464683054</v>
      </c>
      <c r="E78" s="11">
        <v>1.7697318482259969</v>
      </c>
      <c r="F78" s="11">
        <v>1.823098821441179</v>
      </c>
      <c r="G78" s="11">
        <v>1.9501251271659297</v>
      </c>
      <c r="H78" s="11">
        <v>2.1951125605824071</v>
      </c>
      <c r="I78" s="11">
        <v>2.2884298438862096</v>
      </c>
      <c r="J78" s="11">
        <v>2.4071550621225173</v>
      </c>
      <c r="K78" s="11">
        <v>2.4864082333539015</v>
      </c>
      <c r="L78" s="12"/>
      <c r="M78" s="12"/>
      <c r="N78" s="12"/>
      <c r="O78" s="12"/>
      <c r="P78" s="12"/>
      <c r="Q78" s="12"/>
      <c r="R78" s="12"/>
      <c r="S78" s="12"/>
      <c r="T78" s="12"/>
      <c r="U78" s="12"/>
      <c r="V78" s="12"/>
      <c r="W78" s="12"/>
      <c r="X78" s="12"/>
      <c r="Y78" s="12"/>
      <c r="Z78" s="12"/>
      <c r="AA78" s="12"/>
      <c r="AB78" s="12"/>
      <c r="AC78" s="12"/>
    </row>
    <row r="79" spans="1:30" ht="9" customHeight="1">
      <c r="A79" s="1" t="s">
        <v>43</v>
      </c>
      <c r="B79" s="11">
        <v>0.42166448427997211</v>
      </c>
      <c r="C79" s="11">
        <v>0.44731055594937624</v>
      </c>
      <c r="D79" s="11">
        <v>0.39441181068947806</v>
      </c>
      <c r="E79" s="11">
        <v>0.36799572534455582</v>
      </c>
      <c r="F79" s="11">
        <v>0.41746419320599115</v>
      </c>
      <c r="G79" s="11">
        <v>0.50149032908369628</v>
      </c>
      <c r="H79" s="11">
        <v>0.58895003471597196</v>
      </c>
      <c r="I79" s="11">
        <v>0.58030885570448409</v>
      </c>
      <c r="J79" s="11">
        <v>0.67677750265298908</v>
      </c>
      <c r="K79" s="11">
        <v>0.81353541591901113</v>
      </c>
      <c r="L79" s="12"/>
      <c r="M79" s="12"/>
      <c r="N79" s="12"/>
      <c r="O79" s="12"/>
      <c r="P79" s="12"/>
      <c r="Q79" s="12"/>
      <c r="R79" s="12"/>
      <c r="S79" s="12"/>
      <c r="T79" s="12"/>
      <c r="U79" s="12"/>
      <c r="V79" s="12"/>
      <c r="W79" s="12"/>
      <c r="X79" s="12"/>
      <c r="Y79" s="12"/>
      <c r="Z79" s="12"/>
      <c r="AA79" s="12"/>
      <c r="AB79" s="12"/>
      <c r="AC79" s="12"/>
    </row>
    <row r="80" spans="1:30" ht="9" customHeight="1">
      <c r="A80" s="1" t="s">
        <v>44</v>
      </c>
      <c r="B80" s="11">
        <v>0.33401466381359529</v>
      </c>
      <c r="C80" s="11">
        <v>0.37090081588607393</v>
      </c>
      <c r="D80" s="11">
        <v>0.38905635092578117</v>
      </c>
      <c r="E80" s="11">
        <v>0.46482815266878924</v>
      </c>
      <c r="F80" s="11">
        <v>0.42729659251235053</v>
      </c>
      <c r="G80" s="11">
        <v>0.44983798889931953</v>
      </c>
      <c r="H80" s="11">
        <v>0.48510641945465921</v>
      </c>
      <c r="I80" s="11">
        <v>0.47822503558000723</v>
      </c>
      <c r="J80" s="11">
        <v>0.53518705678238743</v>
      </c>
      <c r="K80" s="11">
        <v>0.47325382451864895</v>
      </c>
      <c r="L80" s="12"/>
      <c r="M80" s="12"/>
      <c r="N80" s="12"/>
      <c r="O80" s="12"/>
      <c r="P80" s="12"/>
      <c r="Q80" s="12"/>
      <c r="R80" s="12"/>
      <c r="S80" s="12"/>
      <c r="T80" s="12"/>
      <c r="U80" s="12"/>
      <c r="V80" s="12"/>
      <c r="W80" s="12"/>
      <c r="X80" s="12"/>
      <c r="Y80" s="12"/>
      <c r="Z80" s="12"/>
      <c r="AA80" s="12"/>
      <c r="AB80" s="12"/>
      <c r="AC80" s="12"/>
    </row>
    <row r="81" spans="1:30" ht="9" customHeight="1">
      <c r="A81" s="1" t="s">
        <v>45</v>
      </c>
      <c r="B81" s="11">
        <v>0.51213244514668343</v>
      </c>
      <c r="C81" s="11">
        <v>0.4846359378353377</v>
      </c>
      <c r="D81" s="11">
        <v>0.37092879879225071</v>
      </c>
      <c r="E81" s="11">
        <v>0.42419178878708957</v>
      </c>
      <c r="F81" s="11">
        <v>0.49545799885679997</v>
      </c>
      <c r="G81" s="11">
        <v>0.51867477956667896</v>
      </c>
      <c r="H81" s="11">
        <v>0.46862881708629434</v>
      </c>
      <c r="I81" s="11">
        <v>0.51599273022136272</v>
      </c>
      <c r="J81" s="11">
        <v>0.47847961953656887</v>
      </c>
      <c r="K81" s="11">
        <v>0.48144581503961076</v>
      </c>
      <c r="L81" s="12"/>
      <c r="M81" s="12"/>
      <c r="N81" s="12"/>
      <c r="O81" s="12"/>
      <c r="P81" s="12"/>
      <c r="Q81" s="12"/>
      <c r="R81" s="12"/>
      <c r="S81" s="12"/>
      <c r="T81" s="12"/>
      <c r="U81" s="12"/>
      <c r="V81" s="12"/>
      <c r="W81" s="12"/>
      <c r="X81" s="12"/>
      <c r="Y81" s="12"/>
      <c r="Z81" s="12"/>
      <c r="AA81" s="12"/>
      <c r="AB81" s="12"/>
      <c r="AC81" s="12"/>
    </row>
    <row r="82" spans="1:30" ht="9" customHeight="1">
      <c r="A82" s="1" t="s">
        <v>362</v>
      </c>
      <c r="B82" s="11">
        <v>0.6598499445658571</v>
      </c>
      <c r="C82" s="11">
        <v>0.42822982973401302</v>
      </c>
      <c r="D82" s="11">
        <v>0.57447168606079546</v>
      </c>
      <c r="E82" s="11">
        <v>0.5127161814255623</v>
      </c>
      <c r="F82" s="11">
        <v>0.48288003686603731</v>
      </c>
      <c r="G82" s="11">
        <v>0.48012202961623485</v>
      </c>
      <c r="H82" s="11">
        <v>0.65242728932548144</v>
      </c>
      <c r="I82" s="11">
        <v>0.71390322238035564</v>
      </c>
      <c r="J82" s="11">
        <v>0.71671088315057196</v>
      </c>
      <c r="K82" s="11">
        <v>0.71817317787663049</v>
      </c>
      <c r="L82" s="12"/>
      <c r="M82" s="12"/>
      <c r="N82" s="12"/>
      <c r="O82" s="12"/>
      <c r="P82" s="12"/>
      <c r="Q82" s="12"/>
      <c r="R82" s="12"/>
      <c r="S82" s="12"/>
      <c r="T82" s="12"/>
      <c r="U82" s="12"/>
      <c r="V82" s="12"/>
      <c r="W82" s="12"/>
      <c r="X82" s="12"/>
      <c r="Y82" s="12"/>
      <c r="Z82" s="12"/>
      <c r="AA82" s="12"/>
      <c r="AB82" s="12"/>
      <c r="AC82" s="12"/>
    </row>
    <row r="83" spans="1:30" ht="3" customHeight="1">
      <c r="A83" s="1"/>
      <c r="B83" s="11"/>
      <c r="C83" s="11"/>
      <c r="D83" s="11"/>
      <c r="E83" s="11"/>
      <c r="F83" s="11"/>
      <c r="G83" s="11"/>
      <c r="H83" s="11"/>
      <c r="I83" s="11"/>
      <c r="J83" s="11"/>
      <c r="K83" s="11"/>
      <c r="L83" s="12"/>
      <c r="M83" s="12"/>
      <c r="N83" s="12"/>
      <c r="O83" s="12"/>
      <c r="P83" s="12"/>
      <c r="Q83" s="12"/>
      <c r="R83" s="12"/>
      <c r="S83" s="12"/>
      <c r="T83" s="12"/>
      <c r="U83" s="12"/>
      <c r="V83" s="12"/>
      <c r="W83" s="12"/>
      <c r="X83" s="12"/>
      <c r="Y83" s="3"/>
      <c r="Z83" s="3"/>
      <c r="AA83" s="3"/>
      <c r="AB83" s="3"/>
      <c r="AC83" s="3"/>
    </row>
    <row r="84" spans="1:30" ht="9" customHeight="1">
      <c r="A84" s="1" t="s">
        <v>46</v>
      </c>
      <c r="B84" s="11">
        <v>284.29790137121597</v>
      </c>
      <c r="C84" s="11">
        <v>297.33769389776865</v>
      </c>
      <c r="D84" s="11">
        <v>290.54432867391813</v>
      </c>
      <c r="E84" s="11">
        <v>281.00737013959156</v>
      </c>
      <c r="F84" s="11">
        <v>298.32828124501532</v>
      </c>
      <c r="G84" s="11">
        <v>291.00153458108139</v>
      </c>
      <c r="H84" s="11">
        <v>298.3715491181336</v>
      </c>
      <c r="I84" s="11">
        <v>308.43587631922549</v>
      </c>
      <c r="J84" s="11">
        <v>298.69319818312397</v>
      </c>
      <c r="K84" s="11">
        <v>303.77194543437218</v>
      </c>
      <c r="L84" s="12"/>
      <c r="M84" s="12"/>
      <c r="N84" s="12"/>
      <c r="O84" s="12"/>
      <c r="P84" s="12"/>
      <c r="Q84" s="12"/>
      <c r="R84" s="12"/>
      <c r="S84" s="12"/>
      <c r="T84" s="12"/>
      <c r="U84" s="12"/>
      <c r="V84" s="12"/>
      <c r="W84" s="12"/>
      <c r="X84" s="12"/>
      <c r="Y84" s="12"/>
      <c r="Z84" s="12"/>
      <c r="AA84" s="12"/>
      <c r="AB84" s="12"/>
      <c r="AC84" s="12"/>
      <c r="AD84" s="15"/>
    </row>
    <row r="85" spans="1:30" ht="9" customHeight="1">
      <c r="A85" s="1" t="s">
        <v>47</v>
      </c>
      <c r="B85" s="11">
        <v>130.9732764275002</v>
      </c>
      <c r="C85" s="11">
        <v>144.09585072482636</v>
      </c>
      <c r="D85" s="11">
        <v>127.46705157709519</v>
      </c>
      <c r="E85" s="11">
        <v>116.31046115212307</v>
      </c>
      <c r="F85" s="11">
        <v>123.56941146166085</v>
      </c>
      <c r="G85" s="11">
        <v>128.08932312732426</v>
      </c>
      <c r="H85" s="11">
        <v>117.36241755396826</v>
      </c>
      <c r="I85" s="11">
        <v>136.33611660707143</v>
      </c>
      <c r="J85" s="11">
        <v>113.44794545880443</v>
      </c>
      <c r="K85" s="11">
        <v>116.36216938565752</v>
      </c>
      <c r="L85" s="12"/>
      <c r="M85" s="12"/>
      <c r="N85" s="12"/>
      <c r="O85" s="12"/>
      <c r="P85" s="12"/>
      <c r="Q85" s="12"/>
      <c r="R85" s="12"/>
      <c r="S85" s="12"/>
      <c r="T85" s="12"/>
      <c r="U85" s="12"/>
      <c r="V85" s="12"/>
      <c r="W85" s="12"/>
      <c r="X85" s="12"/>
      <c r="Y85" s="12"/>
      <c r="Z85" s="12"/>
      <c r="AA85" s="12"/>
      <c r="AB85" s="12"/>
      <c r="AC85" s="12"/>
    </row>
    <row r="86" spans="1:30" ht="9" customHeight="1">
      <c r="A86" s="2" t="s">
        <v>48</v>
      </c>
      <c r="B86" s="12">
        <v>134.56178870182799</v>
      </c>
      <c r="C86" s="12">
        <v>133.89635032199399</v>
      </c>
      <c r="D86" s="12">
        <v>142.93879651637053</v>
      </c>
      <c r="E86" s="12">
        <v>145.46717848559115</v>
      </c>
      <c r="F86" s="12">
        <v>156.76496213169852</v>
      </c>
      <c r="G86" s="12">
        <v>143.50273604661024</v>
      </c>
      <c r="H86" s="12">
        <v>158.7262163650025</v>
      </c>
      <c r="I86" s="12">
        <v>152.269010503538</v>
      </c>
      <c r="J86" s="12">
        <v>161.10325816832244</v>
      </c>
      <c r="K86" s="12">
        <v>163.13332115543193</v>
      </c>
      <c r="L86" s="12"/>
      <c r="M86" s="12"/>
      <c r="N86" s="12"/>
      <c r="O86" s="12"/>
      <c r="P86" s="12"/>
      <c r="Q86" s="12"/>
      <c r="R86" s="12"/>
      <c r="S86" s="12"/>
      <c r="T86" s="12"/>
      <c r="U86" s="12"/>
      <c r="V86" s="12"/>
      <c r="W86" s="12"/>
      <c r="X86" s="12"/>
      <c r="Y86" s="12"/>
      <c r="Z86" s="12"/>
      <c r="AA86" s="12"/>
      <c r="AB86" s="12"/>
      <c r="AC86" s="12"/>
    </row>
    <row r="87" spans="1:30" ht="9" customHeight="1">
      <c r="A87" s="16" t="s">
        <v>49</v>
      </c>
      <c r="B87" s="523">
        <v>18.762836241887769</v>
      </c>
      <c r="C87" s="523">
        <v>19.345492850948286</v>
      </c>
      <c r="D87" s="523">
        <v>20.138480580452413</v>
      </c>
      <c r="E87" s="523">
        <v>19.229730501877317</v>
      </c>
      <c r="F87" s="523">
        <v>17.993907651655938</v>
      </c>
      <c r="G87" s="523">
        <v>19.409475407146882</v>
      </c>
      <c r="H87" s="523">
        <v>22.282915199162836</v>
      </c>
      <c r="I87" s="523">
        <v>19.830749208616048</v>
      </c>
      <c r="J87" s="523">
        <v>24.141994555997087</v>
      </c>
      <c r="K87" s="523">
        <v>24.276454893282729</v>
      </c>
      <c r="L87" s="14"/>
      <c r="M87" s="14"/>
      <c r="N87" s="14"/>
      <c r="O87" s="14"/>
      <c r="P87" s="14"/>
      <c r="Q87" s="14"/>
      <c r="R87" s="14"/>
      <c r="S87" s="14"/>
      <c r="T87" s="14"/>
      <c r="U87" s="14"/>
      <c r="V87" s="14"/>
      <c r="W87" s="14"/>
      <c r="X87" s="14"/>
      <c r="Y87" s="14"/>
      <c r="Z87" s="14"/>
      <c r="AA87" s="14"/>
      <c r="AB87" s="14"/>
    </row>
    <row r="88" spans="1:30" ht="9" customHeight="1">
      <c r="B88" s="18"/>
      <c r="C88" s="18"/>
      <c r="D88" s="18"/>
      <c r="E88" s="18"/>
      <c r="F88" s="18"/>
      <c r="G88" s="18"/>
      <c r="H88" s="18"/>
      <c r="I88" s="18"/>
      <c r="K88" s="19" t="s">
        <v>50</v>
      </c>
      <c r="L88" s="15"/>
      <c r="M88" s="15"/>
      <c r="N88" s="15"/>
      <c r="O88" s="15"/>
      <c r="P88" s="15"/>
      <c r="Q88" s="15"/>
      <c r="R88" s="15"/>
      <c r="S88" s="15"/>
      <c r="T88" s="15"/>
      <c r="U88" s="15"/>
      <c r="V88" s="15"/>
      <c r="W88" s="15"/>
      <c r="X88" s="15"/>
      <c r="Y88" s="15"/>
      <c r="Z88" s="15"/>
      <c r="AA88" s="15"/>
      <c r="AB88" s="15"/>
    </row>
    <row r="89" spans="1:30" ht="9" customHeight="1">
      <c r="B89" s="18"/>
      <c r="C89" s="18"/>
      <c r="D89" s="18"/>
      <c r="E89" s="18"/>
      <c r="F89" s="18"/>
      <c r="G89" s="18"/>
      <c r="H89" s="18"/>
      <c r="I89" s="18"/>
      <c r="J89" s="18"/>
      <c r="K89" s="18"/>
      <c r="L89" s="15"/>
      <c r="M89" s="15"/>
      <c r="N89" s="15"/>
      <c r="O89" s="15"/>
      <c r="P89" s="15"/>
      <c r="Q89" s="15"/>
      <c r="R89" s="15"/>
      <c r="S89" s="15"/>
      <c r="T89" s="15"/>
      <c r="U89" s="15"/>
      <c r="V89" s="15"/>
      <c r="W89" s="15"/>
      <c r="X89" s="15"/>
      <c r="Y89" s="15"/>
      <c r="Z89" s="15"/>
      <c r="AA89" s="15"/>
      <c r="AB89" s="15"/>
    </row>
    <row r="90" spans="1:30" ht="9" customHeight="1">
      <c r="B90" s="20"/>
      <c r="C90" s="20"/>
      <c r="D90" s="20"/>
      <c r="E90" s="20"/>
      <c r="F90" s="20"/>
      <c r="G90" s="20"/>
      <c r="H90" s="20"/>
      <c r="I90" s="20"/>
      <c r="J90" s="20"/>
      <c r="K90" s="20"/>
      <c r="L90" s="21"/>
      <c r="M90" s="21"/>
      <c r="N90" s="21"/>
      <c r="O90" s="21"/>
      <c r="P90" s="21"/>
      <c r="Q90" s="21"/>
      <c r="R90" s="21"/>
      <c r="S90" s="21"/>
      <c r="T90" s="21"/>
      <c r="U90" s="21"/>
      <c r="V90" s="21"/>
      <c r="W90" s="21"/>
      <c r="X90" s="21"/>
      <c r="Y90" s="21"/>
      <c r="Z90" s="21"/>
      <c r="AA90" s="21"/>
      <c r="AB90" s="21"/>
    </row>
    <row r="91" spans="1:30" ht="9" customHeight="1"/>
    <row r="92" spans="1:30" ht="9" customHeight="1">
      <c r="B92" s="12"/>
      <c r="C92" s="12"/>
      <c r="D92" s="12"/>
      <c r="E92" s="12"/>
      <c r="F92" s="12"/>
      <c r="G92" s="12"/>
      <c r="H92" s="12"/>
      <c r="I92" s="12"/>
      <c r="J92" s="12"/>
      <c r="K92" s="12"/>
    </row>
    <row r="93" spans="1:30" ht="9" customHeight="1">
      <c r="C93" s="34"/>
      <c r="D93" s="34"/>
      <c r="E93" s="34"/>
      <c r="F93" s="34"/>
      <c r="G93" s="34"/>
      <c r="H93" s="34"/>
      <c r="I93" s="34"/>
      <c r="J93" s="34"/>
      <c r="K93" s="34"/>
    </row>
    <row r="94" spans="1:30" ht="9" customHeight="1">
      <c r="L94" s="34"/>
    </row>
    <row r="95" spans="1:30" ht="9" customHeight="1">
      <c r="B95" s="524"/>
      <c r="C95" s="524"/>
      <c r="D95" s="524"/>
      <c r="E95" s="524"/>
      <c r="F95" s="524"/>
      <c r="G95" s="524"/>
      <c r="H95" s="524"/>
      <c r="I95" s="524"/>
      <c r="J95" s="524"/>
      <c r="K95" s="524"/>
    </row>
    <row r="96" spans="1:30" ht="9" customHeight="1"/>
    <row r="97" ht="9" customHeight="1"/>
    <row r="98" ht="9" customHeight="1"/>
    <row r="99" ht="9" customHeight="1"/>
    <row r="100" ht="9" customHeight="1"/>
    <row r="101" ht="9" customHeight="1"/>
    <row r="102" ht="9" customHeight="1"/>
    <row r="103" ht="9" customHeight="1"/>
    <row r="104" ht="9" customHeight="1"/>
    <row r="105" ht="9" customHeight="1"/>
    <row r="106" ht="9" customHeight="1"/>
    <row r="107" ht="9" customHeight="1"/>
    <row r="108" ht="9" customHeight="1"/>
    <row r="109" ht="9" customHeight="1"/>
    <row r="110" ht="9" customHeight="1"/>
    <row r="111" ht="9" customHeight="1"/>
    <row r="112" ht="9" customHeight="1"/>
    <row r="113" ht="9" customHeight="1"/>
    <row r="114" ht="9" customHeight="1"/>
    <row r="115" ht="9" customHeight="1"/>
    <row r="116" ht="9" customHeight="1"/>
    <row r="117" ht="9" customHeight="1"/>
    <row r="118" ht="9" customHeight="1"/>
    <row r="119" ht="9" customHeight="1"/>
    <row r="120" ht="9" customHeight="1"/>
    <row r="121" ht="9" customHeight="1"/>
    <row r="122" ht="9" customHeight="1"/>
    <row r="123" ht="9" customHeight="1"/>
    <row r="124" ht="9" customHeight="1"/>
    <row r="125" ht="9" customHeight="1"/>
    <row r="126" ht="9" customHeight="1"/>
    <row r="127" ht="9" customHeight="1"/>
    <row r="128" ht="9" customHeight="1"/>
    <row r="129" ht="9" customHeight="1"/>
    <row r="130" ht="9" customHeight="1"/>
    <row r="131" ht="9" customHeight="1"/>
    <row r="132" ht="9" customHeight="1"/>
    <row r="133" ht="9" customHeight="1"/>
    <row r="134" ht="9" customHeight="1"/>
    <row r="135" ht="9" customHeight="1"/>
    <row r="136" ht="9" customHeight="1"/>
    <row r="137" ht="9" customHeight="1"/>
    <row r="138" ht="9" customHeight="1"/>
    <row r="139" ht="9" customHeight="1"/>
    <row r="140" ht="9" customHeight="1"/>
    <row r="141" ht="9" customHeight="1"/>
    <row r="142" ht="9" customHeight="1"/>
    <row r="143" ht="9" customHeight="1"/>
    <row r="144" ht="9" customHeight="1"/>
    <row r="145" ht="9" customHeight="1"/>
    <row r="146" ht="9" customHeight="1"/>
    <row r="147" ht="9" customHeight="1"/>
    <row r="148" ht="9" customHeight="1"/>
    <row r="149" ht="9" customHeight="1"/>
    <row r="150" ht="9" customHeight="1"/>
    <row r="151" ht="9" customHeight="1"/>
    <row r="152" ht="9" customHeight="1"/>
    <row r="153" ht="9" customHeight="1"/>
    <row r="154" ht="9" customHeight="1"/>
    <row r="155" ht="9" customHeight="1"/>
    <row r="156" ht="9" customHeight="1"/>
    <row r="157" ht="9" customHeight="1"/>
    <row r="158" ht="9" customHeight="1"/>
    <row r="159" ht="9" customHeight="1"/>
    <row r="160" ht="9" customHeight="1"/>
    <row r="161" ht="9" customHeight="1"/>
    <row r="162" ht="9" customHeight="1"/>
    <row r="163" ht="9" customHeight="1"/>
    <row r="164" ht="9" customHeight="1"/>
    <row r="165" ht="9" customHeight="1"/>
    <row r="166" ht="9" customHeight="1"/>
    <row r="167" ht="9" customHeight="1"/>
    <row r="168" ht="9" customHeight="1"/>
    <row r="169" ht="9" customHeight="1"/>
    <row r="170" ht="9" customHeight="1"/>
    <row r="171" ht="9" customHeight="1"/>
    <row r="172" ht="9" customHeight="1"/>
    <row r="173" ht="9" customHeight="1"/>
    <row r="174" ht="9" customHeight="1"/>
    <row r="175" ht="9" customHeight="1"/>
    <row r="176" ht="9" customHeight="1"/>
    <row r="177" ht="9" customHeight="1"/>
    <row r="178" ht="9" customHeight="1"/>
    <row r="179" ht="9" customHeight="1"/>
    <row r="180" ht="9" customHeight="1"/>
    <row r="181" ht="9" customHeight="1"/>
    <row r="182" ht="9" customHeight="1"/>
    <row r="183" ht="9" customHeight="1"/>
    <row r="184" ht="9" customHeight="1"/>
    <row r="185" ht="9" customHeight="1"/>
    <row r="186" ht="9" customHeight="1"/>
    <row r="187" ht="9" customHeight="1"/>
    <row r="188" ht="9" customHeight="1"/>
    <row r="189" ht="9" customHeight="1"/>
    <row r="190" ht="9" customHeight="1"/>
    <row r="191" ht="9" customHeight="1"/>
    <row r="192" ht="9" customHeight="1"/>
    <row r="193" ht="9" customHeight="1"/>
    <row r="194" ht="9" customHeight="1"/>
    <row r="195" ht="9" customHeight="1"/>
    <row r="196" ht="9" customHeight="1"/>
    <row r="197" ht="9" customHeight="1"/>
    <row r="198" ht="9" customHeight="1"/>
    <row r="199" ht="9" customHeight="1"/>
    <row r="200" ht="9" customHeight="1"/>
    <row r="201" ht="9" customHeight="1"/>
    <row r="202" ht="9" customHeight="1"/>
    <row r="203" ht="9" customHeight="1"/>
    <row r="204" ht="9" customHeight="1"/>
    <row r="205" ht="9" customHeight="1"/>
    <row r="206" ht="9" customHeight="1"/>
    <row r="207" ht="9" customHeight="1"/>
    <row r="208" ht="9" customHeight="1"/>
    <row r="209" ht="9" customHeight="1"/>
    <row r="210" ht="9" customHeight="1"/>
    <row r="211" ht="9" customHeight="1"/>
    <row r="212" ht="9" customHeight="1"/>
    <row r="213" ht="9" customHeight="1"/>
    <row r="214" ht="9" customHeight="1"/>
    <row r="215" ht="9" customHeight="1"/>
    <row r="216" ht="9" customHeight="1"/>
    <row r="217" ht="9" customHeight="1"/>
    <row r="218" ht="9" customHeight="1"/>
    <row r="219" ht="9" customHeight="1"/>
  </sheetData>
  <pageMargins left="0.66700000000000004" right="0.66700000000000004" top="0.66700000000000004" bottom="0.72" header="0" footer="0"/>
  <pageSetup scale="93" firstPageNumber="19" orientation="portrait" useFirstPageNumber="1" r:id="rId1"/>
  <headerFooter alignWithMargins="0"/>
  <ignoredErrors>
    <ignoredError sqref="C2:K2"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47"/>
  <sheetViews>
    <sheetView showGridLines="0" zoomScaleNormal="100" workbookViewId="0">
      <selection activeCell="L28" sqref="L28"/>
    </sheetView>
  </sheetViews>
  <sheetFormatPr defaultColWidth="9" defaultRowHeight="12"/>
  <cols>
    <col min="1" max="4" width="16.140625" style="106" customWidth="1"/>
    <col min="5" max="5" width="7.7109375" style="106" customWidth="1"/>
    <col min="6" max="7" width="16.140625" style="106" customWidth="1"/>
    <col min="8" max="8" width="9.7109375" style="106" customWidth="1"/>
    <col min="9" max="10" width="9" style="106" customWidth="1"/>
    <col min="11" max="11" width="5.85546875" style="106" customWidth="1"/>
    <col min="12" max="16384" width="9" style="106"/>
  </cols>
  <sheetData>
    <row r="1" spans="1:15">
      <c r="A1" s="65" t="s">
        <v>276</v>
      </c>
      <c r="B1" s="71"/>
      <c r="C1" s="71"/>
      <c r="D1" s="71"/>
      <c r="E1" s="71"/>
      <c r="F1" s="71"/>
      <c r="G1" s="71"/>
      <c r="H1" s="46"/>
      <c r="I1" s="46"/>
      <c r="J1" s="46"/>
      <c r="K1" s="275"/>
      <c r="L1" s="275"/>
      <c r="M1" s="275"/>
      <c r="N1" s="275"/>
      <c r="O1" s="275"/>
    </row>
    <row r="2" spans="1:15">
      <c r="A2" s="53"/>
      <c r="B2" s="53"/>
      <c r="C2" s="276" t="s">
        <v>216</v>
      </c>
      <c r="D2" s="276"/>
      <c r="E2" s="53"/>
      <c r="F2" s="276" t="s">
        <v>217</v>
      </c>
      <c r="G2" s="276"/>
      <c r="H2" s="53"/>
      <c r="I2" s="53"/>
      <c r="J2" s="53"/>
    </row>
    <row r="3" spans="1:15">
      <c r="A3" s="53"/>
      <c r="B3" s="53"/>
      <c r="C3" s="53"/>
      <c r="D3" s="47" t="s">
        <v>218</v>
      </c>
      <c r="E3" s="53"/>
      <c r="F3" s="53"/>
      <c r="H3" s="53"/>
      <c r="I3" s="53"/>
      <c r="J3" s="53"/>
    </row>
    <row r="4" spans="1:15">
      <c r="A4" s="71" t="s">
        <v>245</v>
      </c>
      <c r="B4" s="49" t="s">
        <v>246</v>
      </c>
      <c r="C4" s="49" t="s">
        <v>220</v>
      </c>
      <c r="D4" s="49" t="s">
        <v>221</v>
      </c>
      <c r="E4" s="71"/>
      <c r="F4" s="49" t="s">
        <v>220</v>
      </c>
      <c r="G4" s="49" t="s">
        <v>222</v>
      </c>
      <c r="H4" s="53"/>
      <c r="I4" s="53"/>
      <c r="J4" s="53"/>
    </row>
    <row r="5" spans="1:15" ht="3" customHeight="1">
      <c r="A5" s="46"/>
      <c r="B5" s="52"/>
      <c r="C5" s="52"/>
      <c r="D5" s="52"/>
      <c r="E5" s="46"/>
      <c r="F5" s="52"/>
      <c r="G5" s="52"/>
      <c r="H5" s="53"/>
      <c r="I5" s="53"/>
      <c r="J5" s="53"/>
    </row>
    <row r="6" spans="1:15" s="201" customFormat="1">
      <c r="A6" s="80"/>
      <c r="B6" s="54" t="s">
        <v>223</v>
      </c>
      <c r="C6" s="200"/>
      <c r="D6" s="277" t="s">
        <v>224</v>
      </c>
      <c r="E6" s="80"/>
      <c r="F6" s="277" t="s">
        <v>225</v>
      </c>
      <c r="G6" s="277" t="s">
        <v>224</v>
      </c>
      <c r="H6" s="80"/>
      <c r="I6" s="80"/>
      <c r="J6" s="80"/>
    </row>
    <row r="7" spans="1:15" ht="3" customHeight="1">
      <c r="A7" s="53"/>
      <c r="B7" s="55"/>
      <c r="C7" s="300"/>
      <c r="D7" s="47"/>
      <c r="E7" s="53"/>
      <c r="F7" s="47"/>
      <c r="G7" s="47"/>
      <c r="H7" s="53"/>
      <c r="I7" s="53"/>
      <c r="J7" s="53"/>
    </row>
    <row r="8" spans="1:15">
      <c r="A8" s="53" t="s">
        <v>247</v>
      </c>
      <c r="B8" s="292">
        <v>0.63826000000000005</v>
      </c>
      <c r="C8" s="292">
        <v>0.49908294410301435</v>
      </c>
      <c r="D8" s="292">
        <v>78.194300771317998</v>
      </c>
      <c r="E8" s="292"/>
      <c r="F8" s="292">
        <v>0.13917705589698567</v>
      </c>
      <c r="G8" s="292">
        <v>21.805699228681988</v>
      </c>
      <c r="H8" s="281"/>
      <c r="I8" s="312"/>
      <c r="J8" s="53"/>
    </row>
    <row r="9" spans="1:15">
      <c r="A9" s="53" t="s">
        <v>248</v>
      </c>
      <c r="B9" s="292">
        <v>0.60301666666666665</v>
      </c>
      <c r="C9" s="292">
        <v>0.49109875621890547</v>
      </c>
      <c r="D9" s="292">
        <v>81.440328827656302</v>
      </c>
      <c r="E9" s="292"/>
      <c r="F9" s="292">
        <v>0.11191791044776118</v>
      </c>
      <c r="G9" s="292">
        <v>18.559671172343691</v>
      </c>
      <c r="H9" s="281"/>
      <c r="I9" s="312"/>
      <c r="J9" s="53"/>
    </row>
    <row r="10" spans="1:15">
      <c r="A10" s="53" t="s">
        <v>249</v>
      </c>
      <c r="B10" s="292">
        <v>0.57141083333333331</v>
      </c>
      <c r="C10" s="292">
        <v>0.47409334560855848</v>
      </c>
      <c r="D10" s="292">
        <v>82.968910974775909</v>
      </c>
      <c r="E10" s="292"/>
      <c r="F10" s="292">
        <v>9.7317487724774818E-2</v>
      </c>
      <c r="G10" s="292">
        <v>17.031089025224087</v>
      </c>
      <c r="H10" s="281"/>
      <c r="I10" s="312"/>
      <c r="J10" s="53"/>
    </row>
    <row r="11" spans="1:15">
      <c r="A11" s="53" t="s">
        <v>250</v>
      </c>
      <c r="B11" s="292">
        <v>0.5321258333333333</v>
      </c>
      <c r="C11" s="292">
        <v>0.45985395741878837</v>
      </c>
      <c r="D11" s="292">
        <v>86.418273388115608</v>
      </c>
      <c r="E11" s="292"/>
      <c r="F11" s="292">
        <v>7.2271875914544925E-2</v>
      </c>
      <c r="G11" s="292">
        <v>13.581726611884392</v>
      </c>
      <c r="H11" s="281"/>
      <c r="I11" s="312"/>
      <c r="J11" s="53"/>
    </row>
    <row r="12" spans="1:15">
      <c r="A12" s="53" t="s">
        <v>251</v>
      </c>
      <c r="B12" s="292">
        <v>0.50585500000000005</v>
      </c>
      <c r="C12" s="292">
        <v>0.42594616183786954</v>
      </c>
      <c r="D12" s="292">
        <v>84.203212746314563</v>
      </c>
      <c r="E12" s="292"/>
      <c r="F12" s="292">
        <v>7.9908838162130513E-2</v>
      </c>
      <c r="G12" s="292">
        <v>15.796787253685443</v>
      </c>
      <c r="H12" s="281"/>
      <c r="I12" s="312"/>
      <c r="J12" s="53"/>
    </row>
    <row r="13" spans="1:15">
      <c r="A13" s="53" t="s">
        <v>252</v>
      </c>
      <c r="B13" s="292">
        <v>0.51353416666666662</v>
      </c>
      <c r="C13" s="292">
        <v>0.4424405172666081</v>
      </c>
      <c r="D13" s="292">
        <v>86.156004017897175</v>
      </c>
      <c r="E13" s="292"/>
      <c r="F13" s="292">
        <v>7.1093649400058523E-2</v>
      </c>
      <c r="G13" s="292">
        <v>13.843995982102818</v>
      </c>
      <c r="H13" s="281"/>
      <c r="I13" s="312"/>
      <c r="J13" s="53"/>
    </row>
    <row r="14" spans="1:15">
      <c r="A14" s="53" t="s">
        <v>253</v>
      </c>
      <c r="B14" s="292">
        <v>0.53931999999999991</v>
      </c>
      <c r="C14" s="292">
        <v>0.47164543166520334</v>
      </c>
      <c r="D14" s="292">
        <v>87.451871183194285</v>
      </c>
      <c r="E14" s="292"/>
      <c r="F14" s="292">
        <v>6.7674568334796598E-2</v>
      </c>
      <c r="G14" s="292">
        <v>12.54812881680572</v>
      </c>
      <c r="H14" s="281"/>
      <c r="I14" s="312"/>
      <c r="J14" s="53"/>
    </row>
    <row r="15" spans="1:15">
      <c r="A15" s="53" t="s">
        <v>254</v>
      </c>
      <c r="B15" s="292">
        <v>0.55904333333333334</v>
      </c>
      <c r="C15" s="292">
        <v>0.48817254023997658</v>
      </c>
      <c r="D15" s="292">
        <v>87.32284442589004</v>
      </c>
      <c r="E15" s="292"/>
      <c r="F15" s="292">
        <v>7.0870793093356754E-2</v>
      </c>
      <c r="G15" s="292">
        <v>12.677155574109952</v>
      </c>
      <c r="H15" s="281"/>
      <c r="I15" s="312"/>
      <c r="J15" s="53"/>
    </row>
    <row r="16" spans="1:15">
      <c r="A16" s="53" t="s">
        <v>255</v>
      </c>
      <c r="B16" s="292">
        <v>0.55677999999999994</v>
      </c>
      <c r="C16" s="292">
        <v>0.47563572139303478</v>
      </c>
      <c r="D16" s="292">
        <v>85.426150614791268</v>
      </c>
      <c r="E16" s="292"/>
      <c r="F16" s="292">
        <v>8.1144278606965173E-2</v>
      </c>
      <c r="G16" s="292">
        <v>14.573849385208732</v>
      </c>
      <c r="H16" s="281"/>
      <c r="I16" s="312"/>
      <c r="J16" s="53"/>
    </row>
    <row r="17" spans="1:10">
      <c r="A17" s="46" t="s">
        <v>256</v>
      </c>
      <c r="B17" s="293">
        <v>0.62823666666666655</v>
      </c>
      <c r="C17" s="293">
        <v>0.52375407960198994</v>
      </c>
      <c r="D17" s="293">
        <v>83.368912925912738</v>
      </c>
      <c r="E17" s="293"/>
      <c r="F17" s="292">
        <v>0.1044825870646766</v>
      </c>
      <c r="G17" s="292">
        <v>16.631087074087255</v>
      </c>
      <c r="H17" s="281"/>
      <c r="I17" s="312"/>
      <c r="J17" s="53"/>
    </row>
    <row r="18" spans="1:10">
      <c r="A18" s="45" t="s">
        <v>257</v>
      </c>
      <c r="B18" s="293">
        <v>0.60010666666666657</v>
      </c>
      <c r="C18" s="293">
        <v>0.51577991805677481</v>
      </c>
      <c r="D18" s="293">
        <v>85.948040024569224</v>
      </c>
      <c r="E18" s="293"/>
      <c r="F18" s="292">
        <v>8.4326748609891741E-2</v>
      </c>
      <c r="G18" s="292">
        <v>14.051959975430773</v>
      </c>
      <c r="H18" s="281"/>
      <c r="I18" s="312"/>
      <c r="J18" s="53"/>
    </row>
    <row r="19" spans="1:10">
      <c r="A19" s="45" t="s">
        <v>258</v>
      </c>
      <c r="B19" s="293">
        <v>0.61716249999999995</v>
      </c>
      <c r="C19" s="293">
        <v>0.54238594161545206</v>
      </c>
      <c r="D19" s="293">
        <v>87.883813682045187</v>
      </c>
      <c r="E19" s="293"/>
      <c r="F19" s="293">
        <v>7.4776558384547845E-2</v>
      </c>
      <c r="G19" s="293">
        <v>12.11618631795481</v>
      </c>
      <c r="H19" s="281"/>
      <c r="I19" s="312"/>
      <c r="J19" s="53"/>
    </row>
    <row r="20" spans="1:10">
      <c r="A20" s="45" t="s">
        <v>259</v>
      </c>
      <c r="B20" s="293">
        <v>0.6309041666666666</v>
      </c>
      <c r="C20" s="293">
        <v>0.54952005779923907</v>
      </c>
      <c r="D20" s="293">
        <v>87.100400795034503</v>
      </c>
      <c r="E20" s="293"/>
      <c r="F20" s="293">
        <v>8.1384108867427571E-2</v>
      </c>
      <c r="G20" s="293">
        <v>12.899599204965506</v>
      </c>
      <c r="H20" s="281"/>
      <c r="I20" s="312"/>
      <c r="J20" s="53"/>
    </row>
    <row r="21" spans="1:10">
      <c r="A21" s="45" t="s">
        <v>260</v>
      </c>
      <c r="B21" s="293">
        <v>0.67285666666666677</v>
      </c>
      <c r="C21" s="293">
        <v>0.57423331284752721</v>
      </c>
      <c r="D21" s="293">
        <v>85.342590969972875</v>
      </c>
      <c r="E21" s="293"/>
      <c r="F21" s="293">
        <v>9.86233538191396E-2</v>
      </c>
      <c r="G21" s="293">
        <v>14.657409030027136</v>
      </c>
      <c r="H21" s="281"/>
      <c r="I21" s="312"/>
      <c r="J21" s="53"/>
    </row>
    <row r="22" spans="1:10">
      <c r="A22" s="45" t="s">
        <v>261</v>
      </c>
      <c r="B22" s="293">
        <v>0.73816999999999999</v>
      </c>
      <c r="C22" s="293">
        <v>0.66691363476733978</v>
      </c>
      <c r="D22" s="293">
        <v>90.346889573856942</v>
      </c>
      <c r="E22" s="293"/>
      <c r="F22" s="293">
        <v>7.1256365232660226E-2</v>
      </c>
      <c r="G22" s="293">
        <v>9.6531104261430603</v>
      </c>
      <c r="H22" s="281"/>
      <c r="I22" s="312"/>
      <c r="J22" s="53"/>
    </row>
    <row r="23" spans="1:10">
      <c r="A23" s="45" t="s">
        <v>262</v>
      </c>
      <c r="B23" s="293">
        <v>0.99150166666666639</v>
      </c>
      <c r="C23" s="293">
        <v>0.76634436494000557</v>
      </c>
      <c r="D23" s="293">
        <v>77.291283585672815</v>
      </c>
      <c r="E23" s="293"/>
      <c r="F23" s="293">
        <v>0.22515730172666082</v>
      </c>
      <c r="G23" s="293">
        <v>22.708716414327178</v>
      </c>
      <c r="H23" s="281"/>
      <c r="I23" s="312"/>
      <c r="J23" s="53"/>
    </row>
    <row r="24" spans="1:10">
      <c r="A24" s="45" t="s">
        <v>263</v>
      </c>
      <c r="B24" s="293">
        <v>1.0862236363636362</v>
      </c>
      <c r="C24" s="293">
        <v>0.90011959773325867</v>
      </c>
      <c r="D24" s="293">
        <v>82.86687635951283</v>
      </c>
      <c r="E24" s="293"/>
      <c r="F24" s="293">
        <v>0.1861040386303775</v>
      </c>
      <c r="G24" s="293">
        <v>17.133123640487167</v>
      </c>
      <c r="H24" s="281"/>
      <c r="I24" s="312"/>
      <c r="J24" s="53"/>
    </row>
    <row r="25" spans="1:10">
      <c r="A25" s="45" t="s">
        <v>277</v>
      </c>
      <c r="B25" s="293">
        <v>0.97347583333333321</v>
      </c>
      <c r="C25" s="293">
        <v>0.8332282477319285</v>
      </c>
      <c r="D25" s="293">
        <v>85.593110707106618</v>
      </c>
      <c r="E25" s="293"/>
      <c r="F25" s="293">
        <v>0.14024758560140474</v>
      </c>
      <c r="G25" s="293">
        <v>14.406889292893396</v>
      </c>
      <c r="H25" s="281"/>
      <c r="I25" s="312"/>
      <c r="J25" s="53"/>
    </row>
    <row r="26" spans="1:10">
      <c r="A26" s="45" t="s">
        <v>278</v>
      </c>
      <c r="B26" s="293">
        <v>0.93742416666666661</v>
      </c>
      <c r="C26" s="293">
        <v>0.82618492171495461</v>
      </c>
      <c r="D26" s="293">
        <v>88.133520672156195</v>
      </c>
      <c r="E26" s="293"/>
      <c r="F26" s="293">
        <v>0.11123924495171202</v>
      </c>
      <c r="G26" s="293">
        <v>11.866479327843802</v>
      </c>
      <c r="H26" s="281"/>
      <c r="I26" s="312"/>
      <c r="J26" s="53"/>
    </row>
    <row r="27" spans="1:10">
      <c r="A27" s="51" t="s">
        <v>279</v>
      </c>
      <c r="B27" s="293">
        <v>0.8839933333333333</v>
      </c>
      <c r="C27" s="293">
        <v>0.79024457711442786</v>
      </c>
      <c r="D27" s="293">
        <v>89.3948571008561</v>
      </c>
      <c r="E27" s="293"/>
      <c r="F27" s="293">
        <v>9.3748756218905452E-2</v>
      </c>
      <c r="G27" s="293">
        <v>10.6051428991439</v>
      </c>
      <c r="H27" s="281"/>
      <c r="I27" s="312"/>
      <c r="J27" s="53"/>
    </row>
    <row r="28" spans="1:10">
      <c r="A28" s="51" t="s">
        <v>280</v>
      </c>
      <c r="B28" s="293">
        <v>0.89700749999999996</v>
      </c>
      <c r="C28" s="293">
        <v>0.7751866044776119</v>
      </c>
      <c r="D28" s="293">
        <v>86.419188744532448</v>
      </c>
      <c r="E28" s="293"/>
      <c r="F28" s="293">
        <v>0.12182089552238805</v>
      </c>
      <c r="G28" s="293">
        <v>13.580811255467545</v>
      </c>
      <c r="H28" s="281"/>
      <c r="I28" s="312"/>
      <c r="J28" s="53"/>
    </row>
    <row r="29" spans="1:10">
      <c r="A29" s="51" t="s">
        <v>281</v>
      </c>
      <c r="B29" s="293">
        <v>0.94154666666666664</v>
      </c>
      <c r="C29" s="293">
        <v>0.82638612745098039</v>
      </c>
      <c r="D29" s="293">
        <v>87.769003566930351</v>
      </c>
      <c r="E29" s="293"/>
      <c r="F29" s="313">
        <v>0.11516053921568629</v>
      </c>
      <c r="G29" s="313">
        <v>12.230996433069661</v>
      </c>
      <c r="H29" s="281"/>
      <c r="I29" s="312"/>
      <c r="J29" s="53"/>
    </row>
    <row r="30" spans="1:10">
      <c r="A30" s="51" t="s">
        <v>269</v>
      </c>
      <c r="B30" s="314">
        <v>0.98891499999999999</v>
      </c>
      <c r="C30" s="314">
        <v>0.85136536764705883</v>
      </c>
      <c r="D30" s="314">
        <v>86.090853879965294</v>
      </c>
      <c r="E30" s="293"/>
      <c r="F30" s="315">
        <v>0.13754963235294118</v>
      </c>
      <c r="G30" s="315">
        <v>13.909146120034702</v>
      </c>
      <c r="H30" s="281"/>
      <c r="I30" s="312"/>
      <c r="J30" s="53"/>
    </row>
    <row r="31" spans="1:10">
      <c r="A31" s="51" t="s">
        <v>270</v>
      </c>
      <c r="B31" s="314">
        <v>1.0383041666666666</v>
      </c>
      <c r="C31" s="314">
        <v>0.92417242647058817</v>
      </c>
      <c r="D31" s="314">
        <v>89.007870346655466</v>
      </c>
      <c r="E31" s="293"/>
      <c r="F31" s="315">
        <v>0.11413174019607841</v>
      </c>
      <c r="G31" s="315">
        <v>10.992129653344525</v>
      </c>
      <c r="H31" s="281"/>
      <c r="I31" s="312"/>
      <c r="J31" s="53"/>
    </row>
    <row r="32" spans="1:10">
      <c r="A32" s="51" t="s">
        <v>271</v>
      </c>
      <c r="B32" s="314">
        <v>1.0452558333333333</v>
      </c>
      <c r="C32" s="314">
        <v>0.91601727124182997</v>
      </c>
      <c r="D32" s="314">
        <v>87.63570046967736</v>
      </c>
      <c r="E32" s="293"/>
      <c r="F32" s="315">
        <v>0.12923856209150325</v>
      </c>
      <c r="G32" s="315">
        <v>12.364299530322633</v>
      </c>
      <c r="H32" s="281"/>
      <c r="I32" s="312"/>
      <c r="J32" s="53"/>
    </row>
    <row r="33" spans="1:10">
      <c r="A33" s="51" t="s">
        <v>272</v>
      </c>
      <c r="B33" s="314">
        <v>1.0816308333333333</v>
      </c>
      <c r="C33" s="314">
        <v>0.93707384803921567</v>
      </c>
      <c r="D33" s="314">
        <v>86.635275101336859</v>
      </c>
      <c r="E33" s="293"/>
      <c r="F33" s="315">
        <v>0.14455698529411765</v>
      </c>
      <c r="G33" s="315">
        <v>13.364724898663145</v>
      </c>
      <c r="H33" s="281"/>
      <c r="I33" s="312"/>
      <c r="J33" s="53"/>
    </row>
    <row r="34" spans="1:10">
      <c r="A34" s="51" t="s">
        <v>417</v>
      </c>
      <c r="B34" s="314">
        <v>1.1020008333333333</v>
      </c>
      <c r="C34" s="314">
        <v>0.91267310224089626</v>
      </c>
      <c r="D34" s="314">
        <v>82.819638119532229</v>
      </c>
      <c r="E34" s="293"/>
      <c r="F34" s="315">
        <v>0.189327731092437</v>
      </c>
      <c r="G34" s="315">
        <v>17.180361880467757</v>
      </c>
      <c r="H34" s="281"/>
      <c r="I34" s="312"/>
      <c r="J34" s="53"/>
    </row>
    <row r="35" spans="1:10">
      <c r="A35" s="51" t="s">
        <v>426</v>
      </c>
      <c r="B35" s="314">
        <v>1.2052250000000002</v>
      </c>
      <c r="C35" s="314">
        <v>0.99098970588235313</v>
      </c>
      <c r="D35" s="314">
        <v>82.224456502508076</v>
      </c>
      <c r="E35" s="293"/>
      <c r="F35" s="315">
        <v>0.21423529411764705</v>
      </c>
      <c r="G35" s="315">
        <v>17.77554349749192</v>
      </c>
      <c r="H35" s="281"/>
      <c r="I35" s="312"/>
      <c r="J35" s="53"/>
    </row>
    <row r="36" spans="1:10">
      <c r="A36" s="51" t="s">
        <v>452</v>
      </c>
      <c r="B36" s="314">
        <v>1.3015783333333331</v>
      </c>
      <c r="C36" s="314">
        <v>1.0265531232492995</v>
      </c>
      <c r="D36" s="314">
        <v>78.86986875544433</v>
      </c>
      <c r="E36" s="293"/>
      <c r="F36" s="315">
        <v>0.27502521008403363</v>
      </c>
      <c r="G36" s="315">
        <v>21.130131244555674</v>
      </c>
      <c r="H36" s="281"/>
      <c r="I36" s="312"/>
      <c r="J36" s="53"/>
    </row>
    <row r="37" spans="1:10">
      <c r="A37" s="48" t="s">
        <v>465</v>
      </c>
      <c r="B37" s="316">
        <v>1.3180683333333332</v>
      </c>
      <c r="C37" s="316">
        <v>1.0607910224089634</v>
      </c>
      <c r="D37" s="316">
        <v>80.480730443335403</v>
      </c>
      <c r="E37" s="296"/>
      <c r="F37" s="317">
        <v>0.25727731092436973</v>
      </c>
      <c r="G37" s="317">
        <v>19.519269556664597</v>
      </c>
      <c r="H37" s="281"/>
      <c r="I37" s="312"/>
      <c r="J37" s="53"/>
    </row>
    <row r="38" spans="1:10">
      <c r="A38" s="69" t="s">
        <v>282</v>
      </c>
      <c r="B38" s="279"/>
      <c r="C38" s="279"/>
      <c r="D38" s="279"/>
      <c r="E38" s="279"/>
      <c r="F38" s="279"/>
      <c r="G38" s="279"/>
      <c r="H38" s="53"/>
      <c r="I38" s="53"/>
      <c r="J38" s="53"/>
    </row>
    <row r="39" spans="1:10">
      <c r="A39" s="69" t="s">
        <v>283</v>
      </c>
      <c r="B39" s="279"/>
      <c r="C39" s="279"/>
      <c r="D39" s="279"/>
      <c r="E39" s="279"/>
      <c r="F39" s="279"/>
      <c r="G39" s="279"/>
      <c r="H39" s="53"/>
      <c r="I39" s="53"/>
      <c r="J39" s="53"/>
    </row>
    <row r="40" spans="1:10">
      <c r="A40" s="69" t="s">
        <v>284</v>
      </c>
      <c r="B40" s="53"/>
      <c r="C40" s="53"/>
      <c r="D40" s="53"/>
      <c r="E40" s="53"/>
      <c r="F40" s="53"/>
      <c r="G40" s="53"/>
      <c r="H40" s="53"/>
      <c r="I40" s="53"/>
      <c r="J40" s="53"/>
    </row>
    <row r="41" spans="1:10">
      <c r="A41" s="69" t="s">
        <v>230</v>
      </c>
      <c r="B41" s="53"/>
      <c r="C41" s="53"/>
      <c r="D41" s="53"/>
      <c r="E41" s="53"/>
      <c r="F41" s="53"/>
      <c r="G41" s="53"/>
      <c r="H41" s="53"/>
      <c r="I41" s="53"/>
      <c r="J41" s="53"/>
    </row>
    <row r="42" spans="1:10">
      <c r="A42" s="266"/>
      <c r="B42" s="53"/>
      <c r="C42" s="53"/>
      <c r="D42" s="53"/>
      <c r="E42" s="53"/>
      <c r="F42" s="53"/>
      <c r="G42" s="53"/>
      <c r="H42" s="53"/>
      <c r="I42" s="53"/>
      <c r="J42" s="53"/>
    </row>
    <row r="45" spans="1:10">
      <c r="B45" s="318"/>
      <c r="C45" s="318"/>
      <c r="D45" s="318"/>
      <c r="E45" s="318"/>
      <c r="F45" s="318"/>
      <c r="G45" s="318"/>
    </row>
    <row r="46" spans="1:10">
      <c r="B46" s="318"/>
      <c r="C46" s="318"/>
      <c r="D46" s="318"/>
      <c r="E46" s="318"/>
      <c r="F46" s="318"/>
      <c r="G46" s="318"/>
    </row>
    <row r="47" spans="1:10">
      <c r="B47" s="318"/>
      <c r="C47" s="318"/>
      <c r="D47" s="318"/>
      <c r="E47" s="318"/>
      <c r="F47" s="318"/>
      <c r="G47" s="318"/>
    </row>
  </sheetData>
  <pageMargins left="0.66700000000000004" right="0.66700000000000004" top="0.66700000000000004" bottom="0.72" header="0" footer="0"/>
  <pageSetup scale="87" firstPageNumber="36" orientation="portrait" useFirstPageNumber="1"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7"/>
  <sheetViews>
    <sheetView showGridLines="0" zoomScaleNormal="100" workbookViewId="0">
      <selection activeCell="A42" sqref="A42"/>
    </sheetView>
  </sheetViews>
  <sheetFormatPr defaultColWidth="9" defaultRowHeight="12"/>
  <cols>
    <col min="1" max="4" width="16.140625" style="106" customWidth="1"/>
    <col min="5" max="5" width="7.7109375" style="106" customWidth="1"/>
    <col min="6" max="7" width="16.140625" style="106" customWidth="1"/>
    <col min="8" max="8" width="9.7109375" style="106" customWidth="1"/>
    <col min="9" max="10" width="9" style="106" customWidth="1"/>
    <col min="11" max="11" width="5.85546875" style="106" customWidth="1"/>
    <col min="12" max="16384" width="9" style="106"/>
  </cols>
  <sheetData>
    <row r="1" spans="1:14">
      <c r="A1" s="65" t="s">
        <v>287</v>
      </c>
      <c r="B1" s="71"/>
      <c r="C1" s="71"/>
      <c r="D1" s="71"/>
      <c r="E1" s="71"/>
      <c r="F1" s="71"/>
      <c r="G1" s="71"/>
      <c r="H1" s="46"/>
      <c r="I1" s="46"/>
      <c r="J1" s="275"/>
      <c r="K1" s="275"/>
      <c r="L1" s="275"/>
      <c r="M1" s="275"/>
      <c r="N1" s="275"/>
    </row>
    <row r="2" spans="1:14">
      <c r="A2" s="53"/>
      <c r="B2" s="53"/>
      <c r="C2" s="276" t="s">
        <v>216</v>
      </c>
      <c r="D2" s="276"/>
      <c r="E2" s="53"/>
      <c r="F2" s="276" t="s">
        <v>217</v>
      </c>
      <c r="G2" s="276"/>
      <c r="H2" s="53"/>
      <c r="I2" s="53"/>
    </row>
    <row r="3" spans="1:14">
      <c r="A3" s="53"/>
      <c r="B3" s="53"/>
      <c r="C3" s="53"/>
      <c r="D3" s="47" t="s">
        <v>218</v>
      </c>
      <c r="E3" s="53"/>
      <c r="F3" s="53"/>
      <c r="H3" s="53"/>
      <c r="I3" s="53"/>
    </row>
    <row r="4" spans="1:14">
      <c r="A4" s="71" t="s">
        <v>245</v>
      </c>
      <c r="B4" s="49" t="s">
        <v>246</v>
      </c>
      <c r="C4" s="49" t="s">
        <v>220</v>
      </c>
      <c r="D4" s="49" t="s">
        <v>221</v>
      </c>
      <c r="E4" s="71"/>
      <c r="F4" s="49" t="s">
        <v>220</v>
      </c>
      <c r="G4" s="49" t="s">
        <v>222</v>
      </c>
      <c r="H4" s="53"/>
      <c r="I4" s="53"/>
    </row>
    <row r="5" spans="1:14" ht="3" customHeight="1">
      <c r="A5" s="46"/>
      <c r="B5" s="52"/>
      <c r="C5" s="52"/>
      <c r="D5" s="52"/>
      <c r="E5" s="46"/>
      <c r="F5" s="52"/>
      <c r="G5" s="52"/>
      <c r="H5" s="53"/>
      <c r="I5" s="53"/>
    </row>
    <row r="6" spans="1:14" s="201" customFormat="1">
      <c r="A6" s="80"/>
      <c r="B6" s="54" t="s">
        <v>223</v>
      </c>
      <c r="C6" s="200"/>
      <c r="D6" s="277" t="s">
        <v>224</v>
      </c>
      <c r="E6" s="80"/>
      <c r="F6" s="277" t="s">
        <v>225</v>
      </c>
      <c r="G6" s="277" t="s">
        <v>224</v>
      </c>
      <c r="H6" s="80"/>
      <c r="I6" s="80"/>
    </row>
    <row r="7" spans="1:14" s="201" customFormat="1" ht="3" customHeight="1">
      <c r="A7" s="80"/>
      <c r="B7" s="54"/>
      <c r="C7" s="200"/>
      <c r="D7" s="277"/>
      <c r="E7" s="80"/>
      <c r="F7" s="277"/>
      <c r="G7" s="277"/>
      <c r="H7" s="80"/>
      <c r="I7" s="80"/>
    </row>
    <row r="8" spans="1:14">
      <c r="A8" s="53" t="s">
        <v>247</v>
      </c>
      <c r="B8" s="292">
        <v>0.9552799999999998</v>
      </c>
      <c r="C8" s="292">
        <v>0.71932605263157878</v>
      </c>
      <c r="D8" s="292">
        <v>75.30002225856073</v>
      </c>
      <c r="E8" s="292"/>
      <c r="F8" s="322">
        <v>0.23595394736842107</v>
      </c>
      <c r="G8" s="292">
        <v>24.699977741439277</v>
      </c>
      <c r="H8" s="281"/>
      <c r="I8" s="312"/>
      <c r="J8" s="282"/>
    </row>
    <row r="9" spans="1:14">
      <c r="A9" s="53" t="s">
        <v>248</v>
      </c>
      <c r="B9" s="292">
        <v>1.0312800000000002</v>
      </c>
      <c r="C9" s="292">
        <v>0.77517254385964929</v>
      </c>
      <c r="D9" s="292">
        <v>75.166060028280299</v>
      </c>
      <c r="E9" s="292"/>
      <c r="F9" s="322">
        <v>0.25610745614035091</v>
      </c>
      <c r="G9" s="292">
        <v>24.833939971719694</v>
      </c>
      <c r="H9" s="281"/>
      <c r="I9" s="312"/>
      <c r="J9" s="282"/>
    </row>
    <row r="10" spans="1:14">
      <c r="A10" s="53" t="s">
        <v>249</v>
      </c>
      <c r="B10" s="292">
        <v>1.1780000000000002</v>
      </c>
      <c r="C10" s="292">
        <v>0.95394298245614051</v>
      </c>
      <c r="D10" s="292">
        <v>80.979879665207164</v>
      </c>
      <c r="E10" s="292"/>
      <c r="F10" s="322">
        <v>0.22405701754385968</v>
      </c>
      <c r="G10" s="292">
        <v>19.020120334792839</v>
      </c>
      <c r="H10" s="281"/>
      <c r="I10" s="312"/>
      <c r="J10" s="282"/>
    </row>
    <row r="11" spans="1:14">
      <c r="A11" s="53" t="s">
        <v>250</v>
      </c>
      <c r="B11" s="292">
        <v>0.96639999999999993</v>
      </c>
      <c r="C11" s="292">
        <v>0.78781447368421043</v>
      </c>
      <c r="D11" s="292">
        <v>81.520537425932375</v>
      </c>
      <c r="E11" s="292"/>
      <c r="F11" s="322">
        <v>0.17858552631578947</v>
      </c>
      <c r="G11" s="292">
        <v>18.479462574067622</v>
      </c>
      <c r="H11" s="281"/>
      <c r="I11" s="312"/>
      <c r="J11" s="282"/>
    </row>
    <row r="12" spans="1:14">
      <c r="A12" s="53" t="s">
        <v>251</v>
      </c>
      <c r="B12" s="292">
        <v>1.0404</v>
      </c>
      <c r="C12" s="292">
        <v>0.8299394736842105</v>
      </c>
      <c r="D12" s="292">
        <v>79.771191242234764</v>
      </c>
      <c r="E12" s="292"/>
      <c r="F12" s="322">
        <v>0.21046052631578946</v>
      </c>
      <c r="G12" s="292">
        <v>20.228808757765233</v>
      </c>
      <c r="H12" s="281"/>
      <c r="I12" s="312"/>
      <c r="J12" s="282"/>
    </row>
    <row r="13" spans="1:14">
      <c r="A13" s="53" t="s">
        <v>252</v>
      </c>
      <c r="B13" s="292">
        <v>1.0644799999999999</v>
      </c>
      <c r="C13" s="292">
        <v>0.83437035087719291</v>
      </c>
      <c r="D13" s="292">
        <v>78.382905350705784</v>
      </c>
      <c r="E13" s="292"/>
      <c r="F13" s="322">
        <v>0.23010964912280701</v>
      </c>
      <c r="G13" s="292">
        <v>21.617094649294213</v>
      </c>
      <c r="H13" s="281"/>
      <c r="I13" s="312"/>
      <c r="J13" s="282"/>
    </row>
    <row r="14" spans="1:14">
      <c r="A14" s="53" t="s">
        <v>253</v>
      </c>
      <c r="B14" s="292">
        <v>1.0908</v>
      </c>
      <c r="C14" s="292">
        <v>0.87833289473684206</v>
      </c>
      <c r="D14" s="292">
        <v>80.521900874297955</v>
      </c>
      <c r="E14" s="292"/>
      <c r="F14" s="322">
        <v>0.2124671052631579</v>
      </c>
      <c r="G14" s="292">
        <v>19.478099125702045</v>
      </c>
      <c r="H14" s="281"/>
      <c r="I14" s="312"/>
      <c r="J14" s="282"/>
    </row>
    <row r="15" spans="1:14">
      <c r="A15" s="53" t="s">
        <v>254</v>
      </c>
      <c r="B15" s="292">
        <v>1.0698400000000001</v>
      </c>
      <c r="C15" s="292">
        <v>0.83298692982456146</v>
      </c>
      <c r="D15" s="292">
        <v>77.860888527682775</v>
      </c>
      <c r="E15" s="292"/>
      <c r="F15" s="322">
        <v>0.23685307017543863</v>
      </c>
      <c r="G15" s="292">
        <v>22.139111472317225</v>
      </c>
      <c r="H15" s="281"/>
      <c r="I15" s="312"/>
      <c r="J15" s="282"/>
    </row>
    <row r="16" spans="1:14">
      <c r="A16" s="53" t="s">
        <v>255</v>
      </c>
      <c r="B16" s="292">
        <v>1.2024799999999998</v>
      </c>
      <c r="C16" s="292">
        <v>0.97082429824561378</v>
      </c>
      <c r="D16" s="292">
        <v>80.735172164660867</v>
      </c>
      <c r="E16" s="292"/>
      <c r="F16" s="322">
        <v>0.23165570175438596</v>
      </c>
      <c r="G16" s="292">
        <v>19.264827835339133</v>
      </c>
      <c r="H16" s="281"/>
      <c r="I16" s="312"/>
      <c r="J16" s="282"/>
    </row>
    <row r="17" spans="1:11">
      <c r="A17" s="46" t="s">
        <v>256</v>
      </c>
      <c r="B17" s="292">
        <v>1.1499999999999999</v>
      </c>
      <c r="C17" s="292">
        <v>0.90706140350877174</v>
      </c>
      <c r="D17" s="292">
        <v>78.874904652936678</v>
      </c>
      <c r="E17" s="292"/>
      <c r="F17" s="322">
        <v>0.24293859649122815</v>
      </c>
      <c r="G17" s="292">
        <v>21.125095347063318</v>
      </c>
      <c r="H17" s="281"/>
      <c r="I17" s="312"/>
      <c r="J17" s="282"/>
    </row>
    <row r="18" spans="1:11">
      <c r="A18" s="45" t="s">
        <v>257</v>
      </c>
      <c r="B18" s="292">
        <v>1.31864</v>
      </c>
      <c r="C18" s="292">
        <v>1.0813921929824561</v>
      </c>
      <c r="D18" s="292">
        <v>82.008144223021901</v>
      </c>
      <c r="E18" s="292"/>
      <c r="F18" s="322">
        <v>0.23724780701754386</v>
      </c>
      <c r="G18" s="292">
        <v>17.991855776978088</v>
      </c>
      <c r="H18" s="281"/>
      <c r="I18" s="312"/>
      <c r="J18" s="282"/>
    </row>
    <row r="19" spans="1:11">
      <c r="A19" s="45" t="s">
        <v>258</v>
      </c>
      <c r="B19" s="292">
        <v>1.1644799999999997</v>
      </c>
      <c r="C19" s="292">
        <v>0.99123438596491198</v>
      </c>
      <c r="D19" s="292">
        <v>85.12249123771231</v>
      </c>
      <c r="E19" s="293"/>
      <c r="F19" s="321">
        <v>0.1732456140350877</v>
      </c>
      <c r="G19" s="293">
        <v>14.877508762287695</v>
      </c>
      <c r="H19" s="281"/>
      <c r="I19" s="312"/>
      <c r="J19" s="282"/>
    </row>
    <row r="20" spans="1:11">
      <c r="A20" s="45" t="s">
        <v>259</v>
      </c>
      <c r="B20" s="292">
        <v>1.28288</v>
      </c>
      <c r="C20" s="292">
        <v>1.035270350877193</v>
      </c>
      <c r="D20" s="292">
        <v>80.698923584216217</v>
      </c>
      <c r="E20" s="293"/>
      <c r="F20" s="321">
        <v>0.247609649122807</v>
      </c>
      <c r="G20" s="293">
        <v>19.301076415783783</v>
      </c>
      <c r="H20" s="281"/>
      <c r="I20" s="312"/>
      <c r="J20" s="282"/>
    </row>
    <row r="21" spans="1:11">
      <c r="A21" s="45" t="s">
        <v>260</v>
      </c>
      <c r="B21" s="293">
        <v>1.3300800000000002</v>
      </c>
      <c r="C21" s="293">
        <v>1.1225580701754387</v>
      </c>
      <c r="D21" s="293">
        <v>84.397785860657905</v>
      </c>
      <c r="E21" s="293"/>
      <c r="F21" s="321">
        <v>0.20752192982456141</v>
      </c>
      <c r="G21" s="293">
        <v>15.602214139342099</v>
      </c>
      <c r="H21" s="281"/>
      <c r="I21" s="312"/>
      <c r="J21" s="282"/>
    </row>
    <row r="22" spans="1:11">
      <c r="A22" s="45" t="s">
        <v>261</v>
      </c>
      <c r="B22" s="293">
        <v>1.2011199999999997</v>
      </c>
      <c r="C22" s="293">
        <v>1.0121068421052628</v>
      </c>
      <c r="D22" s="293">
        <v>84.263590824002847</v>
      </c>
      <c r="E22" s="293"/>
      <c r="F22" s="321">
        <v>0.18901315789473686</v>
      </c>
      <c r="G22" s="293">
        <v>15.736409175997142</v>
      </c>
      <c r="H22" s="281"/>
      <c r="I22" s="312"/>
      <c r="J22" s="282"/>
    </row>
    <row r="23" spans="1:11">
      <c r="A23" s="45" t="s">
        <v>262</v>
      </c>
      <c r="B23" s="293">
        <v>1.286</v>
      </c>
      <c r="C23" s="293">
        <v>1.0406052631578948</v>
      </c>
      <c r="D23" s="293">
        <v>80.91798313824998</v>
      </c>
      <c r="E23" s="293"/>
      <c r="F23" s="321">
        <v>0.24539473684210525</v>
      </c>
      <c r="G23" s="293">
        <v>19.08201686175002</v>
      </c>
      <c r="H23" s="281"/>
      <c r="I23" s="312"/>
      <c r="J23" s="282"/>
    </row>
    <row r="24" spans="1:11">
      <c r="A24" s="45" t="s">
        <v>263</v>
      </c>
      <c r="B24" s="293">
        <v>1.3937600000000003</v>
      </c>
      <c r="C24" s="293">
        <v>1.1612928947368424</v>
      </c>
      <c r="D24" s="293">
        <v>83.320865481635437</v>
      </c>
      <c r="E24" s="293"/>
      <c r="F24" s="321">
        <v>0.23246710526315789</v>
      </c>
      <c r="G24" s="293">
        <v>16.679134518364556</v>
      </c>
      <c r="H24" s="281"/>
      <c r="I24" s="312"/>
      <c r="J24" s="282"/>
    </row>
    <row r="25" spans="1:11">
      <c r="A25" s="45" t="s">
        <v>277</v>
      </c>
      <c r="B25" s="293">
        <v>1.6765600000000001</v>
      </c>
      <c r="C25" s="293">
        <v>1.2593779824561404</v>
      </c>
      <c r="D25" s="293">
        <v>75.116785707409235</v>
      </c>
      <c r="E25" s="293"/>
      <c r="F25" s="321">
        <v>0.41718201754385964</v>
      </c>
      <c r="G25" s="293">
        <v>24.883214292590758</v>
      </c>
      <c r="H25" s="281"/>
      <c r="I25" s="312"/>
      <c r="J25" s="282"/>
    </row>
    <row r="26" spans="1:11">
      <c r="A26" s="45" t="s">
        <v>265</v>
      </c>
      <c r="B26" s="293">
        <v>1.9099200000000003</v>
      </c>
      <c r="C26" s="293">
        <v>1.3143717543859652</v>
      </c>
      <c r="D26" s="293">
        <v>68.818157534659306</v>
      </c>
      <c r="E26" s="293"/>
      <c r="F26" s="321">
        <v>0.59554824561403497</v>
      </c>
      <c r="G26" s="293">
        <v>31.181842465340686</v>
      </c>
      <c r="H26" s="281"/>
      <c r="I26" s="312"/>
      <c r="J26" s="282"/>
    </row>
    <row r="27" spans="1:11">
      <c r="A27" s="51" t="s">
        <v>279</v>
      </c>
      <c r="B27" s="293">
        <v>1.60144</v>
      </c>
      <c r="C27" s="293">
        <v>1.3688413157894737</v>
      </c>
      <c r="D27" s="293">
        <v>85.475654148108802</v>
      </c>
      <c r="E27" s="293"/>
      <c r="F27" s="321">
        <v>0.23259868421052629</v>
      </c>
      <c r="G27" s="293">
        <v>14.524345851891191</v>
      </c>
      <c r="H27" s="281"/>
      <c r="I27" s="312"/>
      <c r="J27" s="282"/>
    </row>
    <row r="28" spans="1:11">
      <c r="A28" s="51" t="s">
        <v>280</v>
      </c>
      <c r="B28" s="293">
        <v>1.5458399999999999</v>
      </c>
      <c r="C28" s="293">
        <v>1.2330549122807017</v>
      </c>
      <c r="D28" s="293">
        <v>79.766011507057769</v>
      </c>
      <c r="E28" s="293"/>
      <c r="F28" s="321">
        <v>0.31278508771929819</v>
      </c>
      <c r="G28" s="293">
        <v>20.233988492942235</v>
      </c>
      <c r="H28" s="281"/>
      <c r="I28" s="312"/>
      <c r="J28" s="282"/>
    </row>
    <row r="29" spans="1:11">
      <c r="A29" s="51" t="s">
        <v>281</v>
      </c>
      <c r="B29" s="315">
        <v>1.5480799999999999</v>
      </c>
      <c r="C29" s="315">
        <v>1.3056320833333332</v>
      </c>
      <c r="D29" s="315">
        <v>84.338799243794455</v>
      </c>
      <c r="E29" s="293"/>
      <c r="F29" s="320">
        <v>0.24244791666666671</v>
      </c>
      <c r="G29" s="315">
        <v>15.66120075620554</v>
      </c>
      <c r="H29" s="281"/>
      <c r="I29" s="312"/>
      <c r="J29" s="282"/>
    </row>
    <row r="30" spans="1:11">
      <c r="A30" s="51" t="s">
        <v>269</v>
      </c>
      <c r="B30" s="315">
        <v>1.5038399999999998</v>
      </c>
      <c r="C30" s="315">
        <v>1.2470795833333332</v>
      </c>
      <c r="D30" s="315">
        <v>82.926347439443916</v>
      </c>
      <c r="E30" s="293"/>
      <c r="F30" s="320">
        <v>0.25676041666666666</v>
      </c>
      <c r="G30" s="315">
        <v>17.073652560556088</v>
      </c>
      <c r="H30" s="281"/>
      <c r="I30" s="312"/>
      <c r="J30" s="291"/>
      <c r="K30" s="291"/>
    </row>
    <row r="31" spans="1:11">
      <c r="A31" s="51" t="s">
        <v>270</v>
      </c>
      <c r="B31" s="315">
        <v>1.4795200000000004</v>
      </c>
      <c r="C31" s="315">
        <v>1.2409575000000004</v>
      </c>
      <c r="D31" s="315">
        <v>83.875682653833678</v>
      </c>
      <c r="E31" s="293"/>
      <c r="F31" s="320">
        <v>0.23856250000000007</v>
      </c>
      <c r="G31" s="315">
        <v>16.124317346166325</v>
      </c>
      <c r="H31" s="281"/>
      <c r="I31" s="312"/>
      <c r="J31" s="291"/>
      <c r="K31" s="291"/>
    </row>
    <row r="32" spans="1:11">
      <c r="A32" s="51" t="s">
        <v>271</v>
      </c>
      <c r="B32" s="315">
        <v>1.6835999999999998</v>
      </c>
      <c r="C32" s="315">
        <v>1.2590687499999997</v>
      </c>
      <c r="D32" s="315">
        <v>74.78431634592539</v>
      </c>
      <c r="E32" s="293"/>
      <c r="F32" s="320">
        <v>0.42453124999999997</v>
      </c>
      <c r="G32" s="315">
        <v>25.215683654074606</v>
      </c>
      <c r="H32" s="281"/>
      <c r="I32" s="312"/>
      <c r="J32" s="291"/>
      <c r="K32" s="291"/>
    </row>
    <row r="33" spans="1:11">
      <c r="A33" s="51" t="s">
        <v>272</v>
      </c>
      <c r="B33" s="315">
        <v>1.9551199999999997</v>
      </c>
      <c r="C33" s="315">
        <v>1.4734949999999998</v>
      </c>
      <c r="D33" s="315">
        <v>75.36596219157903</v>
      </c>
      <c r="E33" s="293"/>
      <c r="F33" s="320">
        <v>0.48162499999999991</v>
      </c>
      <c r="G33" s="315">
        <v>24.634037808420967</v>
      </c>
      <c r="H33" s="281"/>
      <c r="I33" s="312"/>
      <c r="J33" s="291"/>
      <c r="K33" s="291"/>
    </row>
    <row r="34" spans="1:11">
      <c r="A34" s="51" t="s">
        <v>417</v>
      </c>
      <c r="B34" s="315">
        <v>1.9617600000000002</v>
      </c>
      <c r="C34" s="315">
        <v>1.5090668181818185</v>
      </c>
      <c r="D34" s="315">
        <v>76.924130280045389</v>
      </c>
      <c r="E34" s="293"/>
      <c r="F34" s="320">
        <v>0.45269318181818174</v>
      </c>
      <c r="G34" s="315">
        <v>23.075869719954618</v>
      </c>
      <c r="H34" s="281"/>
      <c r="I34" s="312"/>
      <c r="J34" s="291"/>
      <c r="K34" s="291"/>
    </row>
    <row r="35" spans="1:11">
      <c r="A35" s="51" t="s">
        <v>426</v>
      </c>
      <c r="B35" s="315">
        <v>1.9288000000000001</v>
      </c>
      <c r="C35" s="315">
        <v>1.4727204545454544</v>
      </c>
      <c r="D35" s="315">
        <v>76.354233437653178</v>
      </c>
      <c r="E35" s="293"/>
      <c r="F35" s="320">
        <v>0.45607954545454554</v>
      </c>
      <c r="G35" s="315">
        <v>23.645766562346822</v>
      </c>
      <c r="H35" s="281"/>
      <c r="I35" s="312"/>
      <c r="J35" s="291"/>
      <c r="K35" s="291"/>
    </row>
    <row r="36" spans="1:11">
      <c r="A36" s="51" t="s">
        <v>452</v>
      </c>
      <c r="B36" s="315">
        <v>1.9882400000000002</v>
      </c>
      <c r="C36" s="315">
        <v>1.5545013636363638</v>
      </c>
      <c r="D36" s="315">
        <v>78.184794775095739</v>
      </c>
      <c r="E36" s="293"/>
      <c r="F36" s="320">
        <v>0.4337386363636363</v>
      </c>
      <c r="G36" s="315">
        <v>21.815205224904251</v>
      </c>
      <c r="H36" s="281"/>
      <c r="I36" s="312"/>
      <c r="J36" s="291"/>
      <c r="K36" s="291"/>
    </row>
    <row r="37" spans="1:11">
      <c r="A37" s="48" t="s">
        <v>465</v>
      </c>
      <c r="B37" s="317">
        <v>2.2254399999999999</v>
      </c>
      <c r="C37" s="317">
        <v>1.8240877272727272</v>
      </c>
      <c r="D37" s="317">
        <v>81.965262027856383</v>
      </c>
      <c r="E37" s="296"/>
      <c r="F37" s="319">
        <v>0.40135227272727264</v>
      </c>
      <c r="G37" s="317">
        <v>18.034737972143606</v>
      </c>
      <c r="H37" s="281"/>
      <c r="I37" s="312"/>
      <c r="J37" s="291"/>
      <c r="K37" s="291"/>
    </row>
    <row r="38" spans="1:11">
      <c r="A38" s="69" t="s">
        <v>232</v>
      </c>
      <c r="B38" s="53"/>
      <c r="C38" s="53"/>
      <c r="D38" s="53"/>
      <c r="E38" s="53"/>
      <c r="F38" s="53"/>
      <c r="G38" s="53"/>
      <c r="H38" s="53"/>
      <c r="I38" s="53"/>
      <c r="J38" s="318"/>
    </row>
    <row r="39" spans="1:11">
      <c r="A39" s="69" t="s">
        <v>286</v>
      </c>
      <c r="B39" s="53"/>
      <c r="C39" s="53"/>
      <c r="D39" s="53"/>
      <c r="E39" s="53"/>
      <c r="F39" s="53"/>
      <c r="G39" s="53"/>
      <c r="H39" s="53"/>
      <c r="I39" s="53"/>
      <c r="J39" s="318"/>
    </row>
    <row r="40" spans="1:11">
      <c r="A40" s="69" t="s">
        <v>285</v>
      </c>
      <c r="B40" s="53"/>
      <c r="C40" s="53"/>
      <c r="D40" s="53"/>
      <c r="E40" s="53"/>
      <c r="F40" s="53"/>
      <c r="G40" s="53"/>
      <c r="H40" s="53"/>
      <c r="I40" s="53"/>
      <c r="J40" s="318"/>
    </row>
    <row r="41" spans="1:11">
      <c r="A41" s="69" t="s">
        <v>230</v>
      </c>
      <c r="B41" s="53"/>
      <c r="C41" s="53"/>
      <c r="D41" s="53"/>
      <c r="E41" s="53"/>
      <c r="F41" s="53"/>
      <c r="G41" s="53"/>
      <c r="H41" s="53"/>
      <c r="I41" s="53"/>
    </row>
    <row r="42" spans="1:11">
      <c r="A42" s="266"/>
      <c r="B42" s="53"/>
      <c r="C42" s="53"/>
      <c r="D42" s="53"/>
      <c r="E42" s="53"/>
      <c r="F42" s="53"/>
      <c r="G42" s="53"/>
      <c r="H42" s="53"/>
      <c r="I42" s="53"/>
    </row>
    <row r="45" spans="1:11">
      <c r="B45" s="291"/>
      <c r="C45" s="291"/>
      <c r="D45" s="291"/>
      <c r="E45" s="291"/>
      <c r="F45" s="291"/>
      <c r="G45" s="291"/>
    </row>
    <row r="46" spans="1:11">
      <c r="B46" s="291"/>
      <c r="C46" s="291"/>
      <c r="D46" s="291"/>
      <c r="E46" s="291"/>
      <c r="F46" s="291"/>
      <c r="G46" s="291"/>
    </row>
    <row r="47" spans="1:11">
      <c r="B47" s="291"/>
      <c r="C47" s="291"/>
      <c r="D47" s="291"/>
      <c r="E47" s="291"/>
      <c r="F47" s="291"/>
      <c r="G47" s="291"/>
    </row>
  </sheetData>
  <pageMargins left="0.66700000000000004" right="0.66700000000000004" top="0.66700000000000004" bottom="0.72" header="0" footer="0"/>
  <pageSetup scale="87" firstPageNumber="37" orientation="portrait" useFirstPageNumber="1"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195"/>
  <sheetViews>
    <sheetView showGridLines="0" zoomScaleNormal="100" workbookViewId="0">
      <pane xSplit="1" ySplit="5" topLeftCell="O22" activePane="bottomRight" state="frozen"/>
      <selection pane="topRight" activeCell="B1" sqref="B1"/>
      <selection pane="bottomLeft" activeCell="A6" sqref="A6"/>
      <selection pane="bottomRight" activeCell="AH57" sqref="AH57"/>
    </sheetView>
  </sheetViews>
  <sheetFormatPr defaultColWidth="9.140625" defaultRowHeight="12.75"/>
  <cols>
    <col min="1" max="1" width="12.7109375" style="397" customWidth="1"/>
    <col min="2" max="37" width="10.7109375" style="397" customWidth="1"/>
    <col min="38" max="38" width="11.7109375" style="397" customWidth="1"/>
    <col min="39" max="39" width="9.140625" style="397"/>
    <col min="40" max="40" width="11.28515625" style="397" bestFit="1" customWidth="1"/>
    <col min="41" max="43" width="9.140625" style="397"/>
    <col min="44" max="44" width="11.28515625" style="397" bestFit="1" customWidth="1"/>
    <col min="45" max="16384" width="9.140625" style="397"/>
  </cols>
  <sheetData>
    <row r="1" spans="1:44" ht="12.75" customHeight="1">
      <c r="A1" s="392"/>
      <c r="B1" s="392"/>
      <c r="C1" s="392"/>
      <c r="D1" s="392"/>
      <c r="E1" s="392"/>
      <c r="F1" s="393"/>
      <c r="G1" s="394"/>
      <c r="H1" s="394"/>
      <c r="I1" s="395"/>
      <c r="J1" s="394"/>
      <c r="K1" s="396"/>
      <c r="L1" s="394"/>
      <c r="M1" s="394"/>
      <c r="N1" s="394"/>
      <c r="O1" s="394"/>
      <c r="P1" s="394"/>
      <c r="Q1" s="394"/>
      <c r="R1" s="394"/>
      <c r="S1" s="394"/>
      <c r="T1" s="394"/>
      <c r="U1" s="394"/>
      <c r="V1" s="394"/>
      <c r="W1" s="394"/>
      <c r="X1" s="394"/>
      <c r="Y1" s="394"/>
      <c r="Z1" s="394"/>
      <c r="AA1" s="394"/>
      <c r="AB1" s="394"/>
      <c r="AC1" s="394"/>
      <c r="AD1" s="394"/>
      <c r="AE1" s="394"/>
      <c r="AF1" s="394"/>
      <c r="AG1" s="394"/>
      <c r="AH1" s="394"/>
      <c r="AI1" s="394"/>
      <c r="AJ1" s="394"/>
      <c r="AK1" s="394"/>
      <c r="AL1" s="394"/>
    </row>
    <row r="2" spans="1:44" ht="12.75" customHeight="1">
      <c r="A2" s="398" t="s">
        <v>457</v>
      </c>
      <c r="B2" s="399"/>
      <c r="C2" s="399"/>
      <c r="D2" s="399"/>
      <c r="E2" s="399"/>
      <c r="F2" s="400"/>
      <c r="G2" s="401"/>
      <c r="H2" s="401"/>
      <c r="I2" s="401"/>
      <c r="J2" s="401"/>
      <c r="K2" s="402"/>
      <c r="L2" s="401"/>
      <c r="M2" s="401"/>
      <c r="N2" s="401"/>
      <c r="O2" s="401"/>
      <c r="P2" s="401"/>
      <c r="Q2" s="403"/>
      <c r="R2" s="401"/>
      <c r="S2" s="401"/>
      <c r="T2" s="401"/>
      <c r="U2" s="401"/>
      <c r="V2" s="401"/>
      <c r="W2" s="401"/>
      <c r="X2" s="401"/>
      <c r="Y2" s="401"/>
      <c r="Z2" s="401"/>
      <c r="AA2" s="401"/>
      <c r="AB2" s="401"/>
      <c r="AC2" s="401"/>
      <c r="AD2" s="401"/>
      <c r="AE2" s="401"/>
      <c r="AF2" s="401"/>
      <c r="AG2" s="401"/>
      <c r="AH2" s="401"/>
      <c r="AI2" s="401"/>
      <c r="AJ2" s="401"/>
      <c r="AK2" s="401"/>
      <c r="AL2" s="401"/>
    </row>
    <row r="3" spans="1:44" ht="12.75" customHeight="1">
      <c r="A3" s="448"/>
      <c r="B3" s="448"/>
      <c r="C3" s="448"/>
      <c r="D3" s="404"/>
      <c r="E3" s="404" t="s">
        <v>186</v>
      </c>
      <c r="F3" s="404" t="s">
        <v>96</v>
      </c>
      <c r="G3" s="405"/>
      <c r="H3" s="405"/>
      <c r="I3" s="405"/>
      <c r="J3" s="405"/>
      <c r="K3" s="405"/>
      <c r="L3" s="405"/>
      <c r="M3" s="405"/>
      <c r="N3" s="405"/>
      <c r="O3" s="405" t="s">
        <v>112</v>
      </c>
      <c r="P3" s="405" t="s">
        <v>113</v>
      </c>
      <c r="Q3" s="405"/>
      <c r="R3" s="405"/>
      <c r="S3" s="405"/>
      <c r="T3" s="405"/>
      <c r="U3" s="405"/>
      <c r="V3" s="405"/>
      <c r="W3" s="405"/>
      <c r="X3" s="405"/>
      <c r="Y3" s="405"/>
      <c r="Z3" s="405"/>
      <c r="AA3" s="405" t="s">
        <v>288</v>
      </c>
      <c r="AB3" s="405"/>
      <c r="AC3" s="405" t="s">
        <v>289</v>
      </c>
      <c r="AD3" s="405" t="s">
        <v>290</v>
      </c>
      <c r="AE3" s="405"/>
      <c r="AF3" s="405"/>
      <c r="AG3" s="405"/>
      <c r="AH3" s="405"/>
      <c r="AI3" s="405"/>
      <c r="AJ3" s="405" t="s">
        <v>96</v>
      </c>
      <c r="AK3" s="405" t="s">
        <v>291</v>
      </c>
      <c r="AL3" s="405" t="s">
        <v>292</v>
      </c>
    </row>
    <row r="4" spans="1:44" ht="12.75" customHeight="1">
      <c r="A4" s="400" t="s">
        <v>293</v>
      </c>
      <c r="B4" s="449" t="s">
        <v>441</v>
      </c>
      <c r="C4" s="400" t="s">
        <v>179</v>
      </c>
      <c r="D4" s="400" t="s">
        <v>178</v>
      </c>
      <c r="E4" s="400" t="s">
        <v>440</v>
      </c>
      <c r="F4" s="400" t="s">
        <v>294</v>
      </c>
      <c r="G4" s="406" t="s">
        <v>108</v>
      </c>
      <c r="H4" s="406" t="s">
        <v>115</v>
      </c>
      <c r="I4" s="406" t="s">
        <v>132</v>
      </c>
      <c r="J4" s="406" t="s">
        <v>135</v>
      </c>
      <c r="K4" s="406" t="s">
        <v>295</v>
      </c>
      <c r="L4" s="406" t="s">
        <v>296</v>
      </c>
      <c r="M4" s="406" t="s">
        <v>297</v>
      </c>
      <c r="N4" s="406" t="s">
        <v>298</v>
      </c>
      <c r="O4" s="406" t="s">
        <v>299</v>
      </c>
      <c r="P4" s="406" t="s">
        <v>299</v>
      </c>
      <c r="Q4" s="406" t="s">
        <v>134</v>
      </c>
      <c r="R4" s="406" t="s">
        <v>137</v>
      </c>
      <c r="S4" s="406" t="s">
        <v>116</v>
      </c>
      <c r="T4" s="406" t="s">
        <v>111</v>
      </c>
      <c r="U4" s="406" t="s">
        <v>136</v>
      </c>
      <c r="V4" s="406" t="s">
        <v>189</v>
      </c>
      <c r="W4" s="406" t="s">
        <v>190</v>
      </c>
      <c r="X4" s="406" t="s">
        <v>138</v>
      </c>
      <c r="Y4" s="406" t="s">
        <v>109</v>
      </c>
      <c r="Z4" s="406" t="s">
        <v>110</v>
      </c>
      <c r="AA4" s="406" t="s">
        <v>300</v>
      </c>
      <c r="AB4" s="406" t="s">
        <v>28</v>
      </c>
      <c r="AC4" s="406" t="s">
        <v>301</v>
      </c>
      <c r="AD4" s="406" t="s">
        <v>209</v>
      </c>
      <c r="AE4" s="406" t="s">
        <v>302</v>
      </c>
      <c r="AF4" s="406" t="s">
        <v>303</v>
      </c>
      <c r="AG4" s="406" t="s">
        <v>210</v>
      </c>
      <c r="AH4" s="406" t="s">
        <v>304</v>
      </c>
      <c r="AI4" s="406" t="s">
        <v>211</v>
      </c>
      <c r="AJ4" s="406" t="s">
        <v>305</v>
      </c>
      <c r="AK4" s="406" t="s">
        <v>306</v>
      </c>
      <c r="AL4" s="406" t="s">
        <v>307</v>
      </c>
    </row>
    <row r="5" spans="1:44" ht="12.75" customHeight="1">
      <c r="A5" s="404"/>
      <c r="B5" s="407" t="s">
        <v>308</v>
      </c>
      <c r="C5" s="408"/>
      <c r="D5" s="408"/>
      <c r="E5" s="408"/>
      <c r="F5" s="408"/>
      <c r="G5" s="409"/>
      <c r="H5" s="409"/>
      <c r="I5" s="409"/>
      <c r="J5" s="409"/>
      <c r="K5" s="409"/>
      <c r="L5" s="409"/>
      <c r="M5" s="409"/>
      <c r="N5" s="409"/>
      <c r="O5" s="409"/>
      <c r="P5" s="409"/>
      <c r="Q5" s="409"/>
      <c r="R5" s="409"/>
      <c r="S5" s="409"/>
      <c r="T5" s="409"/>
      <c r="U5" s="409"/>
      <c r="V5" s="409"/>
      <c r="W5" s="409"/>
      <c r="X5" s="409"/>
      <c r="Y5" s="409"/>
      <c r="Z5" s="409"/>
      <c r="AA5" s="409"/>
      <c r="AB5" s="409"/>
      <c r="AC5" s="409"/>
      <c r="AD5" s="410" t="s">
        <v>309</v>
      </c>
      <c r="AE5" s="409"/>
      <c r="AF5" s="409"/>
      <c r="AG5" s="409"/>
      <c r="AH5" s="409"/>
      <c r="AI5" s="409"/>
      <c r="AJ5" s="409"/>
      <c r="AK5" s="409"/>
      <c r="AL5" s="409" t="s">
        <v>224</v>
      </c>
    </row>
    <row r="6" spans="1:44" ht="12.75" customHeight="1">
      <c r="A6" s="404"/>
      <c r="B6" s="411"/>
      <c r="C6" s="409"/>
      <c r="D6" s="409"/>
      <c r="E6" s="412"/>
      <c r="F6" s="412"/>
      <c r="G6" s="409"/>
      <c r="H6" s="409"/>
      <c r="I6" s="409"/>
      <c r="J6" s="409"/>
      <c r="K6" s="409"/>
      <c r="L6" s="409"/>
      <c r="M6" s="409"/>
      <c r="N6" s="409"/>
      <c r="O6" s="409"/>
      <c r="P6" s="409"/>
      <c r="Q6" s="409"/>
      <c r="R6" s="409"/>
      <c r="S6" s="409"/>
      <c r="T6" s="409"/>
      <c r="U6" s="409"/>
      <c r="V6" s="409"/>
      <c r="W6" s="409"/>
      <c r="X6" s="409"/>
      <c r="Y6" s="409"/>
      <c r="Z6" s="409"/>
      <c r="AA6" s="409"/>
      <c r="AB6" s="409"/>
      <c r="AC6" s="413"/>
      <c r="AD6" s="409"/>
      <c r="AE6" s="409"/>
      <c r="AF6" s="409"/>
      <c r="AG6" s="409"/>
      <c r="AH6" s="409"/>
      <c r="AI6" s="409"/>
      <c r="AJ6" s="409"/>
      <c r="AK6" s="413"/>
      <c r="AL6" s="413"/>
    </row>
    <row r="7" spans="1:44" ht="12.75" customHeight="1">
      <c r="A7" s="414" t="s">
        <v>310</v>
      </c>
      <c r="B7" s="415">
        <v>0</v>
      </c>
      <c r="C7" s="415">
        <v>0</v>
      </c>
      <c r="D7" s="415">
        <v>0</v>
      </c>
      <c r="E7" s="415">
        <v>0</v>
      </c>
      <c r="F7" s="415">
        <v>0</v>
      </c>
      <c r="G7" s="415">
        <v>0</v>
      </c>
      <c r="H7" s="415">
        <v>0</v>
      </c>
      <c r="I7" s="415">
        <v>0</v>
      </c>
      <c r="J7" s="415">
        <v>0</v>
      </c>
      <c r="K7" s="415">
        <v>0</v>
      </c>
      <c r="L7" s="415">
        <v>0</v>
      </c>
      <c r="M7" s="415">
        <v>0</v>
      </c>
      <c r="N7" s="415">
        <v>0</v>
      </c>
      <c r="O7" s="415">
        <v>0</v>
      </c>
      <c r="P7" s="415">
        <v>0</v>
      </c>
      <c r="Q7" s="515">
        <v>0</v>
      </c>
      <c r="R7" s="415">
        <v>0</v>
      </c>
      <c r="S7" s="415">
        <v>0</v>
      </c>
      <c r="T7" s="415">
        <v>0</v>
      </c>
      <c r="U7" s="415">
        <v>0</v>
      </c>
      <c r="V7" s="415">
        <v>0</v>
      </c>
      <c r="W7" s="415">
        <v>0</v>
      </c>
      <c r="X7" s="415">
        <v>0</v>
      </c>
      <c r="Y7" s="416" t="s">
        <v>312</v>
      </c>
      <c r="Z7" s="415">
        <v>0</v>
      </c>
      <c r="AA7" s="415">
        <v>0</v>
      </c>
      <c r="AB7" s="415">
        <v>0</v>
      </c>
      <c r="AC7" s="415">
        <f t="shared" ref="AC7:AC49" si="0">SUM(G7:AB7)</f>
        <v>0</v>
      </c>
      <c r="AD7" s="415">
        <v>0</v>
      </c>
      <c r="AE7" s="415">
        <v>0</v>
      </c>
      <c r="AF7" s="415">
        <v>0</v>
      </c>
      <c r="AG7" s="415">
        <f>1600/2000</f>
        <v>0.8</v>
      </c>
      <c r="AH7" s="415">
        <v>0</v>
      </c>
      <c r="AI7" s="415">
        <v>0</v>
      </c>
      <c r="AJ7" s="415">
        <f t="shared" ref="AJ7:AJ51" si="1">SUM(AD7:AI7)</f>
        <v>0.8</v>
      </c>
      <c r="AK7" s="415">
        <f t="shared" ref="AK7:AK49" si="2">F7+AC7+AJ7</f>
        <v>0.8</v>
      </c>
      <c r="AL7" s="540">
        <f t="shared" ref="AL7:AL49" si="3">AK7/AK$51*100</f>
        <v>2.9747038989034989E-3</v>
      </c>
      <c r="AR7" s="414"/>
    </row>
    <row r="8" spans="1:44" ht="12.75" customHeight="1">
      <c r="A8" s="414" t="s">
        <v>311</v>
      </c>
      <c r="B8" s="465" t="s">
        <v>359</v>
      </c>
      <c r="C8" s="416" t="s">
        <v>312</v>
      </c>
      <c r="D8" s="415">
        <f>(1000*80)/2000</f>
        <v>40</v>
      </c>
      <c r="E8" s="416" t="s">
        <v>312</v>
      </c>
      <c r="F8" s="466">
        <f>SUM(B8:E8)</f>
        <v>40</v>
      </c>
      <c r="G8" s="415">
        <v>0</v>
      </c>
      <c r="H8" s="415">
        <v>0</v>
      </c>
      <c r="I8" s="415">
        <v>0</v>
      </c>
      <c r="J8" s="415">
        <v>0</v>
      </c>
      <c r="K8" s="415">
        <v>0</v>
      </c>
      <c r="L8" s="415">
        <v>0</v>
      </c>
      <c r="M8" s="415">
        <v>0</v>
      </c>
      <c r="N8" s="415">
        <v>0</v>
      </c>
      <c r="O8" s="415">
        <v>0</v>
      </c>
      <c r="P8" s="415">
        <v>0</v>
      </c>
      <c r="Q8" s="515">
        <v>0</v>
      </c>
      <c r="R8" s="415">
        <v>10.94</v>
      </c>
      <c r="S8" s="415">
        <v>0</v>
      </c>
      <c r="T8" s="415">
        <v>0</v>
      </c>
      <c r="U8" s="415">
        <v>0</v>
      </c>
      <c r="V8" s="415">
        <v>0</v>
      </c>
      <c r="W8" s="415">
        <v>0</v>
      </c>
      <c r="X8" s="415">
        <v>0</v>
      </c>
      <c r="Y8" s="415">
        <v>0</v>
      </c>
      <c r="Z8" s="415">
        <v>0</v>
      </c>
      <c r="AA8" s="415">
        <v>0</v>
      </c>
      <c r="AB8" s="415">
        <v>0</v>
      </c>
      <c r="AC8" s="415">
        <f t="shared" si="0"/>
        <v>10.94</v>
      </c>
      <c r="AD8" s="415">
        <v>0</v>
      </c>
      <c r="AE8" s="415">
        <v>0</v>
      </c>
      <c r="AF8" s="415">
        <v>0</v>
      </c>
      <c r="AG8" s="415">
        <f>27900/2000</f>
        <v>13.95</v>
      </c>
      <c r="AH8" s="415">
        <v>0</v>
      </c>
      <c r="AI8" s="415">
        <v>0</v>
      </c>
      <c r="AJ8" s="415">
        <f t="shared" si="1"/>
        <v>13.95</v>
      </c>
      <c r="AK8" s="415">
        <f t="shared" si="2"/>
        <v>64.89</v>
      </c>
      <c r="AL8" s="540">
        <f t="shared" si="3"/>
        <v>0.24128566999980999</v>
      </c>
      <c r="AR8" s="414"/>
    </row>
    <row r="9" spans="1:44" ht="12.75" customHeight="1">
      <c r="A9" s="414" t="s">
        <v>313</v>
      </c>
      <c r="B9" s="415">
        <v>0</v>
      </c>
      <c r="C9" s="415">
        <v>0</v>
      </c>
      <c r="D9" s="415">
        <v>0</v>
      </c>
      <c r="E9" s="415">
        <v>0</v>
      </c>
      <c r="F9" s="415">
        <v>0</v>
      </c>
      <c r="G9" s="415">
        <v>0</v>
      </c>
      <c r="H9" s="415">
        <v>0</v>
      </c>
      <c r="I9" s="415">
        <v>0</v>
      </c>
      <c r="J9" s="415">
        <v>0</v>
      </c>
      <c r="K9" s="415">
        <v>0</v>
      </c>
      <c r="L9" s="415">
        <v>0</v>
      </c>
      <c r="M9" s="415">
        <v>0</v>
      </c>
      <c r="N9" s="415">
        <v>0</v>
      </c>
      <c r="O9" s="415">
        <v>0</v>
      </c>
      <c r="P9" s="415">
        <v>0</v>
      </c>
      <c r="Q9" s="515">
        <v>0</v>
      </c>
      <c r="R9" s="415">
        <v>0</v>
      </c>
      <c r="S9" s="415">
        <v>0</v>
      </c>
      <c r="T9" s="416" t="s">
        <v>312</v>
      </c>
      <c r="U9" s="415">
        <v>0</v>
      </c>
      <c r="V9" s="415">
        <v>0</v>
      </c>
      <c r="W9" s="415">
        <v>0</v>
      </c>
      <c r="X9" s="415">
        <v>0</v>
      </c>
      <c r="Y9" s="415">
        <v>0</v>
      </c>
      <c r="Z9" s="415">
        <v>0</v>
      </c>
      <c r="AA9" s="415">
        <v>0</v>
      </c>
      <c r="AB9" s="415">
        <v>0</v>
      </c>
      <c r="AC9" s="415">
        <f t="shared" si="0"/>
        <v>0</v>
      </c>
      <c r="AD9" s="415">
        <v>0</v>
      </c>
      <c r="AE9" s="415">
        <v>0</v>
      </c>
      <c r="AF9" s="415">
        <v>0</v>
      </c>
      <c r="AG9" s="415">
        <v>0</v>
      </c>
      <c r="AH9" s="415">
        <v>0</v>
      </c>
      <c r="AI9" s="415">
        <v>0</v>
      </c>
      <c r="AJ9" s="415">
        <f t="shared" si="1"/>
        <v>0</v>
      </c>
      <c r="AK9" s="415">
        <f t="shared" si="2"/>
        <v>0</v>
      </c>
      <c r="AL9" s="540">
        <f t="shared" si="3"/>
        <v>0</v>
      </c>
      <c r="AR9" s="414"/>
    </row>
    <row r="10" spans="1:44" ht="12.75" customHeight="1">
      <c r="A10" s="414" t="s">
        <v>314</v>
      </c>
      <c r="B10" s="415">
        <f>(44200*80)/2000</f>
        <v>1768</v>
      </c>
      <c r="C10" s="415">
        <f>(3800*80)/2000</f>
        <v>152</v>
      </c>
      <c r="D10" s="415">
        <f>(21200*80)/2000</f>
        <v>848</v>
      </c>
      <c r="E10" s="415">
        <f>(19200*80)/2000</f>
        <v>768</v>
      </c>
      <c r="F10" s="466">
        <f>SUM(B10:E10)</f>
        <v>3536</v>
      </c>
      <c r="G10" s="415">
        <f>245/2</f>
        <v>122.5</v>
      </c>
      <c r="H10" s="415">
        <v>31.57</v>
      </c>
      <c r="I10" s="417">
        <v>169.1</v>
      </c>
      <c r="J10" s="415">
        <v>0</v>
      </c>
      <c r="K10" s="415">
        <v>0</v>
      </c>
      <c r="L10" s="415">
        <f>63470/2000</f>
        <v>31.734999999999999</v>
      </c>
      <c r="M10" s="415">
        <v>0</v>
      </c>
      <c r="N10" s="415">
        <f>142280/2000</f>
        <v>71.14</v>
      </c>
      <c r="O10" s="415">
        <v>44.17</v>
      </c>
      <c r="P10" s="415">
        <v>0</v>
      </c>
      <c r="Q10" s="515">
        <v>0</v>
      </c>
      <c r="R10" s="415">
        <v>29.1</v>
      </c>
      <c r="S10" s="416" t="s">
        <v>312</v>
      </c>
      <c r="T10" s="415">
        <v>7130</v>
      </c>
      <c r="U10" s="415">
        <v>37.799999999999997</v>
      </c>
      <c r="V10" s="415">
        <v>119.65</v>
      </c>
      <c r="W10" s="415">
        <v>52.9</v>
      </c>
      <c r="X10" s="415">
        <v>0</v>
      </c>
      <c r="Y10" s="415">
        <v>475.87</v>
      </c>
      <c r="Z10" s="415">
        <v>161</v>
      </c>
      <c r="AA10" s="415">
        <f>99+279.62</f>
        <v>378.62</v>
      </c>
      <c r="AB10" s="415">
        <f>(25776*100)/2000</f>
        <v>1288.8</v>
      </c>
      <c r="AC10" s="415">
        <f t="shared" si="0"/>
        <v>10143.955</v>
      </c>
      <c r="AD10" s="415">
        <v>1839.9</v>
      </c>
      <c r="AE10" s="415">
        <v>0</v>
      </c>
      <c r="AF10" s="415">
        <v>0</v>
      </c>
      <c r="AG10" s="415">
        <f>3700/2000</f>
        <v>1.85</v>
      </c>
      <c r="AH10" s="415">
        <v>493.5</v>
      </c>
      <c r="AI10" s="415">
        <v>676</v>
      </c>
      <c r="AJ10" s="415">
        <f t="shared" si="1"/>
        <v>3011.25</v>
      </c>
      <c r="AK10" s="415">
        <f t="shared" si="2"/>
        <v>16691.205000000002</v>
      </c>
      <c r="AL10" s="540">
        <f t="shared" si="3"/>
        <v>62.064240738621969</v>
      </c>
      <c r="AN10" s="418"/>
      <c r="AR10" s="414"/>
    </row>
    <row r="11" spans="1:44" ht="12.75" customHeight="1">
      <c r="A11" s="414" t="s">
        <v>315</v>
      </c>
      <c r="B11" s="415">
        <v>0</v>
      </c>
      <c r="C11" s="415">
        <v>0</v>
      </c>
      <c r="D11" s="415">
        <v>0</v>
      </c>
      <c r="E11" s="415">
        <v>0</v>
      </c>
      <c r="F11" s="415">
        <v>0</v>
      </c>
      <c r="G11" s="415">
        <v>0</v>
      </c>
      <c r="H11" s="415">
        <v>0</v>
      </c>
      <c r="I11" s="415">
        <v>0</v>
      </c>
      <c r="J11" s="415">
        <v>0</v>
      </c>
      <c r="K11" s="415">
        <v>0</v>
      </c>
      <c r="L11" s="415">
        <v>0</v>
      </c>
      <c r="M11" s="415">
        <v>0</v>
      </c>
      <c r="N11" s="415">
        <v>0</v>
      </c>
      <c r="O11" s="415">
        <v>0</v>
      </c>
      <c r="P11" s="415">
        <v>0</v>
      </c>
      <c r="Q11" s="515">
        <v>0</v>
      </c>
      <c r="R11" s="415">
        <v>0</v>
      </c>
      <c r="S11" s="415">
        <v>0</v>
      </c>
      <c r="T11" s="415">
        <v>0</v>
      </c>
      <c r="U11" s="415">
        <v>0</v>
      </c>
      <c r="V11" s="415">
        <v>0</v>
      </c>
      <c r="W11" s="415">
        <v>0</v>
      </c>
      <c r="X11" s="415">
        <v>0</v>
      </c>
      <c r="Y11" s="415">
        <v>14.55</v>
      </c>
      <c r="Z11" s="415">
        <v>0</v>
      </c>
      <c r="AA11" s="415">
        <v>0</v>
      </c>
      <c r="AB11" s="415">
        <v>0</v>
      </c>
      <c r="AC11" s="415">
        <f t="shared" si="0"/>
        <v>14.55</v>
      </c>
      <c r="AD11" s="415">
        <v>0</v>
      </c>
      <c r="AE11" s="415">
        <v>0</v>
      </c>
      <c r="AF11" s="415">
        <v>0</v>
      </c>
      <c r="AG11" s="415">
        <v>0</v>
      </c>
      <c r="AH11" s="415">
        <v>0</v>
      </c>
      <c r="AI11" s="415">
        <v>0</v>
      </c>
      <c r="AJ11" s="415">
        <f t="shared" si="1"/>
        <v>0</v>
      </c>
      <c r="AK11" s="415">
        <f t="shared" si="2"/>
        <v>14.55</v>
      </c>
      <c r="AL11" s="540">
        <f t="shared" si="3"/>
        <v>5.4102427161307379E-2</v>
      </c>
      <c r="AR11" s="414"/>
    </row>
    <row r="12" spans="1:44" ht="12.75" customHeight="1">
      <c r="A12" s="414" t="s">
        <v>316</v>
      </c>
      <c r="B12" s="415">
        <v>0</v>
      </c>
      <c r="C12" s="415">
        <v>0</v>
      </c>
      <c r="D12" s="415">
        <v>0</v>
      </c>
      <c r="E12" s="415">
        <v>0</v>
      </c>
      <c r="F12" s="415">
        <v>0</v>
      </c>
      <c r="G12" s="416" t="s">
        <v>312</v>
      </c>
      <c r="H12" s="415">
        <v>0</v>
      </c>
      <c r="I12" s="415">
        <v>0</v>
      </c>
      <c r="J12" s="415">
        <v>0</v>
      </c>
      <c r="K12" s="415">
        <v>0</v>
      </c>
      <c r="L12" s="415">
        <v>0</v>
      </c>
      <c r="M12" s="415">
        <v>0</v>
      </c>
      <c r="N12" s="415">
        <v>0</v>
      </c>
      <c r="O12" s="415">
        <v>0</v>
      </c>
      <c r="P12" s="415">
        <v>0</v>
      </c>
      <c r="Q12" s="515">
        <v>0</v>
      </c>
      <c r="R12" s="415">
        <v>0</v>
      </c>
      <c r="S12" s="415">
        <v>0</v>
      </c>
      <c r="T12" s="415">
        <v>0</v>
      </c>
      <c r="U12" s="415">
        <v>0</v>
      </c>
      <c r="V12" s="415">
        <v>0</v>
      </c>
      <c r="W12" s="415">
        <v>0</v>
      </c>
      <c r="X12" s="415">
        <v>0</v>
      </c>
      <c r="Y12" s="415">
        <v>0</v>
      </c>
      <c r="Z12" s="415">
        <v>0</v>
      </c>
      <c r="AA12" s="415">
        <v>0</v>
      </c>
      <c r="AB12" s="415">
        <v>0</v>
      </c>
      <c r="AC12" s="415">
        <f t="shared" si="0"/>
        <v>0</v>
      </c>
      <c r="AD12" s="415">
        <v>0</v>
      </c>
      <c r="AE12" s="415">
        <v>0</v>
      </c>
      <c r="AF12" s="415">
        <v>0</v>
      </c>
      <c r="AG12" s="415">
        <v>0</v>
      </c>
      <c r="AH12" s="415">
        <v>0</v>
      </c>
      <c r="AI12" s="415">
        <v>0</v>
      </c>
      <c r="AJ12" s="415">
        <f t="shared" si="1"/>
        <v>0</v>
      </c>
      <c r="AK12" s="415">
        <f t="shared" si="2"/>
        <v>0</v>
      </c>
      <c r="AL12" s="540">
        <f t="shared" si="3"/>
        <v>0</v>
      </c>
      <c r="AR12" s="414"/>
    </row>
    <row r="13" spans="1:44" ht="12.75" customHeight="1">
      <c r="A13" s="414" t="s">
        <v>317</v>
      </c>
      <c r="B13" s="415">
        <f>(45050*90)/2000</f>
        <v>2027.25</v>
      </c>
      <c r="C13" s="415">
        <f>(3880*85)/2000</f>
        <v>164.9</v>
      </c>
      <c r="D13" s="415">
        <v>0</v>
      </c>
      <c r="E13" s="415">
        <f>(750*95)/2000</f>
        <v>35.625</v>
      </c>
      <c r="F13" s="466">
        <f>SUM(B13:E13)</f>
        <v>2227.7750000000001</v>
      </c>
      <c r="G13" s="415">
        <v>0</v>
      </c>
      <c r="H13" s="415">
        <v>0</v>
      </c>
      <c r="I13" s="417">
        <v>13.62</v>
      </c>
      <c r="J13" s="415">
        <v>0</v>
      </c>
      <c r="K13" s="415">
        <v>0</v>
      </c>
      <c r="L13" s="415">
        <f>20420/2000</f>
        <v>10.210000000000001</v>
      </c>
      <c r="M13" s="415">
        <v>0</v>
      </c>
      <c r="N13" s="415">
        <v>0</v>
      </c>
      <c r="O13" s="415">
        <v>0</v>
      </c>
      <c r="P13" s="415">
        <v>0</v>
      </c>
      <c r="Q13" s="515">
        <v>0</v>
      </c>
      <c r="R13" s="415">
        <v>0</v>
      </c>
      <c r="S13" s="415">
        <v>0</v>
      </c>
      <c r="T13" s="415">
        <v>0</v>
      </c>
      <c r="U13" s="415">
        <v>0</v>
      </c>
      <c r="V13" s="415">
        <v>0</v>
      </c>
      <c r="W13" s="415">
        <v>0</v>
      </c>
      <c r="X13" s="415">
        <v>0</v>
      </c>
      <c r="Y13" s="415">
        <v>0</v>
      </c>
      <c r="Z13" s="415">
        <v>0</v>
      </c>
      <c r="AA13" s="415">
        <v>0</v>
      </c>
      <c r="AB13" s="415">
        <f>(2450*100)/2000</f>
        <v>122.5</v>
      </c>
      <c r="AC13" s="415">
        <f t="shared" si="0"/>
        <v>146.32999999999998</v>
      </c>
      <c r="AD13" s="415">
        <v>0</v>
      </c>
      <c r="AE13" s="415">
        <v>0</v>
      </c>
      <c r="AF13" s="415">
        <v>0</v>
      </c>
      <c r="AG13" s="415">
        <v>0</v>
      </c>
      <c r="AH13" s="415">
        <v>0</v>
      </c>
      <c r="AI13" s="415">
        <v>0</v>
      </c>
      <c r="AJ13" s="415">
        <f t="shared" si="1"/>
        <v>0</v>
      </c>
      <c r="AK13" s="415">
        <f t="shared" si="2"/>
        <v>2374.105</v>
      </c>
      <c r="AL13" s="540">
        <f t="shared" si="3"/>
        <v>8.8278242498828625</v>
      </c>
      <c r="AR13" s="414"/>
    </row>
    <row r="14" spans="1:44" ht="12.75" customHeight="1">
      <c r="A14" s="414" t="s">
        <v>318</v>
      </c>
      <c r="B14" s="415">
        <v>0</v>
      </c>
      <c r="C14" s="415">
        <v>0</v>
      </c>
      <c r="D14" s="415">
        <v>0</v>
      </c>
      <c r="E14" s="415">
        <v>0</v>
      </c>
      <c r="F14" s="415">
        <v>0</v>
      </c>
      <c r="G14" s="415">
        <v>0</v>
      </c>
      <c r="H14" s="415">
        <v>0</v>
      </c>
      <c r="I14" s="415">
        <v>0</v>
      </c>
      <c r="J14" s="415">
        <v>0</v>
      </c>
      <c r="K14" s="415">
        <v>0</v>
      </c>
      <c r="L14" s="415">
        <f>53350/2000</f>
        <v>26.675000000000001</v>
      </c>
      <c r="M14" s="415">
        <v>0</v>
      </c>
      <c r="N14" s="415">
        <v>0</v>
      </c>
      <c r="O14" s="415">
        <v>0</v>
      </c>
      <c r="P14" s="415">
        <v>0</v>
      </c>
      <c r="Q14" s="515">
        <v>0</v>
      </c>
      <c r="R14" s="415">
        <v>0</v>
      </c>
      <c r="S14" s="415">
        <v>0</v>
      </c>
      <c r="T14" s="416" t="s">
        <v>312</v>
      </c>
      <c r="U14" s="415">
        <v>0</v>
      </c>
      <c r="V14" s="415">
        <v>0</v>
      </c>
      <c r="W14" s="415">
        <v>0</v>
      </c>
      <c r="X14" s="415">
        <v>0</v>
      </c>
      <c r="Y14" s="415">
        <v>23.4</v>
      </c>
      <c r="Z14" s="415">
        <v>0</v>
      </c>
      <c r="AA14" s="415">
        <v>0</v>
      </c>
      <c r="AB14" s="415">
        <v>0</v>
      </c>
      <c r="AC14" s="415">
        <f t="shared" si="0"/>
        <v>50.075000000000003</v>
      </c>
      <c r="AD14" s="415">
        <v>0</v>
      </c>
      <c r="AE14" s="415">
        <v>0</v>
      </c>
      <c r="AF14" s="415">
        <v>0</v>
      </c>
      <c r="AG14" s="415">
        <f>70000/2000</f>
        <v>35</v>
      </c>
      <c r="AH14" s="415">
        <v>0</v>
      </c>
      <c r="AI14" s="415">
        <v>0</v>
      </c>
      <c r="AJ14" s="415">
        <f t="shared" si="1"/>
        <v>35</v>
      </c>
      <c r="AK14" s="415">
        <f t="shared" si="2"/>
        <v>85.075000000000003</v>
      </c>
      <c r="AL14" s="540">
        <f t="shared" si="3"/>
        <v>0.31634116774901888</v>
      </c>
      <c r="AR14" s="414"/>
    </row>
    <row r="15" spans="1:44" ht="12.75" customHeight="1">
      <c r="A15" s="431" t="s">
        <v>448</v>
      </c>
      <c r="B15" s="415">
        <v>0</v>
      </c>
      <c r="C15" s="415">
        <v>0</v>
      </c>
      <c r="D15" s="415">
        <v>0</v>
      </c>
      <c r="E15" s="415">
        <v>0</v>
      </c>
      <c r="F15" s="415">
        <v>0</v>
      </c>
      <c r="G15" s="415">
        <v>0</v>
      </c>
      <c r="H15" s="415">
        <v>0</v>
      </c>
      <c r="I15" s="417">
        <v>0.78</v>
      </c>
      <c r="J15" s="416" t="s">
        <v>312</v>
      </c>
      <c r="K15" s="415">
        <v>0</v>
      </c>
      <c r="L15" s="415">
        <v>0</v>
      </c>
      <c r="M15" s="415">
        <v>0</v>
      </c>
      <c r="N15" s="415">
        <v>0</v>
      </c>
      <c r="O15" s="415">
        <v>0</v>
      </c>
      <c r="P15" s="415">
        <v>0</v>
      </c>
      <c r="Q15" s="515">
        <v>0</v>
      </c>
      <c r="R15" s="415">
        <v>0</v>
      </c>
      <c r="S15" s="415">
        <v>0</v>
      </c>
      <c r="T15" s="415">
        <v>0</v>
      </c>
      <c r="U15" s="415">
        <v>0</v>
      </c>
      <c r="V15" s="415">
        <v>0</v>
      </c>
      <c r="W15" s="415">
        <v>0</v>
      </c>
      <c r="X15" s="417">
        <v>10.29</v>
      </c>
      <c r="Y15" s="415">
        <v>0</v>
      </c>
      <c r="Z15" s="415">
        <v>0</v>
      </c>
      <c r="AA15" s="415">
        <v>0</v>
      </c>
      <c r="AB15" s="415">
        <v>0</v>
      </c>
      <c r="AC15" s="415">
        <f t="shared" si="0"/>
        <v>11.069999999999999</v>
      </c>
      <c r="AD15" s="415">
        <v>0</v>
      </c>
      <c r="AE15" s="415">
        <v>0</v>
      </c>
      <c r="AF15" s="415">
        <v>17.7</v>
      </c>
      <c r="AG15" s="415">
        <v>0</v>
      </c>
      <c r="AH15" s="415">
        <v>0</v>
      </c>
      <c r="AI15" s="415">
        <v>0</v>
      </c>
      <c r="AJ15" s="415">
        <f t="shared" si="1"/>
        <v>17.7</v>
      </c>
      <c r="AK15" s="415">
        <f>F15+AC15+AJ15+13.2</f>
        <v>41.97</v>
      </c>
      <c r="AL15" s="540">
        <f t="shared" si="3"/>
        <v>0.15606040329622478</v>
      </c>
      <c r="AR15" s="414"/>
    </row>
    <row r="16" spans="1:44" ht="12.75" customHeight="1">
      <c r="A16" s="414" t="s">
        <v>319</v>
      </c>
      <c r="B16" s="415">
        <v>0</v>
      </c>
      <c r="C16" s="415">
        <v>0</v>
      </c>
      <c r="D16" s="415">
        <v>0</v>
      </c>
      <c r="E16" s="415">
        <v>0</v>
      </c>
      <c r="F16" s="415">
        <v>0</v>
      </c>
      <c r="G16" s="416" t="s">
        <v>312</v>
      </c>
      <c r="H16" s="415">
        <v>0</v>
      </c>
      <c r="I16" s="415">
        <v>0</v>
      </c>
      <c r="J16" s="415">
        <v>0</v>
      </c>
      <c r="K16" s="415">
        <v>0</v>
      </c>
      <c r="L16" s="415">
        <v>0</v>
      </c>
      <c r="M16" s="415">
        <v>0</v>
      </c>
      <c r="N16" s="415">
        <v>0</v>
      </c>
      <c r="O16" s="416" t="s">
        <v>312</v>
      </c>
      <c r="P16" s="415">
        <v>0</v>
      </c>
      <c r="Q16" s="515">
        <v>0</v>
      </c>
      <c r="R16" s="415">
        <v>0</v>
      </c>
      <c r="S16" s="415">
        <v>0</v>
      </c>
      <c r="T16" s="415">
        <v>0</v>
      </c>
      <c r="U16" s="415">
        <v>0</v>
      </c>
      <c r="V16" s="415">
        <v>0</v>
      </c>
      <c r="W16" s="415">
        <v>0</v>
      </c>
      <c r="X16" s="415">
        <v>0</v>
      </c>
      <c r="Y16" s="416" t="s">
        <v>312</v>
      </c>
      <c r="Z16" s="415">
        <v>0</v>
      </c>
      <c r="AA16" s="415">
        <v>0</v>
      </c>
      <c r="AB16" s="415">
        <v>0</v>
      </c>
      <c r="AC16" s="415">
        <f t="shared" si="0"/>
        <v>0</v>
      </c>
      <c r="AD16" s="415">
        <v>0</v>
      </c>
      <c r="AE16" s="415">
        <v>0</v>
      </c>
      <c r="AF16" s="415">
        <v>0</v>
      </c>
      <c r="AG16" s="415">
        <v>0</v>
      </c>
      <c r="AH16" s="415">
        <v>0</v>
      </c>
      <c r="AI16" s="415">
        <v>0</v>
      </c>
      <c r="AJ16" s="415">
        <f t="shared" si="1"/>
        <v>0</v>
      </c>
      <c r="AK16" s="415">
        <f t="shared" si="2"/>
        <v>0</v>
      </c>
      <c r="AL16" s="540">
        <f t="shared" si="3"/>
        <v>0</v>
      </c>
      <c r="AR16" s="414"/>
    </row>
    <row r="17" spans="1:44" ht="12.75" customHeight="1">
      <c r="A17" s="414" t="s">
        <v>320</v>
      </c>
      <c r="B17" s="415">
        <v>0</v>
      </c>
      <c r="C17" s="415">
        <v>0</v>
      </c>
      <c r="D17" s="415">
        <v>0</v>
      </c>
      <c r="E17" s="415">
        <v>0</v>
      </c>
      <c r="F17" s="415">
        <v>0</v>
      </c>
      <c r="G17" s="416" t="s">
        <v>312</v>
      </c>
      <c r="H17" s="415">
        <v>0</v>
      </c>
      <c r="I17" s="415">
        <v>0</v>
      </c>
      <c r="J17" s="415">
        <v>0</v>
      </c>
      <c r="K17" s="415">
        <v>0</v>
      </c>
      <c r="L17" s="415">
        <v>0</v>
      </c>
      <c r="M17" s="415">
        <v>0</v>
      </c>
      <c r="N17" s="415">
        <v>0</v>
      </c>
      <c r="O17" s="415">
        <v>0</v>
      </c>
      <c r="P17" s="415">
        <v>0</v>
      </c>
      <c r="Q17" s="515">
        <v>0</v>
      </c>
      <c r="R17" s="415">
        <v>0</v>
      </c>
      <c r="S17" s="415">
        <v>0</v>
      </c>
      <c r="T17" s="415">
        <v>0</v>
      </c>
      <c r="U17" s="415">
        <v>0</v>
      </c>
      <c r="V17" s="415">
        <v>0</v>
      </c>
      <c r="W17" s="415">
        <v>0</v>
      </c>
      <c r="X17" s="415">
        <v>0</v>
      </c>
      <c r="Y17" s="416" t="s">
        <v>312</v>
      </c>
      <c r="Z17" s="415">
        <v>0</v>
      </c>
      <c r="AA17" s="415">
        <v>0</v>
      </c>
      <c r="AB17" s="415">
        <v>0</v>
      </c>
      <c r="AC17" s="415">
        <f t="shared" si="0"/>
        <v>0</v>
      </c>
      <c r="AD17" s="415">
        <v>0</v>
      </c>
      <c r="AE17" s="415">
        <v>0</v>
      </c>
      <c r="AF17" s="415">
        <v>0</v>
      </c>
      <c r="AG17" s="415">
        <v>0</v>
      </c>
      <c r="AH17" s="415">
        <v>0</v>
      </c>
      <c r="AI17" s="415">
        <v>0</v>
      </c>
      <c r="AJ17" s="415">
        <f t="shared" si="1"/>
        <v>0</v>
      </c>
      <c r="AK17" s="415">
        <f t="shared" si="2"/>
        <v>0</v>
      </c>
      <c r="AL17" s="540">
        <f t="shared" si="3"/>
        <v>0</v>
      </c>
      <c r="AR17" s="414"/>
    </row>
    <row r="18" spans="1:44" ht="12.75" customHeight="1">
      <c r="A18" s="414" t="s">
        <v>321</v>
      </c>
      <c r="B18" s="415">
        <v>0</v>
      </c>
      <c r="C18" s="415">
        <v>0</v>
      </c>
      <c r="D18" s="415">
        <v>0</v>
      </c>
      <c r="E18" s="415">
        <v>0</v>
      </c>
      <c r="F18" s="415">
        <v>0</v>
      </c>
      <c r="G18" s="415">
        <v>0</v>
      </c>
      <c r="H18" s="415">
        <v>0</v>
      </c>
      <c r="I18" s="415">
        <v>0</v>
      </c>
      <c r="J18" s="415">
        <v>0</v>
      </c>
      <c r="K18" s="415">
        <v>0</v>
      </c>
      <c r="L18" s="415">
        <v>0</v>
      </c>
      <c r="M18" s="415">
        <v>0</v>
      </c>
      <c r="N18" s="415">
        <v>0</v>
      </c>
      <c r="O18" s="415">
        <v>0</v>
      </c>
      <c r="P18" s="415">
        <v>0</v>
      </c>
      <c r="Q18" s="515">
        <v>0</v>
      </c>
      <c r="R18" s="415">
        <v>0</v>
      </c>
      <c r="S18" s="415">
        <v>0</v>
      </c>
      <c r="T18" s="415">
        <v>0</v>
      </c>
      <c r="U18" s="415">
        <v>0</v>
      </c>
      <c r="V18" s="415">
        <v>0</v>
      </c>
      <c r="W18" s="415">
        <v>0</v>
      </c>
      <c r="X18" s="415">
        <v>0</v>
      </c>
      <c r="Y18" s="415">
        <v>0</v>
      </c>
      <c r="Z18" s="415">
        <v>0</v>
      </c>
      <c r="AA18" s="415">
        <v>0</v>
      </c>
      <c r="AB18" s="415">
        <v>0</v>
      </c>
      <c r="AC18" s="415">
        <f t="shared" si="0"/>
        <v>0</v>
      </c>
      <c r="AD18" s="415">
        <v>0</v>
      </c>
      <c r="AE18" s="415">
        <v>0</v>
      </c>
      <c r="AF18" s="415">
        <v>0</v>
      </c>
      <c r="AG18" s="415">
        <v>0</v>
      </c>
      <c r="AH18" s="415">
        <v>0</v>
      </c>
      <c r="AI18" s="415">
        <v>0</v>
      </c>
      <c r="AJ18" s="415">
        <f t="shared" si="1"/>
        <v>0</v>
      </c>
      <c r="AK18" s="415">
        <f t="shared" si="2"/>
        <v>0</v>
      </c>
      <c r="AL18" s="540">
        <f t="shared" si="3"/>
        <v>0</v>
      </c>
      <c r="AR18" s="414"/>
    </row>
    <row r="19" spans="1:44" ht="12.75" customHeight="1">
      <c r="A19" s="414" t="s">
        <v>322</v>
      </c>
      <c r="B19" s="415">
        <v>0</v>
      </c>
      <c r="C19" s="415">
        <v>0</v>
      </c>
      <c r="D19" s="415">
        <v>0</v>
      </c>
      <c r="E19" s="415">
        <v>0</v>
      </c>
      <c r="F19" s="415">
        <v>0</v>
      </c>
      <c r="G19" s="415">
        <v>0</v>
      </c>
      <c r="H19" s="415">
        <v>0</v>
      </c>
      <c r="I19" s="415">
        <v>0</v>
      </c>
      <c r="J19" s="415">
        <v>0</v>
      </c>
      <c r="K19" s="415">
        <v>0</v>
      </c>
      <c r="L19" s="415">
        <v>0</v>
      </c>
      <c r="M19" s="415">
        <v>0</v>
      </c>
      <c r="N19" s="415">
        <v>0</v>
      </c>
      <c r="O19" s="415">
        <v>0</v>
      </c>
      <c r="P19" s="415">
        <v>0</v>
      </c>
      <c r="Q19" s="515">
        <v>0</v>
      </c>
      <c r="R19" s="415">
        <v>0</v>
      </c>
      <c r="S19" s="415">
        <v>0</v>
      </c>
      <c r="T19" s="415">
        <v>0</v>
      </c>
      <c r="U19" s="415">
        <v>0</v>
      </c>
      <c r="V19" s="415">
        <v>0</v>
      </c>
      <c r="W19" s="415">
        <v>0</v>
      </c>
      <c r="X19" s="415">
        <v>0</v>
      </c>
      <c r="Y19" s="415">
        <v>0</v>
      </c>
      <c r="Z19" s="415">
        <v>0</v>
      </c>
      <c r="AA19" s="415">
        <v>0</v>
      </c>
      <c r="AB19" s="415">
        <v>0</v>
      </c>
      <c r="AC19" s="415">
        <f t="shared" si="0"/>
        <v>0</v>
      </c>
      <c r="AD19" s="415">
        <v>0</v>
      </c>
      <c r="AE19" s="415">
        <v>0</v>
      </c>
      <c r="AF19" s="415">
        <v>0</v>
      </c>
      <c r="AG19" s="415">
        <v>0</v>
      </c>
      <c r="AH19" s="415">
        <v>0</v>
      </c>
      <c r="AI19" s="415">
        <v>0</v>
      </c>
      <c r="AJ19" s="415">
        <f t="shared" si="1"/>
        <v>0</v>
      </c>
      <c r="AK19" s="415">
        <f t="shared" si="2"/>
        <v>0</v>
      </c>
      <c r="AL19" s="540">
        <f t="shared" si="3"/>
        <v>0</v>
      </c>
      <c r="AR19" s="414"/>
    </row>
    <row r="20" spans="1:44" ht="12.75" customHeight="1">
      <c r="A20" s="414" t="s">
        <v>323</v>
      </c>
      <c r="B20" s="415">
        <v>0</v>
      </c>
      <c r="C20" s="415">
        <v>0</v>
      </c>
      <c r="D20" s="415">
        <v>0</v>
      </c>
      <c r="E20" s="415">
        <v>0</v>
      </c>
      <c r="F20" s="415">
        <v>0</v>
      </c>
      <c r="G20" s="415">
        <v>0</v>
      </c>
      <c r="H20" s="415">
        <v>0</v>
      </c>
      <c r="I20" s="415">
        <v>0</v>
      </c>
      <c r="J20" s="415">
        <v>0</v>
      </c>
      <c r="K20" s="415">
        <v>0</v>
      </c>
      <c r="L20" s="415">
        <v>0</v>
      </c>
      <c r="M20" s="415">
        <v>0</v>
      </c>
      <c r="N20" s="415">
        <v>0</v>
      </c>
      <c r="O20" s="415">
        <v>0</v>
      </c>
      <c r="P20" s="415">
        <v>0</v>
      </c>
      <c r="Q20" s="515">
        <v>0</v>
      </c>
      <c r="R20" s="415">
        <v>0</v>
      </c>
      <c r="S20" s="415">
        <v>0</v>
      </c>
      <c r="T20" s="415">
        <v>0</v>
      </c>
      <c r="U20" s="415">
        <v>0</v>
      </c>
      <c r="V20" s="415">
        <v>0</v>
      </c>
      <c r="W20" s="415">
        <v>0</v>
      </c>
      <c r="X20" s="415">
        <v>0</v>
      </c>
      <c r="Y20" s="415">
        <v>0</v>
      </c>
      <c r="Z20" s="415">
        <v>0</v>
      </c>
      <c r="AA20" s="415">
        <v>0</v>
      </c>
      <c r="AB20" s="415">
        <v>0</v>
      </c>
      <c r="AC20" s="415">
        <f t="shared" si="0"/>
        <v>0</v>
      </c>
      <c r="AD20" s="415">
        <v>0</v>
      </c>
      <c r="AE20" s="415">
        <v>0</v>
      </c>
      <c r="AF20" s="415">
        <v>0</v>
      </c>
      <c r="AG20" s="415">
        <v>0</v>
      </c>
      <c r="AH20" s="415">
        <v>0</v>
      </c>
      <c r="AI20" s="415">
        <v>0</v>
      </c>
      <c r="AJ20" s="415">
        <f t="shared" si="1"/>
        <v>0</v>
      </c>
      <c r="AK20" s="415">
        <f t="shared" si="2"/>
        <v>0</v>
      </c>
      <c r="AL20" s="540">
        <f t="shared" si="3"/>
        <v>0</v>
      </c>
      <c r="AR20" s="414"/>
    </row>
    <row r="21" spans="1:44" ht="12.75" customHeight="1">
      <c r="A21" s="414" t="s">
        <v>324</v>
      </c>
      <c r="B21" s="415">
        <v>0</v>
      </c>
      <c r="C21" s="415">
        <v>0</v>
      </c>
      <c r="D21" s="415">
        <v>0</v>
      </c>
      <c r="E21" s="415">
        <v>0</v>
      </c>
      <c r="F21" s="415">
        <v>0</v>
      </c>
      <c r="G21" s="415">
        <v>0</v>
      </c>
      <c r="H21" s="415">
        <v>0</v>
      </c>
      <c r="I21" s="415">
        <v>0</v>
      </c>
      <c r="J21" s="415">
        <v>0</v>
      </c>
      <c r="K21" s="415">
        <v>0</v>
      </c>
      <c r="L21" s="415">
        <v>0</v>
      </c>
      <c r="M21" s="415">
        <v>0</v>
      </c>
      <c r="N21" s="415">
        <v>0</v>
      </c>
      <c r="O21" s="415">
        <v>0</v>
      </c>
      <c r="P21" s="415">
        <v>0</v>
      </c>
      <c r="Q21" s="515">
        <v>0</v>
      </c>
      <c r="R21" s="415">
        <v>0</v>
      </c>
      <c r="S21" s="415">
        <v>0</v>
      </c>
      <c r="T21" s="415">
        <v>0</v>
      </c>
      <c r="U21" s="415">
        <v>0</v>
      </c>
      <c r="V21" s="415">
        <v>0</v>
      </c>
      <c r="W21" s="415">
        <v>0</v>
      </c>
      <c r="X21" s="415">
        <v>0</v>
      </c>
      <c r="Y21" s="415">
        <v>0</v>
      </c>
      <c r="Z21" s="415">
        <v>0</v>
      </c>
      <c r="AA21" s="415">
        <v>0</v>
      </c>
      <c r="AB21" s="415">
        <v>0</v>
      </c>
      <c r="AC21" s="415">
        <f t="shared" si="0"/>
        <v>0</v>
      </c>
      <c r="AD21" s="415">
        <v>0</v>
      </c>
      <c r="AE21" s="415">
        <v>0</v>
      </c>
      <c r="AF21" s="415">
        <v>0</v>
      </c>
      <c r="AG21" s="415">
        <v>0</v>
      </c>
      <c r="AH21" s="415">
        <v>0</v>
      </c>
      <c r="AI21" s="415">
        <v>0</v>
      </c>
      <c r="AJ21" s="415">
        <f t="shared" si="1"/>
        <v>0</v>
      </c>
      <c r="AK21" s="415">
        <f t="shared" si="2"/>
        <v>0</v>
      </c>
      <c r="AL21" s="540">
        <f t="shared" si="3"/>
        <v>0</v>
      </c>
      <c r="AR21" s="414"/>
    </row>
    <row r="22" spans="1:44" ht="12.75" customHeight="1">
      <c r="A22" s="414" t="s">
        <v>325</v>
      </c>
      <c r="B22" s="415">
        <v>0</v>
      </c>
      <c r="C22" s="415">
        <v>0</v>
      </c>
      <c r="D22" s="415">
        <v>0</v>
      </c>
      <c r="E22" s="415">
        <v>0</v>
      </c>
      <c r="F22" s="415">
        <v>0</v>
      </c>
      <c r="G22" s="415">
        <v>0</v>
      </c>
      <c r="H22" s="415">
        <v>0</v>
      </c>
      <c r="I22" s="415">
        <v>0</v>
      </c>
      <c r="J22" s="415">
        <v>0</v>
      </c>
      <c r="K22" s="415">
        <v>0</v>
      </c>
      <c r="L22" s="415">
        <v>0</v>
      </c>
      <c r="M22" s="415">
        <v>0</v>
      </c>
      <c r="N22" s="415">
        <v>0</v>
      </c>
      <c r="O22" s="415">
        <v>0</v>
      </c>
      <c r="P22" s="415">
        <v>0</v>
      </c>
      <c r="Q22" s="515">
        <v>0</v>
      </c>
      <c r="R22" s="415">
        <v>0</v>
      </c>
      <c r="S22" s="415">
        <v>0</v>
      </c>
      <c r="T22" s="415">
        <v>0</v>
      </c>
      <c r="U22" s="415">
        <v>0</v>
      </c>
      <c r="V22" s="415">
        <v>0</v>
      </c>
      <c r="W22" s="415">
        <v>0</v>
      </c>
      <c r="X22" s="415">
        <v>0</v>
      </c>
      <c r="Y22" s="415">
        <v>0</v>
      </c>
      <c r="Z22" s="415">
        <v>0</v>
      </c>
      <c r="AA22" s="415">
        <v>0</v>
      </c>
      <c r="AB22" s="415">
        <v>0</v>
      </c>
      <c r="AC22" s="415">
        <f t="shared" si="0"/>
        <v>0</v>
      </c>
      <c r="AD22" s="415">
        <v>0</v>
      </c>
      <c r="AE22" s="415">
        <v>0</v>
      </c>
      <c r="AF22" s="415">
        <v>0</v>
      </c>
      <c r="AG22" s="415">
        <f>6030/2000</f>
        <v>3.0150000000000001</v>
      </c>
      <c r="AH22" s="415">
        <v>0</v>
      </c>
      <c r="AI22" s="415">
        <v>0</v>
      </c>
      <c r="AJ22" s="415">
        <f t="shared" si="1"/>
        <v>3.0150000000000001</v>
      </c>
      <c r="AK22" s="415">
        <f t="shared" si="2"/>
        <v>3.0150000000000001</v>
      </c>
      <c r="AL22" s="540">
        <f t="shared" si="3"/>
        <v>1.121091531899256E-2</v>
      </c>
      <c r="AR22" s="414"/>
    </row>
    <row r="23" spans="1:44" ht="12.75" customHeight="1">
      <c r="A23" s="414" t="s">
        <v>326</v>
      </c>
      <c r="B23" s="415">
        <v>0</v>
      </c>
      <c r="C23" s="415">
        <v>0</v>
      </c>
      <c r="D23" s="415">
        <v>0</v>
      </c>
      <c r="E23" s="415">
        <v>0</v>
      </c>
      <c r="F23" s="415">
        <v>0</v>
      </c>
      <c r="G23" s="416" t="s">
        <v>312</v>
      </c>
      <c r="H23" s="415">
        <v>0</v>
      </c>
      <c r="I23" s="415">
        <v>0</v>
      </c>
      <c r="J23" s="415">
        <v>0</v>
      </c>
      <c r="K23" s="415">
        <v>0</v>
      </c>
      <c r="L23" s="415">
        <f>50300/2000</f>
        <v>25.15</v>
      </c>
      <c r="M23" s="415">
        <v>0</v>
      </c>
      <c r="N23" s="415">
        <v>0</v>
      </c>
      <c r="O23" s="415">
        <v>0</v>
      </c>
      <c r="P23" s="415">
        <v>0</v>
      </c>
      <c r="Q23" s="515">
        <v>0</v>
      </c>
      <c r="R23" s="415">
        <v>0</v>
      </c>
      <c r="S23" s="415">
        <v>0</v>
      </c>
      <c r="T23" s="415">
        <v>0</v>
      </c>
      <c r="U23" s="415">
        <v>0</v>
      </c>
      <c r="V23" s="415">
        <v>0</v>
      </c>
      <c r="W23" s="415">
        <v>0</v>
      </c>
      <c r="X23" s="415">
        <v>0</v>
      </c>
      <c r="Y23" s="415">
        <v>0</v>
      </c>
      <c r="Z23" s="415">
        <v>0</v>
      </c>
      <c r="AA23" s="415">
        <v>0</v>
      </c>
      <c r="AB23" s="415">
        <v>0</v>
      </c>
      <c r="AC23" s="415">
        <f t="shared" si="0"/>
        <v>25.15</v>
      </c>
      <c r="AD23" s="415">
        <v>0</v>
      </c>
      <c r="AE23" s="415">
        <v>0</v>
      </c>
      <c r="AF23" s="415">
        <v>0</v>
      </c>
      <c r="AG23" s="415">
        <v>0</v>
      </c>
      <c r="AH23" s="415">
        <v>0</v>
      </c>
      <c r="AI23" s="415">
        <v>0</v>
      </c>
      <c r="AJ23" s="415">
        <f t="shared" si="1"/>
        <v>0</v>
      </c>
      <c r="AK23" s="415">
        <f t="shared" si="2"/>
        <v>25.15</v>
      </c>
      <c r="AL23" s="540">
        <f t="shared" si="3"/>
        <v>9.3517253821778723E-2</v>
      </c>
      <c r="AR23" s="414"/>
    </row>
    <row r="24" spans="1:44" ht="12.75" customHeight="1">
      <c r="A24" s="414" t="s">
        <v>327</v>
      </c>
      <c r="B24" s="415">
        <v>0</v>
      </c>
      <c r="C24" s="415">
        <v>0</v>
      </c>
      <c r="D24" s="415">
        <v>0</v>
      </c>
      <c r="E24" s="415">
        <v>0</v>
      </c>
      <c r="F24" s="415">
        <v>0</v>
      </c>
      <c r="G24" s="416" t="s">
        <v>312</v>
      </c>
      <c r="H24" s="415">
        <v>0</v>
      </c>
      <c r="I24" s="415">
        <v>0</v>
      </c>
      <c r="J24" s="415">
        <v>0</v>
      </c>
      <c r="K24" s="415">
        <v>0</v>
      </c>
      <c r="L24" s="415">
        <v>0</v>
      </c>
      <c r="M24" s="415">
        <v>0</v>
      </c>
      <c r="N24" s="415">
        <v>0</v>
      </c>
      <c r="O24" s="415">
        <v>0</v>
      </c>
      <c r="P24" s="415">
        <v>0</v>
      </c>
      <c r="Q24" s="515">
        <v>0</v>
      </c>
      <c r="R24" s="415">
        <v>0</v>
      </c>
      <c r="S24" s="415">
        <v>0</v>
      </c>
      <c r="T24" s="415">
        <v>0</v>
      </c>
      <c r="U24" s="415">
        <v>0</v>
      </c>
      <c r="V24" s="415">
        <v>0</v>
      </c>
      <c r="W24" s="415">
        <v>0</v>
      </c>
      <c r="X24" s="415">
        <v>0</v>
      </c>
      <c r="Y24" s="416" t="s">
        <v>312</v>
      </c>
      <c r="Z24" s="415">
        <v>0</v>
      </c>
      <c r="AA24" s="415">
        <v>0</v>
      </c>
      <c r="AB24" s="415">
        <v>0</v>
      </c>
      <c r="AC24" s="415">
        <f t="shared" si="0"/>
        <v>0</v>
      </c>
      <c r="AD24" s="415">
        <v>0</v>
      </c>
      <c r="AE24" s="415">
        <v>0</v>
      </c>
      <c r="AF24" s="415">
        <v>0</v>
      </c>
      <c r="AG24" s="415">
        <v>0</v>
      </c>
      <c r="AH24" s="415">
        <v>0</v>
      </c>
      <c r="AI24" s="415">
        <v>0</v>
      </c>
      <c r="AJ24" s="415">
        <f t="shared" si="1"/>
        <v>0</v>
      </c>
      <c r="AK24" s="415">
        <f t="shared" si="2"/>
        <v>0</v>
      </c>
      <c r="AL24" s="540">
        <f t="shared" si="3"/>
        <v>0</v>
      </c>
      <c r="AR24" s="414"/>
    </row>
    <row r="25" spans="1:44" ht="12.75" customHeight="1">
      <c r="A25" s="414" t="s">
        <v>328</v>
      </c>
      <c r="B25" s="415">
        <v>0</v>
      </c>
      <c r="C25" s="415">
        <v>0</v>
      </c>
      <c r="D25" s="415">
        <v>0</v>
      </c>
      <c r="E25" s="415">
        <v>0</v>
      </c>
      <c r="F25" s="415">
        <v>0</v>
      </c>
      <c r="G25" s="416" t="s">
        <v>312</v>
      </c>
      <c r="H25" s="415">
        <v>0</v>
      </c>
      <c r="I25" s="415">
        <v>0</v>
      </c>
      <c r="J25" s="415">
        <v>0</v>
      </c>
      <c r="K25" s="415">
        <v>0</v>
      </c>
      <c r="L25" s="415">
        <v>0</v>
      </c>
      <c r="M25" s="415">
        <v>0</v>
      </c>
      <c r="N25" s="415">
        <v>0</v>
      </c>
      <c r="O25" s="415">
        <v>0</v>
      </c>
      <c r="P25" s="415">
        <v>0</v>
      </c>
      <c r="Q25" s="515">
        <f>((2244230*100)/2000)/1000</f>
        <v>112.2115</v>
      </c>
      <c r="R25" s="415">
        <v>0</v>
      </c>
      <c r="S25" s="415">
        <v>0</v>
      </c>
      <c r="T25" s="415">
        <v>0</v>
      </c>
      <c r="U25" s="415">
        <v>0</v>
      </c>
      <c r="V25" s="415">
        <v>0</v>
      </c>
      <c r="W25" s="415">
        <v>0</v>
      </c>
      <c r="X25" s="415">
        <v>0</v>
      </c>
      <c r="Y25" s="415">
        <v>0</v>
      </c>
      <c r="Z25" s="415">
        <v>0</v>
      </c>
      <c r="AA25" s="415">
        <v>0</v>
      </c>
      <c r="AB25" s="415">
        <v>0</v>
      </c>
      <c r="AC25" s="415">
        <f t="shared" si="0"/>
        <v>112.2115</v>
      </c>
      <c r="AD25" s="415">
        <v>0</v>
      </c>
      <c r="AE25" s="415">
        <v>0</v>
      </c>
      <c r="AF25" s="415">
        <v>0</v>
      </c>
      <c r="AG25" s="415">
        <v>0</v>
      </c>
      <c r="AH25" s="415">
        <v>0</v>
      </c>
      <c r="AI25" s="415">
        <v>0</v>
      </c>
      <c r="AJ25" s="415">
        <f t="shared" si="1"/>
        <v>0</v>
      </c>
      <c r="AK25" s="415">
        <f t="shared" si="2"/>
        <v>112.2115</v>
      </c>
      <c r="AL25" s="540">
        <f t="shared" si="3"/>
        <v>0.41724498318976239</v>
      </c>
      <c r="AR25" s="414"/>
    </row>
    <row r="26" spans="1:44" ht="12.75" customHeight="1">
      <c r="A26" s="414" t="s">
        <v>329</v>
      </c>
      <c r="B26" s="415">
        <v>0</v>
      </c>
      <c r="C26" s="415">
        <v>0</v>
      </c>
      <c r="D26" s="415">
        <v>0</v>
      </c>
      <c r="E26" s="415">
        <v>0</v>
      </c>
      <c r="F26" s="415">
        <v>0</v>
      </c>
      <c r="G26" s="415">
        <f>1049/2</f>
        <v>524.5</v>
      </c>
      <c r="H26" s="415">
        <v>0</v>
      </c>
      <c r="I26" s="415">
        <v>0</v>
      </c>
      <c r="J26" s="415">
        <v>0</v>
      </c>
      <c r="K26" s="415">
        <v>0</v>
      </c>
      <c r="L26" s="415">
        <f>70030/2000</f>
        <v>35.015000000000001</v>
      </c>
      <c r="M26" s="415">
        <v>0</v>
      </c>
      <c r="N26" s="415">
        <v>0</v>
      </c>
      <c r="O26" s="514" t="s">
        <v>312</v>
      </c>
      <c r="P26" s="415">
        <f>198.2/2</f>
        <v>99.1</v>
      </c>
      <c r="Q26" s="515">
        <v>0</v>
      </c>
      <c r="R26" s="415">
        <v>0</v>
      </c>
      <c r="S26" s="415">
        <v>0</v>
      </c>
      <c r="T26" s="416" t="s">
        <v>312</v>
      </c>
      <c r="U26" s="415">
        <v>0</v>
      </c>
      <c r="V26" s="415">
        <v>0</v>
      </c>
      <c r="W26" s="415">
        <v>0</v>
      </c>
      <c r="X26" s="415">
        <v>0</v>
      </c>
      <c r="Y26" s="415">
        <v>11.94</v>
      </c>
      <c r="Z26" s="415">
        <v>0</v>
      </c>
      <c r="AA26" s="415">
        <v>0</v>
      </c>
      <c r="AB26" s="415">
        <v>0</v>
      </c>
      <c r="AC26" s="415">
        <f t="shared" si="0"/>
        <v>670.55500000000006</v>
      </c>
      <c r="AD26" s="415">
        <v>0</v>
      </c>
      <c r="AE26" s="415">
        <v>0</v>
      </c>
      <c r="AF26" s="415">
        <v>0</v>
      </c>
      <c r="AG26" s="415">
        <v>0</v>
      </c>
      <c r="AH26" s="415">
        <v>0</v>
      </c>
      <c r="AI26" s="415">
        <v>0</v>
      </c>
      <c r="AJ26" s="415">
        <f t="shared" si="1"/>
        <v>0</v>
      </c>
      <c r="AK26" s="415">
        <f t="shared" si="2"/>
        <v>670.55500000000006</v>
      </c>
      <c r="AL26" s="540">
        <f t="shared" si="3"/>
        <v>2.4933782161615445</v>
      </c>
      <c r="AR26" s="414"/>
    </row>
    <row r="27" spans="1:44" ht="12.75" customHeight="1">
      <c r="A27" s="414" t="s">
        <v>330</v>
      </c>
      <c r="B27" s="415">
        <v>0</v>
      </c>
      <c r="C27" s="415">
        <v>0</v>
      </c>
      <c r="D27" s="415">
        <v>0</v>
      </c>
      <c r="E27" s="415">
        <v>0</v>
      </c>
      <c r="F27" s="415">
        <v>0</v>
      </c>
      <c r="G27" s="416" t="s">
        <v>312</v>
      </c>
      <c r="H27" s="415">
        <v>0</v>
      </c>
      <c r="I27" s="415">
        <v>0</v>
      </c>
      <c r="J27" s="415">
        <v>0</v>
      </c>
      <c r="K27" s="415">
        <v>0</v>
      </c>
      <c r="L27" s="415">
        <v>0</v>
      </c>
      <c r="M27" s="415">
        <v>0</v>
      </c>
      <c r="N27" s="415">
        <v>0</v>
      </c>
      <c r="O27" s="415">
        <v>0</v>
      </c>
      <c r="P27" s="415">
        <v>0</v>
      </c>
      <c r="Q27" s="515">
        <v>0</v>
      </c>
      <c r="R27" s="415">
        <v>0</v>
      </c>
      <c r="S27" s="415">
        <v>0</v>
      </c>
      <c r="T27" s="415">
        <v>0</v>
      </c>
      <c r="U27" s="415">
        <v>0</v>
      </c>
      <c r="V27" s="415">
        <v>0</v>
      </c>
      <c r="W27" s="415">
        <v>0</v>
      </c>
      <c r="X27" s="415">
        <v>0</v>
      </c>
      <c r="Y27" s="415">
        <v>0</v>
      </c>
      <c r="Z27" s="415">
        <v>0</v>
      </c>
      <c r="AA27" s="415">
        <v>0</v>
      </c>
      <c r="AB27" s="415">
        <v>0</v>
      </c>
      <c r="AC27" s="415">
        <f t="shared" si="0"/>
        <v>0</v>
      </c>
      <c r="AD27" s="415">
        <v>0</v>
      </c>
      <c r="AE27" s="415">
        <v>0</v>
      </c>
      <c r="AF27" s="415">
        <v>0</v>
      </c>
      <c r="AG27" s="415">
        <v>0</v>
      </c>
      <c r="AH27" s="415">
        <v>0</v>
      </c>
      <c r="AI27" s="415">
        <v>0</v>
      </c>
      <c r="AJ27" s="415">
        <f t="shared" si="1"/>
        <v>0</v>
      </c>
      <c r="AK27" s="415">
        <f t="shared" si="2"/>
        <v>0</v>
      </c>
      <c r="AL27" s="540">
        <f t="shared" si="3"/>
        <v>0</v>
      </c>
      <c r="AR27" s="414"/>
    </row>
    <row r="28" spans="1:44" ht="12.75" customHeight="1">
      <c r="A28" s="414" t="s">
        <v>331</v>
      </c>
      <c r="B28" s="415">
        <v>0</v>
      </c>
      <c r="C28" s="415">
        <v>0</v>
      </c>
      <c r="D28" s="415">
        <v>0</v>
      </c>
      <c r="E28" s="415">
        <v>0</v>
      </c>
      <c r="F28" s="415">
        <v>0</v>
      </c>
      <c r="G28" s="415">
        <v>0</v>
      </c>
      <c r="H28" s="415">
        <v>0</v>
      </c>
      <c r="I28" s="415">
        <v>0</v>
      </c>
      <c r="J28" s="415">
        <v>0</v>
      </c>
      <c r="K28" s="415">
        <v>0</v>
      </c>
      <c r="L28" s="416" t="s">
        <v>312</v>
      </c>
      <c r="M28" s="415">
        <v>0</v>
      </c>
      <c r="N28" s="415">
        <v>0</v>
      </c>
      <c r="O28" s="415">
        <v>0</v>
      </c>
      <c r="P28" s="415">
        <v>0</v>
      </c>
      <c r="Q28" s="515">
        <v>0</v>
      </c>
      <c r="R28" s="415">
        <v>0</v>
      </c>
      <c r="S28" s="415">
        <v>0</v>
      </c>
      <c r="T28" s="415">
        <v>0</v>
      </c>
      <c r="U28" s="415">
        <v>0</v>
      </c>
      <c r="V28" s="415">
        <v>0</v>
      </c>
      <c r="W28" s="415">
        <v>0</v>
      </c>
      <c r="X28" s="415">
        <v>0</v>
      </c>
      <c r="Y28" s="415">
        <v>0</v>
      </c>
      <c r="Z28" s="415">
        <v>0</v>
      </c>
      <c r="AA28" s="415">
        <v>0</v>
      </c>
      <c r="AB28" s="415">
        <v>0</v>
      </c>
      <c r="AC28" s="415">
        <f t="shared" si="0"/>
        <v>0</v>
      </c>
      <c r="AD28" s="415">
        <v>0</v>
      </c>
      <c r="AE28" s="415">
        <v>0</v>
      </c>
      <c r="AF28" s="415">
        <v>0</v>
      </c>
      <c r="AG28" s="416" t="s">
        <v>312</v>
      </c>
      <c r="AH28" s="415">
        <v>0</v>
      </c>
      <c r="AI28" s="415">
        <v>0</v>
      </c>
      <c r="AJ28" s="415">
        <f t="shared" si="1"/>
        <v>0</v>
      </c>
      <c r="AK28" s="415">
        <f t="shared" si="2"/>
        <v>0</v>
      </c>
      <c r="AL28" s="540">
        <f t="shared" si="3"/>
        <v>0</v>
      </c>
      <c r="AR28" s="414"/>
    </row>
    <row r="29" spans="1:44" ht="12.75" customHeight="1">
      <c r="A29" s="414" t="s">
        <v>332</v>
      </c>
      <c r="B29" s="415">
        <v>0</v>
      </c>
      <c r="C29" s="415">
        <v>0</v>
      </c>
      <c r="D29" s="415">
        <v>0</v>
      </c>
      <c r="E29" s="415">
        <v>0</v>
      </c>
      <c r="F29" s="415">
        <v>0</v>
      </c>
      <c r="G29" s="415">
        <v>0</v>
      </c>
      <c r="H29" s="415">
        <v>0</v>
      </c>
      <c r="I29" s="415">
        <v>0</v>
      </c>
      <c r="J29" s="415">
        <v>0</v>
      </c>
      <c r="K29" s="415">
        <v>0</v>
      </c>
      <c r="L29" s="415">
        <v>0</v>
      </c>
      <c r="M29" s="415">
        <v>0</v>
      </c>
      <c r="N29" s="415">
        <v>0</v>
      </c>
      <c r="O29" s="415">
        <v>0</v>
      </c>
      <c r="P29" s="415">
        <v>0</v>
      </c>
      <c r="Q29" s="515">
        <v>0</v>
      </c>
      <c r="R29" s="415">
        <v>0</v>
      </c>
      <c r="S29" s="415">
        <v>0</v>
      </c>
      <c r="T29" s="416" t="s">
        <v>312</v>
      </c>
      <c r="U29" s="415">
        <v>0</v>
      </c>
      <c r="V29" s="415">
        <v>0</v>
      </c>
      <c r="W29" s="415">
        <v>0</v>
      </c>
      <c r="X29" s="415">
        <v>0</v>
      </c>
      <c r="Y29" s="416" t="s">
        <v>312</v>
      </c>
      <c r="Z29" s="415">
        <v>0</v>
      </c>
      <c r="AA29" s="415">
        <v>0</v>
      </c>
      <c r="AB29" s="415">
        <v>0</v>
      </c>
      <c r="AC29" s="415">
        <f t="shared" si="0"/>
        <v>0</v>
      </c>
      <c r="AD29" s="415">
        <v>0</v>
      </c>
      <c r="AE29" s="415">
        <v>0</v>
      </c>
      <c r="AF29" s="415">
        <v>0</v>
      </c>
      <c r="AG29" s="416" t="s">
        <v>312</v>
      </c>
      <c r="AH29" s="415">
        <v>0</v>
      </c>
      <c r="AI29" s="415">
        <v>0</v>
      </c>
      <c r="AJ29" s="415">
        <f t="shared" si="1"/>
        <v>0</v>
      </c>
      <c r="AK29" s="415">
        <f t="shared" si="2"/>
        <v>0</v>
      </c>
      <c r="AL29" s="540">
        <f t="shared" si="3"/>
        <v>0</v>
      </c>
      <c r="AR29" s="414"/>
    </row>
    <row r="30" spans="1:44" ht="12.75" customHeight="1">
      <c r="A30" s="414" t="s">
        <v>333</v>
      </c>
      <c r="B30" s="415">
        <v>0</v>
      </c>
      <c r="C30" s="415">
        <v>0</v>
      </c>
      <c r="D30" s="415">
        <v>0</v>
      </c>
      <c r="E30" s="415">
        <v>0</v>
      </c>
      <c r="F30" s="415">
        <v>0</v>
      </c>
      <c r="G30" s="415">
        <v>0</v>
      </c>
      <c r="H30" s="415">
        <v>0</v>
      </c>
      <c r="I30" s="415">
        <v>0</v>
      </c>
      <c r="J30" s="415">
        <v>0</v>
      </c>
      <c r="K30" s="415">
        <v>0</v>
      </c>
      <c r="L30" s="415">
        <v>0</v>
      </c>
      <c r="M30" s="415">
        <v>0</v>
      </c>
      <c r="N30" s="415">
        <v>0</v>
      </c>
      <c r="O30" s="415">
        <v>0</v>
      </c>
      <c r="P30" s="415">
        <v>0</v>
      </c>
      <c r="Q30" s="515">
        <v>0</v>
      </c>
      <c r="R30" s="415">
        <v>0</v>
      </c>
      <c r="S30" s="415">
        <v>0</v>
      </c>
      <c r="T30" s="415">
        <v>0</v>
      </c>
      <c r="U30" s="415">
        <v>0</v>
      </c>
      <c r="V30" s="415">
        <v>0</v>
      </c>
      <c r="W30" s="415">
        <v>0</v>
      </c>
      <c r="X30" s="415">
        <v>0</v>
      </c>
      <c r="Y30" s="415">
        <v>0</v>
      </c>
      <c r="Z30" s="415">
        <v>0</v>
      </c>
      <c r="AA30" s="415">
        <v>0</v>
      </c>
      <c r="AB30" s="415">
        <v>0</v>
      </c>
      <c r="AC30" s="415">
        <f t="shared" si="0"/>
        <v>0</v>
      </c>
      <c r="AD30" s="415">
        <v>0</v>
      </c>
      <c r="AE30" s="415">
        <v>0</v>
      </c>
      <c r="AF30" s="415">
        <v>0</v>
      </c>
      <c r="AG30" s="415">
        <v>0</v>
      </c>
      <c r="AH30" s="415">
        <v>0</v>
      </c>
      <c r="AI30" s="415">
        <v>0</v>
      </c>
      <c r="AJ30" s="415">
        <f t="shared" si="1"/>
        <v>0</v>
      </c>
      <c r="AK30" s="415">
        <f t="shared" si="2"/>
        <v>0</v>
      </c>
      <c r="AL30" s="540">
        <f t="shared" si="3"/>
        <v>0</v>
      </c>
      <c r="AR30" s="414"/>
    </row>
    <row r="31" spans="1:44" ht="12.75" customHeight="1">
      <c r="A31" s="414" t="s">
        <v>334</v>
      </c>
      <c r="B31" s="415">
        <v>0</v>
      </c>
      <c r="C31" s="415">
        <v>0</v>
      </c>
      <c r="D31" s="415">
        <v>0</v>
      </c>
      <c r="E31" s="415">
        <v>0</v>
      </c>
      <c r="F31" s="415">
        <v>0</v>
      </c>
      <c r="G31" s="415">
        <v>0</v>
      </c>
      <c r="H31" s="415">
        <v>0</v>
      </c>
      <c r="I31" s="415">
        <v>0</v>
      </c>
      <c r="J31" s="415">
        <v>0</v>
      </c>
      <c r="K31" s="415">
        <v>0</v>
      </c>
      <c r="L31" s="415">
        <v>0</v>
      </c>
      <c r="M31" s="415">
        <v>0</v>
      </c>
      <c r="N31" s="415">
        <v>0</v>
      </c>
      <c r="O31" s="415">
        <v>0</v>
      </c>
      <c r="P31" s="415">
        <v>0</v>
      </c>
      <c r="Q31" s="515">
        <v>0</v>
      </c>
      <c r="R31" s="415">
        <v>0</v>
      </c>
      <c r="S31" s="415">
        <v>0</v>
      </c>
      <c r="T31" s="415">
        <v>0</v>
      </c>
      <c r="U31" s="415">
        <v>0</v>
      </c>
      <c r="V31" s="415">
        <v>0</v>
      </c>
      <c r="W31" s="415">
        <v>0</v>
      </c>
      <c r="X31" s="415">
        <v>0</v>
      </c>
      <c r="Y31" s="415">
        <v>0</v>
      </c>
      <c r="Z31" s="415">
        <v>0</v>
      </c>
      <c r="AA31" s="415">
        <v>0</v>
      </c>
      <c r="AB31" s="415">
        <v>0</v>
      </c>
      <c r="AC31" s="415">
        <f t="shared" si="0"/>
        <v>0</v>
      </c>
      <c r="AD31" s="415">
        <v>0</v>
      </c>
      <c r="AE31" s="415">
        <v>0</v>
      </c>
      <c r="AF31" s="415">
        <v>0</v>
      </c>
      <c r="AG31" s="415">
        <v>0</v>
      </c>
      <c r="AH31" s="415">
        <v>0</v>
      </c>
      <c r="AI31" s="415">
        <v>0</v>
      </c>
      <c r="AJ31" s="415">
        <f t="shared" si="1"/>
        <v>0</v>
      </c>
      <c r="AK31" s="415">
        <f t="shared" si="2"/>
        <v>0</v>
      </c>
      <c r="AL31" s="540">
        <f t="shared" si="3"/>
        <v>0</v>
      </c>
      <c r="AR31" s="414"/>
    </row>
    <row r="32" spans="1:44" ht="12.75" customHeight="1">
      <c r="A32" s="414" t="s">
        <v>335</v>
      </c>
      <c r="B32" s="415">
        <v>0</v>
      </c>
      <c r="C32" s="415">
        <v>0</v>
      </c>
      <c r="D32" s="415">
        <v>0</v>
      </c>
      <c r="E32" s="415">
        <v>0</v>
      </c>
      <c r="F32" s="415">
        <v>0</v>
      </c>
      <c r="G32" s="416" t="s">
        <v>312</v>
      </c>
      <c r="H32" s="415">
        <v>0</v>
      </c>
      <c r="I32" s="415">
        <v>0</v>
      </c>
      <c r="J32" s="415">
        <v>0</v>
      </c>
      <c r="K32" s="415">
        <v>0</v>
      </c>
      <c r="L32" s="415">
        <f>44010/2000</f>
        <v>22.004999999999999</v>
      </c>
      <c r="M32" s="415">
        <v>0</v>
      </c>
      <c r="N32" s="415">
        <v>0</v>
      </c>
      <c r="O32" s="415">
        <v>0</v>
      </c>
      <c r="P32" s="415">
        <v>0</v>
      </c>
      <c r="Q32" s="515">
        <f>((508420*100)/2000)/1000</f>
        <v>25.420999999999999</v>
      </c>
      <c r="R32" s="415">
        <v>0</v>
      </c>
      <c r="S32" s="415">
        <v>0</v>
      </c>
      <c r="T32" s="415">
        <v>0</v>
      </c>
      <c r="U32" s="415">
        <v>0</v>
      </c>
      <c r="V32" s="415">
        <v>0</v>
      </c>
      <c r="W32" s="415">
        <v>0</v>
      </c>
      <c r="X32" s="415">
        <v>0</v>
      </c>
      <c r="Y32" s="415">
        <v>23</v>
      </c>
      <c r="Z32" s="415">
        <v>0</v>
      </c>
      <c r="AA32" s="415">
        <v>0</v>
      </c>
      <c r="AB32" s="415">
        <v>0</v>
      </c>
      <c r="AC32" s="415">
        <f t="shared" si="0"/>
        <v>70.426000000000002</v>
      </c>
      <c r="AD32" s="415">
        <v>0</v>
      </c>
      <c r="AE32" s="415">
        <v>0</v>
      </c>
      <c r="AF32" s="415">
        <v>0</v>
      </c>
      <c r="AG32" s="415">
        <v>0</v>
      </c>
      <c r="AH32" s="415">
        <v>0</v>
      </c>
      <c r="AI32" s="415">
        <v>0</v>
      </c>
      <c r="AJ32" s="415">
        <f t="shared" si="1"/>
        <v>0</v>
      </c>
      <c r="AK32" s="415">
        <f t="shared" si="2"/>
        <v>70.426000000000002</v>
      </c>
      <c r="AL32" s="540">
        <f t="shared" si="3"/>
        <v>0.26187062098022224</v>
      </c>
      <c r="AR32" s="414"/>
    </row>
    <row r="33" spans="1:44" ht="12.75" customHeight="1">
      <c r="A33" s="414" t="s">
        <v>336</v>
      </c>
      <c r="B33" s="415">
        <v>0</v>
      </c>
      <c r="C33" s="415">
        <v>0</v>
      </c>
      <c r="D33" s="415">
        <v>0</v>
      </c>
      <c r="E33" s="415">
        <v>0</v>
      </c>
      <c r="F33" s="415">
        <v>0</v>
      </c>
      <c r="G33" s="415">
        <v>0</v>
      </c>
      <c r="H33" s="415">
        <v>0</v>
      </c>
      <c r="I33" s="415">
        <v>0</v>
      </c>
      <c r="J33" s="415">
        <v>0</v>
      </c>
      <c r="K33" s="415">
        <v>0</v>
      </c>
      <c r="L33" s="415">
        <v>0</v>
      </c>
      <c r="M33" s="415">
        <v>0</v>
      </c>
      <c r="N33" s="415">
        <v>0</v>
      </c>
      <c r="O33" s="415">
        <v>0</v>
      </c>
      <c r="P33" s="415">
        <v>0</v>
      </c>
      <c r="Q33" s="515">
        <v>0</v>
      </c>
      <c r="R33" s="415">
        <v>0</v>
      </c>
      <c r="S33" s="415">
        <v>0</v>
      </c>
      <c r="T33" s="415">
        <v>0</v>
      </c>
      <c r="U33" s="415">
        <v>0</v>
      </c>
      <c r="V33" s="415">
        <v>0</v>
      </c>
      <c r="W33" s="415">
        <v>0</v>
      </c>
      <c r="X33" s="415">
        <v>0</v>
      </c>
      <c r="Y33" s="415">
        <v>0</v>
      </c>
      <c r="Z33" s="415">
        <v>0</v>
      </c>
      <c r="AA33" s="415">
        <v>0</v>
      </c>
      <c r="AB33" s="415">
        <v>0</v>
      </c>
      <c r="AC33" s="415">
        <f t="shared" si="0"/>
        <v>0</v>
      </c>
      <c r="AD33" s="415">
        <v>0</v>
      </c>
      <c r="AE33" s="415">
        <v>0</v>
      </c>
      <c r="AF33" s="415">
        <v>0</v>
      </c>
      <c r="AG33" s="415">
        <f>91100/2000</f>
        <v>45.55</v>
      </c>
      <c r="AH33" s="415">
        <v>0</v>
      </c>
      <c r="AI33" s="415">
        <v>0</v>
      </c>
      <c r="AJ33" s="415">
        <f t="shared" si="1"/>
        <v>45.55</v>
      </c>
      <c r="AK33" s="415">
        <f t="shared" si="2"/>
        <v>45.55</v>
      </c>
      <c r="AL33" s="540">
        <f t="shared" si="3"/>
        <v>0.16937220324381794</v>
      </c>
      <c r="AR33" s="414"/>
    </row>
    <row r="34" spans="1:44" ht="12.75" customHeight="1">
      <c r="A34" s="414" t="s">
        <v>337</v>
      </c>
      <c r="B34" s="415">
        <v>0</v>
      </c>
      <c r="C34" s="415">
        <v>0</v>
      </c>
      <c r="D34" s="415">
        <v>0</v>
      </c>
      <c r="E34" s="415">
        <v>0</v>
      </c>
      <c r="F34" s="415">
        <v>0</v>
      </c>
      <c r="G34" s="415">
        <f>1376.8/2</f>
        <v>688.4</v>
      </c>
      <c r="H34" s="415">
        <v>0</v>
      </c>
      <c r="I34" s="415">
        <v>0</v>
      </c>
      <c r="J34" s="415">
        <v>0</v>
      </c>
      <c r="K34" s="415">
        <v>0</v>
      </c>
      <c r="L34" s="416" t="s">
        <v>312</v>
      </c>
      <c r="M34" s="415">
        <v>0</v>
      </c>
      <c r="N34" s="415">
        <v>0</v>
      </c>
      <c r="O34" s="416" t="s">
        <v>312</v>
      </c>
      <c r="P34" s="417" t="s">
        <v>459</v>
      </c>
      <c r="Q34" s="515">
        <v>0</v>
      </c>
      <c r="R34" s="415">
        <v>0</v>
      </c>
      <c r="S34" s="415">
        <v>0</v>
      </c>
      <c r="T34" s="416" t="s">
        <v>312</v>
      </c>
      <c r="U34" s="415">
        <v>0</v>
      </c>
      <c r="V34" s="415">
        <v>0</v>
      </c>
      <c r="W34" s="415">
        <v>0</v>
      </c>
      <c r="X34" s="415">
        <v>0</v>
      </c>
      <c r="Y34" s="416" t="s">
        <v>312</v>
      </c>
      <c r="Z34" s="415">
        <v>0</v>
      </c>
      <c r="AA34" s="415">
        <v>0</v>
      </c>
      <c r="AB34" s="415">
        <f>(30.6*100)/2000</f>
        <v>1.53</v>
      </c>
      <c r="AC34" s="415">
        <f t="shared" si="0"/>
        <v>689.93</v>
      </c>
      <c r="AD34" s="415">
        <v>0</v>
      </c>
      <c r="AE34" s="415">
        <v>0</v>
      </c>
      <c r="AF34" s="415">
        <v>0</v>
      </c>
      <c r="AG34" s="415">
        <v>0</v>
      </c>
      <c r="AH34" s="415">
        <v>0</v>
      </c>
      <c r="AI34" s="415">
        <v>0</v>
      </c>
      <c r="AJ34" s="415">
        <f t="shared" si="1"/>
        <v>0</v>
      </c>
      <c r="AK34" s="415">
        <f t="shared" si="2"/>
        <v>689.93</v>
      </c>
      <c r="AL34" s="540">
        <f t="shared" si="3"/>
        <v>2.5654218262131132</v>
      </c>
      <c r="AR34" s="414"/>
    </row>
    <row r="35" spans="1:44" ht="12.75" customHeight="1">
      <c r="A35" s="414" t="s">
        <v>338</v>
      </c>
      <c r="B35" s="415">
        <v>0</v>
      </c>
      <c r="C35" s="415">
        <v>0</v>
      </c>
      <c r="D35" s="415">
        <v>0</v>
      </c>
      <c r="E35" s="415">
        <v>0</v>
      </c>
      <c r="F35" s="415">
        <v>0</v>
      </c>
      <c r="G35" s="416" t="s">
        <v>312</v>
      </c>
      <c r="H35" s="415">
        <v>0</v>
      </c>
      <c r="I35" s="415">
        <v>0</v>
      </c>
      <c r="J35" s="415">
        <v>0</v>
      </c>
      <c r="K35" s="415">
        <v>0</v>
      </c>
      <c r="L35" s="415">
        <f>33490/2000</f>
        <v>16.745000000000001</v>
      </c>
      <c r="M35" s="415">
        <v>0</v>
      </c>
      <c r="N35" s="415">
        <v>0</v>
      </c>
      <c r="O35" s="415">
        <v>0</v>
      </c>
      <c r="P35" s="415">
        <v>0</v>
      </c>
      <c r="Q35" s="515">
        <v>0</v>
      </c>
      <c r="R35" s="415">
        <v>0</v>
      </c>
      <c r="S35" s="415">
        <v>0</v>
      </c>
      <c r="T35" s="416" t="s">
        <v>312</v>
      </c>
      <c r="U35" s="415">
        <v>0</v>
      </c>
      <c r="V35" s="415">
        <v>0</v>
      </c>
      <c r="W35" s="415">
        <v>0</v>
      </c>
      <c r="X35" s="415">
        <v>0</v>
      </c>
      <c r="Y35" s="416" t="s">
        <v>312</v>
      </c>
      <c r="Z35" s="415">
        <v>0</v>
      </c>
      <c r="AA35" s="415">
        <v>0</v>
      </c>
      <c r="AB35" s="415">
        <f>(125*100)/2000</f>
        <v>6.25</v>
      </c>
      <c r="AC35" s="415">
        <f t="shared" si="0"/>
        <v>22.995000000000001</v>
      </c>
      <c r="AD35" s="415">
        <v>0</v>
      </c>
      <c r="AE35" s="415">
        <v>0</v>
      </c>
      <c r="AF35" s="415">
        <v>0</v>
      </c>
      <c r="AG35" s="415">
        <v>0</v>
      </c>
      <c r="AH35" s="415">
        <v>0</v>
      </c>
      <c r="AI35" s="415">
        <v>0</v>
      </c>
      <c r="AJ35" s="415">
        <f t="shared" si="1"/>
        <v>0</v>
      </c>
      <c r="AK35" s="415">
        <f t="shared" si="2"/>
        <v>22.995000000000001</v>
      </c>
      <c r="AL35" s="540">
        <f t="shared" si="3"/>
        <v>8.5504145194107442E-2</v>
      </c>
      <c r="AR35" s="414"/>
    </row>
    <row r="36" spans="1:44" ht="12.75" customHeight="1">
      <c r="A36" s="414" t="s">
        <v>339</v>
      </c>
      <c r="B36" s="415">
        <v>0</v>
      </c>
      <c r="C36" s="415">
        <v>0</v>
      </c>
      <c r="D36" s="415">
        <v>0</v>
      </c>
      <c r="E36" s="415">
        <v>0</v>
      </c>
      <c r="F36" s="415">
        <v>0</v>
      </c>
      <c r="G36" s="416" t="s">
        <v>312</v>
      </c>
      <c r="H36" s="415">
        <v>0</v>
      </c>
      <c r="I36" s="415">
        <v>0</v>
      </c>
      <c r="J36" s="415">
        <v>0</v>
      </c>
      <c r="K36" s="415">
        <v>0</v>
      </c>
      <c r="L36" s="415">
        <v>0</v>
      </c>
      <c r="M36" s="415">
        <v>0</v>
      </c>
      <c r="N36" s="415">
        <v>0</v>
      </c>
      <c r="O36" s="415">
        <v>0</v>
      </c>
      <c r="P36" s="415">
        <v>0</v>
      </c>
      <c r="Q36" s="515">
        <v>0</v>
      </c>
      <c r="R36" s="415">
        <v>0</v>
      </c>
      <c r="S36" s="415">
        <v>0</v>
      </c>
      <c r="T36" s="416" t="s">
        <v>312</v>
      </c>
      <c r="U36" s="415">
        <v>0</v>
      </c>
      <c r="V36" s="415">
        <v>0</v>
      </c>
      <c r="W36" s="415">
        <v>0</v>
      </c>
      <c r="X36" s="415">
        <v>0</v>
      </c>
      <c r="Y36" s="416" t="s">
        <v>312</v>
      </c>
      <c r="Z36" s="415">
        <v>0</v>
      </c>
      <c r="AA36" s="415">
        <v>0</v>
      </c>
      <c r="AB36" s="415">
        <v>0</v>
      </c>
      <c r="AC36" s="415">
        <f t="shared" si="0"/>
        <v>0</v>
      </c>
      <c r="AD36" s="415">
        <v>0</v>
      </c>
      <c r="AE36" s="415">
        <v>0</v>
      </c>
      <c r="AF36" s="415">
        <v>0</v>
      </c>
      <c r="AG36" s="415">
        <v>0</v>
      </c>
      <c r="AH36" s="415">
        <v>0</v>
      </c>
      <c r="AI36" s="415">
        <v>0</v>
      </c>
      <c r="AJ36" s="415">
        <f t="shared" si="1"/>
        <v>0</v>
      </c>
      <c r="AK36" s="415">
        <f t="shared" si="2"/>
        <v>0</v>
      </c>
      <c r="AL36" s="540">
        <f t="shared" si="3"/>
        <v>0</v>
      </c>
      <c r="AR36" s="414"/>
    </row>
    <row r="37" spans="1:44" ht="12.75" customHeight="1">
      <c r="A37" s="414" t="s">
        <v>340</v>
      </c>
      <c r="B37" s="415">
        <v>0</v>
      </c>
      <c r="C37" s="415">
        <v>0</v>
      </c>
      <c r="D37" s="415">
        <v>0</v>
      </c>
      <c r="E37" s="415">
        <v>0</v>
      </c>
      <c r="F37" s="415">
        <v>0</v>
      </c>
      <c r="G37" s="415">
        <v>0</v>
      </c>
      <c r="H37" s="415">
        <v>0</v>
      </c>
      <c r="I37" s="415">
        <v>0</v>
      </c>
      <c r="J37" s="415">
        <v>0</v>
      </c>
      <c r="K37" s="415">
        <v>0</v>
      </c>
      <c r="L37" s="415">
        <v>0</v>
      </c>
      <c r="M37" s="415">
        <v>0</v>
      </c>
      <c r="N37" s="415">
        <v>0</v>
      </c>
      <c r="O37" s="415">
        <v>0</v>
      </c>
      <c r="P37" s="415">
        <v>0</v>
      </c>
      <c r="Q37" s="515">
        <v>0</v>
      </c>
      <c r="R37" s="415">
        <v>0</v>
      </c>
      <c r="S37" s="415">
        <v>0</v>
      </c>
      <c r="T37" s="415">
        <v>0</v>
      </c>
      <c r="U37" s="415">
        <v>0</v>
      </c>
      <c r="V37" s="415">
        <v>0</v>
      </c>
      <c r="W37" s="415">
        <v>0</v>
      </c>
      <c r="X37" s="415">
        <v>0</v>
      </c>
      <c r="Y37" s="415">
        <v>0</v>
      </c>
      <c r="Z37" s="415">
        <v>0</v>
      </c>
      <c r="AA37" s="415">
        <v>0</v>
      </c>
      <c r="AB37" s="415">
        <v>0</v>
      </c>
      <c r="AC37" s="415">
        <f t="shared" si="0"/>
        <v>0</v>
      </c>
      <c r="AD37" s="415">
        <v>0</v>
      </c>
      <c r="AE37" s="415">
        <v>0</v>
      </c>
      <c r="AF37" s="415">
        <v>0</v>
      </c>
      <c r="AG37" s="415">
        <f>9000/2000</f>
        <v>4.5</v>
      </c>
      <c r="AH37" s="415">
        <v>0</v>
      </c>
      <c r="AI37" s="415">
        <v>0</v>
      </c>
      <c r="AJ37" s="415">
        <f t="shared" si="1"/>
        <v>4.5</v>
      </c>
      <c r="AK37" s="415">
        <f t="shared" si="2"/>
        <v>4.5</v>
      </c>
      <c r="AL37" s="540">
        <f t="shared" si="3"/>
        <v>1.673270943133218E-2</v>
      </c>
      <c r="AR37" s="414"/>
    </row>
    <row r="38" spans="1:44" ht="12.75" customHeight="1">
      <c r="A38" s="414" t="s">
        <v>341</v>
      </c>
      <c r="B38" s="415">
        <v>0</v>
      </c>
      <c r="C38" s="415">
        <v>0</v>
      </c>
      <c r="D38" s="415">
        <v>0</v>
      </c>
      <c r="E38" s="415">
        <v>0</v>
      </c>
      <c r="F38" s="415">
        <v>0</v>
      </c>
      <c r="G38" s="415">
        <f>169/2</f>
        <v>84.5</v>
      </c>
      <c r="H38" s="415">
        <v>0</v>
      </c>
      <c r="I38" s="415">
        <v>0</v>
      </c>
      <c r="J38" s="415">
        <v>0</v>
      </c>
      <c r="K38" s="416" t="s">
        <v>312</v>
      </c>
      <c r="L38" s="415">
        <f>134750/2000</f>
        <v>67.375</v>
      </c>
      <c r="M38" s="416" t="s">
        <v>312</v>
      </c>
      <c r="N38" s="416" t="s">
        <v>312</v>
      </c>
      <c r="O38" s="415">
        <v>54.1</v>
      </c>
      <c r="P38" s="415">
        <v>0</v>
      </c>
      <c r="Q38" s="515">
        <f>((576660*100)/2000)/1000</f>
        <v>28.832999999999998</v>
      </c>
      <c r="R38" s="415">
        <v>0</v>
      </c>
      <c r="S38" s="415">
        <v>0</v>
      </c>
      <c r="T38" s="416" t="s">
        <v>312</v>
      </c>
      <c r="U38" s="415">
        <v>0</v>
      </c>
      <c r="V38" s="415">
        <v>0</v>
      </c>
      <c r="W38" s="415">
        <v>0</v>
      </c>
      <c r="X38" s="415">
        <v>0</v>
      </c>
      <c r="Y38" s="415">
        <v>0</v>
      </c>
      <c r="Z38" s="415">
        <v>245.26</v>
      </c>
      <c r="AA38" s="415">
        <v>0</v>
      </c>
      <c r="AB38" s="415">
        <f>(109.3*100)/2000</f>
        <v>5.4649999999999999</v>
      </c>
      <c r="AC38" s="415">
        <f t="shared" si="0"/>
        <v>485.53299999999996</v>
      </c>
      <c r="AD38" s="415">
        <v>0</v>
      </c>
      <c r="AE38" s="415">
        <v>51</v>
      </c>
      <c r="AF38" s="415">
        <v>0</v>
      </c>
      <c r="AG38" s="415">
        <v>0</v>
      </c>
      <c r="AH38" s="415">
        <v>0</v>
      </c>
      <c r="AI38" s="415">
        <v>0</v>
      </c>
      <c r="AJ38" s="415">
        <f t="shared" si="1"/>
        <v>51</v>
      </c>
      <c r="AK38" s="415">
        <f t="shared" si="2"/>
        <v>536.5329999999999</v>
      </c>
      <c r="AL38" s="540">
        <f t="shared" si="3"/>
        <v>1.995033508737988</v>
      </c>
      <c r="AN38" s="418"/>
      <c r="AR38" s="414"/>
    </row>
    <row r="39" spans="1:44" ht="12.75" customHeight="1">
      <c r="A39" s="414" t="s">
        <v>342</v>
      </c>
      <c r="B39" s="415">
        <v>0</v>
      </c>
      <c r="C39" s="415">
        <v>0</v>
      </c>
      <c r="D39" s="415">
        <v>0</v>
      </c>
      <c r="E39" s="415">
        <v>0</v>
      </c>
      <c r="F39" s="415">
        <v>0</v>
      </c>
      <c r="G39" s="415">
        <f>484.1/2</f>
        <v>242.05</v>
      </c>
      <c r="H39" s="415">
        <v>0</v>
      </c>
      <c r="I39" s="415">
        <v>0</v>
      </c>
      <c r="J39" s="415">
        <v>0</v>
      </c>
      <c r="K39" s="415">
        <v>0</v>
      </c>
      <c r="L39" s="415">
        <v>0</v>
      </c>
      <c r="M39" s="415">
        <v>0</v>
      </c>
      <c r="N39" s="415">
        <v>0</v>
      </c>
      <c r="O39" s="415">
        <v>0</v>
      </c>
      <c r="P39" s="415">
        <v>0</v>
      </c>
      <c r="Q39" s="515">
        <v>0</v>
      </c>
      <c r="R39" s="415">
        <v>0</v>
      </c>
      <c r="S39" s="415">
        <v>0</v>
      </c>
      <c r="T39" s="416" t="s">
        <v>312</v>
      </c>
      <c r="U39" s="415">
        <v>0</v>
      </c>
      <c r="V39" s="415">
        <v>0</v>
      </c>
      <c r="W39" s="415">
        <v>0</v>
      </c>
      <c r="X39" s="415">
        <v>0</v>
      </c>
      <c r="Y39" s="415">
        <v>16.97</v>
      </c>
      <c r="Z39" s="415">
        <v>0</v>
      </c>
      <c r="AA39" s="415">
        <v>0</v>
      </c>
      <c r="AB39" s="415">
        <v>0</v>
      </c>
      <c r="AC39" s="415">
        <f t="shared" si="0"/>
        <v>259.02</v>
      </c>
      <c r="AD39" s="415">
        <v>0</v>
      </c>
      <c r="AE39" s="415">
        <v>0</v>
      </c>
      <c r="AF39" s="415">
        <v>0</v>
      </c>
      <c r="AG39" s="415">
        <v>0</v>
      </c>
      <c r="AH39" s="415">
        <v>0</v>
      </c>
      <c r="AI39" s="415">
        <v>0</v>
      </c>
      <c r="AJ39" s="415">
        <f t="shared" si="1"/>
        <v>0</v>
      </c>
      <c r="AK39" s="415">
        <f t="shared" si="2"/>
        <v>259.02</v>
      </c>
      <c r="AL39" s="540">
        <f t="shared" si="3"/>
        <v>0.96313475486748024</v>
      </c>
      <c r="AR39" s="414"/>
    </row>
    <row r="40" spans="1:44" ht="12.75" customHeight="1">
      <c r="A40" s="414" t="s">
        <v>343</v>
      </c>
      <c r="B40" s="415">
        <v>0</v>
      </c>
      <c r="C40" s="415">
        <v>0</v>
      </c>
      <c r="D40" s="415">
        <v>0</v>
      </c>
      <c r="E40" s="415">
        <v>0</v>
      </c>
      <c r="F40" s="415">
        <v>0</v>
      </c>
      <c r="G40" s="415">
        <v>0</v>
      </c>
      <c r="H40" s="415">
        <v>0</v>
      </c>
      <c r="I40" s="415">
        <v>0</v>
      </c>
      <c r="J40" s="415">
        <v>0</v>
      </c>
      <c r="K40" s="415">
        <v>0</v>
      </c>
      <c r="L40" s="415">
        <v>0</v>
      </c>
      <c r="M40" s="415">
        <v>0</v>
      </c>
      <c r="N40" s="415">
        <v>0</v>
      </c>
      <c r="O40" s="415">
        <v>0</v>
      </c>
      <c r="P40" s="415">
        <v>0</v>
      </c>
      <c r="Q40" s="515">
        <v>0</v>
      </c>
      <c r="R40" s="415">
        <v>0</v>
      </c>
      <c r="S40" s="415">
        <v>0</v>
      </c>
      <c r="T40" s="415">
        <v>0</v>
      </c>
      <c r="U40" s="415">
        <v>0</v>
      </c>
      <c r="V40" s="415">
        <v>0</v>
      </c>
      <c r="W40" s="415">
        <v>0</v>
      </c>
      <c r="X40" s="415">
        <v>0</v>
      </c>
      <c r="Y40" s="415">
        <v>0</v>
      </c>
      <c r="Z40" s="415">
        <v>0</v>
      </c>
      <c r="AA40" s="415">
        <v>0</v>
      </c>
      <c r="AB40" s="415">
        <v>0</v>
      </c>
      <c r="AC40" s="415">
        <f t="shared" si="0"/>
        <v>0</v>
      </c>
      <c r="AD40" s="415">
        <v>0</v>
      </c>
      <c r="AE40" s="415">
        <v>0</v>
      </c>
      <c r="AF40" s="415">
        <v>0</v>
      </c>
      <c r="AG40" s="415">
        <v>0</v>
      </c>
      <c r="AH40" s="415">
        <v>0</v>
      </c>
      <c r="AI40" s="415">
        <v>0</v>
      </c>
      <c r="AJ40" s="415">
        <f t="shared" si="1"/>
        <v>0</v>
      </c>
      <c r="AK40" s="415">
        <f t="shared" si="2"/>
        <v>0</v>
      </c>
      <c r="AL40" s="540">
        <f t="shared" si="3"/>
        <v>0</v>
      </c>
      <c r="AR40" s="414"/>
    </row>
    <row r="41" spans="1:44" ht="12.75" customHeight="1">
      <c r="A41" s="414" t="s">
        <v>344</v>
      </c>
      <c r="B41" s="415">
        <v>0</v>
      </c>
      <c r="C41" s="415">
        <v>0</v>
      </c>
      <c r="D41" s="415">
        <v>0</v>
      </c>
      <c r="E41" s="415">
        <v>0</v>
      </c>
      <c r="F41" s="415">
        <v>0</v>
      </c>
      <c r="G41" s="415">
        <v>0</v>
      </c>
      <c r="H41" s="415">
        <v>0</v>
      </c>
      <c r="I41" s="415">
        <v>0</v>
      </c>
      <c r="J41" s="415">
        <v>0</v>
      </c>
      <c r="K41" s="415">
        <v>0</v>
      </c>
      <c r="L41" s="415">
        <v>0</v>
      </c>
      <c r="M41" s="415">
        <v>0</v>
      </c>
      <c r="N41" s="415">
        <v>0</v>
      </c>
      <c r="O41" s="415">
        <v>0</v>
      </c>
      <c r="P41" s="415">
        <v>0</v>
      </c>
      <c r="Q41" s="515">
        <v>0</v>
      </c>
      <c r="R41" s="415">
        <v>0</v>
      </c>
      <c r="S41" s="415">
        <v>0</v>
      </c>
      <c r="T41" s="415">
        <v>0</v>
      </c>
      <c r="U41" s="415">
        <v>0</v>
      </c>
      <c r="V41" s="415">
        <v>0</v>
      </c>
      <c r="W41" s="415">
        <v>0</v>
      </c>
      <c r="X41" s="415">
        <v>0</v>
      </c>
      <c r="Y41" s="415">
        <v>59.22</v>
      </c>
      <c r="Z41" s="415">
        <v>0</v>
      </c>
      <c r="AA41" s="415">
        <v>0</v>
      </c>
      <c r="AB41" s="415">
        <v>0</v>
      </c>
      <c r="AC41" s="415">
        <f t="shared" si="0"/>
        <v>59.22</v>
      </c>
      <c r="AD41" s="415">
        <v>0</v>
      </c>
      <c r="AE41" s="415">
        <v>0</v>
      </c>
      <c r="AF41" s="415">
        <v>0</v>
      </c>
      <c r="AG41" s="415">
        <v>0</v>
      </c>
      <c r="AH41" s="415">
        <v>0</v>
      </c>
      <c r="AI41" s="415">
        <v>0</v>
      </c>
      <c r="AJ41" s="415">
        <f t="shared" si="1"/>
        <v>0</v>
      </c>
      <c r="AK41" s="415">
        <f t="shared" si="2"/>
        <v>59.22</v>
      </c>
      <c r="AL41" s="540">
        <f t="shared" si="3"/>
        <v>0.22020245611633146</v>
      </c>
      <c r="AR41" s="414"/>
    </row>
    <row r="42" spans="1:44" ht="12.75" customHeight="1">
      <c r="A42" s="414" t="s">
        <v>345</v>
      </c>
      <c r="B42" s="415">
        <v>0</v>
      </c>
      <c r="C42" s="415">
        <v>0</v>
      </c>
      <c r="D42" s="415">
        <v>0</v>
      </c>
      <c r="E42" s="415">
        <v>0</v>
      </c>
      <c r="F42" s="415">
        <v>0</v>
      </c>
      <c r="G42" s="415">
        <v>0</v>
      </c>
      <c r="H42" s="415">
        <v>0</v>
      </c>
      <c r="I42" s="415">
        <v>0</v>
      </c>
      <c r="J42" s="415">
        <v>0</v>
      </c>
      <c r="K42" s="415">
        <v>0</v>
      </c>
      <c r="L42" s="415">
        <v>0</v>
      </c>
      <c r="M42" s="415">
        <v>0</v>
      </c>
      <c r="N42" s="415">
        <v>0</v>
      </c>
      <c r="O42" s="415">
        <v>0</v>
      </c>
      <c r="P42" s="415">
        <v>0</v>
      </c>
      <c r="Q42" s="515">
        <v>0</v>
      </c>
      <c r="R42" s="415">
        <v>0</v>
      </c>
      <c r="S42" s="415">
        <v>0</v>
      </c>
      <c r="T42" s="415">
        <v>0</v>
      </c>
      <c r="U42" s="415">
        <v>0</v>
      </c>
      <c r="V42" s="415">
        <v>0</v>
      </c>
      <c r="W42" s="415">
        <v>0</v>
      </c>
      <c r="X42" s="415">
        <v>0</v>
      </c>
      <c r="Y42" s="415">
        <v>0</v>
      </c>
      <c r="Z42" s="415">
        <v>0</v>
      </c>
      <c r="AA42" s="415">
        <v>0</v>
      </c>
      <c r="AB42" s="415">
        <v>0</v>
      </c>
      <c r="AC42" s="415">
        <f t="shared" si="0"/>
        <v>0</v>
      </c>
      <c r="AD42" s="415">
        <v>0</v>
      </c>
      <c r="AE42" s="415">
        <v>0</v>
      </c>
      <c r="AF42" s="415">
        <v>0</v>
      </c>
      <c r="AG42" s="415">
        <v>0</v>
      </c>
      <c r="AH42" s="415">
        <v>0</v>
      </c>
      <c r="AI42" s="415">
        <v>0</v>
      </c>
      <c r="AJ42" s="415">
        <f t="shared" si="1"/>
        <v>0</v>
      </c>
      <c r="AK42" s="415">
        <f t="shared" si="2"/>
        <v>0</v>
      </c>
      <c r="AL42" s="540">
        <f t="shared" si="3"/>
        <v>0</v>
      </c>
      <c r="AR42" s="414"/>
    </row>
    <row r="43" spans="1:44" ht="12.75" customHeight="1">
      <c r="A43" s="414" t="s">
        <v>346</v>
      </c>
      <c r="B43" s="415">
        <f>(1880*85)/2000</f>
        <v>79.900000000000006</v>
      </c>
      <c r="C43" s="415">
        <f>(4800*80)/2000</f>
        <v>192</v>
      </c>
      <c r="D43" s="415">
        <v>0</v>
      </c>
      <c r="E43" s="415">
        <v>0</v>
      </c>
      <c r="F43" s="466">
        <f>SUM(B43:E43)</f>
        <v>271.89999999999998</v>
      </c>
      <c r="G43" s="415">
        <v>0</v>
      </c>
      <c r="H43" s="415">
        <v>0</v>
      </c>
      <c r="I43" s="415">
        <v>0</v>
      </c>
      <c r="J43" s="415">
        <v>0</v>
      </c>
      <c r="K43" s="415">
        <v>0</v>
      </c>
      <c r="L43" s="415">
        <v>0</v>
      </c>
      <c r="M43" s="415">
        <v>0</v>
      </c>
      <c r="N43" s="415">
        <v>0</v>
      </c>
      <c r="O43" s="415">
        <v>0</v>
      </c>
      <c r="P43" s="415">
        <v>0</v>
      </c>
      <c r="Q43" s="515">
        <v>0</v>
      </c>
      <c r="R43" s="415">
        <v>0</v>
      </c>
      <c r="S43" s="415">
        <v>0</v>
      </c>
      <c r="T43" s="416" t="s">
        <v>312</v>
      </c>
      <c r="U43" s="415">
        <v>0</v>
      </c>
      <c r="V43" s="415">
        <v>0</v>
      </c>
      <c r="W43" s="415">
        <v>0</v>
      </c>
      <c r="X43" s="415">
        <v>0</v>
      </c>
      <c r="Y43" s="416" t="s">
        <v>312</v>
      </c>
      <c r="Z43" s="415">
        <v>0</v>
      </c>
      <c r="AA43" s="415">
        <v>0</v>
      </c>
      <c r="AB43" s="415">
        <v>0</v>
      </c>
      <c r="AC43" s="415">
        <f t="shared" si="0"/>
        <v>0</v>
      </c>
      <c r="AD43" s="415">
        <v>0</v>
      </c>
      <c r="AE43" s="415">
        <v>0</v>
      </c>
      <c r="AF43" s="415">
        <v>0</v>
      </c>
      <c r="AG43" s="415">
        <f>33600/2000</f>
        <v>16.8</v>
      </c>
      <c r="AH43" s="415">
        <v>0</v>
      </c>
      <c r="AI43" s="415">
        <v>0</v>
      </c>
      <c r="AJ43" s="415">
        <f t="shared" si="1"/>
        <v>16.8</v>
      </c>
      <c r="AK43" s="415">
        <f t="shared" si="2"/>
        <v>288.7</v>
      </c>
      <c r="AL43" s="540">
        <f t="shared" si="3"/>
        <v>1.0734962695168</v>
      </c>
      <c r="AR43" s="414"/>
    </row>
    <row r="44" spans="1:44" ht="12.75" customHeight="1">
      <c r="A44" s="414" t="s">
        <v>347</v>
      </c>
      <c r="B44" s="415">
        <v>0</v>
      </c>
      <c r="C44" s="415">
        <v>0</v>
      </c>
      <c r="D44" s="415">
        <v>0</v>
      </c>
      <c r="E44" s="415">
        <v>0</v>
      </c>
      <c r="F44" s="415">
        <v>0</v>
      </c>
      <c r="G44" s="415">
        <v>0</v>
      </c>
      <c r="H44" s="416" t="s">
        <v>312</v>
      </c>
      <c r="I44" s="415">
        <v>0</v>
      </c>
      <c r="J44" s="415">
        <v>0</v>
      </c>
      <c r="K44" s="415">
        <v>0</v>
      </c>
      <c r="L44" s="415">
        <v>0</v>
      </c>
      <c r="M44" s="415">
        <v>0</v>
      </c>
      <c r="N44" s="415">
        <v>0</v>
      </c>
      <c r="O44" s="416" t="s">
        <v>312</v>
      </c>
      <c r="P44" s="415">
        <f>41/2</f>
        <v>20.5</v>
      </c>
      <c r="Q44" s="515">
        <v>0</v>
      </c>
      <c r="R44" s="415">
        <v>0</v>
      </c>
      <c r="S44" s="415">
        <v>0</v>
      </c>
      <c r="T44" s="415">
        <v>0</v>
      </c>
      <c r="U44" s="415">
        <v>0</v>
      </c>
      <c r="V44" s="415">
        <v>0</v>
      </c>
      <c r="W44" s="415">
        <v>0</v>
      </c>
      <c r="X44" s="415">
        <v>0</v>
      </c>
      <c r="Y44" s="416" t="s">
        <v>312</v>
      </c>
      <c r="Z44" s="415">
        <v>0</v>
      </c>
      <c r="AA44" s="415">
        <v>0</v>
      </c>
      <c r="AB44" s="415">
        <v>0</v>
      </c>
      <c r="AC44" s="415">
        <f t="shared" si="0"/>
        <v>20.5</v>
      </c>
      <c r="AD44" s="415">
        <v>0</v>
      </c>
      <c r="AE44" s="415">
        <v>0</v>
      </c>
      <c r="AF44" s="415">
        <v>0</v>
      </c>
      <c r="AG44" s="415">
        <v>0</v>
      </c>
      <c r="AH44" s="415">
        <v>0</v>
      </c>
      <c r="AI44" s="415">
        <v>0</v>
      </c>
      <c r="AJ44" s="415">
        <f t="shared" si="1"/>
        <v>0</v>
      </c>
      <c r="AK44" s="415">
        <f t="shared" si="2"/>
        <v>20.5</v>
      </c>
      <c r="AL44" s="540">
        <f t="shared" si="3"/>
        <v>7.6226787409402155E-2</v>
      </c>
      <c r="AR44" s="414"/>
    </row>
    <row r="45" spans="1:44" ht="12.75" customHeight="1">
      <c r="A45" s="414" t="s">
        <v>348</v>
      </c>
      <c r="B45" s="415">
        <v>0</v>
      </c>
      <c r="C45" s="415">
        <v>0</v>
      </c>
      <c r="D45" s="415">
        <v>0</v>
      </c>
      <c r="E45" s="415">
        <v>0</v>
      </c>
      <c r="F45" s="415">
        <v>0</v>
      </c>
      <c r="G45" s="416" t="s">
        <v>312</v>
      </c>
      <c r="H45" s="415">
        <v>0</v>
      </c>
      <c r="I45" s="415">
        <v>0</v>
      </c>
      <c r="J45" s="415">
        <v>0</v>
      </c>
      <c r="K45" s="415">
        <v>0</v>
      </c>
      <c r="L45" s="415">
        <v>0</v>
      </c>
      <c r="M45" s="415">
        <v>0</v>
      </c>
      <c r="N45" s="415">
        <v>0</v>
      </c>
      <c r="O45" s="415">
        <v>0</v>
      </c>
      <c r="P45" s="415">
        <v>0</v>
      </c>
      <c r="Q45" s="515">
        <v>0</v>
      </c>
      <c r="R45" s="415">
        <v>0</v>
      </c>
      <c r="S45" s="415">
        <v>0</v>
      </c>
      <c r="T45" s="415">
        <v>0</v>
      </c>
      <c r="U45" s="415">
        <v>0</v>
      </c>
      <c r="V45" s="415">
        <v>0</v>
      </c>
      <c r="W45" s="415">
        <v>0</v>
      </c>
      <c r="X45" s="415">
        <v>0</v>
      </c>
      <c r="Y45" s="415">
        <v>0</v>
      </c>
      <c r="Z45" s="415">
        <v>0</v>
      </c>
      <c r="AA45" s="415">
        <v>0</v>
      </c>
      <c r="AB45" s="415">
        <v>0</v>
      </c>
      <c r="AC45" s="415">
        <f t="shared" si="0"/>
        <v>0</v>
      </c>
      <c r="AD45" s="415">
        <v>0</v>
      </c>
      <c r="AE45" s="415">
        <v>0</v>
      </c>
      <c r="AF45" s="415">
        <v>0</v>
      </c>
      <c r="AG45" s="415">
        <v>0</v>
      </c>
      <c r="AH45" s="415">
        <v>0</v>
      </c>
      <c r="AI45" s="415">
        <v>0</v>
      </c>
      <c r="AJ45" s="415">
        <f t="shared" si="1"/>
        <v>0</v>
      </c>
      <c r="AK45" s="415">
        <f t="shared" si="2"/>
        <v>0</v>
      </c>
      <c r="AL45" s="540">
        <f t="shared" si="3"/>
        <v>0</v>
      </c>
      <c r="AR45" s="414"/>
    </row>
    <row r="46" spans="1:44" ht="12.75" customHeight="1">
      <c r="A46" s="414" t="s">
        <v>349</v>
      </c>
      <c r="B46" s="415">
        <v>0</v>
      </c>
      <c r="C46" s="415">
        <v>0</v>
      </c>
      <c r="D46" s="415">
        <v>0</v>
      </c>
      <c r="E46" s="415">
        <v>0</v>
      </c>
      <c r="F46" s="415">
        <v>0</v>
      </c>
      <c r="G46" s="415">
        <f>201.9/2</f>
        <v>100.95</v>
      </c>
      <c r="H46" s="415">
        <v>0</v>
      </c>
      <c r="I46" s="415">
        <v>0</v>
      </c>
      <c r="J46" s="415">
        <v>0</v>
      </c>
      <c r="K46" s="415">
        <v>0</v>
      </c>
      <c r="L46" s="415">
        <v>0</v>
      </c>
      <c r="M46" s="415">
        <v>0</v>
      </c>
      <c r="N46" s="415">
        <v>0</v>
      </c>
      <c r="O46" s="415">
        <v>0</v>
      </c>
      <c r="P46" s="415">
        <v>0</v>
      </c>
      <c r="Q46" s="515">
        <v>0</v>
      </c>
      <c r="R46" s="415">
        <v>0</v>
      </c>
      <c r="S46" s="415">
        <v>0</v>
      </c>
      <c r="T46" s="416" t="s">
        <v>312</v>
      </c>
      <c r="U46" s="415">
        <v>0</v>
      </c>
      <c r="V46" s="415">
        <v>0</v>
      </c>
      <c r="W46" s="415">
        <v>0</v>
      </c>
      <c r="X46" s="415">
        <v>0</v>
      </c>
      <c r="Y46" s="416" t="s">
        <v>312</v>
      </c>
      <c r="Z46" s="415">
        <v>0</v>
      </c>
      <c r="AA46" s="415">
        <v>0</v>
      </c>
      <c r="AB46" s="415">
        <v>0</v>
      </c>
      <c r="AC46" s="415">
        <f t="shared" si="0"/>
        <v>100.95</v>
      </c>
      <c r="AD46" s="415">
        <v>0</v>
      </c>
      <c r="AE46" s="415">
        <v>0</v>
      </c>
      <c r="AF46" s="415">
        <v>0</v>
      </c>
      <c r="AG46" s="415">
        <v>0</v>
      </c>
      <c r="AH46" s="415">
        <v>0</v>
      </c>
      <c r="AI46" s="415">
        <v>0</v>
      </c>
      <c r="AJ46" s="415">
        <f t="shared" si="1"/>
        <v>0</v>
      </c>
      <c r="AK46" s="415">
        <f t="shared" si="2"/>
        <v>100.95</v>
      </c>
      <c r="AL46" s="540">
        <f t="shared" si="3"/>
        <v>0.37537044824288524</v>
      </c>
      <c r="AR46" s="414"/>
    </row>
    <row r="47" spans="1:44" ht="12.75" customHeight="1">
      <c r="A47" s="414" t="s">
        <v>350</v>
      </c>
      <c r="B47" s="415">
        <v>0</v>
      </c>
      <c r="C47" s="415">
        <v>0</v>
      </c>
      <c r="D47" s="415">
        <v>0</v>
      </c>
      <c r="E47" s="415">
        <v>0</v>
      </c>
      <c r="F47" s="415">
        <v>0</v>
      </c>
      <c r="G47" s="415">
        <f>6365/2</f>
        <v>3182.5</v>
      </c>
      <c r="H47" s="415">
        <v>7.8</v>
      </c>
      <c r="I47" s="415">
        <v>0</v>
      </c>
      <c r="J47" s="415">
        <v>0</v>
      </c>
      <c r="K47" s="415">
        <v>0</v>
      </c>
      <c r="L47" s="415">
        <f>136100/2000</f>
        <v>68.05</v>
      </c>
      <c r="M47" s="415">
        <v>0</v>
      </c>
      <c r="N47" s="415">
        <f>75040/2000</f>
        <v>37.520000000000003</v>
      </c>
      <c r="O47" s="415">
        <v>243.8</v>
      </c>
      <c r="P47" s="417" t="s">
        <v>459</v>
      </c>
      <c r="Q47" s="416" t="s">
        <v>312</v>
      </c>
      <c r="R47" s="415">
        <v>0</v>
      </c>
      <c r="S47" s="415">
        <v>0</v>
      </c>
      <c r="T47" s="415">
        <v>466</v>
      </c>
      <c r="U47" s="415">
        <v>0</v>
      </c>
      <c r="V47" s="416" t="s">
        <v>312</v>
      </c>
      <c r="W47" s="415">
        <v>0</v>
      </c>
      <c r="X47" s="415">
        <v>0</v>
      </c>
      <c r="Y47" s="415">
        <v>13.07</v>
      </c>
      <c r="Z47" s="415">
        <v>394</v>
      </c>
      <c r="AA47" s="415">
        <v>0</v>
      </c>
      <c r="AB47" s="415">
        <f>(85.8*100)/2000</f>
        <v>4.29</v>
      </c>
      <c r="AC47" s="415">
        <f t="shared" si="0"/>
        <v>4417.0300000000007</v>
      </c>
      <c r="AD47" s="415">
        <v>0</v>
      </c>
      <c r="AE47" s="415">
        <v>0</v>
      </c>
      <c r="AF47" s="415">
        <v>0</v>
      </c>
      <c r="AG47" s="415">
        <v>0</v>
      </c>
      <c r="AH47" s="415">
        <v>0</v>
      </c>
      <c r="AI47" s="415">
        <v>0</v>
      </c>
      <c r="AJ47" s="415">
        <f t="shared" si="1"/>
        <v>0</v>
      </c>
      <c r="AK47" s="415">
        <f t="shared" si="2"/>
        <v>4417.0300000000007</v>
      </c>
      <c r="AL47" s="540">
        <f t="shared" si="3"/>
        <v>16.424195453217152</v>
      </c>
      <c r="AN47" s="418"/>
      <c r="AR47" s="414"/>
    </row>
    <row r="48" spans="1:44" ht="12.75" customHeight="1">
      <c r="A48" s="414" t="s">
        <v>351</v>
      </c>
      <c r="B48" s="415">
        <v>0</v>
      </c>
      <c r="C48" s="415">
        <v>0</v>
      </c>
      <c r="D48" s="415">
        <v>0</v>
      </c>
      <c r="E48" s="415">
        <v>0</v>
      </c>
      <c r="F48" s="415">
        <v>0</v>
      </c>
      <c r="G48" s="416" t="s">
        <v>312</v>
      </c>
      <c r="H48" s="415">
        <v>0</v>
      </c>
      <c r="I48" s="415">
        <v>0</v>
      </c>
      <c r="J48" s="415">
        <v>0</v>
      </c>
      <c r="K48" s="415">
        <v>0</v>
      </c>
      <c r="L48" s="415">
        <v>0</v>
      </c>
      <c r="M48" s="415">
        <v>0</v>
      </c>
      <c r="N48" s="415">
        <v>0</v>
      </c>
      <c r="O48" s="415">
        <v>0</v>
      </c>
      <c r="P48" s="415">
        <v>0</v>
      </c>
      <c r="Q48" s="515">
        <v>0</v>
      </c>
      <c r="R48" s="415">
        <v>0</v>
      </c>
      <c r="S48" s="415">
        <v>0</v>
      </c>
      <c r="T48" s="415">
        <v>0</v>
      </c>
      <c r="U48" s="415">
        <v>0</v>
      </c>
      <c r="V48" s="415">
        <v>0</v>
      </c>
      <c r="W48" s="415">
        <v>0</v>
      </c>
      <c r="X48" s="415">
        <v>0</v>
      </c>
      <c r="Y48" s="416" t="s">
        <v>312</v>
      </c>
      <c r="Z48" s="415">
        <v>0</v>
      </c>
      <c r="AA48" s="415">
        <v>0</v>
      </c>
      <c r="AB48" s="415">
        <v>0</v>
      </c>
      <c r="AC48" s="415">
        <f t="shared" si="0"/>
        <v>0</v>
      </c>
      <c r="AD48" s="415">
        <v>0</v>
      </c>
      <c r="AE48" s="415">
        <v>0</v>
      </c>
      <c r="AF48" s="415">
        <v>0</v>
      </c>
      <c r="AG48" s="415">
        <v>0</v>
      </c>
      <c r="AH48" s="415">
        <v>0</v>
      </c>
      <c r="AI48" s="415">
        <v>0</v>
      </c>
      <c r="AJ48" s="415">
        <f t="shared" si="1"/>
        <v>0</v>
      </c>
      <c r="AK48" s="415">
        <f t="shared" si="2"/>
        <v>0</v>
      </c>
      <c r="AL48" s="540">
        <f t="shared" si="3"/>
        <v>0</v>
      </c>
      <c r="AR48" s="414"/>
    </row>
    <row r="49" spans="1:44" ht="12.75" customHeight="1">
      <c r="A49" s="414" t="s">
        <v>352</v>
      </c>
      <c r="B49" s="415">
        <v>0</v>
      </c>
      <c r="C49" s="415">
        <v>0</v>
      </c>
      <c r="D49" s="415">
        <v>0</v>
      </c>
      <c r="E49" s="415">
        <v>0</v>
      </c>
      <c r="F49" s="415">
        <v>0</v>
      </c>
      <c r="G49" s="416" t="s">
        <v>312</v>
      </c>
      <c r="H49" s="415">
        <v>0</v>
      </c>
      <c r="I49" s="415">
        <v>0</v>
      </c>
      <c r="J49" s="415">
        <v>0</v>
      </c>
      <c r="K49" s="415">
        <v>0</v>
      </c>
      <c r="L49" s="415">
        <v>0</v>
      </c>
      <c r="M49" s="415">
        <v>0</v>
      </c>
      <c r="N49" s="415">
        <v>0</v>
      </c>
      <c r="O49" s="415">
        <v>0</v>
      </c>
      <c r="P49" s="415">
        <f>10/2</f>
        <v>5</v>
      </c>
      <c r="Q49" s="515">
        <f>((5517250*100)/2000)/1000</f>
        <v>275.86250000000001</v>
      </c>
      <c r="R49" s="415">
        <v>0</v>
      </c>
      <c r="S49" s="415">
        <v>0</v>
      </c>
      <c r="T49" s="415">
        <v>0</v>
      </c>
      <c r="U49" s="415">
        <v>0</v>
      </c>
      <c r="V49" s="415">
        <v>0</v>
      </c>
      <c r="W49" s="415">
        <v>0</v>
      </c>
      <c r="X49" s="415">
        <v>0</v>
      </c>
      <c r="Y49" s="415">
        <v>0</v>
      </c>
      <c r="Z49" s="415">
        <v>0</v>
      </c>
      <c r="AA49" s="415">
        <v>0</v>
      </c>
      <c r="AB49" s="415">
        <v>0</v>
      </c>
      <c r="AC49" s="415">
        <f t="shared" si="0"/>
        <v>280.86250000000001</v>
      </c>
      <c r="AD49" s="415">
        <v>0</v>
      </c>
      <c r="AE49" s="415">
        <v>0</v>
      </c>
      <c r="AF49" s="415">
        <v>0</v>
      </c>
      <c r="AG49" s="415">
        <v>0</v>
      </c>
      <c r="AH49" s="415">
        <v>0</v>
      </c>
      <c r="AI49" s="415">
        <v>0</v>
      </c>
      <c r="AJ49" s="415">
        <f t="shared" si="1"/>
        <v>0</v>
      </c>
      <c r="AK49" s="415">
        <f t="shared" si="2"/>
        <v>280.86250000000001</v>
      </c>
      <c r="AL49" s="540">
        <f t="shared" si="3"/>
        <v>1.0443534672572299</v>
      </c>
      <c r="AR49" s="414"/>
    </row>
    <row r="50" spans="1:44" ht="12.75" customHeight="1">
      <c r="A50" s="414"/>
      <c r="B50" s="415"/>
      <c r="C50" s="415"/>
      <c r="D50" s="415"/>
      <c r="E50" s="415"/>
      <c r="F50" s="415"/>
      <c r="G50" s="415"/>
      <c r="H50" s="415"/>
      <c r="I50" s="415"/>
      <c r="J50" s="415"/>
      <c r="K50" s="415"/>
      <c r="L50" s="415"/>
      <c r="M50" s="415"/>
      <c r="N50" s="415"/>
      <c r="O50" s="415"/>
      <c r="P50" s="415"/>
      <c r="Q50" s="515"/>
      <c r="R50" s="415"/>
      <c r="S50" s="415"/>
      <c r="T50" s="415"/>
      <c r="U50" s="415"/>
      <c r="V50" s="415"/>
      <c r="W50" s="415"/>
      <c r="X50" s="415"/>
      <c r="Y50" s="415"/>
      <c r="Z50" s="415"/>
      <c r="AA50" s="415"/>
      <c r="AB50" s="415"/>
      <c r="AC50" s="415"/>
      <c r="AD50" s="415"/>
      <c r="AE50" s="415"/>
      <c r="AF50" s="415"/>
      <c r="AG50" s="415"/>
      <c r="AH50" s="415"/>
      <c r="AI50" s="415"/>
      <c r="AJ50" s="415"/>
      <c r="AK50" s="415"/>
      <c r="AL50" s="413"/>
    </row>
    <row r="51" spans="1:44" ht="12.75" customHeight="1">
      <c r="A51" s="419" t="s">
        <v>353</v>
      </c>
      <c r="B51" s="463">
        <v>3875</v>
      </c>
      <c r="C51" s="463">
        <v>509</v>
      </c>
      <c r="D51" s="463">
        <v>888</v>
      </c>
      <c r="E51" s="463">
        <v>804</v>
      </c>
      <c r="F51" s="467">
        <f>SUM(B51:E51)</f>
        <v>6076</v>
      </c>
      <c r="G51" s="463">
        <f>9890.8/2</f>
        <v>4945.3999999999996</v>
      </c>
      <c r="H51" s="463">
        <v>39.369999999999997</v>
      </c>
      <c r="I51" s="464">
        <v>183.5</v>
      </c>
      <c r="J51" s="513" t="s">
        <v>312</v>
      </c>
      <c r="K51" s="513" t="s">
        <v>312</v>
      </c>
      <c r="L51" s="463">
        <f>(555620+50300)/2000</f>
        <v>302.95999999999998</v>
      </c>
      <c r="M51" s="513" t="s">
        <v>312</v>
      </c>
      <c r="N51" s="463">
        <f>217320/2000</f>
        <v>108.66</v>
      </c>
      <c r="O51" s="463">
        <v>342.07</v>
      </c>
      <c r="P51" s="463">
        <f>288.8/2</f>
        <v>144.4</v>
      </c>
      <c r="Q51" s="516">
        <f>((8846560*100)/2000)/1000</f>
        <v>442.32799999999997</v>
      </c>
      <c r="R51" s="463">
        <v>40.04</v>
      </c>
      <c r="S51" s="513" t="s">
        <v>312</v>
      </c>
      <c r="T51" s="463">
        <v>7596</v>
      </c>
      <c r="U51" s="463">
        <v>37.799999999999997</v>
      </c>
      <c r="V51" s="463">
        <v>119.65</v>
      </c>
      <c r="W51" s="463">
        <v>52.9</v>
      </c>
      <c r="X51" s="464">
        <v>10.29</v>
      </c>
      <c r="Y51" s="463">
        <v>638.02</v>
      </c>
      <c r="Z51" s="463">
        <v>800.26</v>
      </c>
      <c r="AA51" s="463">
        <f>99+279.62</f>
        <v>378.62</v>
      </c>
      <c r="AB51" s="463">
        <f>(28550.9*100)/2000</f>
        <v>1427.5450000000001</v>
      </c>
      <c r="AC51" s="463">
        <v>17617.867999999999</v>
      </c>
      <c r="AD51" s="463">
        <v>1839.9</v>
      </c>
      <c r="AE51" s="463">
        <v>51</v>
      </c>
      <c r="AF51" s="463">
        <v>17.7</v>
      </c>
      <c r="AG51" s="463">
        <f>242930/2000</f>
        <v>121.465</v>
      </c>
      <c r="AH51" s="463">
        <v>493.5</v>
      </c>
      <c r="AI51" s="463">
        <v>676</v>
      </c>
      <c r="AJ51" s="463">
        <f t="shared" si="1"/>
        <v>3199.5650000000001</v>
      </c>
      <c r="AK51" s="463">
        <f>F51+AC51+AJ51</f>
        <v>26893.432999999997</v>
      </c>
      <c r="AL51" s="537">
        <f>SUM(AL7:AL49)</f>
        <v>99.949095379530021</v>
      </c>
      <c r="AN51" s="418"/>
    </row>
    <row r="52" spans="1:44" ht="12.75" customHeight="1">
      <c r="A52" s="420" t="s">
        <v>458</v>
      </c>
      <c r="B52" s="421"/>
      <c r="C52" s="421"/>
      <c r="D52" s="421"/>
      <c r="E52" s="421"/>
      <c r="F52" s="421"/>
      <c r="G52" s="421"/>
      <c r="H52" s="421"/>
      <c r="I52" s="422"/>
      <c r="J52" s="422"/>
      <c r="K52" s="421"/>
      <c r="L52" s="421"/>
      <c r="M52" s="421"/>
      <c r="N52" s="421"/>
      <c r="O52" s="421"/>
      <c r="P52" s="421"/>
      <c r="Q52" s="423"/>
      <c r="R52" s="421"/>
      <c r="S52" s="421"/>
      <c r="T52" s="421"/>
      <c r="U52" s="421"/>
      <c r="V52" s="421"/>
      <c r="W52" s="421"/>
      <c r="X52" s="422"/>
      <c r="Y52" s="421"/>
      <c r="Z52" s="421"/>
      <c r="AA52" s="421"/>
      <c r="AB52" s="421"/>
      <c r="AC52" s="424"/>
      <c r="AD52" s="421"/>
      <c r="AE52" s="421"/>
      <c r="AF52" s="421"/>
      <c r="AG52" s="421"/>
      <c r="AH52" s="421"/>
      <c r="AI52" s="421"/>
      <c r="AJ52" s="424"/>
      <c r="AK52" s="424"/>
      <c r="AL52" s="421"/>
      <c r="AN52" s="418"/>
    </row>
    <row r="53" spans="1:44" ht="12.75" customHeight="1">
      <c r="A53" s="425" t="s">
        <v>442</v>
      </c>
      <c r="B53" s="426"/>
      <c r="C53" s="426"/>
      <c r="D53" s="426"/>
      <c r="E53" s="426"/>
      <c r="F53" s="426"/>
      <c r="G53" s="414"/>
      <c r="H53" s="414"/>
      <c r="I53" s="414"/>
      <c r="J53" s="414"/>
      <c r="K53" s="414"/>
      <c r="L53" s="414"/>
      <c r="M53" s="414"/>
      <c r="N53" s="414"/>
      <c r="O53" s="414"/>
      <c r="P53" s="414"/>
      <c r="Q53" s="414"/>
      <c r="R53" s="414"/>
      <c r="S53" s="414"/>
      <c r="T53" s="414"/>
      <c r="U53" s="414"/>
      <c r="V53" s="414"/>
      <c r="W53" s="414"/>
      <c r="X53" s="414"/>
      <c r="Y53" s="427"/>
      <c r="Z53" s="427"/>
      <c r="AA53" s="323"/>
      <c r="AB53" s="427"/>
      <c r="AC53" s="428"/>
      <c r="AD53" s="414"/>
      <c r="AE53" s="414"/>
      <c r="AF53" s="414"/>
      <c r="AG53" s="414"/>
      <c r="AH53" s="414"/>
      <c r="AI53" s="414"/>
      <c r="AJ53" s="414"/>
      <c r="AK53" s="429"/>
      <c r="AL53" s="413"/>
    </row>
    <row r="54" spans="1:44" ht="12.75" customHeight="1">
      <c r="A54" s="425" t="s">
        <v>354</v>
      </c>
      <c r="B54" s="426"/>
      <c r="C54" s="426"/>
      <c r="D54" s="426"/>
      <c r="E54" s="426"/>
      <c r="F54" s="426"/>
      <c r="G54" s="414"/>
      <c r="H54" s="414"/>
      <c r="I54" s="414"/>
      <c r="J54" s="414"/>
      <c r="K54" s="414"/>
      <c r="L54" s="414"/>
      <c r="M54" s="414"/>
      <c r="N54" s="414"/>
      <c r="O54" s="414"/>
      <c r="P54" s="414"/>
      <c r="Q54" s="414"/>
      <c r="R54" s="414"/>
      <c r="S54" s="414"/>
      <c r="T54" s="414"/>
      <c r="U54" s="414"/>
      <c r="V54" s="414"/>
      <c r="W54" s="414"/>
      <c r="X54" s="414"/>
      <c r="Y54" s="427"/>
      <c r="Z54" s="427"/>
      <c r="AA54" s="323"/>
      <c r="AB54" s="427"/>
      <c r="AC54" s="414"/>
      <c r="AD54" s="414"/>
      <c r="AE54" s="414"/>
      <c r="AF54" s="414"/>
      <c r="AG54" s="414"/>
      <c r="AH54" s="414"/>
      <c r="AI54" s="414"/>
      <c r="AJ54" s="414"/>
      <c r="AK54" s="429"/>
      <c r="AL54" s="430"/>
    </row>
    <row r="55" spans="1:44" ht="12.75" customHeight="1">
      <c r="A55" s="425" t="s">
        <v>447</v>
      </c>
      <c r="B55" s="426"/>
      <c r="C55" s="426"/>
      <c r="D55" s="426"/>
      <c r="E55" s="426"/>
      <c r="F55" s="426"/>
      <c r="G55" s="414"/>
      <c r="H55" s="414"/>
      <c r="I55" s="414"/>
      <c r="J55" s="414"/>
      <c r="K55" s="414"/>
      <c r="L55" s="414"/>
      <c r="M55" s="414"/>
      <c r="N55" s="414"/>
      <c r="O55" s="414"/>
      <c r="P55" s="414"/>
      <c r="Q55" s="414"/>
      <c r="R55" s="414"/>
      <c r="S55" s="414"/>
      <c r="T55" s="414"/>
      <c r="U55" s="414"/>
      <c r="V55" s="414"/>
      <c r="W55" s="414"/>
      <c r="X55" s="414"/>
      <c r="Y55" s="427"/>
      <c r="Z55" s="427"/>
      <c r="AA55" s="323"/>
      <c r="AB55" s="427"/>
      <c r="AC55" s="414"/>
      <c r="AD55" s="414"/>
      <c r="AE55" s="414"/>
      <c r="AF55" s="414"/>
      <c r="AG55" s="414"/>
      <c r="AH55" s="414"/>
      <c r="AI55" s="414"/>
      <c r="AJ55" s="414"/>
      <c r="AK55" s="429"/>
      <c r="AL55" s="430"/>
    </row>
    <row r="56" spans="1:44" ht="12.75" customHeight="1">
      <c r="A56" s="431" t="s">
        <v>460</v>
      </c>
      <c r="B56" s="427"/>
      <c r="C56" s="427"/>
      <c r="D56" s="427"/>
      <c r="E56" s="427"/>
      <c r="F56" s="427"/>
      <c r="G56" s="427"/>
      <c r="H56" s="427"/>
      <c r="I56" s="427"/>
      <c r="J56" s="427"/>
      <c r="K56" s="427"/>
      <c r="L56" s="427"/>
      <c r="M56" s="427"/>
      <c r="N56" s="427"/>
      <c r="O56" s="427"/>
      <c r="P56" s="427"/>
      <c r="Q56" s="427"/>
      <c r="R56" s="427"/>
      <c r="S56" s="427"/>
      <c r="T56" s="414"/>
      <c r="U56" s="427"/>
      <c r="V56" s="427"/>
      <c r="W56" s="427"/>
      <c r="X56" s="427"/>
      <c r="Y56" s="427"/>
      <c r="Z56" s="427"/>
      <c r="AA56" s="427"/>
      <c r="AB56" s="427"/>
      <c r="AC56" s="428"/>
      <c r="AD56" s="427"/>
      <c r="AE56" s="427"/>
      <c r="AF56" s="427"/>
      <c r="AG56" s="427"/>
      <c r="AH56" s="427"/>
      <c r="AI56" s="427"/>
      <c r="AJ56" s="427"/>
      <c r="AK56" s="432"/>
      <c r="AL56" s="413"/>
    </row>
    <row r="57" spans="1:44" ht="12.75" customHeight="1">
      <c r="B57" s="427"/>
      <c r="C57" s="427"/>
      <c r="D57" s="427"/>
      <c r="E57" s="427"/>
      <c r="F57" s="427"/>
      <c r="G57" s="427"/>
      <c r="H57" s="427"/>
      <c r="I57" s="427"/>
      <c r="J57" s="427"/>
      <c r="K57" s="427"/>
      <c r="L57" s="427"/>
      <c r="M57" s="427"/>
      <c r="N57" s="427"/>
      <c r="O57" s="427"/>
      <c r="P57" s="427"/>
      <c r="Q57" s="427"/>
      <c r="R57" s="427"/>
      <c r="S57" s="427"/>
      <c r="T57" s="414"/>
      <c r="U57" s="427"/>
      <c r="V57" s="427"/>
      <c r="W57" s="427"/>
      <c r="X57" s="427"/>
      <c r="Y57" s="427"/>
      <c r="Z57" s="427"/>
      <c r="AA57" s="433"/>
      <c r="AB57" s="427"/>
      <c r="AC57" s="428"/>
      <c r="AD57" s="427"/>
      <c r="AE57" s="427"/>
      <c r="AF57" s="427"/>
      <c r="AG57" s="427"/>
      <c r="AH57" s="427"/>
      <c r="AI57" s="427"/>
      <c r="AJ57" s="427"/>
      <c r="AK57" s="432"/>
      <c r="AL57" s="413"/>
    </row>
    <row r="58" spans="1:44" ht="12.75" customHeight="1">
      <c r="A58" s="434"/>
      <c r="B58" s="435"/>
      <c r="C58" s="435"/>
      <c r="D58" s="435"/>
      <c r="E58" s="435"/>
      <c r="F58" s="436"/>
      <c r="G58" s="427"/>
      <c r="H58" s="427"/>
      <c r="I58" s="427"/>
      <c r="J58" s="427"/>
      <c r="K58" s="427"/>
      <c r="L58" s="427"/>
      <c r="M58" s="427"/>
      <c r="N58" s="427"/>
      <c r="O58" s="427"/>
      <c r="P58" s="427"/>
      <c r="Q58" s="427"/>
      <c r="R58" s="427"/>
      <c r="S58" s="427"/>
      <c r="T58" s="414"/>
      <c r="U58" s="427"/>
      <c r="V58" s="427"/>
      <c r="W58" s="427"/>
      <c r="X58" s="427"/>
      <c r="Y58" s="427"/>
      <c r="Z58" s="427"/>
      <c r="AA58" s="427"/>
      <c r="AB58" s="427"/>
      <c r="AC58" s="427"/>
      <c r="AD58" s="427"/>
      <c r="AE58" s="427"/>
      <c r="AF58" s="427"/>
      <c r="AG58" s="427"/>
      <c r="AH58" s="427"/>
      <c r="AI58" s="427"/>
      <c r="AJ58" s="427"/>
      <c r="AK58" s="432"/>
      <c r="AL58" s="413"/>
    </row>
    <row r="59" spans="1:44" ht="12.75" customHeight="1">
      <c r="A59" s="437"/>
      <c r="B59" s="438"/>
      <c r="C59" s="438"/>
      <c r="D59" s="438"/>
      <c r="E59" s="438"/>
      <c r="F59" s="438"/>
      <c r="G59" s="438"/>
      <c r="H59" s="438"/>
      <c r="I59" s="439"/>
      <c r="J59" s="439"/>
      <c r="K59" s="439"/>
      <c r="L59" s="439"/>
      <c r="M59" s="439"/>
      <c r="N59" s="439"/>
      <c r="O59" s="439"/>
      <c r="P59" s="439"/>
      <c r="Q59" s="439"/>
      <c r="R59" s="439"/>
      <c r="S59" s="439"/>
      <c r="T59" s="439"/>
      <c r="U59" s="439"/>
      <c r="V59" s="439"/>
      <c r="W59" s="439"/>
      <c r="X59" s="439"/>
      <c r="Y59" s="439"/>
      <c r="Z59" s="439"/>
      <c r="AA59" s="439"/>
      <c r="AB59" s="439"/>
      <c r="AC59" s="439"/>
      <c r="AD59" s="439"/>
      <c r="AE59" s="439"/>
      <c r="AF59" s="439"/>
      <c r="AG59" s="439"/>
      <c r="AH59" s="439"/>
      <c r="AI59" s="439"/>
      <c r="AJ59" s="439"/>
      <c r="AK59" s="439"/>
      <c r="AL59" s="440"/>
      <c r="AM59" s="439"/>
    </row>
    <row r="60" spans="1:44" ht="12.75" customHeight="1">
      <c r="A60" s="441"/>
      <c r="B60" s="441"/>
      <c r="C60" s="441"/>
      <c r="D60" s="441"/>
      <c r="E60" s="441"/>
      <c r="F60" s="441"/>
      <c r="G60" s="441"/>
      <c r="H60" s="441"/>
      <c r="I60" s="442"/>
      <c r="J60" s="442"/>
      <c r="K60" s="442"/>
      <c r="L60" s="442"/>
      <c r="M60" s="442"/>
      <c r="N60" s="442"/>
      <c r="O60" s="442"/>
      <c r="P60" s="442"/>
      <c r="Q60" s="442"/>
      <c r="R60" s="442"/>
      <c r="S60" s="442"/>
      <c r="T60" s="442"/>
      <c r="U60" s="442"/>
      <c r="V60" s="442"/>
      <c r="W60" s="442"/>
      <c r="X60" s="442"/>
      <c r="Y60" s="442"/>
      <c r="Z60" s="442"/>
      <c r="AA60" s="442"/>
      <c r="AB60" s="442"/>
      <c r="AC60" s="442"/>
      <c r="AD60" s="442"/>
      <c r="AE60" s="442"/>
      <c r="AF60" s="442"/>
      <c r="AG60" s="442"/>
      <c r="AH60" s="442"/>
      <c r="AI60" s="442"/>
      <c r="AJ60" s="442"/>
      <c r="AK60" s="443"/>
      <c r="AL60" s="444"/>
    </row>
    <row r="61" spans="1:44" ht="12.75" customHeight="1">
      <c r="A61" s="442"/>
      <c r="B61" s="450"/>
      <c r="C61" s="442"/>
      <c r="D61" s="442"/>
      <c r="E61" s="442"/>
      <c r="F61" s="442"/>
      <c r="G61" s="442"/>
      <c r="H61" s="442"/>
      <c r="I61" s="442"/>
      <c r="J61" s="442"/>
      <c r="K61" s="442"/>
      <c r="L61" s="442"/>
      <c r="M61" s="442"/>
      <c r="N61" s="442"/>
      <c r="O61" s="442"/>
      <c r="P61" s="442"/>
      <c r="Q61" s="442"/>
      <c r="R61" s="442"/>
      <c r="S61" s="442"/>
      <c r="T61" s="442"/>
      <c r="U61" s="442"/>
      <c r="V61" s="442"/>
      <c r="W61" s="442"/>
      <c r="X61" s="442"/>
      <c r="Y61" s="442"/>
      <c r="Z61" s="442"/>
      <c r="AA61" s="442"/>
      <c r="AB61" s="442"/>
      <c r="AC61" s="442"/>
      <c r="AD61" s="442"/>
      <c r="AE61" s="442"/>
      <c r="AF61" s="442"/>
      <c r="AG61" s="442"/>
      <c r="AH61" s="442"/>
      <c r="AI61" s="442"/>
      <c r="AJ61" s="442"/>
      <c r="AK61" s="443"/>
      <c r="AL61" s="444"/>
    </row>
    <row r="62" spans="1:44" ht="12.75" customHeight="1">
      <c r="A62" s="442"/>
      <c r="B62" s="442"/>
      <c r="C62" s="442"/>
      <c r="D62" s="442"/>
      <c r="E62" s="442"/>
      <c r="F62" s="442"/>
      <c r="G62" s="442"/>
      <c r="H62" s="442"/>
      <c r="I62" s="442"/>
      <c r="J62" s="442"/>
      <c r="K62" s="442"/>
      <c r="L62" s="442"/>
      <c r="M62" s="442"/>
      <c r="N62" s="442"/>
      <c r="O62" s="442"/>
      <c r="P62" s="442"/>
      <c r="Q62" s="442"/>
      <c r="R62" s="442"/>
      <c r="S62" s="442"/>
      <c r="T62" s="442"/>
      <c r="U62" s="442"/>
      <c r="V62" s="442"/>
      <c r="W62" s="442"/>
      <c r="X62" s="442"/>
      <c r="Y62" s="442"/>
      <c r="Z62" s="442"/>
      <c r="AA62" s="442"/>
      <c r="AB62" s="442"/>
      <c r="AC62" s="442"/>
      <c r="AD62" s="442"/>
      <c r="AE62" s="442"/>
      <c r="AF62" s="442"/>
      <c r="AG62" s="442"/>
      <c r="AH62" s="442"/>
      <c r="AI62" s="442"/>
      <c r="AJ62" s="442"/>
      <c r="AK62" s="443"/>
      <c r="AL62" s="444"/>
    </row>
    <row r="63" spans="1:44" ht="12.75" customHeight="1">
      <c r="A63" s="442"/>
      <c r="B63" s="442"/>
      <c r="C63" s="442"/>
      <c r="D63" s="442"/>
      <c r="E63" s="442"/>
      <c r="F63" s="442"/>
      <c r="G63" s="442"/>
      <c r="H63" s="442"/>
      <c r="I63" s="442"/>
      <c r="J63" s="442"/>
      <c r="K63" s="442"/>
      <c r="L63" s="442"/>
      <c r="M63" s="442"/>
      <c r="N63" s="442"/>
      <c r="O63" s="442"/>
      <c r="P63" s="442"/>
      <c r="Q63" s="442"/>
      <c r="R63" s="442"/>
      <c r="S63" s="442"/>
      <c r="T63" s="442"/>
      <c r="U63" s="442"/>
      <c r="V63" s="442"/>
      <c r="W63" s="442"/>
      <c r="X63" s="442"/>
      <c r="Y63" s="442"/>
      <c r="Z63" s="442"/>
      <c r="AA63" s="442"/>
      <c r="AB63" s="442"/>
      <c r="AC63" s="442"/>
      <c r="AD63" s="442"/>
      <c r="AE63" s="442"/>
      <c r="AF63" s="442"/>
      <c r="AG63" s="442"/>
      <c r="AH63" s="442"/>
      <c r="AI63" s="442"/>
      <c r="AJ63" s="442"/>
      <c r="AK63" s="443"/>
      <c r="AL63" s="444"/>
    </row>
    <row r="64" spans="1:44">
      <c r="A64" s="442"/>
      <c r="B64" s="442"/>
      <c r="C64" s="442"/>
      <c r="D64" s="442"/>
      <c r="E64" s="442"/>
      <c r="F64" s="442"/>
      <c r="G64" s="442"/>
      <c r="H64" s="442"/>
      <c r="I64" s="442"/>
      <c r="J64" s="442"/>
      <c r="K64" s="442"/>
      <c r="L64" s="442"/>
      <c r="M64" s="442"/>
      <c r="N64" s="442"/>
      <c r="O64" s="442"/>
      <c r="P64" s="442"/>
      <c r="Q64" s="442"/>
      <c r="R64" s="442"/>
      <c r="S64" s="442"/>
      <c r="T64" s="442"/>
      <c r="U64" s="442"/>
      <c r="V64" s="442"/>
      <c r="W64" s="442"/>
      <c r="X64" s="442"/>
      <c r="Y64" s="442"/>
      <c r="Z64" s="442"/>
      <c r="AA64" s="442"/>
      <c r="AB64" s="442"/>
      <c r="AC64" s="442"/>
      <c r="AD64" s="442"/>
      <c r="AE64" s="442"/>
      <c r="AF64" s="442"/>
      <c r="AG64" s="442"/>
      <c r="AH64" s="442"/>
      <c r="AI64" s="442"/>
      <c r="AJ64" s="442"/>
      <c r="AK64" s="443"/>
      <c r="AL64" s="444"/>
    </row>
    <row r="65" spans="1:38">
      <c r="A65" s="442"/>
      <c r="B65" s="442"/>
      <c r="C65" s="442"/>
      <c r="D65" s="442"/>
      <c r="E65" s="442"/>
      <c r="F65" s="442"/>
      <c r="G65" s="442"/>
      <c r="H65" s="442"/>
      <c r="I65" s="442"/>
      <c r="J65" s="442"/>
      <c r="K65" s="442"/>
      <c r="L65" s="442"/>
      <c r="M65" s="442"/>
      <c r="N65" s="442"/>
      <c r="O65" s="442"/>
      <c r="P65" s="442"/>
      <c r="Q65" s="442"/>
      <c r="R65" s="442"/>
      <c r="S65" s="442"/>
      <c r="T65" s="442"/>
      <c r="U65" s="442"/>
      <c r="V65" s="442"/>
      <c r="W65" s="442"/>
      <c r="X65" s="442"/>
      <c r="Y65" s="442"/>
      <c r="Z65" s="442"/>
      <c r="AA65" s="442"/>
      <c r="AB65" s="442"/>
      <c r="AC65" s="442"/>
      <c r="AD65" s="442"/>
      <c r="AE65" s="442"/>
      <c r="AF65" s="442"/>
      <c r="AG65" s="442"/>
      <c r="AH65" s="442"/>
      <c r="AI65" s="442"/>
      <c r="AJ65" s="442"/>
      <c r="AK65" s="443"/>
      <c r="AL65" s="444"/>
    </row>
    <row r="66" spans="1:38">
      <c r="A66" s="442"/>
      <c r="B66" s="442"/>
      <c r="C66" s="442"/>
      <c r="D66" s="442"/>
      <c r="E66" s="442"/>
      <c r="F66" s="442"/>
      <c r="G66" s="442"/>
      <c r="H66" s="442"/>
      <c r="I66" s="442"/>
      <c r="J66" s="442"/>
      <c r="K66" s="442"/>
      <c r="L66" s="442"/>
      <c r="M66" s="442"/>
      <c r="N66" s="442"/>
      <c r="O66" s="442"/>
      <c r="P66" s="442"/>
      <c r="Q66" s="442"/>
      <c r="R66" s="442"/>
      <c r="S66" s="442"/>
      <c r="T66" s="442"/>
      <c r="U66" s="442"/>
      <c r="V66" s="442"/>
      <c r="W66" s="442"/>
      <c r="X66" s="442"/>
      <c r="Y66" s="442"/>
      <c r="Z66" s="442"/>
      <c r="AA66" s="442"/>
      <c r="AB66" s="442"/>
      <c r="AC66" s="442"/>
      <c r="AD66" s="442"/>
      <c r="AE66" s="442"/>
      <c r="AF66" s="442"/>
      <c r="AG66" s="442"/>
      <c r="AH66" s="442"/>
      <c r="AI66" s="442"/>
      <c r="AJ66" s="442"/>
      <c r="AK66" s="443"/>
      <c r="AL66" s="444"/>
    </row>
    <row r="67" spans="1:38">
      <c r="A67" s="442"/>
      <c r="B67" s="442"/>
      <c r="C67" s="442"/>
      <c r="D67" s="442"/>
      <c r="E67" s="442"/>
      <c r="F67" s="442"/>
      <c r="G67" s="442"/>
      <c r="H67" s="442"/>
      <c r="I67" s="442"/>
      <c r="J67" s="442"/>
      <c r="K67" s="442"/>
      <c r="L67" s="442"/>
      <c r="M67" s="442"/>
      <c r="N67" s="442"/>
      <c r="O67" s="442"/>
      <c r="P67" s="442"/>
      <c r="Q67" s="442"/>
      <c r="R67" s="442"/>
      <c r="S67" s="442"/>
      <c r="T67" s="442"/>
      <c r="U67" s="442"/>
      <c r="V67" s="442"/>
      <c r="W67" s="442"/>
      <c r="X67" s="442"/>
      <c r="Y67" s="442"/>
      <c r="Z67" s="442"/>
      <c r="AA67" s="442"/>
      <c r="AB67" s="442"/>
      <c r="AC67" s="442"/>
      <c r="AD67" s="442"/>
      <c r="AE67" s="442"/>
      <c r="AF67" s="442"/>
      <c r="AG67" s="442"/>
      <c r="AH67" s="442"/>
      <c r="AI67" s="442"/>
      <c r="AJ67" s="442"/>
      <c r="AK67" s="443"/>
      <c r="AL67" s="444"/>
    </row>
    <row r="68" spans="1:38">
      <c r="A68" s="442"/>
      <c r="B68" s="442"/>
      <c r="C68" s="442"/>
      <c r="D68" s="442"/>
      <c r="E68" s="442"/>
      <c r="F68" s="442"/>
      <c r="G68" s="442"/>
      <c r="H68" s="442"/>
      <c r="I68" s="442"/>
      <c r="J68" s="442"/>
      <c r="K68" s="442"/>
      <c r="L68" s="442"/>
      <c r="M68" s="442"/>
      <c r="N68" s="442"/>
      <c r="O68" s="442"/>
      <c r="P68" s="442"/>
      <c r="Q68" s="442"/>
      <c r="R68" s="442"/>
      <c r="S68" s="442"/>
      <c r="T68" s="442"/>
      <c r="U68" s="442"/>
      <c r="V68" s="442"/>
      <c r="W68" s="442"/>
      <c r="X68" s="442"/>
      <c r="Y68" s="442"/>
      <c r="Z68" s="442"/>
      <c r="AA68" s="442"/>
      <c r="AB68" s="442"/>
      <c r="AC68" s="442"/>
      <c r="AD68" s="442"/>
      <c r="AE68" s="442"/>
      <c r="AF68" s="442"/>
      <c r="AG68" s="442"/>
      <c r="AH68" s="442"/>
      <c r="AI68" s="442"/>
      <c r="AJ68" s="442"/>
      <c r="AK68" s="443"/>
      <c r="AL68" s="444"/>
    </row>
    <row r="69" spans="1:38">
      <c r="A69" s="442"/>
      <c r="B69" s="442"/>
      <c r="C69" s="442"/>
      <c r="D69" s="442"/>
      <c r="E69" s="442"/>
      <c r="F69" s="442"/>
      <c r="G69" s="442"/>
      <c r="H69" s="442"/>
      <c r="I69" s="442"/>
      <c r="J69" s="442"/>
      <c r="K69" s="442"/>
      <c r="L69" s="442"/>
      <c r="M69" s="442"/>
      <c r="N69" s="442"/>
      <c r="O69" s="442"/>
      <c r="P69" s="442"/>
      <c r="Q69" s="442"/>
      <c r="R69" s="442"/>
      <c r="S69" s="442"/>
      <c r="T69" s="442"/>
      <c r="U69" s="442"/>
      <c r="V69" s="442"/>
      <c r="W69" s="442"/>
      <c r="X69" s="442"/>
      <c r="Y69" s="442"/>
      <c r="Z69" s="442"/>
      <c r="AA69" s="442"/>
      <c r="AB69" s="442"/>
      <c r="AC69" s="442"/>
      <c r="AD69" s="442"/>
      <c r="AE69" s="442"/>
      <c r="AF69" s="442"/>
      <c r="AG69" s="442"/>
      <c r="AH69" s="442"/>
      <c r="AI69" s="442"/>
      <c r="AJ69" s="442"/>
      <c r="AK69" s="443"/>
      <c r="AL69" s="444"/>
    </row>
    <row r="70" spans="1:38">
      <c r="A70" s="442"/>
      <c r="B70" s="442"/>
      <c r="C70" s="442"/>
      <c r="D70" s="442"/>
      <c r="E70" s="442"/>
      <c r="F70" s="442"/>
      <c r="G70" s="442"/>
      <c r="H70" s="442"/>
      <c r="I70" s="442"/>
      <c r="J70" s="442"/>
      <c r="K70" s="442"/>
      <c r="L70" s="442"/>
      <c r="M70" s="442"/>
      <c r="N70" s="442"/>
      <c r="O70" s="442"/>
      <c r="P70" s="442"/>
      <c r="Q70" s="442"/>
      <c r="R70" s="442"/>
      <c r="S70" s="442"/>
      <c r="T70" s="442"/>
      <c r="U70" s="442"/>
      <c r="V70" s="442"/>
      <c r="W70" s="442"/>
      <c r="X70" s="442"/>
      <c r="Y70" s="442"/>
      <c r="Z70" s="442"/>
      <c r="AA70" s="442"/>
      <c r="AB70" s="442"/>
      <c r="AC70" s="442"/>
      <c r="AD70" s="442"/>
      <c r="AE70" s="442"/>
      <c r="AF70" s="442"/>
      <c r="AG70" s="442"/>
      <c r="AH70" s="442"/>
      <c r="AI70" s="442"/>
      <c r="AJ70" s="442"/>
      <c r="AK70" s="443"/>
      <c r="AL70" s="444"/>
    </row>
    <row r="71" spans="1:38">
      <c r="A71" s="442"/>
      <c r="B71" s="442"/>
      <c r="C71" s="442"/>
      <c r="D71" s="442"/>
      <c r="E71" s="442"/>
      <c r="F71" s="442"/>
      <c r="G71" s="442"/>
      <c r="H71" s="442"/>
      <c r="I71" s="442"/>
      <c r="J71" s="442"/>
      <c r="K71" s="442"/>
      <c r="L71" s="442"/>
      <c r="M71" s="442"/>
      <c r="N71" s="442"/>
      <c r="O71" s="442"/>
      <c r="P71" s="442"/>
      <c r="Q71" s="442"/>
      <c r="R71" s="442"/>
      <c r="S71" s="442"/>
      <c r="T71" s="442"/>
      <c r="U71" s="442"/>
      <c r="V71" s="442"/>
      <c r="W71" s="442"/>
      <c r="X71" s="442"/>
      <c r="Y71" s="442"/>
      <c r="Z71" s="442"/>
      <c r="AA71" s="442"/>
      <c r="AB71" s="442"/>
      <c r="AC71" s="442"/>
      <c r="AD71" s="442"/>
      <c r="AE71" s="442"/>
      <c r="AF71" s="442"/>
      <c r="AG71" s="442"/>
      <c r="AH71" s="442"/>
      <c r="AI71" s="442"/>
      <c r="AJ71" s="442"/>
      <c r="AK71" s="443"/>
      <c r="AL71" s="444"/>
    </row>
    <row r="72" spans="1:38">
      <c r="A72" s="442"/>
      <c r="B72" s="442"/>
      <c r="C72" s="442"/>
      <c r="D72" s="442"/>
      <c r="E72" s="442"/>
      <c r="F72" s="442"/>
      <c r="G72" s="442"/>
      <c r="H72" s="442"/>
      <c r="I72" s="442"/>
      <c r="J72" s="442"/>
      <c r="K72" s="442"/>
      <c r="L72" s="442"/>
      <c r="M72" s="442"/>
      <c r="N72" s="442"/>
      <c r="O72" s="442"/>
      <c r="P72" s="442"/>
      <c r="Q72" s="442"/>
      <c r="R72" s="442"/>
      <c r="S72" s="442"/>
      <c r="T72" s="442"/>
      <c r="U72" s="442"/>
      <c r="V72" s="442"/>
      <c r="W72" s="442"/>
      <c r="X72" s="442"/>
      <c r="Y72" s="442"/>
      <c r="Z72" s="442"/>
      <c r="AA72" s="442"/>
      <c r="AB72" s="442"/>
      <c r="AC72" s="442"/>
      <c r="AD72" s="442"/>
      <c r="AE72" s="442"/>
      <c r="AF72" s="442"/>
      <c r="AG72" s="442"/>
      <c r="AH72" s="442"/>
      <c r="AI72" s="442"/>
      <c r="AJ72" s="442"/>
      <c r="AK72" s="443"/>
      <c r="AL72" s="444"/>
    </row>
    <row r="73" spans="1:38">
      <c r="A73" s="442"/>
      <c r="B73" s="442"/>
      <c r="C73" s="442"/>
      <c r="D73" s="442"/>
      <c r="E73" s="442"/>
      <c r="F73" s="442"/>
      <c r="G73" s="442"/>
      <c r="H73" s="442"/>
      <c r="I73" s="442"/>
      <c r="J73" s="442"/>
      <c r="K73" s="442"/>
      <c r="L73" s="442"/>
      <c r="M73" s="442"/>
      <c r="N73" s="442"/>
      <c r="O73" s="442"/>
      <c r="P73" s="442"/>
      <c r="Q73" s="442"/>
      <c r="R73" s="442"/>
      <c r="S73" s="442"/>
      <c r="T73" s="442"/>
      <c r="U73" s="442"/>
      <c r="V73" s="442"/>
      <c r="W73" s="442"/>
      <c r="X73" s="442"/>
      <c r="Y73" s="442"/>
      <c r="Z73" s="442"/>
      <c r="AA73" s="442"/>
      <c r="AB73" s="442"/>
      <c r="AC73" s="442"/>
      <c r="AD73" s="442"/>
      <c r="AE73" s="442"/>
      <c r="AF73" s="442"/>
      <c r="AG73" s="442"/>
      <c r="AH73" s="442"/>
      <c r="AI73" s="442"/>
      <c r="AJ73" s="442"/>
      <c r="AK73" s="443"/>
    </row>
    <row r="74" spans="1:38">
      <c r="A74" s="442"/>
      <c r="B74" s="442"/>
      <c r="C74" s="442"/>
      <c r="D74" s="442"/>
      <c r="E74" s="442"/>
      <c r="F74" s="442"/>
      <c r="G74" s="442"/>
      <c r="H74" s="442"/>
      <c r="I74" s="442"/>
      <c r="J74" s="442"/>
      <c r="K74" s="442"/>
      <c r="L74" s="442"/>
      <c r="M74" s="442"/>
      <c r="N74" s="442"/>
      <c r="O74" s="442"/>
      <c r="P74" s="442"/>
      <c r="Q74" s="442"/>
      <c r="R74" s="442"/>
      <c r="S74" s="442"/>
      <c r="T74" s="442"/>
      <c r="U74" s="442"/>
      <c r="V74" s="442"/>
      <c r="W74" s="442"/>
      <c r="X74" s="442"/>
      <c r="Y74" s="442"/>
      <c r="Z74" s="442"/>
      <c r="AA74" s="442"/>
      <c r="AB74" s="442"/>
      <c r="AC74" s="442"/>
      <c r="AD74" s="442"/>
      <c r="AE74" s="442"/>
      <c r="AF74" s="442"/>
      <c r="AG74" s="442"/>
      <c r="AH74" s="442"/>
      <c r="AI74" s="442"/>
      <c r="AJ74" s="442"/>
      <c r="AK74" s="443"/>
    </row>
    <row r="75" spans="1:38">
      <c r="A75" s="442"/>
      <c r="B75" s="442"/>
      <c r="C75" s="442"/>
      <c r="D75" s="442"/>
      <c r="E75" s="442"/>
      <c r="F75" s="442"/>
      <c r="G75" s="442"/>
      <c r="H75" s="442"/>
      <c r="I75" s="442"/>
      <c r="J75" s="442"/>
      <c r="K75" s="442"/>
      <c r="L75" s="442"/>
      <c r="M75" s="442"/>
      <c r="N75" s="442"/>
      <c r="O75" s="442"/>
      <c r="P75" s="442"/>
      <c r="Q75" s="442"/>
      <c r="R75" s="442"/>
      <c r="S75" s="442"/>
      <c r="T75" s="442"/>
      <c r="U75" s="442"/>
      <c r="V75" s="442"/>
      <c r="W75" s="442"/>
      <c r="X75" s="442"/>
      <c r="Y75" s="442"/>
      <c r="Z75" s="442"/>
      <c r="AA75" s="442"/>
      <c r="AB75" s="442"/>
      <c r="AC75" s="442"/>
      <c r="AD75" s="442"/>
      <c r="AE75" s="442"/>
      <c r="AF75" s="442"/>
      <c r="AG75" s="442"/>
      <c r="AH75" s="442"/>
      <c r="AI75" s="442"/>
      <c r="AJ75" s="442"/>
      <c r="AK75" s="443"/>
    </row>
    <row r="76" spans="1:38">
      <c r="A76" s="442"/>
      <c r="B76" s="442"/>
      <c r="C76" s="442"/>
      <c r="D76" s="442"/>
      <c r="E76" s="442"/>
      <c r="F76" s="442"/>
      <c r="G76" s="442"/>
      <c r="H76" s="442"/>
      <c r="I76" s="442"/>
      <c r="J76" s="442"/>
      <c r="K76" s="442"/>
      <c r="L76" s="442"/>
      <c r="M76" s="442"/>
      <c r="N76" s="442"/>
      <c r="O76" s="442"/>
      <c r="P76" s="442"/>
      <c r="Q76" s="442"/>
      <c r="R76" s="442"/>
      <c r="S76" s="442"/>
      <c r="T76" s="442"/>
      <c r="U76" s="442"/>
      <c r="V76" s="442"/>
      <c r="W76" s="442"/>
      <c r="X76" s="442"/>
      <c r="Y76" s="442"/>
      <c r="Z76" s="442"/>
      <c r="AA76" s="442"/>
      <c r="AB76" s="442"/>
      <c r="AC76" s="442"/>
      <c r="AD76" s="442"/>
      <c r="AE76" s="442"/>
      <c r="AF76" s="442"/>
      <c r="AG76" s="442"/>
      <c r="AH76" s="442"/>
      <c r="AI76" s="442"/>
      <c r="AJ76" s="442"/>
      <c r="AK76" s="443"/>
    </row>
    <row r="77" spans="1:38">
      <c r="A77" s="442"/>
      <c r="B77" s="442"/>
      <c r="C77" s="442"/>
      <c r="D77" s="442"/>
      <c r="E77" s="442"/>
      <c r="F77" s="442"/>
      <c r="G77" s="442"/>
      <c r="H77" s="442"/>
      <c r="I77" s="442"/>
      <c r="J77" s="442"/>
      <c r="K77" s="442"/>
      <c r="L77" s="442"/>
      <c r="M77" s="442"/>
      <c r="N77" s="442"/>
      <c r="O77" s="442"/>
      <c r="P77" s="442"/>
      <c r="Q77" s="442"/>
      <c r="R77" s="442"/>
      <c r="S77" s="442"/>
      <c r="T77" s="442"/>
      <c r="U77" s="442"/>
      <c r="V77" s="442"/>
      <c r="W77" s="442"/>
      <c r="X77" s="442"/>
      <c r="Y77" s="442"/>
      <c r="Z77" s="442"/>
      <c r="AA77" s="442"/>
      <c r="AB77" s="442"/>
      <c r="AC77" s="442"/>
      <c r="AD77" s="442"/>
      <c r="AE77" s="442"/>
      <c r="AF77" s="442"/>
      <c r="AG77" s="442"/>
      <c r="AH77" s="442"/>
      <c r="AI77" s="442"/>
      <c r="AJ77" s="442"/>
      <c r="AK77" s="443"/>
    </row>
    <row r="78" spans="1:38">
      <c r="A78" s="442"/>
      <c r="B78" s="442"/>
      <c r="C78" s="442"/>
      <c r="D78" s="442"/>
      <c r="E78" s="442"/>
      <c r="F78" s="442"/>
      <c r="G78" s="442"/>
      <c r="H78" s="442"/>
      <c r="I78" s="442"/>
      <c r="J78" s="442"/>
      <c r="K78" s="442"/>
      <c r="L78" s="442"/>
      <c r="M78" s="442"/>
      <c r="N78" s="442"/>
      <c r="O78" s="442"/>
      <c r="P78" s="442"/>
      <c r="Q78" s="442"/>
      <c r="R78" s="442"/>
      <c r="S78" s="442"/>
      <c r="T78" s="442"/>
      <c r="U78" s="442"/>
      <c r="V78" s="442"/>
      <c r="W78" s="442"/>
      <c r="X78" s="442"/>
      <c r="Y78" s="442"/>
      <c r="Z78" s="442"/>
      <c r="AA78" s="442"/>
      <c r="AB78" s="442"/>
      <c r="AC78" s="442"/>
      <c r="AD78" s="442"/>
      <c r="AE78" s="442"/>
      <c r="AF78" s="442"/>
      <c r="AG78" s="442"/>
      <c r="AH78" s="442"/>
      <c r="AI78" s="442"/>
      <c r="AJ78" s="442"/>
      <c r="AK78" s="443"/>
    </row>
    <row r="79" spans="1:38">
      <c r="A79" s="442"/>
      <c r="B79" s="442"/>
      <c r="C79" s="442"/>
      <c r="D79" s="442"/>
      <c r="E79" s="442"/>
      <c r="F79" s="442"/>
      <c r="G79" s="442"/>
      <c r="H79" s="442"/>
      <c r="I79" s="442"/>
      <c r="J79" s="442"/>
      <c r="K79" s="442"/>
      <c r="L79" s="442"/>
      <c r="M79" s="442"/>
      <c r="N79" s="442"/>
      <c r="O79" s="442"/>
      <c r="P79" s="442"/>
      <c r="Q79" s="442"/>
      <c r="R79" s="442"/>
      <c r="S79" s="442"/>
      <c r="T79" s="442"/>
      <c r="U79" s="442"/>
      <c r="V79" s="442"/>
      <c r="W79" s="442"/>
      <c r="X79" s="442"/>
      <c r="Y79" s="442"/>
      <c r="Z79" s="442"/>
      <c r="AA79" s="442"/>
      <c r="AB79" s="442"/>
      <c r="AC79" s="442"/>
      <c r="AD79" s="442"/>
      <c r="AE79" s="442"/>
      <c r="AF79" s="442"/>
      <c r="AG79" s="442"/>
      <c r="AH79" s="442"/>
      <c r="AI79" s="442"/>
      <c r="AJ79" s="442"/>
      <c r="AK79" s="443"/>
    </row>
    <row r="80" spans="1:38">
      <c r="A80" s="442"/>
      <c r="B80" s="442"/>
      <c r="C80" s="442"/>
      <c r="D80" s="442"/>
      <c r="E80" s="442"/>
      <c r="F80" s="442"/>
      <c r="G80" s="442"/>
      <c r="H80" s="442"/>
      <c r="I80" s="442"/>
      <c r="J80" s="442"/>
      <c r="K80" s="442"/>
      <c r="L80" s="442"/>
      <c r="M80" s="442"/>
      <c r="N80" s="442"/>
      <c r="O80" s="442"/>
      <c r="P80" s="442"/>
      <c r="Q80" s="442"/>
      <c r="R80" s="442"/>
      <c r="S80" s="442"/>
      <c r="T80" s="442"/>
      <c r="U80" s="442"/>
      <c r="V80" s="442"/>
      <c r="W80" s="442"/>
      <c r="X80" s="442"/>
      <c r="Y80" s="442"/>
      <c r="Z80" s="442"/>
      <c r="AA80" s="442"/>
      <c r="AB80" s="442"/>
      <c r="AC80" s="442"/>
      <c r="AD80" s="442"/>
      <c r="AE80" s="442"/>
      <c r="AF80" s="442"/>
      <c r="AG80" s="442"/>
      <c r="AH80" s="442"/>
      <c r="AI80" s="442"/>
      <c r="AJ80" s="442"/>
      <c r="AK80" s="443"/>
    </row>
    <row r="81" spans="1:37">
      <c r="A81" s="442"/>
      <c r="B81" s="442"/>
      <c r="C81" s="442"/>
      <c r="D81" s="442"/>
      <c r="E81" s="442"/>
      <c r="F81" s="442"/>
      <c r="G81" s="442"/>
      <c r="H81" s="442"/>
      <c r="I81" s="442"/>
      <c r="J81" s="442"/>
      <c r="K81" s="442"/>
      <c r="L81" s="442"/>
      <c r="M81" s="442"/>
      <c r="N81" s="442"/>
      <c r="O81" s="442"/>
      <c r="P81" s="442"/>
      <c r="Q81" s="442"/>
      <c r="R81" s="442"/>
      <c r="S81" s="442"/>
      <c r="T81" s="442"/>
      <c r="U81" s="442"/>
      <c r="V81" s="442"/>
      <c r="W81" s="442"/>
      <c r="X81" s="442"/>
      <c r="Y81" s="442"/>
      <c r="Z81" s="442"/>
      <c r="AA81" s="442"/>
      <c r="AB81" s="442"/>
      <c r="AC81" s="442"/>
      <c r="AD81" s="442"/>
      <c r="AE81" s="442"/>
      <c r="AF81" s="442"/>
      <c r="AG81" s="442"/>
      <c r="AH81" s="442"/>
      <c r="AI81" s="442"/>
      <c r="AJ81" s="442"/>
      <c r="AK81" s="443"/>
    </row>
    <row r="82" spans="1:37">
      <c r="A82" s="442"/>
      <c r="B82" s="442"/>
      <c r="C82" s="442"/>
      <c r="D82" s="442"/>
      <c r="E82" s="442"/>
      <c r="F82" s="442"/>
      <c r="G82" s="442"/>
      <c r="H82" s="442"/>
      <c r="I82" s="442"/>
      <c r="J82" s="442"/>
      <c r="K82" s="442"/>
      <c r="L82" s="442"/>
      <c r="M82" s="442"/>
      <c r="N82" s="442"/>
      <c r="O82" s="442"/>
      <c r="P82" s="442"/>
      <c r="Q82" s="442"/>
      <c r="R82" s="442"/>
      <c r="S82" s="442"/>
      <c r="T82" s="442"/>
      <c r="U82" s="442"/>
      <c r="V82" s="442"/>
      <c r="W82" s="442"/>
      <c r="X82" s="442"/>
      <c r="Y82" s="442"/>
      <c r="Z82" s="442"/>
      <c r="AA82" s="442"/>
      <c r="AB82" s="442"/>
      <c r="AC82" s="442"/>
      <c r="AD82" s="442"/>
      <c r="AE82" s="442"/>
      <c r="AF82" s="442"/>
      <c r="AG82" s="442"/>
      <c r="AH82" s="442"/>
      <c r="AI82" s="442"/>
      <c r="AJ82" s="442"/>
      <c r="AK82" s="443"/>
    </row>
    <row r="83" spans="1:37">
      <c r="A83" s="442"/>
      <c r="B83" s="442"/>
      <c r="C83" s="442"/>
      <c r="D83" s="442"/>
      <c r="E83" s="442"/>
      <c r="F83" s="442"/>
      <c r="G83" s="442"/>
      <c r="H83" s="442"/>
      <c r="I83" s="442"/>
      <c r="J83" s="442"/>
      <c r="K83" s="442"/>
      <c r="L83" s="442"/>
      <c r="M83" s="442"/>
      <c r="N83" s="442"/>
      <c r="O83" s="442"/>
      <c r="P83" s="442"/>
      <c r="Q83" s="442"/>
      <c r="R83" s="442"/>
      <c r="S83" s="442"/>
      <c r="T83" s="442"/>
      <c r="U83" s="442"/>
      <c r="V83" s="442"/>
      <c r="W83" s="442"/>
      <c r="X83" s="442"/>
      <c r="Y83" s="442"/>
      <c r="Z83" s="442"/>
      <c r="AA83" s="442"/>
      <c r="AB83" s="442"/>
      <c r="AC83" s="442"/>
      <c r="AD83" s="442"/>
      <c r="AE83" s="442"/>
      <c r="AF83" s="442"/>
      <c r="AG83" s="442"/>
      <c r="AH83" s="442"/>
      <c r="AI83" s="442"/>
      <c r="AJ83" s="442"/>
      <c r="AK83" s="443"/>
    </row>
    <row r="84" spans="1:37">
      <c r="A84" s="442"/>
      <c r="B84" s="442"/>
      <c r="C84" s="442"/>
      <c r="D84" s="442"/>
      <c r="E84" s="442"/>
      <c r="F84" s="442"/>
      <c r="G84" s="442"/>
      <c r="H84" s="442"/>
      <c r="I84" s="442"/>
      <c r="J84" s="442"/>
      <c r="K84" s="442"/>
      <c r="L84" s="442"/>
      <c r="M84" s="442"/>
      <c r="N84" s="442"/>
      <c r="O84" s="442"/>
      <c r="P84" s="442"/>
      <c r="Q84" s="442"/>
      <c r="R84" s="442"/>
      <c r="S84" s="442"/>
      <c r="T84" s="442"/>
      <c r="U84" s="442"/>
      <c r="V84" s="442"/>
      <c r="W84" s="442"/>
      <c r="X84" s="442"/>
      <c r="Y84" s="442"/>
      <c r="Z84" s="442"/>
      <c r="AA84" s="442"/>
      <c r="AB84" s="442"/>
      <c r="AC84" s="442"/>
      <c r="AD84" s="442"/>
      <c r="AE84" s="442"/>
      <c r="AF84" s="442"/>
      <c r="AG84" s="442"/>
      <c r="AH84" s="442"/>
      <c r="AI84" s="442"/>
      <c r="AJ84" s="442"/>
      <c r="AK84" s="443"/>
    </row>
    <row r="85" spans="1:37">
      <c r="A85" s="442"/>
      <c r="B85" s="442"/>
      <c r="C85" s="442"/>
      <c r="D85" s="442"/>
      <c r="E85" s="442"/>
      <c r="F85" s="442"/>
      <c r="G85" s="442"/>
      <c r="H85" s="442"/>
      <c r="I85" s="442"/>
      <c r="J85" s="442"/>
      <c r="K85" s="442"/>
      <c r="L85" s="442"/>
      <c r="M85" s="442"/>
      <c r="N85" s="442"/>
      <c r="O85" s="442"/>
      <c r="P85" s="442"/>
      <c r="Q85" s="442"/>
      <c r="R85" s="442"/>
      <c r="S85" s="442"/>
      <c r="T85" s="442"/>
      <c r="U85" s="442"/>
      <c r="V85" s="442"/>
      <c r="W85" s="442"/>
      <c r="X85" s="442"/>
      <c r="Y85" s="442"/>
      <c r="Z85" s="442"/>
      <c r="AA85" s="442"/>
      <c r="AB85" s="442"/>
      <c r="AC85" s="442"/>
      <c r="AD85" s="442"/>
      <c r="AE85" s="442"/>
      <c r="AF85" s="442"/>
      <c r="AG85" s="442"/>
      <c r="AH85" s="442"/>
      <c r="AI85" s="442"/>
      <c r="AJ85" s="442"/>
      <c r="AK85" s="443"/>
    </row>
    <row r="86" spans="1:37">
      <c r="A86" s="442"/>
      <c r="B86" s="442"/>
      <c r="C86" s="442"/>
      <c r="D86" s="442"/>
      <c r="E86" s="442"/>
      <c r="F86" s="442"/>
      <c r="G86" s="442"/>
      <c r="H86" s="442"/>
      <c r="I86" s="442"/>
      <c r="J86" s="442"/>
      <c r="K86" s="442"/>
      <c r="L86" s="442"/>
      <c r="M86" s="442"/>
      <c r="N86" s="442"/>
      <c r="O86" s="442"/>
      <c r="P86" s="442"/>
      <c r="Q86" s="442"/>
      <c r="R86" s="442"/>
      <c r="S86" s="442"/>
      <c r="T86" s="442"/>
      <c r="U86" s="442"/>
      <c r="V86" s="442"/>
      <c r="W86" s="442"/>
      <c r="X86" s="442"/>
      <c r="Y86" s="442"/>
      <c r="Z86" s="442"/>
      <c r="AA86" s="442"/>
      <c r="AB86" s="442"/>
      <c r="AC86" s="442"/>
      <c r="AD86" s="442"/>
      <c r="AE86" s="442"/>
      <c r="AF86" s="442"/>
      <c r="AG86" s="442"/>
      <c r="AH86" s="442"/>
      <c r="AI86" s="442"/>
      <c r="AJ86" s="442"/>
      <c r="AK86" s="443"/>
    </row>
    <row r="87" spans="1:37">
      <c r="A87" s="442"/>
      <c r="B87" s="442"/>
      <c r="C87" s="442"/>
      <c r="D87" s="442"/>
      <c r="E87" s="442"/>
      <c r="F87" s="442"/>
      <c r="G87" s="442"/>
      <c r="H87" s="442"/>
      <c r="I87" s="442"/>
      <c r="J87" s="442"/>
      <c r="K87" s="442"/>
      <c r="L87" s="442"/>
      <c r="M87" s="442"/>
      <c r="N87" s="442"/>
      <c r="O87" s="442"/>
      <c r="P87" s="442"/>
      <c r="Q87" s="442"/>
      <c r="R87" s="442"/>
      <c r="S87" s="442"/>
      <c r="T87" s="442"/>
      <c r="U87" s="442"/>
      <c r="V87" s="442"/>
      <c r="W87" s="442"/>
      <c r="X87" s="442"/>
      <c r="Y87" s="442"/>
      <c r="Z87" s="442"/>
      <c r="AA87" s="442"/>
      <c r="AB87" s="442"/>
      <c r="AC87" s="442"/>
      <c r="AD87" s="442"/>
      <c r="AE87" s="442"/>
      <c r="AF87" s="442"/>
      <c r="AG87" s="442"/>
      <c r="AH87" s="442"/>
      <c r="AI87" s="442"/>
      <c r="AJ87" s="442"/>
      <c r="AK87" s="443"/>
    </row>
    <row r="88" spans="1:37">
      <c r="A88" s="442"/>
      <c r="B88" s="442"/>
      <c r="C88" s="442"/>
      <c r="D88" s="442"/>
      <c r="E88" s="442"/>
      <c r="F88" s="442"/>
      <c r="G88" s="442"/>
      <c r="H88" s="442"/>
      <c r="I88" s="442"/>
      <c r="J88" s="442"/>
      <c r="K88" s="442"/>
      <c r="L88" s="442"/>
      <c r="M88" s="442"/>
      <c r="N88" s="442"/>
      <c r="O88" s="442"/>
      <c r="P88" s="442"/>
      <c r="Q88" s="442"/>
      <c r="R88" s="442"/>
      <c r="S88" s="442"/>
      <c r="T88" s="442"/>
      <c r="U88" s="442"/>
      <c r="V88" s="442"/>
      <c r="W88" s="442"/>
      <c r="X88" s="442"/>
      <c r="Y88" s="442"/>
      <c r="Z88" s="442"/>
      <c r="AA88" s="442"/>
      <c r="AB88" s="442"/>
      <c r="AC88" s="442"/>
      <c r="AD88" s="442"/>
      <c r="AE88" s="442"/>
      <c r="AF88" s="442"/>
      <c r="AG88" s="442"/>
      <c r="AH88" s="442"/>
      <c r="AI88" s="442"/>
      <c r="AJ88" s="442"/>
      <c r="AK88" s="443"/>
    </row>
    <row r="89" spans="1:37">
      <c r="A89" s="442"/>
      <c r="B89" s="442"/>
      <c r="C89" s="442"/>
      <c r="D89" s="442"/>
      <c r="E89" s="442"/>
      <c r="F89" s="442"/>
      <c r="G89" s="442"/>
      <c r="H89" s="442"/>
      <c r="I89" s="442"/>
      <c r="J89" s="442"/>
      <c r="K89" s="442"/>
      <c r="L89" s="442"/>
      <c r="M89" s="442"/>
      <c r="N89" s="442"/>
      <c r="O89" s="442"/>
      <c r="P89" s="442"/>
      <c r="Q89" s="442"/>
      <c r="R89" s="442"/>
      <c r="S89" s="442"/>
      <c r="T89" s="442"/>
      <c r="U89" s="442"/>
      <c r="V89" s="442"/>
      <c r="W89" s="442"/>
      <c r="X89" s="442"/>
      <c r="Y89" s="442"/>
      <c r="Z89" s="442"/>
      <c r="AA89" s="442"/>
      <c r="AB89" s="442"/>
      <c r="AC89" s="442"/>
      <c r="AD89" s="442"/>
      <c r="AE89" s="442"/>
      <c r="AF89" s="442"/>
      <c r="AG89" s="442"/>
      <c r="AH89" s="442"/>
      <c r="AI89" s="442"/>
      <c r="AJ89" s="442"/>
      <c r="AK89" s="443"/>
    </row>
    <row r="90" spans="1:37">
      <c r="A90" s="442"/>
      <c r="B90" s="442"/>
      <c r="C90" s="442"/>
      <c r="D90" s="442"/>
      <c r="E90" s="442"/>
      <c r="F90" s="442"/>
      <c r="G90" s="442"/>
      <c r="H90" s="442"/>
      <c r="I90" s="442"/>
      <c r="J90" s="442"/>
      <c r="K90" s="442"/>
      <c r="L90" s="442"/>
      <c r="M90" s="442"/>
      <c r="N90" s="442"/>
      <c r="O90" s="442"/>
      <c r="P90" s="442"/>
      <c r="Q90" s="442"/>
      <c r="R90" s="442"/>
      <c r="S90" s="442"/>
      <c r="T90" s="442"/>
      <c r="U90" s="442"/>
      <c r="V90" s="442"/>
      <c r="W90" s="442"/>
      <c r="X90" s="442"/>
      <c r="Y90" s="442"/>
      <c r="Z90" s="442"/>
      <c r="AA90" s="442"/>
      <c r="AB90" s="442"/>
      <c r="AC90" s="442"/>
      <c r="AD90" s="442"/>
      <c r="AE90" s="442"/>
      <c r="AF90" s="442"/>
      <c r="AG90" s="442"/>
      <c r="AH90" s="442"/>
      <c r="AI90" s="442"/>
      <c r="AJ90" s="442"/>
      <c r="AK90" s="443"/>
    </row>
    <row r="91" spans="1:37">
      <c r="A91" s="442"/>
      <c r="B91" s="442"/>
      <c r="C91" s="442"/>
      <c r="D91" s="442"/>
      <c r="E91" s="442"/>
      <c r="F91" s="442"/>
      <c r="G91" s="442"/>
      <c r="H91" s="442"/>
      <c r="I91" s="442"/>
      <c r="J91" s="442"/>
      <c r="K91" s="442"/>
      <c r="L91" s="442"/>
      <c r="M91" s="442"/>
      <c r="N91" s="442"/>
      <c r="O91" s="442"/>
      <c r="P91" s="442"/>
      <c r="Q91" s="442"/>
      <c r="R91" s="442"/>
      <c r="S91" s="442"/>
      <c r="T91" s="442"/>
      <c r="U91" s="442"/>
      <c r="V91" s="442"/>
      <c r="W91" s="442"/>
      <c r="X91" s="442"/>
      <c r="Y91" s="442"/>
      <c r="Z91" s="442"/>
      <c r="AA91" s="442"/>
      <c r="AB91" s="442"/>
      <c r="AC91" s="442"/>
      <c r="AD91" s="442"/>
      <c r="AE91" s="442"/>
      <c r="AF91" s="442"/>
      <c r="AG91" s="442"/>
      <c r="AH91" s="442"/>
      <c r="AI91" s="442"/>
      <c r="AJ91" s="442"/>
      <c r="AK91" s="443"/>
    </row>
    <row r="92" spans="1:37">
      <c r="A92" s="442"/>
      <c r="B92" s="442"/>
      <c r="C92" s="442"/>
      <c r="D92" s="442"/>
      <c r="E92" s="442"/>
      <c r="F92" s="442"/>
      <c r="G92" s="442"/>
      <c r="H92" s="442"/>
      <c r="I92" s="442"/>
      <c r="J92" s="442"/>
      <c r="K92" s="442"/>
      <c r="L92" s="442"/>
      <c r="M92" s="442"/>
      <c r="N92" s="442"/>
      <c r="O92" s="442"/>
      <c r="P92" s="442"/>
      <c r="Q92" s="442"/>
      <c r="R92" s="442"/>
      <c r="S92" s="442"/>
      <c r="T92" s="442"/>
      <c r="U92" s="442"/>
      <c r="V92" s="442"/>
      <c r="W92" s="442"/>
      <c r="X92" s="442"/>
      <c r="Y92" s="442"/>
      <c r="Z92" s="442"/>
      <c r="AA92" s="442"/>
      <c r="AB92" s="442"/>
      <c r="AC92" s="442"/>
      <c r="AD92" s="442"/>
      <c r="AE92" s="442"/>
      <c r="AF92" s="442"/>
      <c r="AG92" s="442"/>
      <c r="AH92" s="442"/>
      <c r="AI92" s="442"/>
      <c r="AJ92" s="442"/>
      <c r="AK92" s="443"/>
    </row>
    <row r="93" spans="1:37">
      <c r="A93" s="442"/>
      <c r="B93" s="442"/>
      <c r="C93" s="442"/>
      <c r="D93" s="442"/>
      <c r="E93" s="442"/>
      <c r="F93" s="442"/>
      <c r="G93" s="442"/>
      <c r="H93" s="442"/>
      <c r="I93" s="442"/>
      <c r="J93" s="442"/>
      <c r="K93" s="442"/>
      <c r="L93" s="442"/>
      <c r="M93" s="442"/>
      <c r="N93" s="442"/>
      <c r="O93" s="442"/>
      <c r="P93" s="442"/>
      <c r="Q93" s="442"/>
      <c r="R93" s="442"/>
      <c r="S93" s="442"/>
      <c r="T93" s="442"/>
      <c r="U93" s="442"/>
      <c r="V93" s="442"/>
      <c r="W93" s="442"/>
      <c r="X93" s="442"/>
      <c r="Y93" s="442"/>
      <c r="Z93" s="442"/>
      <c r="AA93" s="442"/>
      <c r="AB93" s="442"/>
      <c r="AC93" s="442"/>
      <c r="AD93" s="442"/>
      <c r="AE93" s="442"/>
      <c r="AF93" s="442"/>
      <c r="AG93" s="442"/>
      <c r="AH93" s="442"/>
      <c r="AI93" s="442"/>
      <c r="AJ93" s="442"/>
      <c r="AK93" s="443"/>
    </row>
    <row r="94" spans="1:37">
      <c r="A94" s="442"/>
      <c r="B94" s="442"/>
      <c r="C94" s="442"/>
      <c r="D94" s="442"/>
      <c r="E94" s="442"/>
      <c r="F94" s="442"/>
      <c r="G94" s="442"/>
      <c r="H94" s="442"/>
      <c r="I94" s="442"/>
      <c r="J94" s="442"/>
      <c r="K94" s="442"/>
      <c r="L94" s="442"/>
      <c r="M94" s="442"/>
      <c r="N94" s="442"/>
      <c r="O94" s="442"/>
      <c r="P94" s="442"/>
      <c r="Q94" s="442"/>
      <c r="R94" s="442"/>
      <c r="S94" s="442"/>
      <c r="T94" s="442"/>
      <c r="U94" s="442"/>
      <c r="V94" s="442"/>
      <c r="W94" s="442"/>
      <c r="X94" s="442"/>
      <c r="Y94" s="442"/>
      <c r="Z94" s="442"/>
      <c r="AA94" s="442"/>
      <c r="AB94" s="442"/>
      <c r="AC94" s="442"/>
      <c r="AD94" s="442"/>
      <c r="AE94" s="442"/>
      <c r="AF94" s="442"/>
      <c r="AG94" s="442"/>
      <c r="AH94" s="442"/>
      <c r="AI94" s="442"/>
      <c r="AJ94" s="442"/>
      <c r="AK94" s="443"/>
    </row>
    <row r="95" spans="1:37">
      <c r="A95" s="442"/>
      <c r="B95" s="442"/>
      <c r="C95" s="442"/>
      <c r="D95" s="442"/>
      <c r="E95" s="442"/>
      <c r="F95" s="442"/>
      <c r="G95" s="442"/>
      <c r="H95" s="442"/>
      <c r="I95" s="442"/>
      <c r="J95" s="442"/>
      <c r="K95" s="442"/>
      <c r="L95" s="442"/>
      <c r="M95" s="442"/>
      <c r="N95" s="442"/>
      <c r="O95" s="442"/>
      <c r="P95" s="442"/>
      <c r="Q95" s="442"/>
      <c r="R95" s="442"/>
      <c r="S95" s="442"/>
      <c r="T95" s="442"/>
      <c r="U95" s="442"/>
      <c r="V95" s="442"/>
      <c r="W95" s="442"/>
      <c r="X95" s="442"/>
      <c r="Y95" s="442"/>
      <c r="Z95" s="442"/>
      <c r="AA95" s="442"/>
      <c r="AB95" s="442"/>
      <c r="AC95" s="442"/>
      <c r="AD95" s="442"/>
      <c r="AE95" s="442"/>
      <c r="AF95" s="442"/>
      <c r="AG95" s="442"/>
      <c r="AH95" s="442"/>
      <c r="AI95" s="442"/>
      <c r="AJ95" s="442"/>
      <c r="AK95" s="443"/>
    </row>
    <row r="96" spans="1:37">
      <c r="A96" s="442"/>
      <c r="B96" s="442"/>
      <c r="C96" s="442"/>
      <c r="D96" s="442"/>
      <c r="E96" s="442"/>
      <c r="F96" s="442"/>
      <c r="G96" s="442"/>
      <c r="H96" s="442"/>
      <c r="I96" s="442"/>
      <c r="J96" s="442"/>
      <c r="K96" s="442"/>
      <c r="L96" s="442"/>
      <c r="M96" s="442"/>
      <c r="N96" s="442"/>
      <c r="O96" s="442"/>
      <c r="P96" s="442"/>
      <c r="Q96" s="442"/>
      <c r="R96" s="442"/>
      <c r="S96" s="442"/>
      <c r="T96" s="442"/>
      <c r="U96" s="442"/>
      <c r="V96" s="442"/>
      <c r="W96" s="442"/>
      <c r="X96" s="442"/>
      <c r="Y96" s="442"/>
      <c r="Z96" s="442"/>
      <c r="AA96" s="442"/>
      <c r="AB96" s="442"/>
      <c r="AC96" s="442"/>
      <c r="AD96" s="442"/>
      <c r="AE96" s="442"/>
      <c r="AF96" s="442"/>
      <c r="AG96" s="442"/>
      <c r="AH96" s="442"/>
      <c r="AI96" s="442"/>
      <c r="AJ96" s="442"/>
      <c r="AK96" s="443"/>
    </row>
    <row r="97" spans="1:37">
      <c r="A97" s="442"/>
      <c r="B97" s="442"/>
      <c r="C97" s="442"/>
      <c r="D97" s="442"/>
      <c r="E97" s="442"/>
      <c r="F97" s="442"/>
      <c r="G97" s="442"/>
      <c r="H97" s="442"/>
      <c r="I97" s="442"/>
      <c r="J97" s="442"/>
      <c r="K97" s="442"/>
      <c r="L97" s="442"/>
      <c r="M97" s="442"/>
      <c r="N97" s="442"/>
      <c r="O97" s="442"/>
      <c r="P97" s="442"/>
      <c r="Q97" s="442"/>
      <c r="R97" s="442"/>
      <c r="S97" s="442"/>
      <c r="T97" s="442"/>
      <c r="U97" s="442"/>
      <c r="V97" s="442"/>
      <c r="W97" s="442"/>
      <c r="X97" s="442"/>
      <c r="Y97" s="442"/>
      <c r="Z97" s="442"/>
      <c r="AA97" s="442"/>
      <c r="AB97" s="442"/>
      <c r="AC97" s="442"/>
      <c r="AD97" s="442"/>
      <c r="AE97" s="442"/>
      <c r="AF97" s="442"/>
      <c r="AG97" s="442"/>
      <c r="AH97" s="442"/>
      <c r="AI97" s="442"/>
      <c r="AJ97" s="442"/>
      <c r="AK97" s="443"/>
    </row>
    <row r="98" spans="1:37">
      <c r="A98" s="442"/>
      <c r="B98" s="442"/>
      <c r="C98" s="442"/>
      <c r="D98" s="442"/>
      <c r="E98" s="442"/>
      <c r="F98" s="442"/>
      <c r="G98" s="442"/>
      <c r="H98" s="442"/>
      <c r="I98" s="442"/>
      <c r="J98" s="442"/>
      <c r="K98" s="442"/>
      <c r="L98" s="442"/>
      <c r="M98" s="442"/>
      <c r="N98" s="442"/>
      <c r="O98" s="442"/>
      <c r="P98" s="442"/>
      <c r="Q98" s="442"/>
      <c r="R98" s="442"/>
      <c r="S98" s="442"/>
      <c r="T98" s="442"/>
      <c r="U98" s="442"/>
      <c r="V98" s="442"/>
      <c r="W98" s="442"/>
      <c r="X98" s="442"/>
      <c r="Y98" s="442"/>
      <c r="Z98" s="442"/>
      <c r="AA98" s="442"/>
      <c r="AB98" s="442"/>
      <c r="AC98" s="442"/>
      <c r="AD98" s="442"/>
      <c r="AE98" s="442"/>
      <c r="AF98" s="442"/>
      <c r="AG98" s="442"/>
      <c r="AH98" s="442"/>
      <c r="AI98" s="442"/>
      <c r="AJ98" s="442"/>
      <c r="AK98" s="443"/>
    </row>
    <row r="99" spans="1:37">
      <c r="A99" s="442"/>
      <c r="B99" s="442"/>
      <c r="C99" s="442"/>
      <c r="D99" s="442"/>
      <c r="E99" s="442"/>
      <c r="F99" s="442"/>
      <c r="G99" s="442"/>
      <c r="H99" s="442"/>
      <c r="I99" s="442"/>
      <c r="J99" s="442"/>
      <c r="K99" s="442"/>
      <c r="L99" s="442"/>
      <c r="M99" s="442"/>
      <c r="N99" s="442"/>
      <c r="O99" s="442"/>
      <c r="P99" s="442"/>
      <c r="Q99" s="442"/>
      <c r="R99" s="442"/>
      <c r="S99" s="442"/>
      <c r="T99" s="442"/>
      <c r="U99" s="442"/>
      <c r="V99" s="442"/>
      <c r="W99" s="442"/>
      <c r="X99" s="442"/>
      <c r="Y99" s="442"/>
      <c r="Z99" s="442"/>
      <c r="AA99" s="442"/>
      <c r="AB99" s="442"/>
      <c r="AC99" s="442"/>
      <c r="AD99" s="442"/>
      <c r="AE99" s="442"/>
      <c r="AF99" s="442"/>
      <c r="AG99" s="442"/>
      <c r="AH99" s="442"/>
      <c r="AI99" s="442"/>
      <c r="AJ99" s="442"/>
      <c r="AK99" s="443"/>
    </row>
    <row r="100" spans="1:37">
      <c r="A100" s="442"/>
      <c r="B100" s="442"/>
      <c r="C100" s="442"/>
      <c r="D100" s="442"/>
      <c r="E100" s="442"/>
      <c r="F100" s="442"/>
      <c r="G100" s="442"/>
      <c r="H100" s="442"/>
      <c r="I100" s="442"/>
      <c r="J100" s="442"/>
      <c r="K100" s="442"/>
      <c r="L100" s="442"/>
      <c r="M100" s="442"/>
      <c r="N100" s="442"/>
      <c r="O100" s="442"/>
      <c r="P100" s="442"/>
      <c r="Q100" s="442"/>
      <c r="R100" s="442"/>
      <c r="S100" s="442"/>
      <c r="T100" s="442"/>
      <c r="U100" s="442"/>
      <c r="V100" s="442"/>
      <c r="W100" s="442"/>
      <c r="X100" s="442"/>
      <c r="Y100" s="442"/>
      <c r="Z100" s="442"/>
      <c r="AA100" s="442"/>
      <c r="AB100" s="442"/>
      <c r="AC100" s="442"/>
      <c r="AD100" s="442"/>
      <c r="AE100" s="442"/>
      <c r="AF100" s="442"/>
      <c r="AG100" s="442"/>
      <c r="AH100" s="442"/>
      <c r="AI100" s="442"/>
      <c r="AJ100" s="442"/>
      <c r="AK100" s="443"/>
    </row>
    <row r="101" spans="1:37">
      <c r="A101" s="442"/>
      <c r="B101" s="442"/>
      <c r="C101" s="442"/>
      <c r="D101" s="442"/>
      <c r="E101" s="442"/>
      <c r="F101" s="442"/>
      <c r="G101" s="442"/>
      <c r="H101" s="442"/>
      <c r="I101" s="442"/>
      <c r="J101" s="442"/>
      <c r="K101" s="442"/>
      <c r="L101" s="442"/>
      <c r="M101" s="442"/>
      <c r="N101" s="442"/>
      <c r="O101" s="442"/>
      <c r="P101" s="442"/>
      <c r="Q101" s="442"/>
      <c r="R101" s="442"/>
      <c r="S101" s="442"/>
      <c r="T101" s="442"/>
      <c r="U101" s="442"/>
      <c r="V101" s="442"/>
      <c r="W101" s="442"/>
      <c r="X101" s="442"/>
      <c r="Y101" s="442"/>
      <c r="Z101" s="442"/>
      <c r="AA101" s="442"/>
      <c r="AB101" s="442"/>
      <c r="AC101" s="442"/>
      <c r="AD101" s="442"/>
      <c r="AE101" s="442"/>
      <c r="AF101" s="442"/>
      <c r="AG101" s="442"/>
      <c r="AH101" s="442"/>
      <c r="AI101" s="442"/>
      <c r="AJ101" s="442"/>
      <c r="AK101" s="443"/>
    </row>
    <row r="102" spans="1:37">
      <c r="A102" s="442"/>
      <c r="B102" s="442"/>
      <c r="C102" s="442"/>
      <c r="D102" s="442"/>
      <c r="E102" s="442"/>
      <c r="F102" s="442"/>
      <c r="G102" s="442"/>
      <c r="H102" s="442"/>
      <c r="I102" s="442"/>
      <c r="J102" s="442"/>
      <c r="K102" s="442"/>
      <c r="L102" s="442"/>
      <c r="M102" s="442"/>
      <c r="N102" s="442"/>
      <c r="O102" s="442"/>
      <c r="P102" s="442"/>
      <c r="Q102" s="442"/>
      <c r="R102" s="442"/>
      <c r="S102" s="442"/>
      <c r="T102" s="442"/>
      <c r="U102" s="442"/>
      <c r="V102" s="442"/>
      <c r="W102" s="442"/>
      <c r="X102" s="442"/>
      <c r="Y102" s="442"/>
      <c r="Z102" s="442"/>
      <c r="AA102" s="442"/>
      <c r="AB102" s="442"/>
      <c r="AC102" s="442"/>
      <c r="AD102" s="442"/>
      <c r="AE102" s="442"/>
      <c r="AF102" s="442"/>
      <c r="AG102" s="442"/>
      <c r="AH102" s="442"/>
      <c r="AI102" s="442"/>
      <c r="AJ102" s="442"/>
      <c r="AK102" s="443"/>
    </row>
    <row r="103" spans="1:37">
      <c r="A103" s="442"/>
      <c r="B103" s="442"/>
      <c r="C103" s="442"/>
      <c r="D103" s="442"/>
      <c r="E103" s="442"/>
      <c r="F103" s="442"/>
      <c r="G103" s="442"/>
      <c r="H103" s="442"/>
      <c r="I103" s="442"/>
      <c r="J103" s="442"/>
      <c r="K103" s="442"/>
      <c r="L103" s="442"/>
      <c r="M103" s="442"/>
      <c r="N103" s="442"/>
      <c r="O103" s="442"/>
      <c r="P103" s="442"/>
      <c r="Q103" s="442"/>
      <c r="R103" s="442"/>
      <c r="S103" s="442"/>
      <c r="T103" s="442"/>
      <c r="U103" s="442"/>
      <c r="V103" s="442"/>
      <c r="W103" s="442"/>
      <c r="X103" s="442"/>
      <c r="Y103" s="442"/>
      <c r="Z103" s="442"/>
      <c r="AA103" s="442"/>
      <c r="AB103" s="442"/>
      <c r="AC103" s="442"/>
      <c r="AD103" s="442"/>
      <c r="AE103" s="442"/>
      <c r="AF103" s="442"/>
      <c r="AG103" s="442"/>
      <c r="AH103" s="442"/>
      <c r="AI103" s="442"/>
      <c r="AJ103" s="442"/>
      <c r="AK103" s="443"/>
    </row>
    <row r="104" spans="1:37">
      <c r="A104" s="442"/>
      <c r="B104" s="442"/>
      <c r="C104" s="442"/>
      <c r="D104" s="442"/>
      <c r="E104" s="442"/>
      <c r="F104" s="442"/>
      <c r="G104" s="442"/>
      <c r="H104" s="442"/>
      <c r="I104" s="442"/>
      <c r="J104" s="442"/>
      <c r="K104" s="442"/>
      <c r="L104" s="442"/>
      <c r="M104" s="442"/>
      <c r="N104" s="442"/>
      <c r="O104" s="442"/>
      <c r="P104" s="442"/>
      <c r="Q104" s="442"/>
      <c r="R104" s="442"/>
      <c r="S104" s="442"/>
      <c r="T104" s="442"/>
      <c r="U104" s="442"/>
      <c r="V104" s="442"/>
      <c r="W104" s="442"/>
      <c r="X104" s="442"/>
      <c r="Y104" s="442"/>
      <c r="Z104" s="442"/>
      <c r="AA104" s="442"/>
      <c r="AB104" s="442"/>
      <c r="AC104" s="442"/>
      <c r="AD104" s="442"/>
      <c r="AE104" s="442"/>
      <c r="AF104" s="442"/>
      <c r="AG104" s="442"/>
      <c r="AH104" s="442"/>
      <c r="AI104" s="442"/>
      <c r="AJ104" s="442"/>
      <c r="AK104" s="443"/>
    </row>
    <row r="105" spans="1:37">
      <c r="A105" s="442"/>
      <c r="B105" s="442"/>
      <c r="C105" s="442"/>
      <c r="D105" s="442"/>
      <c r="E105" s="442"/>
      <c r="F105" s="442"/>
      <c r="G105" s="442"/>
      <c r="H105" s="442"/>
      <c r="I105" s="442"/>
      <c r="J105" s="442"/>
      <c r="K105" s="442"/>
      <c r="L105" s="442"/>
      <c r="M105" s="442"/>
      <c r="N105" s="442"/>
      <c r="O105" s="442"/>
      <c r="P105" s="442"/>
      <c r="Q105" s="442"/>
      <c r="R105" s="442"/>
      <c r="S105" s="442"/>
      <c r="T105" s="442"/>
      <c r="U105" s="442"/>
      <c r="V105" s="442"/>
      <c r="W105" s="442"/>
      <c r="X105" s="442"/>
      <c r="Y105" s="442"/>
      <c r="Z105" s="442"/>
      <c r="AA105" s="442"/>
      <c r="AB105" s="442"/>
      <c r="AC105" s="442"/>
      <c r="AD105" s="442"/>
      <c r="AE105" s="442"/>
      <c r="AF105" s="442"/>
      <c r="AG105" s="442"/>
      <c r="AH105" s="442"/>
      <c r="AI105" s="442"/>
      <c r="AJ105" s="442"/>
      <c r="AK105" s="443"/>
    </row>
    <row r="106" spans="1:37">
      <c r="A106" s="442"/>
      <c r="B106" s="442"/>
      <c r="C106" s="442"/>
      <c r="D106" s="442"/>
      <c r="E106" s="442"/>
      <c r="F106" s="442"/>
      <c r="G106" s="442"/>
      <c r="H106" s="442"/>
      <c r="I106" s="442"/>
      <c r="J106" s="442"/>
      <c r="K106" s="442"/>
      <c r="L106" s="442"/>
      <c r="M106" s="442"/>
      <c r="N106" s="442"/>
      <c r="O106" s="442"/>
      <c r="P106" s="442"/>
      <c r="Q106" s="442"/>
      <c r="R106" s="442"/>
      <c r="S106" s="442"/>
      <c r="T106" s="442"/>
      <c r="U106" s="442"/>
      <c r="V106" s="442"/>
      <c r="W106" s="442"/>
      <c r="X106" s="442"/>
      <c r="Y106" s="442"/>
      <c r="Z106" s="442"/>
      <c r="AA106" s="442"/>
      <c r="AB106" s="442"/>
      <c r="AC106" s="442"/>
      <c r="AD106" s="442"/>
      <c r="AE106" s="442"/>
      <c r="AF106" s="442"/>
      <c r="AG106" s="442"/>
      <c r="AH106" s="442"/>
      <c r="AI106" s="442"/>
      <c r="AJ106" s="442"/>
      <c r="AK106" s="443"/>
    </row>
    <row r="107" spans="1:37">
      <c r="A107" s="442"/>
      <c r="B107" s="442"/>
      <c r="C107" s="442"/>
      <c r="D107" s="442"/>
      <c r="E107" s="442"/>
      <c r="F107" s="442"/>
      <c r="G107" s="442"/>
      <c r="H107" s="442"/>
      <c r="I107" s="442"/>
      <c r="J107" s="442"/>
      <c r="K107" s="442"/>
      <c r="L107" s="442"/>
      <c r="M107" s="442"/>
      <c r="N107" s="442"/>
      <c r="O107" s="442"/>
      <c r="P107" s="442"/>
      <c r="Q107" s="442"/>
      <c r="R107" s="442"/>
      <c r="S107" s="442"/>
      <c r="T107" s="442"/>
      <c r="U107" s="442"/>
      <c r="V107" s="442"/>
      <c r="W107" s="442"/>
      <c r="X107" s="442"/>
      <c r="Y107" s="442"/>
      <c r="Z107" s="442"/>
      <c r="AA107" s="442"/>
      <c r="AB107" s="442"/>
      <c r="AC107" s="442"/>
      <c r="AD107" s="442"/>
      <c r="AE107" s="442"/>
      <c r="AF107" s="442"/>
      <c r="AG107" s="442"/>
      <c r="AH107" s="442"/>
      <c r="AI107" s="442"/>
      <c r="AJ107" s="442"/>
      <c r="AK107" s="443"/>
    </row>
    <row r="108" spans="1:37">
      <c r="A108" s="442"/>
      <c r="B108" s="442"/>
      <c r="C108" s="442"/>
      <c r="D108" s="442"/>
      <c r="E108" s="442"/>
      <c r="F108" s="442"/>
      <c r="G108" s="442"/>
      <c r="H108" s="442"/>
      <c r="I108" s="442"/>
      <c r="J108" s="442"/>
      <c r="K108" s="442"/>
      <c r="L108" s="442"/>
      <c r="M108" s="442"/>
      <c r="N108" s="442"/>
      <c r="O108" s="442"/>
      <c r="P108" s="442"/>
      <c r="Q108" s="442"/>
      <c r="R108" s="442"/>
      <c r="S108" s="442"/>
      <c r="T108" s="442"/>
      <c r="U108" s="442"/>
      <c r="V108" s="442"/>
      <c r="W108" s="442"/>
      <c r="X108" s="442"/>
      <c r="Y108" s="442"/>
      <c r="Z108" s="442"/>
      <c r="AA108" s="442"/>
      <c r="AB108" s="442"/>
      <c r="AC108" s="442"/>
      <c r="AD108" s="442"/>
      <c r="AE108" s="442"/>
      <c r="AF108" s="442"/>
      <c r="AG108" s="442"/>
      <c r="AH108" s="442"/>
      <c r="AI108" s="442"/>
      <c r="AJ108" s="442"/>
      <c r="AK108" s="443"/>
    </row>
    <row r="109" spans="1:37">
      <c r="A109" s="442"/>
      <c r="B109" s="442"/>
      <c r="C109" s="442"/>
      <c r="D109" s="442"/>
      <c r="E109" s="442"/>
      <c r="F109" s="442"/>
      <c r="G109" s="442"/>
      <c r="H109" s="442"/>
      <c r="I109" s="442"/>
      <c r="J109" s="442"/>
      <c r="K109" s="442"/>
      <c r="L109" s="442"/>
      <c r="M109" s="442"/>
      <c r="N109" s="442"/>
      <c r="O109" s="442"/>
      <c r="P109" s="442"/>
      <c r="Q109" s="442"/>
      <c r="R109" s="442"/>
      <c r="S109" s="442"/>
      <c r="T109" s="442"/>
      <c r="U109" s="442"/>
      <c r="V109" s="442"/>
      <c r="W109" s="442"/>
      <c r="X109" s="442"/>
      <c r="Y109" s="442"/>
      <c r="Z109" s="442"/>
      <c r="AA109" s="442"/>
      <c r="AB109" s="442"/>
      <c r="AC109" s="442"/>
      <c r="AD109" s="442"/>
      <c r="AE109" s="442"/>
      <c r="AF109" s="442"/>
      <c r="AG109" s="442"/>
      <c r="AH109" s="442"/>
      <c r="AI109" s="442"/>
      <c r="AJ109" s="442"/>
      <c r="AK109" s="443"/>
    </row>
    <row r="110" spans="1:37">
      <c r="A110" s="442"/>
      <c r="B110" s="442"/>
      <c r="C110" s="442"/>
      <c r="D110" s="442"/>
      <c r="E110" s="442"/>
      <c r="F110" s="442"/>
      <c r="G110" s="442"/>
      <c r="H110" s="442"/>
      <c r="I110" s="442"/>
      <c r="J110" s="442"/>
      <c r="K110" s="442"/>
      <c r="L110" s="442"/>
      <c r="M110" s="442"/>
      <c r="N110" s="442"/>
      <c r="O110" s="442"/>
      <c r="P110" s="442"/>
      <c r="Q110" s="442"/>
      <c r="R110" s="442"/>
      <c r="S110" s="442"/>
      <c r="T110" s="442"/>
      <c r="U110" s="442"/>
      <c r="V110" s="442"/>
      <c r="W110" s="442"/>
      <c r="X110" s="442"/>
      <c r="Y110" s="442"/>
      <c r="Z110" s="442"/>
      <c r="AA110" s="442"/>
      <c r="AB110" s="442"/>
      <c r="AC110" s="442"/>
      <c r="AD110" s="442"/>
      <c r="AE110" s="442"/>
      <c r="AF110" s="442"/>
      <c r="AG110" s="442"/>
      <c r="AH110" s="442"/>
      <c r="AI110" s="442"/>
      <c r="AJ110" s="442"/>
      <c r="AK110" s="443"/>
    </row>
    <row r="111" spans="1:37">
      <c r="A111" s="442"/>
      <c r="B111" s="442"/>
      <c r="C111" s="442"/>
      <c r="D111" s="442"/>
      <c r="E111" s="442"/>
      <c r="F111" s="442"/>
      <c r="G111" s="442"/>
      <c r="H111" s="442"/>
      <c r="I111" s="442"/>
      <c r="J111" s="442"/>
      <c r="K111" s="442"/>
      <c r="L111" s="442"/>
      <c r="M111" s="442"/>
      <c r="N111" s="442"/>
      <c r="O111" s="442"/>
      <c r="P111" s="442"/>
      <c r="Q111" s="442"/>
      <c r="R111" s="442"/>
      <c r="S111" s="442"/>
      <c r="T111" s="442"/>
      <c r="U111" s="442"/>
      <c r="V111" s="442"/>
      <c r="W111" s="442"/>
      <c r="X111" s="442"/>
      <c r="Y111" s="442"/>
      <c r="Z111" s="442"/>
      <c r="AA111" s="442"/>
      <c r="AB111" s="442"/>
      <c r="AC111" s="442"/>
      <c r="AD111" s="442"/>
      <c r="AE111" s="442"/>
      <c r="AF111" s="442"/>
      <c r="AG111" s="442"/>
      <c r="AH111" s="442"/>
      <c r="AI111" s="442"/>
      <c r="AJ111" s="442"/>
      <c r="AK111" s="443"/>
    </row>
    <row r="112" spans="1:37">
      <c r="A112" s="442"/>
      <c r="B112" s="442"/>
      <c r="C112" s="442"/>
      <c r="D112" s="442"/>
      <c r="E112" s="442"/>
      <c r="F112" s="442"/>
      <c r="G112" s="442"/>
      <c r="H112" s="442"/>
      <c r="I112" s="442"/>
      <c r="J112" s="442"/>
      <c r="K112" s="442"/>
      <c r="L112" s="442"/>
      <c r="M112" s="442"/>
      <c r="N112" s="442"/>
      <c r="O112" s="442"/>
      <c r="P112" s="442"/>
      <c r="Q112" s="442"/>
      <c r="R112" s="442"/>
      <c r="S112" s="442"/>
      <c r="T112" s="442"/>
      <c r="U112" s="442"/>
      <c r="V112" s="442"/>
      <c r="W112" s="442"/>
      <c r="X112" s="442"/>
      <c r="Y112" s="442"/>
      <c r="Z112" s="442"/>
      <c r="AA112" s="442"/>
      <c r="AB112" s="442"/>
      <c r="AC112" s="442"/>
      <c r="AD112" s="442"/>
      <c r="AE112" s="442"/>
      <c r="AF112" s="442"/>
      <c r="AG112" s="442"/>
      <c r="AH112" s="442"/>
      <c r="AI112" s="442"/>
      <c r="AJ112" s="442"/>
      <c r="AK112" s="443"/>
    </row>
    <row r="113" spans="1:37">
      <c r="A113" s="442"/>
      <c r="B113" s="442"/>
      <c r="C113" s="442"/>
      <c r="D113" s="442"/>
      <c r="E113" s="442"/>
      <c r="F113" s="442"/>
      <c r="G113" s="442"/>
      <c r="H113" s="442"/>
      <c r="I113" s="442"/>
      <c r="J113" s="442"/>
      <c r="K113" s="442"/>
      <c r="L113" s="442"/>
      <c r="M113" s="442"/>
      <c r="N113" s="442"/>
      <c r="O113" s="442"/>
      <c r="P113" s="442"/>
      <c r="Q113" s="442"/>
      <c r="R113" s="442"/>
      <c r="S113" s="442"/>
      <c r="T113" s="442"/>
      <c r="U113" s="442"/>
      <c r="V113" s="442"/>
      <c r="W113" s="442"/>
      <c r="X113" s="442"/>
      <c r="Y113" s="442"/>
      <c r="Z113" s="442"/>
      <c r="AA113" s="442"/>
      <c r="AB113" s="442"/>
      <c r="AC113" s="442"/>
      <c r="AD113" s="442"/>
      <c r="AE113" s="442"/>
      <c r="AF113" s="442"/>
      <c r="AG113" s="442"/>
      <c r="AH113" s="442"/>
      <c r="AI113" s="442"/>
      <c r="AJ113" s="442"/>
      <c r="AK113" s="443"/>
    </row>
    <row r="114" spans="1:37">
      <c r="A114" s="442"/>
      <c r="B114" s="442"/>
      <c r="C114" s="442"/>
      <c r="D114" s="442"/>
      <c r="E114" s="442"/>
      <c r="F114" s="442"/>
      <c r="G114" s="442"/>
      <c r="H114" s="442"/>
      <c r="I114" s="442"/>
      <c r="J114" s="442"/>
      <c r="K114" s="442"/>
      <c r="L114" s="442"/>
      <c r="M114" s="442"/>
      <c r="N114" s="442"/>
      <c r="O114" s="442"/>
      <c r="P114" s="442"/>
      <c r="Q114" s="442"/>
      <c r="R114" s="442"/>
      <c r="S114" s="442"/>
      <c r="T114" s="442"/>
      <c r="U114" s="442"/>
      <c r="V114" s="442"/>
      <c r="W114" s="442"/>
      <c r="X114" s="442"/>
      <c r="Y114" s="442"/>
      <c r="Z114" s="442"/>
      <c r="AA114" s="442"/>
      <c r="AB114" s="442"/>
      <c r="AC114" s="442"/>
      <c r="AD114" s="442"/>
      <c r="AE114" s="442"/>
      <c r="AF114" s="442"/>
      <c r="AG114" s="442"/>
      <c r="AH114" s="442"/>
      <c r="AI114" s="442"/>
      <c r="AJ114" s="442"/>
      <c r="AK114" s="443"/>
    </row>
    <row r="115" spans="1:37">
      <c r="A115" s="442"/>
      <c r="B115" s="442"/>
      <c r="C115" s="442"/>
      <c r="D115" s="442"/>
      <c r="E115" s="442"/>
      <c r="F115" s="442"/>
      <c r="G115" s="442"/>
      <c r="H115" s="442"/>
      <c r="I115" s="442"/>
      <c r="J115" s="442"/>
      <c r="K115" s="442"/>
      <c r="L115" s="442"/>
      <c r="M115" s="442"/>
      <c r="N115" s="442"/>
      <c r="O115" s="442"/>
      <c r="P115" s="442"/>
      <c r="Q115" s="442"/>
      <c r="R115" s="442"/>
      <c r="S115" s="442"/>
      <c r="T115" s="442"/>
      <c r="U115" s="442"/>
      <c r="V115" s="442"/>
      <c r="W115" s="442"/>
      <c r="X115" s="442"/>
      <c r="Y115" s="442"/>
      <c r="Z115" s="442"/>
      <c r="AA115" s="442"/>
      <c r="AB115" s="442"/>
      <c r="AC115" s="442"/>
      <c r="AD115" s="442"/>
      <c r="AE115" s="442"/>
      <c r="AF115" s="442"/>
      <c r="AG115" s="442"/>
      <c r="AH115" s="442"/>
      <c r="AI115" s="442"/>
      <c r="AJ115" s="442"/>
      <c r="AK115" s="443"/>
    </row>
    <row r="116" spans="1:37">
      <c r="A116" s="442"/>
      <c r="B116" s="442"/>
      <c r="C116" s="442"/>
      <c r="D116" s="442"/>
      <c r="E116" s="442"/>
      <c r="F116" s="442"/>
      <c r="G116" s="442"/>
      <c r="H116" s="442"/>
      <c r="I116" s="442"/>
      <c r="J116" s="442"/>
      <c r="K116" s="442"/>
      <c r="L116" s="442"/>
      <c r="M116" s="442"/>
      <c r="N116" s="442"/>
      <c r="O116" s="442"/>
      <c r="P116" s="442"/>
      <c r="Q116" s="442"/>
      <c r="R116" s="442"/>
      <c r="S116" s="442"/>
      <c r="T116" s="442"/>
      <c r="U116" s="442"/>
      <c r="V116" s="442"/>
      <c r="W116" s="442"/>
      <c r="X116" s="442"/>
      <c r="Y116" s="442"/>
      <c r="Z116" s="442"/>
      <c r="AA116" s="442"/>
      <c r="AB116" s="442"/>
      <c r="AC116" s="442"/>
      <c r="AD116" s="442"/>
      <c r="AE116" s="442"/>
      <c r="AF116" s="442"/>
      <c r="AG116" s="442"/>
      <c r="AH116" s="442"/>
      <c r="AI116" s="442"/>
      <c r="AJ116" s="442"/>
      <c r="AK116" s="443"/>
    </row>
    <row r="117" spans="1:37">
      <c r="A117" s="442"/>
      <c r="B117" s="442"/>
      <c r="C117" s="442"/>
      <c r="D117" s="442"/>
      <c r="E117" s="442"/>
      <c r="F117" s="442"/>
      <c r="G117" s="442"/>
      <c r="H117" s="442"/>
      <c r="I117" s="442"/>
      <c r="J117" s="442"/>
      <c r="K117" s="442"/>
      <c r="L117" s="442"/>
      <c r="M117" s="442"/>
      <c r="N117" s="442"/>
      <c r="O117" s="442"/>
      <c r="P117" s="442"/>
      <c r="Q117" s="442"/>
      <c r="R117" s="442"/>
      <c r="S117" s="442"/>
      <c r="T117" s="442"/>
      <c r="U117" s="442"/>
      <c r="V117" s="442"/>
      <c r="W117" s="442"/>
      <c r="X117" s="442"/>
      <c r="Y117" s="442"/>
      <c r="Z117" s="442"/>
      <c r="AA117" s="442"/>
      <c r="AB117" s="442"/>
      <c r="AC117" s="442"/>
      <c r="AD117" s="442"/>
      <c r="AE117" s="442"/>
      <c r="AF117" s="442"/>
      <c r="AG117" s="442"/>
      <c r="AH117" s="442"/>
      <c r="AI117" s="442"/>
      <c r="AJ117" s="442"/>
      <c r="AK117" s="443"/>
    </row>
    <row r="118" spans="1:37">
      <c r="A118" s="442"/>
      <c r="B118" s="442"/>
      <c r="C118" s="442"/>
      <c r="D118" s="442"/>
      <c r="E118" s="442"/>
      <c r="F118" s="442"/>
      <c r="G118" s="442"/>
      <c r="H118" s="442"/>
      <c r="I118" s="442"/>
      <c r="J118" s="442"/>
      <c r="K118" s="442"/>
      <c r="L118" s="442"/>
      <c r="M118" s="442"/>
      <c r="N118" s="442"/>
      <c r="O118" s="442"/>
      <c r="P118" s="442"/>
      <c r="Q118" s="442"/>
      <c r="R118" s="442"/>
      <c r="S118" s="442"/>
      <c r="T118" s="442"/>
      <c r="U118" s="442"/>
      <c r="V118" s="442"/>
      <c r="W118" s="442"/>
      <c r="X118" s="442"/>
      <c r="Y118" s="442"/>
      <c r="Z118" s="442"/>
      <c r="AA118" s="442"/>
      <c r="AB118" s="442"/>
      <c r="AC118" s="442"/>
      <c r="AD118" s="442"/>
      <c r="AE118" s="442"/>
      <c r="AF118" s="442"/>
      <c r="AG118" s="442"/>
      <c r="AH118" s="442"/>
      <c r="AI118" s="442"/>
      <c r="AJ118" s="442"/>
      <c r="AK118" s="443"/>
    </row>
    <row r="119" spans="1:37">
      <c r="A119" s="442"/>
      <c r="B119" s="442"/>
      <c r="C119" s="442"/>
      <c r="D119" s="442"/>
      <c r="E119" s="442"/>
      <c r="F119" s="442"/>
      <c r="G119" s="442"/>
      <c r="H119" s="442"/>
      <c r="I119" s="442"/>
      <c r="J119" s="442"/>
      <c r="K119" s="442"/>
      <c r="L119" s="442"/>
      <c r="M119" s="442"/>
      <c r="N119" s="442"/>
      <c r="O119" s="442"/>
      <c r="P119" s="442"/>
      <c r="Q119" s="442"/>
      <c r="R119" s="442"/>
      <c r="S119" s="442"/>
      <c r="T119" s="442"/>
      <c r="U119" s="442"/>
      <c r="V119" s="442"/>
      <c r="W119" s="442"/>
      <c r="X119" s="442"/>
      <c r="Y119" s="442"/>
      <c r="Z119" s="442"/>
      <c r="AA119" s="442"/>
      <c r="AB119" s="442"/>
      <c r="AC119" s="442"/>
      <c r="AD119" s="442"/>
      <c r="AE119" s="442"/>
      <c r="AF119" s="442"/>
      <c r="AG119" s="442"/>
      <c r="AH119" s="442"/>
      <c r="AI119" s="442"/>
      <c r="AJ119" s="442"/>
      <c r="AK119" s="443"/>
    </row>
    <row r="120" spans="1:37">
      <c r="A120" s="442"/>
      <c r="B120" s="442"/>
      <c r="C120" s="442"/>
      <c r="D120" s="442"/>
      <c r="E120" s="442"/>
      <c r="F120" s="442"/>
      <c r="G120" s="442"/>
      <c r="H120" s="442"/>
      <c r="I120" s="442"/>
      <c r="J120" s="442"/>
      <c r="K120" s="442"/>
      <c r="L120" s="442"/>
      <c r="M120" s="442"/>
      <c r="N120" s="442"/>
      <c r="O120" s="442"/>
      <c r="P120" s="442"/>
      <c r="Q120" s="442"/>
      <c r="R120" s="442"/>
      <c r="S120" s="442"/>
      <c r="T120" s="442"/>
      <c r="U120" s="442"/>
      <c r="V120" s="442"/>
      <c r="W120" s="442"/>
      <c r="X120" s="442"/>
      <c r="Y120" s="442"/>
      <c r="Z120" s="442"/>
      <c r="AA120" s="442"/>
      <c r="AB120" s="442"/>
      <c r="AC120" s="442"/>
      <c r="AD120" s="442"/>
      <c r="AE120" s="442"/>
      <c r="AF120" s="442"/>
      <c r="AG120" s="442"/>
      <c r="AH120" s="442"/>
      <c r="AI120" s="442"/>
      <c r="AJ120" s="442"/>
      <c r="AK120" s="443"/>
    </row>
    <row r="121" spans="1:37">
      <c r="A121" s="442"/>
      <c r="B121" s="442"/>
      <c r="C121" s="442"/>
      <c r="D121" s="442"/>
      <c r="E121" s="442"/>
      <c r="F121" s="442"/>
      <c r="G121" s="442"/>
      <c r="H121" s="442"/>
      <c r="I121" s="442"/>
      <c r="J121" s="442"/>
      <c r="K121" s="442"/>
      <c r="L121" s="442"/>
      <c r="M121" s="442"/>
      <c r="N121" s="442"/>
      <c r="O121" s="442"/>
      <c r="P121" s="442"/>
      <c r="Q121" s="442"/>
      <c r="R121" s="442"/>
      <c r="S121" s="442"/>
      <c r="T121" s="442"/>
      <c r="U121" s="442"/>
      <c r="V121" s="442"/>
      <c r="W121" s="442"/>
      <c r="X121" s="442"/>
      <c r="Y121" s="442"/>
      <c r="Z121" s="442"/>
      <c r="AA121" s="442"/>
      <c r="AB121" s="442"/>
      <c r="AC121" s="442"/>
      <c r="AD121" s="442"/>
      <c r="AE121" s="442"/>
      <c r="AF121" s="442"/>
      <c r="AG121" s="442"/>
      <c r="AH121" s="442"/>
      <c r="AI121" s="442"/>
      <c r="AJ121" s="442"/>
      <c r="AK121" s="443"/>
    </row>
    <row r="122" spans="1:37">
      <c r="A122" s="442"/>
      <c r="B122" s="442"/>
      <c r="C122" s="442"/>
      <c r="D122" s="442"/>
      <c r="E122" s="442"/>
      <c r="F122" s="442"/>
      <c r="G122" s="442"/>
      <c r="H122" s="442"/>
      <c r="I122" s="442"/>
      <c r="J122" s="442"/>
      <c r="K122" s="442"/>
      <c r="L122" s="442"/>
      <c r="M122" s="442"/>
      <c r="N122" s="442"/>
      <c r="O122" s="442"/>
      <c r="P122" s="442"/>
      <c r="Q122" s="442"/>
      <c r="R122" s="442"/>
      <c r="S122" s="442"/>
      <c r="T122" s="442"/>
      <c r="U122" s="442"/>
      <c r="V122" s="442"/>
      <c r="W122" s="442"/>
      <c r="X122" s="442"/>
      <c r="Y122" s="442"/>
      <c r="Z122" s="442"/>
      <c r="AA122" s="442"/>
      <c r="AB122" s="442"/>
      <c r="AC122" s="442"/>
      <c r="AD122" s="442"/>
      <c r="AE122" s="442"/>
      <c r="AF122" s="442"/>
      <c r="AG122" s="442"/>
      <c r="AH122" s="442"/>
      <c r="AI122" s="442"/>
      <c r="AJ122" s="442"/>
      <c r="AK122" s="443"/>
    </row>
    <row r="123" spans="1:37">
      <c r="A123" s="442"/>
      <c r="B123" s="442"/>
      <c r="C123" s="442"/>
      <c r="D123" s="442"/>
      <c r="E123" s="442"/>
      <c r="F123" s="442"/>
      <c r="G123" s="442"/>
      <c r="H123" s="442"/>
      <c r="I123" s="442"/>
      <c r="J123" s="442"/>
      <c r="K123" s="442"/>
      <c r="L123" s="442"/>
      <c r="M123" s="442"/>
      <c r="N123" s="442"/>
      <c r="O123" s="442"/>
      <c r="P123" s="442"/>
      <c r="Q123" s="442"/>
      <c r="R123" s="442"/>
      <c r="S123" s="442"/>
      <c r="T123" s="442"/>
      <c r="U123" s="442"/>
      <c r="V123" s="442"/>
      <c r="W123" s="442"/>
      <c r="X123" s="442"/>
      <c r="Y123" s="442"/>
      <c r="Z123" s="442"/>
      <c r="AA123" s="442"/>
      <c r="AB123" s="442"/>
      <c r="AC123" s="442"/>
      <c r="AD123" s="442"/>
      <c r="AE123" s="442"/>
      <c r="AF123" s="442"/>
      <c r="AG123" s="442"/>
      <c r="AH123" s="442"/>
      <c r="AI123" s="442"/>
      <c r="AJ123" s="442"/>
      <c r="AK123" s="443"/>
    </row>
    <row r="124" spans="1:37">
      <c r="A124" s="442"/>
      <c r="B124" s="442"/>
      <c r="C124" s="442"/>
      <c r="D124" s="442"/>
      <c r="E124" s="442"/>
      <c r="F124" s="442"/>
      <c r="G124" s="442"/>
      <c r="H124" s="442"/>
      <c r="I124" s="442"/>
      <c r="J124" s="442"/>
      <c r="K124" s="442"/>
      <c r="L124" s="442"/>
      <c r="M124" s="442"/>
      <c r="N124" s="442"/>
      <c r="O124" s="442"/>
      <c r="P124" s="442"/>
      <c r="Q124" s="442"/>
      <c r="R124" s="442"/>
      <c r="S124" s="442"/>
      <c r="T124" s="442"/>
      <c r="U124" s="442"/>
      <c r="V124" s="442"/>
      <c r="W124" s="442"/>
      <c r="X124" s="442"/>
      <c r="Y124" s="442"/>
      <c r="Z124" s="442"/>
      <c r="AA124" s="442"/>
      <c r="AB124" s="442"/>
      <c r="AC124" s="442"/>
      <c r="AD124" s="442"/>
      <c r="AE124" s="442"/>
      <c r="AF124" s="442"/>
      <c r="AG124" s="442"/>
      <c r="AH124" s="442"/>
      <c r="AI124" s="442"/>
      <c r="AJ124" s="442"/>
      <c r="AK124" s="443"/>
    </row>
    <row r="125" spans="1:37">
      <c r="A125" s="442"/>
      <c r="B125" s="442"/>
      <c r="C125" s="442"/>
      <c r="D125" s="442"/>
      <c r="E125" s="442"/>
      <c r="F125" s="442"/>
      <c r="G125" s="442"/>
      <c r="H125" s="442"/>
      <c r="I125" s="442"/>
      <c r="J125" s="442"/>
      <c r="K125" s="442"/>
      <c r="L125" s="442"/>
      <c r="M125" s="442"/>
      <c r="N125" s="442"/>
      <c r="O125" s="442"/>
      <c r="P125" s="442"/>
      <c r="Q125" s="442"/>
      <c r="R125" s="442"/>
      <c r="S125" s="442"/>
      <c r="T125" s="442"/>
      <c r="U125" s="442"/>
      <c r="V125" s="442"/>
      <c r="W125" s="442"/>
      <c r="X125" s="442"/>
      <c r="Y125" s="442"/>
      <c r="Z125" s="442"/>
      <c r="AA125" s="442"/>
      <c r="AB125" s="442"/>
      <c r="AC125" s="442"/>
      <c r="AD125" s="442"/>
      <c r="AE125" s="442"/>
      <c r="AF125" s="442"/>
      <c r="AG125" s="442"/>
      <c r="AH125" s="442"/>
      <c r="AI125" s="442"/>
      <c r="AJ125" s="442"/>
      <c r="AK125" s="443"/>
    </row>
    <row r="126" spans="1:37">
      <c r="A126" s="442"/>
      <c r="B126" s="442"/>
      <c r="C126" s="442"/>
      <c r="D126" s="442"/>
      <c r="E126" s="442"/>
      <c r="F126" s="442"/>
      <c r="G126" s="442"/>
      <c r="H126" s="442"/>
      <c r="I126" s="442"/>
      <c r="J126" s="442"/>
      <c r="K126" s="442"/>
      <c r="L126" s="442"/>
      <c r="M126" s="442"/>
      <c r="N126" s="442"/>
      <c r="O126" s="442"/>
      <c r="P126" s="442"/>
      <c r="Q126" s="442"/>
      <c r="R126" s="442"/>
      <c r="S126" s="442"/>
      <c r="T126" s="442"/>
      <c r="U126" s="442"/>
      <c r="V126" s="442"/>
      <c r="W126" s="442"/>
      <c r="X126" s="442"/>
      <c r="Y126" s="442"/>
      <c r="Z126" s="442"/>
      <c r="AA126" s="442"/>
      <c r="AB126" s="442"/>
      <c r="AC126" s="442"/>
      <c r="AD126" s="442"/>
      <c r="AE126" s="442"/>
      <c r="AF126" s="442"/>
      <c r="AG126" s="442"/>
      <c r="AH126" s="442"/>
      <c r="AI126" s="442"/>
      <c r="AJ126" s="442"/>
      <c r="AK126" s="443"/>
    </row>
    <row r="127" spans="1:37">
      <c r="A127" s="442"/>
      <c r="B127" s="442"/>
      <c r="C127" s="442"/>
      <c r="D127" s="442"/>
      <c r="E127" s="442"/>
      <c r="F127" s="442"/>
      <c r="G127" s="442"/>
      <c r="H127" s="442"/>
      <c r="I127" s="442"/>
      <c r="J127" s="442"/>
      <c r="K127" s="442"/>
      <c r="L127" s="442"/>
      <c r="M127" s="442"/>
      <c r="N127" s="442"/>
      <c r="O127" s="442"/>
      <c r="P127" s="442"/>
      <c r="Q127" s="442"/>
      <c r="R127" s="442"/>
      <c r="S127" s="442"/>
      <c r="T127" s="442"/>
      <c r="U127" s="442"/>
      <c r="V127" s="442"/>
      <c r="W127" s="442"/>
      <c r="X127" s="442"/>
      <c r="Y127" s="442"/>
      <c r="Z127" s="442"/>
      <c r="AA127" s="442"/>
      <c r="AB127" s="442"/>
      <c r="AC127" s="442"/>
      <c r="AD127" s="442"/>
      <c r="AE127" s="442"/>
      <c r="AF127" s="442"/>
      <c r="AG127" s="442"/>
      <c r="AH127" s="442"/>
      <c r="AI127" s="442"/>
      <c r="AJ127" s="442"/>
      <c r="AK127" s="443"/>
    </row>
    <row r="128" spans="1:37">
      <c r="A128" s="442"/>
      <c r="B128" s="442"/>
      <c r="C128" s="442"/>
      <c r="D128" s="442"/>
      <c r="E128" s="442"/>
      <c r="F128" s="442"/>
      <c r="G128" s="442"/>
      <c r="H128" s="442"/>
      <c r="I128" s="442"/>
      <c r="J128" s="442"/>
      <c r="K128" s="442"/>
      <c r="L128" s="442"/>
      <c r="M128" s="442"/>
      <c r="N128" s="442"/>
      <c r="O128" s="442"/>
      <c r="P128" s="442"/>
      <c r="Q128" s="442"/>
      <c r="R128" s="442"/>
      <c r="S128" s="442"/>
      <c r="T128" s="442"/>
      <c r="U128" s="442"/>
      <c r="V128" s="442"/>
      <c r="W128" s="442"/>
      <c r="X128" s="442"/>
      <c r="Y128" s="442"/>
      <c r="Z128" s="442"/>
      <c r="AA128" s="442"/>
      <c r="AB128" s="442"/>
      <c r="AC128" s="442"/>
      <c r="AD128" s="442"/>
      <c r="AE128" s="442"/>
      <c r="AF128" s="442"/>
      <c r="AG128" s="442"/>
      <c r="AH128" s="442"/>
      <c r="AI128" s="442"/>
      <c r="AJ128" s="442"/>
      <c r="AK128" s="443"/>
    </row>
    <row r="129" spans="1:37">
      <c r="A129" s="442"/>
      <c r="B129" s="442"/>
      <c r="C129" s="442"/>
      <c r="D129" s="442"/>
      <c r="E129" s="442"/>
      <c r="F129" s="442"/>
      <c r="G129" s="442"/>
      <c r="H129" s="442"/>
      <c r="I129" s="442"/>
      <c r="J129" s="442"/>
      <c r="K129" s="442"/>
      <c r="L129" s="442"/>
      <c r="M129" s="442"/>
      <c r="N129" s="442"/>
      <c r="O129" s="442"/>
      <c r="P129" s="442"/>
      <c r="Q129" s="442"/>
      <c r="R129" s="442"/>
      <c r="S129" s="442"/>
      <c r="T129" s="442"/>
      <c r="U129" s="442"/>
      <c r="V129" s="442"/>
      <c r="W129" s="442"/>
      <c r="X129" s="442"/>
      <c r="Y129" s="442"/>
      <c r="Z129" s="442"/>
      <c r="AA129" s="442"/>
      <c r="AB129" s="442"/>
      <c r="AC129" s="442"/>
      <c r="AD129" s="442"/>
      <c r="AE129" s="442"/>
      <c r="AF129" s="442"/>
      <c r="AG129" s="442"/>
      <c r="AH129" s="442"/>
      <c r="AI129" s="442"/>
      <c r="AJ129" s="442"/>
      <c r="AK129" s="443"/>
    </row>
    <row r="130" spans="1:37">
      <c r="A130" s="442"/>
      <c r="B130" s="442"/>
      <c r="C130" s="442"/>
      <c r="D130" s="442"/>
      <c r="E130" s="442"/>
      <c r="F130" s="442"/>
      <c r="G130" s="442"/>
      <c r="H130" s="442"/>
      <c r="I130" s="442"/>
      <c r="J130" s="442"/>
      <c r="K130" s="442"/>
      <c r="L130" s="442"/>
      <c r="M130" s="442"/>
      <c r="N130" s="442"/>
      <c r="O130" s="442"/>
      <c r="P130" s="442"/>
      <c r="Q130" s="442"/>
      <c r="R130" s="442"/>
      <c r="S130" s="442"/>
      <c r="T130" s="442"/>
      <c r="U130" s="442"/>
      <c r="V130" s="442"/>
      <c r="W130" s="442"/>
      <c r="X130" s="442"/>
      <c r="Y130" s="442"/>
      <c r="Z130" s="442"/>
      <c r="AA130" s="442"/>
      <c r="AB130" s="442"/>
      <c r="AC130" s="442"/>
      <c r="AD130" s="442"/>
      <c r="AE130" s="442"/>
      <c r="AF130" s="442"/>
      <c r="AG130" s="442"/>
      <c r="AH130" s="442"/>
      <c r="AI130" s="442"/>
      <c r="AJ130" s="442"/>
      <c r="AK130" s="443"/>
    </row>
    <row r="131" spans="1:37">
      <c r="A131" s="442"/>
      <c r="B131" s="442"/>
      <c r="C131" s="442"/>
      <c r="D131" s="442"/>
      <c r="E131" s="442"/>
      <c r="F131" s="442"/>
      <c r="G131" s="442"/>
      <c r="H131" s="442"/>
      <c r="I131" s="442"/>
      <c r="J131" s="442"/>
      <c r="K131" s="442"/>
      <c r="L131" s="442"/>
      <c r="M131" s="442"/>
      <c r="N131" s="442"/>
      <c r="O131" s="442"/>
      <c r="P131" s="442"/>
      <c r="Q131" s="442"/>
      <c r="R131" s="442"/>
      <c r="S131" s="442"/>
      <c r="T131" s="442"/>
      <c r="U131" s="442"/>
      <c r="V131" s="442"/>
      <c r="W131" s="442"/>
      <c r="X131" s="442"/>
      <c r="Y131" s="442"/>
      <c r="Z131" s="442"/>
      <c r="AA131" s="442"/>
      <c r="AB131" s="442"/>
      <c r="AC131" s="442"/>
      <c r="AD131" s="442"/>
      <c r="AE131" s="442"/>
      <c r="AF131" s="442"/>
      <c r="AG131" s="442"/>
      <c r="AH131" s="442"/>
      <c r="AI131" s="442"/>
      <c r="AJ131" s="442"/>
      <c r="AK131" s="443"/>
    </row>
    <row r="132" spans="1:37">
      <c r="A132" s="442"/>
      <c r="B132" s="442"/>
      <c r="C132" s="442"/>
      <c r="D132" s="442"/>
      <c r="E132" s="442"/>
      <c r="F132" s="442"/>
      <c r="G132" s="442"/>
      <c r="H132" s="442"/>
      <c r="I132" s="442"/>
      <c r="J132" s="442"/>
      <c r="K132" s="442"/>
      <c r="L132" s="442"/>
      <c r="M132" s="442"/>
      <c r="N132" s="442"/>
      <c r="O132" s="442"/>
      <c r="P132" s="442"/>
      <c r="Q132" s="442"/>
      <c r="R132" s="442"/>
      <c r="S132" s="442"/>
      <c r="T132" s="442"/>
      <c r="U132" s="442"/>
      <c r="V132" s="442"/>
      <c r="W132" s="442"/>
      <c r="X132" s="442"/>
      <c r="Y132" s="442"/>
      <c r="Z132" s="442"/>
      <c r="AA132" s="442"/>
      <c r="AB132" s="442"/>
      <c r="AC132" s="442"/>
      <c r="AD132" s="442"/>
      <c r="AE132" s="442"/>
      <c r="AF132" s="442"/>
      <c r="AG132" s="442"/>
      <c r="AH132" s="442"/>
      <c r="AI132" s="442"/>
      <c r="AJ132" s="442"/>
      <c r="AK132" s="443"/>
    </row>
    <row r="133" spans="1:37">
      <c r="A133" s="442"/>
      <c r="B133" s="442"/>
      <c r="C133" s="442"/>
      <c r="D133" s="442"/>
      <c r="E133" s="442"/>
      <c r="F133" s="442"/>
      <c r="G133" s="442"/>
      <c r="H133" s="442"/>
      <c r="I133" s="442"/>
      <c r="J133" s="442"/>
      <c r="K133" s="442"/>
      <c r="L133" s="442"/>
      <c r="M133" s="442"/>
      <c r="N133" s="442"/>
      <c r="O133" s="442"/>
      <c r="P133" s="442"/>
      <c r="Q133" s="442"/>
      <c r="R133" s="442"/>
      <c r="S133" s="442"/>
      <c r="T133" s="442"/>
      <c r="U133" s="442"/>
      <c r="V133" s="442"/>
      <c r="W133" s="442"/>
      <c r="X133" s="442"/>
      <c r="Y133" s="442"/>
      <c r="Z133" s="442"/>
      <c r="AA133" s="442"/>
      <c r="AB133" s="442"/>
      <c r="AC133" s="442"/>
      <c r="AD133" s="442"/>
      <c r="AE133" s="442"/>
      <c r="AF133" s="442"/>
      <c r="AG133" s="442"/>
      <c r="AH133" s="442"/>
      <c r="AI133" s="442"/>
      <c r="AJ133" s="442"/>
      <c r="AK133" s="443"/>
    </row>
    <row r="134" spans="1:37">
      <c r="A134" s="442"/>
      <c r="B134" s="442"/>
      <c r="C134" s="442"/>
      <c r="D134" s="442"/>
      <c r="E134" s="442"/>
      <c r="F134" s="442"/>
      <c r="G134" s="442"/>
      <c r="H134" s="442"/>
      <c r="I134" s="442"/>
      <c r="J134" s="442"/>
      <c r="K134" s="442"/>
      <c r="L134" s="442"/>
      <c r="M134" s="442"/>
      <c r="N134" s="442"/>
      <c r="O134" s="442"/>
      <c r="P134" s="442"/>
      <c r="Q134" s="442"/>
      <c r="R134" s="442"/>
      <c r="S134" s="442"/>
      <c r="T134" s="442"/>
      <c r="U134" s="442"/>
      <c r="V134" s="442"/>
      <c r="W134" s="442"/>
      <c r="X134" s="442"/>
      <c r="Y134" s="442"/>
      <c r="Z134" s="442"/>
      <c r="AA134" s="442"/>
      <c r="AB134" s="442"/>
      <c r="AC134" s="442"/>
      <c r="AD134" s="442"/>
      <c r="AE134" s="442"/>
      <c r="AF134" s="442"/>
      <c r="AG134" s="442"/>
      <c r="AH134" s="442"/>
      <c r="AI134" s="442"/>
      <c r="AJ134" s="442"/>
      <c r="AK134" s="443"/>
    </row>
    <row r="135" spans="1:37">
      <c r="A135" s="442"/>
      <c r="B135" s="442"/>
      <c r="C135" s="442"/>
      <c r="D135" s="442"/>
      <c r="E135" s="442"/>
      <c r="F135" s="442"/>
      <c r="G135" s="442"/>
      <c r="H135" s="442"/>
      <c r="I135" s="442"/>
      <c r="J135" s="442"/>
      <c r="K135" s="442"/>
      <c r="L135" s="442"/>
      <c r="M135" s="442"/>
      <c r="N135" s="442"/>
      <c r="O135" s="442"/>
      <c r="P135" s="442"/>
      <c r="Q135" s="442"/>
      <c r="R135" s="442"/>
      <c r="S135" s="442"/>
      <c r="T135" s="442"/>
      <c r="U135" s="442"/>
      <c r="V135" s="442"/>
      <c r="W135" s="442"/>
      <c r="X135" s="442"/>
      <c r="Y135" s="442"/>
      <c r="Z135" s="442"/>
      <c r="AA135" s="442"/>
      <c r="AB135" s="442"/>
      <c r="AC135" s="442"/>
      <c r="AD135" s="442"/>
      <c r="AE135" s="442"/>
      <c r="AF135" s="442"/>
      <c r="AG135" s="442"/>
      <c r="AH135" s="442"/>
      <c r="AI135" s="442"/>
      <c r="AJ135" s="442"/>
      <c r="AK135" s="443"/>
    </row>
    <row r="136" spans="1:37">
      <c r="A136" s="442"/>
      <c r="B136" s="442"/>
      <c r="C136" s="442"/>
      <c r="D136" s="442"/>
      <c r="E136" s="442"/>
      <c r="F136" s="442"/>
      <c r="G136" s="442"/>
      <c r="H136" s="442"/>
      <c r="I136" s="442"/>
      <c r="J136" s="442"/>
      <c r="K136" s="442"/>
      <c r="L136" s="442"/>
      <c r="M136" s="442"/>
      <c r="N136" s="442"/>
      <c r="O136" s="442"/>
      <c r="P136" s="442"/>
      <c r="Q136" s="442"/>
      <c r="R136" s="442"/>
      <c r="S136" s="442"/>
      <c r="T136" s="442"/>
      <c r="U136" s="442"/>
      <c r="V136" s="442"/>
      <c r="W136" s="442"/>
      <c r="X136" s="442"/>
      <c r="Y136" s="442"/>
      <c r="Z136" s="442"/>
      <c r="AA136" s="442"/>
      <c r="AB136" s="442"/>
      <c r="AC136" s="442"/>
      <c r="AD136" s="442"/>
      <c r="AE136" s="442"/>
      <c r="AF136" s="442"/>
      <c r="AG136" s="442"/>
      <c r="AH136" s="442"/>
      <c r="AI136" s="442"/>
      <c r="AJ136" s="442"/>
      <c r="AK136" s="443"/>
    </row>
    <row r="137" spans="1:37">
      <c r="A137" s="442"/>
      <c r="B137" s="442"/>
      <c r="C137" s="442"/>
      <c r="D137" s="442"/>
      <c r="E137" s="442"/>
      <c r="F137" s="442"/>
      <c r="G137" s="442"/>
      <c r="H137" s="442"/>
      <c r="I137" s="442"/>
      <c r="J137" s="442"/>
      <c r="K137" s="442"/>
      <c r="L137" s="442"/>
      <c r="M137" s="442"/>
      <c r="N137" s="442"/>
      <c r="O137" s="442"/>
      <c r="P137" s="442"/>
      <c r="Q137" s="442"/>
      <c r="R137" s="442"/>
      <c r="S137" s="442"/>
      <c r="T137" s="442"/>
      <c r="U137" s="442"/>
      <c r="V137" s="442"/>
      <c r="W137" s="442"/>
      <c r="X137" s="442"/>
      <c r="Y137" s="442"/>
      <c r="Z137" s="442"/>
      <c r="AA137" s="442"/>
      <c r="AB137" s="442"/>
      <c r="AC137" s="442"/>
      <c r="AD137" s="442"/>
      <c r="AE137" s="442"/>
      <c r="AF137" s="442"/>
      <c r="AG137" s="442"/>
      <c r="AH137" s="442"/>
      <c r="AI137" s="442"/>
      <c r="AJ137" s="442"/>
      <c r="AK137" s="443"/>
    </row>
    <row r="138" spans="1:37">
      <c r="A138" s="442"/>
      <c r="B138" s="442"/>
      <c r="C138" s="442"/>
      <c r="D138" s="442"/>
      <c r="E138" s="442"/>
      <c r="F138" s="442"/>
      <c r="G138" s="442"/>
      <c r="H138" s="442"/>
      <c r="I138" s="442"/>
      <c r="J138" s="442"/>
      <c r="K138" s="442"/>
      <c r="L138" s="442"/>
      <c r="M138" s="442"/>
      <c r="N138" s="442"/>
      <c r="O138" s="442"/>
      <c r="P138" s="442"/>
      <c r="Q138" s="442"/>
      <c r="R138" s="442"/>
      <c r="S138" s="442"/>
      <c r="T138" s="442"/>
      <c r="U138" s="442"/>
      <c r="V138" s="442"/>
      <c r="W138" s="442"/>
      <c r="X138" s="442"/>
      <c r="Y138" s="442"/>
      <c r="Z138" s="442"/>
      <c r="AA138" s="442"/>
      <c r="AB138" s="442"/>
      <c r="AC138" s="442"/>
      <c r="AD138" s="442"/>
      <c r="AE138" s="442"/>
      <c r="AF138" s="442"/>
      <c r="AG138" s="442"/>
      <c r="AH138" s="442"/>
      <c r="AI138" s="442"/>
      <c r="AJ138" s="442"/>
      <c r="AK138" s="443"/>
    </row>
    <row r="139" spans="1:37">
      <c r="A139" s="442"/>
      <c r="B139" s="442"/>
      <c r="C139" s="442"/>
      <c r="D139" s="442"/>
      <c r="E139" s="442"/>
      <c r="F139" s="442"/>
      <c r="G139" s="442"/>
      <c r="H139" s="442"/>
      <c r="I139" s="442"/>
      <c r="J139" s="442"/>
      <c r="K139" s="442"/>
      <c r="L139" s="442"/>
      <c r="M139" s="442"/>
      <c r="N139" s="442"/>
      <c r="O139" s="442"/>
      <c r="P139" s="442"/>
      <c r="Q139" s="442"/>
      <c r="R139" s="442"/>
      <c r="S139" s="442"/>
      <c r="T139" s="442"/>
      <c r="U139" s="442"/>
      <c r="V139" s="442"/>
      <c r="W139" s="442"/>
      <c r="X139" s="442"/>
      <c r="Y139" s="442"/>
      <c r="Z139" s="442"/>
      <c r="AA139" s="442"/>
      <c r="AB139" s="442"/>
      <c r="AC139" s="442"/>
      <c r="AD139" s="442"/>
      <c r="AE139" s="442"/>
      <c r="AF139" s="442"/>
      <c r="AG139" s="442"/>
      <c r="AH139" s="442"/>
      <c r="AI139" s="442"/>
      <c r="AJ139" s="442"/>
      <c r="AK139" s="443"/>
    </row>
    <row r="140" spans="1:37">
      <c r="A140" s="442"/>
      <c r="B140" s="442"/>
      <c r="C140" s="442"/>
      <c r="D140" s="442"/>
      <c r="E140" s="442"/>
      <c r="F140" s="442"/>
      <c r="G140" s="442"/>
      <c r="H140" s="442"/>
      <c r="I140" s="442"/>
      <c r="J140" s="442"/>
      <c r="K140" s="442"/>
      <c r="L140" s="442"/>
      <c r="M140" s="442"/>
      <c r="N140" s="442"/>
      <c r="O140" s="442"/>
      <c r="P140" s="442"/>
      <c r="Q140" s="442"/>
      <c r="R140" s="442"/>
      <c r="S140" s="442"/>
      <c r="T140" s="442"/>
      <c r="U140" s="442"/>
      <c r="V140" s="442"/>
      <c r="W140" s="442"/>
      <c r="X140" s="442"/>
      <c r="Y140" s="442"/>
      <c r="Z140" s="442"/>
      <c r="AA140" s="442"/>
      <c r="AB140" s="442"/>
      <c r="AC140" s="442"/>
      <c r="AD140" s="442"/>
      <c r="AE140" s="442"/>
      <c r="AF140" s="442"/>
      <c r="AG140" s="442"/>
      <c r="AH140" s="442"/>
      <c r="AI140" s="442"/>
      <c r="AJ140" s="442"/>
      <c r="AK140" s="443"/>
    </row>
    <row r="141" spans="1:37">
      <c r="A141" s="442"/>
      <c r="B141" s="442"/>
      <c r="C141" s="442"/>
      <c r="D141" s="442"/>
      <c r="E141" s="442"/>
      <c r="F141" s="442"/>
      <c r="G141" s="442"/>
      <c r="H141" s="442"/>
      <c r="I141" s="442"/>
      <c r="J141" s="442"/>
      <c r="K141" s="442"/>
      <c r="L141" s="442"/>
      <c r="M141" s="442"/>
      <c r="N141" s="442"/>
      <c r="O141" s="442"/>
      <c r="P141" s="442"/>
      <c r="Q141" s="442"/>
      <c r="R141" s="442"/>
      <c r="S141" s="442"/>
      <c r="T141" s="442"/>
      <c r="U141" s="442"/>
      <c r="V141" s="442"/>
      <c r="W141" s="442"/>
      <c r="X141" s="442"/>
      <c r="Y141" s="442"/>
      <c r="Z141" s="442"/>
      <c r="AA141" s="442"/>
      <c r="AB141" s="442"/>
      <c r="AC141" s="442"/>
      <c r="AD141" s="442"/>
      <c r="AE141" s="442"/>
      <c r="AF141" s="442"/>
      <c r="AG141" s="442"/>
      <c r="AH141" s="442"/>
      <c r="AI141" s="442"/>
      <c r="AJ141" s="442"/>
      <c r="AK141" s="443"/>
    </row>
    <row r="142" spans="1:37">
      <c r="A142" s="442"/>
      <c r="B142" s="442"/>
      <c r="C142" s="442"/>
      <c r="D142" s="442"/>
      <c r="E142" s="442"/>
      <c r="F142" s="442"/>
      <c r="G142" s="442"/>
      <c r="H142" s="442"/>
      <c r="I142" s="442"/>
      <c r="J142" s="442"/>
      <c r="K142" s="442"/>
      <c r="L142" s="442"/>
      <c r="M142" s="442"/>
      <c r="N142" s="442"/>
      <c r="O142" s="442"/>
      <c r="P142" s="442"/>
      <c r="Q142" s="442"/>
      <c r="R142" s="442"/>
      <c r="S142" s="442"/>
      <c r="T142" s="442"/>
      <c r="U142" s="442"/>
      <c r="V142" s="442"/>
      <c r="W142" s="442"/>
      <c r="X142" s="442"/>
      <c r="Y142" s="442"/>
      <c r="Z142" s="442"/>
      <c r="AA142" s="442"/>
      <c r="AB142" s="442"/>
      <c r="AC142" s="442"/>
      <c r="AD142" s="442"/>
      <c r="AE142" s="442"/>
      <c r="AF142" s="442"/>
      <c r="AG142" s="442"/>
      <c r="AH142" s="442"/>
      <c r="AI142" s="442"/>
      <c r="AJ142" s="442"/>
      <c r="AK142" s="443"/>
    </row>
    <row r="143" spans="1:37">
      <c r="A143" s="442"/>
      <c r="B143" s="442"/>
      <c r="C143" s="442"/>
      <c r="D143" s="442"/>
      <c r="E143" s="442"/>
      <c r="F143" s="442"/>
      <c r="G143" s="442"/>
      <c r="H143" s="442"/>
      <c r="I143" s="442"/>
      <c r="J143" s="442"/>
      <c r="K143" s="442"/>
      <c r="L143" s="442"/>
      <c r="M143" s="442"/>
      <c r="N143" s="442"/>
      <c r="O143" s="442"/>
      <c r="P143" s="442"/>
      <c r="Q143" s="442"/>
      <c r="R143" s="442"/>
      <c r="S143" s="442"/>
      <c r="T143" s="442"/>
      <c r="U143" s="442"/>
      <c r="V143" s="442"/>
      <c r="W143" s="442"/>
      <c r="X143" s="442"/>
      <c r="Y143" s="442"/>
      <c r="Z143" s="442"/>
      <c r="AA143" s="442"/>
      <c r="AB143" s="442"/>
      <c r="AC143" s="442"/>
      <c r="AD143" s="442"/>
      <c r="AE143" s="442"/>
      <c r="AF143" s="442"/>
      <c r="AG143" s="442"/>
      <c r="AH143" s="442"/>
      <c r="AI143" s="442"/>
      <c r="AJ143" s="442"/>
      <c r="AK143" s="443"/>
    </row>
    <row r="144" spans="1:37">
      <c r="A144" s="442"/>
      <c r="B144" s="442"/>
      <c r="C144" s="442"/>
      <c r="D144" s="442"/>
      <c r="E144" s="442"/>
      <c r="F144" s="442"/>
      <c r="G144" s="442"/>
      <c r="H144" s="442"/>
      <c r="I144" s="442"/>
      <c r="J144" s="442"/>
      <c r="K144" s="442"/>
      <c r="L144" s="442"/>
      <c r="M144" s="442"/>
      <c r="N144" s="442"/>
      <c r="O144" s="442"/>
      <c r="P144" s="442"/>
      <c r="Q144" s="442"/>
      <c r="R144" s="442"/>
      <c r="S144" s="442"/>
      <c r="T144" s="442"/>
      <c r="U144" s="442"/>
      <c r="V144" s="442"/>
      <c r="W144" s="442"/>
      <c r="X144" s="442"/>
      <c r="Y144" s="442"/>
      <c r="Z144" s="442"/>
      <c r="AA144" s="442"/>
      <c r="AB144" s="442"/>
      <c r="AC144" s="442"/>
      <c r="AD144" s="442"/>
      <c r="AE144" s="442"/>
      <c r="AF144" s="442"/>
      <c r="AG144" s="442"/>
      <c r="AH144" s="442"/>
      <c r="AI144" s="442"/>
      <c r="AJ144" s="442"/>
      <c r="AK144" s="443"/>
    </row>
    <row r="145" spans="1:37">
      <c r="A145" s="442"/>
      <c r="B145" s="442"/>
      <c r="C145" s="442"/>
      <c r="D145" s="442"/>
      <c r="E145" s="442"/>
      <c r="F145" s="442"/>
      <c r="G145" s="442"/>
      <c r="H145" s="442"/>
      <c r="I145" s="442"/>
      <c r="J145" s="442"/>
      <c r="K145" s="442"/>
      <c r="L145" s="442"/>
      <c r="M145" s="442"/>
      <c r="N145" s="442"/>
      <c r="O145" s="442"/>
      <c r="P145" s="442"/>
      <c r="Q145" s="442"/>
      <c r="R145" s="442"/>
      <c r="S145" s="442"/>
      <c r="T145" s="442"/>
      <c r="U145" s="442"/>
      <c r="V145" s="442"/>
      <c r="W145" s="442"/>
      <c r="X145" s="442"/>
      <c r="Y145" s="442"/>
      <c r="Z145" s="442"/>
      <c r="AA145" s="442"/>
      <c r="AB145" s="442"/>
      <c r="AC145" s="442"/>
      <c r="AD145" s="442"/>
      <c r="AE145" s="442"/>
      <c r="AF145" s="442"/>
      <c r="AG145" s="442"/>
      <c r="AH145" s="442"/>
      <c r="AI145" s="442"/>
      <c r="AJ145" s="442"/>
      <c r="AK145" s="443"/>
    </row>
    <row r="146" spans="1:37">
      <c r="A146" s="442"/>
      <c r="B146" s="442"/>
      <c r="C146" s="442"/>
      <c r="D146" s="442"/>
      <c r="E146" s="442"/>
      <c r="F146" s="442"/>
      <c r="G146" s="442"/>
      <c r="H146" s="442"/>
      <c r="I146" s="442"/>
      <c r="J146" s="442"/>
      <c r="K146" s="442"/>
      <c r="L146" s="442"/>
      <c r="M146" s="442"/>
      <c r="N146" s="442"/>
      <c r="O146" s="442"/>
      <c r="P146" s="442"/>
      <c r="Q146" s="442"/>
      <c r="R146" s="442"/>
      <c r="S146" s="442"/>
      <c r="T146" s="442"/>
      <c r="U146" s="442"/>
      <c r="V146" s="442"/>
      <c r="W146" s="442"/>
      <c r="X146" s="442"/>
      <c r="Y146" s="442"/>
      <c r="Z146" s="442"/>
      <c r="AA146" s="442"/>
      <c r="AB146" s="442"/>
      <c r="AC146" s="442"/>
      <c r="AD146" s="442"/>
      <c r="AE146" s="442"/>
      <c r="AF146" s="442"/>
      <c r="AG146" s="442"/>
      <c r="AH146" s="442"/>
      <c r="AI146" s="442"/>
      <c r="AJ146" s="442"/>
      <c r="AK146" s="443"/>
    </row>
    <row r="147" spans="1:37">
      <c r="A147" s="442"/>
      <c r="B147" s="442"/>
      <c r="C147" s="442"/>
      <c r="D147" s="442"/>
      <c r="E147" s="442"/>
      <c r="F147" s="442"/>
      <c r="G147" s="442"/>
      <c r="H147" s="442"/>
      <c r="I147" s="442"/>
      <c r="J147" s="442"/>
      <c r="K147" s="442"/>
      <c r="L147" s="442"/>
      <c r="M147" s="442"/>
      <c r="N147" s="442"/>
      <c r="O147" s="442"/>
      <c r="P147" s="442"/>
      <c r="Q147" s="442"/>
      <c r="R147" s="442"/>
      <c r="S147" s="442"/>
      <c r="T147" s="442"/>
      <c r="U147" s="442"/>
      <c r="V147" s="442"/>
      <c r="W147" s="442"/>
      <c r="X147" s="442"/>
      <c r="Y147" s="442"/>
      <c r="Z147" s="442"/>
      <c r="AA147" s="442"/>
      <c r="AB147" s="442"/>
      <c r="AC147" s="442"/>
      <c r="AD147" s="442"/>
      <c r="AE147" s="442"/>
      <c r="AF147" s="442"/>
      <c r="AG147" s="442"/>
      <c r="AH147" s="442"/>
      <c r="AI147" s="442"/>
      <c r="AJ147" s="442"/>
      <c r="AK147" s="443"/>
    </row>
    <row r="148" spans="1:37">
      <c r="A148" s="442"/>
      <c r="B148" s="442"/>
      <c r="C148" s="442"/>
      <c r="D148" s="442"/>
      <c r="E148" s="442"/>
      <c r="F148" s="442"/>
      <c r="G148" s="442"/>
      <c r="H148" s="442"/>
      <c r="I148" s="442"/>
      <c r="J148" s="442"/>
      <c r="K148" s="442"/>
      <c r="L148" s="442"/>
      <c r="M148" s="442"/>
      <c r="N148" s="442"/>
      <c r="O148" s="442"/>
      <c r="P148" s="442"/>
      <c r="Q148" s="442"/>
      <c r="R148" s="442"/>
      <c r="S148" s="442"/>
      <c r="T148" s="442"/>
      <c r="U148" s="442"/>
      <c r="V148" s="442"/>
      <c r="W148" s="442"/>
      <c r="X148" s="442"/>
      <c r="Y148" s="442"/>
      <c r="Z148" s="442"/>
      <c r="AA148" s="442"/>
      <c r="AB148" s="442"/>
      <c r="AC148" s="442"/>
      <c r="AD148" s="442"/>
      <c r="AE148" s="442"/>
      <c r="AF148" s="442"/>
      <c r="AG148" s="442"/>
      <c r="AH148" s="442"/>
      <c r="AI148" s="442"/>
      <c r="AJ148" s="442"/>
      <c r="AK148" s="443"/>
    </row>
    <row r="149" spans="1:37">
      <c r="A149" s="442"/>
      <c r="B149" s="442"/>
      <c r="C149" s="442"/>
      <c r="D149" s="442"/>
      <c r="E149" s="442"/>
      <c r="F149" s="442"/>
      <c r="G149" s="442"/>
      <c r="H149" s="442"/>
      <c r="I149" s="442"/>
      <c r="J149" s="442"/>
      <c r="K149" s="442"/>
      <c r="L149" s="442"/>
      <c r="M149" s="442"/>
      <c r="N149" s="442"/>
      <c r="O149" s="442"/>
      <c r="P149" s="442"/>
      <c r="Q149" s="442"/>
      <c r="R149" s="442"/>
      <c r="S149" s="442"/>
      <c r="T149" s="442"/>
      <c r="U149" s="442"/>
      <c r="V149" s="442"/>
      <c r="W149" s="442"/>
      <c r="X149" s="442"/>
      <c r="Y149" s="442"/>
      <c r="Z149" s="442"/>
      <c r="AA149" s="442"/>
      <c r="AB149" s="442"/>
      <c r="AC149" s="442"/>
      <c r="AD149" s="442"/>
      <c r="AE149" s="442"/>
      <c r="AF149" s="442"/>
      <c r="AG149" s="442"/>
      <c r="AH149" s="442"/>
      <c r="AI149" s="442"/>
      <c r="AJ149" s="442"/>
      <c r="AK149" s="443"/>
    </row>
    <row r="150" spans="1:37">
      <c r="A150" s="442"/>
      <c r="B150" s="442"/>
      <c r="C150" s="442"/>
      <c r="D150" s="442"/>
      <c r="E150" s="442"/>
      <c r="F150" s="442"/>
      <c r="G150" s="442"/>
      <c r="H150" s="442"/>
      <c r="I150" s="442"/>
      <c r="J150" s="442"/>
      <c r="K150" s="442"/>
      <c r="L150" s="442"/>
      <c r="M150" s="442"/>
      <c r="N150" s="442"/>
      <c r="O150" s="442"/>
      <c r="P150" s="442"/>
      <c r="Q150" s="442"/>
      <c r="R150" s="442"/>
      <c r="S150" s="442"/>
      <c r="T150" s="442"/>
      <c r="U150" s="442"/>
      <c r="V150" s="442"/>
      <c r="W150" s="442"/>
      <c r="X150" s="442"/>
      <c r="Y150" s="442"/>
      <c r="Z150" s="442"/>
      <c r="AA150" s="442"/>
      <c r="AB150" s="442"/>
      <c r="AC150" s="442"/>
      <c r="AD150" s="442"/>
      <c r="AE150" s="442"/>
      <c r="AF150" s="442"/>
      <c r="AG150" s="442"/>
      <c r="AH150" s="442"/>
      <c r="AI150" s="442"/>
      <c r="AJ150" s="442"/>
      <c r="AK150" s="443"/>
    </row>
    <row r="151" spans="1:37">
      <c r="A151" s="442"/>
      <c r="B151" s="442"/>
      <c r="C151" s="442"/>
      <c r="D151" s="442"/>
      <c r="E151" s="442"/>
      <c r="F151" s="442"/>
      <c r="G151" s="442"/>
      <c r="H151" s="442"/>
      <c r="I151" s="442"/>
      <c r="J151" s="442"/>
      <c r="K151" s="442"/>
      <c r="L151" s="442"/>
      <c r="M151" s="442"/>
      <c r="N151" s="442"/>
      <c r="O151" s="442"/>
      <c r="P151" s="442"/>
      <c r="Q151" s="442"/>
      <c r="R151" s="442"/>
      <c r="S151" s="442"/>
      <c r="T151" s="442"/>
      <c r="U151" s="442"/>
      <c r="V151" s="442"/>
      <c r="W151" s="442"/>
      <c r="X151" s="442"/>
      <c r="Y151" s="442"/>
      <c r="Z151" s="442"/>
      <c r="AA151" s="442"/>
      <c r="AB151" s="442"/>
      <c r="AC151" s="442"/>
      <c r="AD151" s="442"/>
      <c r="AE151" s="442"/>
      <c r="AF151" s="442"/>
      <c r="AG151" s="442"/>
      <c r="AH151" s="442"/>
      <c r="AI151" s="442"/>
      <c r="AJ151" s="442"/>
      <c r="AK151" s="443"/>
    </row>
    <row r="152" spans="1:37">
      <c r="A152" s="442"/>
      <c r="B152" s="442"/>
      <c r="C152" s="442"/>
      <c r="D152" s="442"/>
      <c r="E152" s="442"/>
      <c r="F152" s="442"/>
      <c r="G152" s="442"/>
      <c r="H152" s="442"/>
      <c r="I152" s="442"/>
      <c r="J152" s="442"/>
      <c r="K152" s="442"/>
      <c r="L152" s="442"/>
      <c r="M152" s="442"/>
      <c r="N152" s="442"/>
      <c r="O152" s="442"/>
      <c r="P152" s="442"/>
      <c r="Q152" s="442"/>
      <c r="R152" s="442"/>
      <c r="S152" s="442"/>
      <c r="T152" s="442"/>
      <c r="U152" s="442"/>
      <c r="V152" s="442"/>
      <c r="W152" s="442"/>
      <c r="X152" s="442"/>
      <c r="Y152" s="442"/>
      <c r="Z152" s="442"/>
      <c r="AA152" s="442"/>
      <c r="AB152" s="442"/>
      <c r="AC152" s="442"/>
      <c r="AD152" s="442"/>
      <c r="AE152" s="442"/>
      <c r="AF152" s="442"/>
      <c r="AG152" s="442"/>
      <c r="AH152" s="442"/>
      <c r="AI152" s="442"/>
      <c r="AJ152" s="442"/>
      <c r="AK152" s="443"/>
    </row>
    <row r="153" spans="1:37">
      <c r="A153" s="442"/>
      <c r="B153" s="442"/>
      <c r="C153" s="442"/>
      <c r="D153" s="442"/>
      <c r="E153" s="442"/>
      <c r="F153" s="442"/>
      <c r="G153" s="442"/>
      <c r="H153" s="442"/>
      <c r="I153" s="442"/>
      <c r="J153" s="442"/>
      <c r="K153" s="442"/>
      <c r="L153" s="442"/>
      <c r="M153" s="442"/>
      <c r="N153" s="442"/>
      <c r="O153" s="442"/>
      <c r="P153" s="442"/>
      <c r="Q153" s="442"/>
      <c r="R153" s="442"/>
      <c r="S153" s="442"/>
      <c r="T153" s="442"/>
      <c r="U153" s="442"/>
      <c r="V153" s="442"/>
      <c r="W153" s="442"/>
      <c r="X153" s="442"/>
      <c r="Y153" s="442"/>
      <c r="Z153" s="442"/>
      <c r="AA153" s="442"/>
      <c r="AB153" s="442"/>
      <c r="AC153" s="442"/>
      <c r="AD153" s="442"/>
      <c r="AE153" s="442"/>
      <c r="AF153" s="442"/>
      <c r="AG153" s="442"/>
      <c r="AH153" s="442"/>
      <c r="AI153" s="442"/>
      <c r="AJ153" s="442"/>
      <c r="AK153" s="443"/>
    </row>
    <row r="154" spans="1:37">
      <c r="A154" s="443"/>
      <c r="B154" s="443"/>
      <c r="C154" s="443"/>
      <c r="D154" s="443"/>
      <c r="E154" s="443"/>
      <c r="F154" s="443"/>
      <c r="G154" s="443"/>
      <c r="H154" s="443"/>
      <c r="I154" s="443"/>
      <c r="J154" s="443"/>
      <c r="K154" s="443"/>
      <c r="L154" s="443"/>
      <c r="M154" s="443"/>
      <c r="N154" s="443"/>
      <c r="O154" s="443"/>
      <c r="P154" s="443"/>
      <c r="Q154" s="443"/>
      <c r="R154" s="443"/>
      <c r="S154" s="443"/>
      <c r="T154" s="443"/>
      <c r="U154" s="443"/>
      <c r="V154" s="443"/>
      <c r="W154" s="443"/>
      <c r="X154" s="443"/>
      <c r="Y154" s="443"/>
      <c r="Z154" s="443"/>
      <c r="AA154" s="443"/>
      <c r="AB154" s="443"/>
      <c r="AC154" s="443"/>
      <c r="AD154" s="443"/>
      <c r="AE154" s="443"/>
      <c r="AF154" s="443"/>
      <c r="AG154" s="443"/>
      <c r="AH154" s="443"/>
      <c r="AI154" s="443"/>
      <c r="AJ154" s="443"/>
      <c r="AK154" s="443"/>
    </row>
    <row r="155" spans="1:37">
      <c r="A155" s="443"/>
      <c r="B155" s="443"/>
      <c r="C155" s="443"/>
      <c r="D155" s="443"/>
      <c r="E155" s="443"/>
      <c r="F155" s="443"/>
      <c r="G155" s="443"/>
      <c r="H155" s="443"/>
      <c r="I155" s="443"/>
      <c r="J155" s="443"/>
      <c r="K155" s="443"/>
      <c r="L155" s="443"/>
      <c r="M155" s="443"/>
      <c r="N155" s="443"/>
      <c r="O155" s="443"/>
      <c r="P155" s="443"/>
      <c r="Q155" s="443"/>
      <c r="R155" s="443"/>
      <c r="S155" s="443"/>
      <c r="T155" s="443"/>
      <c r="U155" s="443"/>
      <c r="V155" s="443"/>
      <c r="W155" s="443"/>
      <c r="X155" s="443"/>
      <c r="Y155" s="443"/>
      <c r="Z155" s="443"/>
      <c r="AA155" s="443"/>
      <c r="AB155" s="443"/>
      <c r="AC155" s="443"/>
      <c r="AD155" s="443"/>
      <c r="AE155" s="443"/>
      <c r="AF155" s="443"/>
      <c r="AG155" s="443"/>
      <c r="AH155" s="443"/>
      <c r="AI155" s="443"/>
      <c r="AJ155" s="443"/>
      <c r="AK155" s="443"/>
    </row>
    <row r="156" spans="1:37">
      <c r="A156" s="443"/>
      <c r="B156" s="443"/>
      <c r="C156" s="443"/>
      <c r="D156" s="443"/>
      <c r="E156" s="443"/>
      <c r="F156" s="443"/>
      <c r="G156" s="443"/>
      <c r="H156" s="443"/>
      <c r="I156" s="443"/>
      <c r="J156" s="443"/>
      <c r="K156" s="443"/>
      <c r="L156" s="443"/>
      <c r="M156" s="443"/>
      <c r="N156" s="443"/>
      <c r="O156" s="443"/>
      <c r="P156" s="443"/>
      <c r="Q156" s="443"/>
      <c r="R156" s="443"/>
      <c r="S156" s="443"/>
      <c r="T156" s="443"/>
      <c r="U156" s="443"/>
      <c r="V156" s="443"/>
      <c r="W156" s="443"/>
      <c r="X156" s="443"/>
      <c r="Y156" s="443"/>
      <c r="Z156" s="443"/>
      <c r="AA156" s="443"/>
      <c r="AB156" s="443"/>
      <c r="AC156" s="443"/>
      <c r="AD156" s="443"/>
      <c r="AE156" s="443"/>
      <c r="AF156" s="443"/>
      <c r="AG156" s="443"/>
      <c r="AH156" s="443"/>
      <c r="AI156" s="443"/>
      <c r="AJ156" s="443"/>
      <c r="AK156" s="443"/>
    </row>
    <row r="157" spans="1:37">
      <c r="A157" s="443"/>
      <c r="B157" s="443"/>
      <c r="C157" s="443"/>
      <c r="D157" s="443"/>
      <c r="E157" s="443"/>
      <c r="F157" s="443"/>
      <c r="G157" s="443"/>
      <c r="H157" s="443"/>
      <c r="I157" s="443"/>
      <c r="J157" s="443"/>
      <c r="K157" s="443"/>
      <c r="L157" s="443"/>
      <c r="M157" s="443"/>
      <c r="N157" s="443"/>
      <c r="O157" s="443"/>
      <c r="P157" s="443"/>
      <c r="Q157" s="443"/>
      <c r="R157" s="443"/>
      <c r="S157" s="443"/>
      <c r="T157" s="443"/>
      <c r="U157" s="443"/>
      <c r="V157" s="443"/>
      <c r="W157" s="443"/>
      <c r="X157" s="443"/>
      <c r="Y157" s="443"/>
      <c r="Z157" s="443"/>
      <c r="AA157" s="443"/>
      <c r="AB157" s="443"/>
      <c r="AC157" s="443"/>
      <c r="AD157" s="443"/>
      <c r="AE157" s="443"/>
      <c r="AF157" s="443"/>
      <c r="AG157" s="443"/>
      <c r="AH157" s="443"/>
      <c r="AI157" s="443"/>
      <c r="AJ157" s="443"/>
      <c r="AK157" s="443"/>
    </row>
    <row r="158" spans="1:37">
      <c r="A158" s="443"/>
      <c r="B158" s="443"/>
      <c r="C158" s="443"/>
      <c r="D158" s="443"/>
      <c r="E158" s="443"/>
      <c r="F158" s="443"/>
      <c r="G158" s="443"/>
      <c r="H158" s="443"/>
      <c r="I158" s="443"/>
      <c r="J158" s="443"/>
      <c r="K158" s="443"/>
      <c r="L158" s="443"/>
      <c r="M158" s="443"/>
      <c r="N158" s="443"/>
      <c r="O158" s="443"/>
      <c r="P158" s="443"/>
      <c r="Q158" s="443"/>
      <c r="R158" s="443"/>
      <c r="S158" s="443"/>
      <c r="T158" s="443"/>
      <c r="U158" s="443"/>
      <c r="V158" s="443"/>
      <c r="W158" s="443"/>
      <c r="X158" s="443"/>
      <c r="Y158" s="443"/>
      <c r="Z158" s="443"/>
      <c r="AA158" s="443"/>
      <c r="AB158" s="443"/>
      <c r="AC158" s="443"/>
      <c r="AD158" s="443"/>
      <c r="AE158" s="443"/>
      <c r="AF158" s="443"/>
      <c r="AG158" s="443"/>
      <c r="AH158" s="443"/>
      <c r="AI158" s="443"/>
      <c r="AJ158" s="443"/>
      <c r="AK158" s="443"/>
    </row>
    <row r="159" spans="1:37">
      <c r="A159" s="443"/>
      <c r="B159" s="443"/>
      <c r="C159" s="443"/>
      <c r="D159" s="443"/>
      <c r="E159" s="443"/>
      <c r="F159" s="443"/>
      <c r="G159" s="443"/>
      <c r="H159" s="443"/>
      <c r="I159" s="443"/>
      <c r="J159" s="443"/>
      <c r="K159" s="443"/>
      <c r="L159" s="443"/>
      <c r="M159" s="443"/>
      <c r="N159" s="443"/>
      <c r="O159" s="443"/>
      <c r="P159" s="443"/>
      <c r="Q159" s="443"/>
      <c r="R159" s="443"/>
      <c r="S159" s="443"/>
      <c r="T159" s="443"/>
      <c r="U159" s="443"/>
      <c r="V159" s="443"/>
      <c r="W159" s="443"/>
      <c r="X159" s="443"/>
      <c r="Y159" s="443"/>
      <c r="Z159" s="443"/>
      <c r="AA159" s="443"/>
      <c r="AB159" s="443"/>
      <c r="AC159" s="443"/>
      <c r="AD159" s="443"/>
      <c r="AE159" s="443"/>
      <c r="AF159" s="443"/>
      <c r="AG159" s="443"/>
      <c r="AH159" s="443"/>
      <c r="AI159" s="443"/>
      <c r="AJ159" s="443"/>
      <c r="AK159" s="443"/>
    </row>
    <row r="160" spans="1:37">
      <c r="A160" s="443"/>
      <c r="B160" s="443"/>
      <c r="C160" s="443"/>
      <c r="D160" s="443"/>
      <c r="E160" s="443"/>
      <c r="F160" s="443"/>
      <c r="G160" s="443"/>
      <c r="H160" s="443"/>
      <c r="I160" s="443"/>
      <c r="J160" s="443"/>
      <c r="K160" s="443"/>
      <c r="L160" s="443"/>
      <c r="M160" s="443"/>
      <c r="N160" s="443"/>
      <c r="O160" s="443"/>
      <c r="P160" s="443"/>
      <c r="Q160" s="443"/>
      <c r="R160" s="443"/>
      <c r="S160" s="443"/>
      <c r="T160" s="443"/>
      <c r="U160" s="443"/>
      <c r="V160" s="443"/>
      <c r="W160" s="443"/>
      <c r="X160" s="443"/>
      <c r="Y160" s="443"/>
      <c r="Z160" s="443"/>
      <c r="AA160" s="443"/>
      <c r="AB160" s="443"/>
      <c r="AC160" s="443"/>
      <c r="AD160" s="443"/>
      <c r="AE160" s="443"/>
      <c r="AF160" s="443"/>
      <c r="AG160" s="443"/>
      <c r="AH160" s="443"/>
      <c r="AI160" s="443"/>
      <c r="AJ160" s="443"/>
      <c r="AK160" s="443"/>
    </row>
    <row r="161" spans="1:37">
      <c r="A161" s="443"/>
      <c r="B161" s="443"/>
      <c r="C161" s="443"/>
      <c r="D161" s="443"/>
      <c r="E161" s="443"/>
      <c r="F161" s="443"/>
      <c r="G161" s="443"/>
      <c r="H161" s="443"/>
      <c r="I161" s="443"/>
      <c r="J161" s="443"/>
      <c r="K161" s="443"/>
      <c r="L161" s="443"/>
      <c r="M161" s="443"/>
      <c r="N161" s="443"/>
      <c r="O161" s="443"/>
      <c r="P161" s="443"/>
      <c r="Q161" s="443"/>
      <c r="R161" s="443"/>
      <c r="S161" s="443"/>
      <c r="T161" s="443"/>
      <c r="U161" s="443"/>
      <c r="V161" s="443"/>
      <c r="W161" s="443"/>
      <c r="X161" s="443"/>
      <c r="Y161" s="443"/>
      <c r="Z161" s="443"/>
      <c r="AA161" s="443"/>
      <c r="AB161" s="443"/>
      <c r="AC161" s="443"/>
      <c r="AD161" s="443"/>
      <c r="AE161" s="443"/>
      <c r="AF161" s="443"/>
      <c r="AG161" s="443"/>
      <c r="AH161" s="443"/>
      <c r="AI161" s="443"/>
      <c r="AJ161" s="443"/>
      <c r="AK161" s="443"/>
    </row>
    <row r="162" spans="1:37">
      <c r="A162" s="443"/>
      <c r="B162" s="443"/>
      <c r="C162" s="443"/>
      <c r="D162" s="443"/>
      <c r="E162" s="443"/>
      <c r="F162" s="443"/>
      <c r="G162" s="443"/>
      <c r="H162" s="443"/>
      <c r="I162" s="443"/>
      <c r="J162" s="443"/>
      <c r="K162" s="443"/>
      <c r="L162" s="443"/>
      <c r="M162" s="443"/>
      <c r="N162" s="443"/>
      <c r="O162" s="443"/>
      <c r="P162" s="443"/>
      <c r="Q162" s="443"/>
      <c r="R162" s="443"/>
      <c r="S162" s="443"/>
      <c r="T162" s="443"/>
      <c r="U162" s="443"/>
      <c r="V162" s="443"/>
      <c r="W162" s="443"/>
      <c r="X162" s="443"/>
      <c r="Y162" s="443"/>
      <c r="Z162" s="443"/>
      <c r="AA162" s="443"/>
      <c r="AB162" s="443"/>
      <c r="AC162" s="443"/>
      <c r="AD162" s="443"/>
      <c r="AE162" s="443"/>
      <c r="AF162" s="443"/>
      <c r="AG162" s="443"/>
      <c r="AH162" s="443"/>
      <c r="AI162" s="443"/>
      <c r="AJ162" s="443"/>
      <c r="AK162" s="443"/>
    </row>
    <row r="163" spans="1:37">
      <c r="A163" s="443"/>
      <c r="B163" s="443"/>
      <c r="C163" s="443"/>
      <c r="D163" s="443"/>
      <c r="E163" s="443"/>
      <c r="F163" s="443"/>
      <c r="G163" s="443"/>
      <c r="H163" s="443"/>
      <c r="I163" s="443"/>
      <c r="J163" s="443"/>
      <c r="K163" s="443"/>
      <c r="L163" s="443"/>
      <c r="M163" s="443"/>
      <c r="N163" s="443"/>
      <c r="O163" s="443"/>
      <c r="P163" s="443"/>
      <c r="Q163" s="443"/>
      <c r="R163" s="443"/>
      <c r="S163" s="443"/>
      <c r="T163" s="443"/>
      <c r="U163" s="443"/>
      <c r="V163" s="443"/>
      <c r="W163" s="443"/>
      <c r="X163" s="443"/>
      <c r="Y163" s="443"/>
      <c r="Z163" s="443"/>
      <c r="AA163" s="443"/>
      <c r="AB163" s="443"/>
      <c r="AC163" s="443"/>
      <c r="AD163" s="443"/>
      <c r="AE163" s="443"/>
      <c r="AF163" s="443"/>
      <c r="AG163" s="443"/>
      <c r="AH163" s="443"/>
      <c r="AI163" s="443"/>
      <c r="AJ163" s="443"/>
      <c r="AK163" s="443"/>
    </row>
    <row r="164" spans="1:37">
      <c r="A164" s="443"/>
      <c r="B164" s="443"/>
      <c r="C164" s="443"/>
      <c r="D164" s="443"/>
      <c r="E164" s="443"/>
      <c r="F164" s="443"/>
      <c r="G164" s="443"/>
      <c r="H164" s="443"/>
      <c r="I164" s="443"/>
      <c r="J164" s="443"/>
      <c r="K164" s="443"/>
      <c r="L164" s="443"/>
      <c r="M164" s="443"/>
      <c r="N164" s="443"/>
      <c r="O164" s="443"/>
      <c r="P164" s="443"/>
      <c r="Q164" s="443"/>
      <c r="R164" s="443"/>
      <c r="S164" s="443"/>
      <c r="T164" s="443"/>
      <c r="U164" s="443"/>
      <c r="V164" s="443"/>
      <c r="W164" s="443"/>
      <c r="X164" s="443"/>
      <c r="Y164" s="443"/>
      <c r="Z164" s="443"/>
      <c r="AA164" s="443"/>
      <c r="AB164" s="443"/>
      <c r="AC164" s="443"/>
      <c r="AD164" s="443"/>
      <c r="AE164" s="443"/>
      <c r="AF164" s="443"/>
      <c r="AG164" s="443"/>
      <c r="AH164" s="443"/>
      <c r="AI164" s="443"/>
      <c r="AJ164" s="443"/>
      <c r="AK164" s="443"/>
    </row>
    <row r="165" spans="1:37">
      <c r="A165" s="443"/>
      <c r="B165" s="443"/>
      <c r="C165" s="443"/>
      <c r="D165" s="443"/>
      <c r="E165" s="443"/>
      <c r="F165" s="443"/>
      <c r="G165" s="443"/>
      <c r="H165" s="443"/>
      <c r="I165" s="443"/>
      <c r="J165" s="443"/>
      <c r="K165" s="443"/>
      <c r="L165" s="443"/>
      <c r="M165" s="443"/>
      <c r="N165" s="443"/>
      <c r="O165" s="443"/>
      <c r="P165" s="443"/>
      <c r="Q165" s="443"/>
      <c r="R165" s="443"/>
      <c r="S165" s="443"/>
      <c r="T165" s="443"/>
      <c r="U165" s="443"/>
      <c r="V165" s="443"/>
      <c r="W165" s="443"/>
      <c r="X165" s="443"/>
      <c r="Y165" s="443"/>
      <c r="Z165" s="443"/>
      <c r="AA165" s="443"/>
      <c r="AB165" s="443"/>
      <c r="AC165" s="443"/>
      <c r="AD165" s="443"/>
      <c r="AE165" s="443"/>
      <c r="AF165" s="443"/>
      <c r="AG165" s="443"/>
      <c r="AH165" s="443"/>
      <c r="AI165" s="443"/>
      <c r="AJ165" s="443"/>
      <c r="AK165" s="443"/>
    </row>
    <row r="166" spans="1:37">
      <c r="A166" s="443"/>
      <c r="B166" s="443"/>
      <c r="C166" s="443"/>
      <c r="D166" s="443"/>
      <c r="E166" s="443"/>
      <c r="F166" s="443"/>
      <c r="G166" s="443"/>
      <c r="H166" s="443"/>
      <c r="I166" s="443"/>
      <c r="J166" s="443"/>
      <c r="K166" s="443"/>
      <c r="L166" s="443"/>
      <c r="M166" s="443"/>
      <c r="N166" s="443"/>
      <c r="O166" s="443"/>
      <c r="P166" s="443"/>
      <c r="Q166" s="443"/>
      <c r="R166" s="443"/>
      <c r="S166" s="443"/>
      <c r="T166" s="443"/>
      <c r="U166" s="443"/>
      <c r="V166" s="443"/>
      <c r="W166" s="443"/>
      <c r="X166" s="443"/>
      <c r="Y166" s="443"/>
      <c r="Z166" s="443"/>
      <c r="AA166" s="443"/>
      <c r="AB166" s="443"/>
      <c r="AC166" s="443"/>
      <c r="AD166" s="443"/>
      <c r="AE166" s="443"/>
      <c r="AF166" s="443"/>
      <c r="AG166" s="443"/>
      <c r="AH166" s="443"/>
      <c r="AI166" s="443"/>
      <c r="AJ166" s="443"/>
      <c r="AK166" s="443"/>
    </row>
    <row r="167" spans="1:37">
      <c r="A167" s="443"/>
      <c r="B167" s="443"/>
      <c r="C167" s="443"/>
      <c r="D167" s="443"/>
      <c r="E167" s="443"/>
      <c r="F167" s="443"/>
      <c r="G167" s="443"/>
      <c r="H167" s="443"/>
      <c r="I167" s="443"/>
      <c r="J167" s="443"/>
      <c r="K167" s="443"/>
      <c r="L167" s="443"/>
      <c r="M167" s="443"/>
      <c r="N167" s="443"/>
      <c r="O167" s="443"/>
      <c r="P167" s="443"/>
      <c r="Q167" s="443"/>
      <c r="R167" s="443"/>
      <c r="S167" s="443"/>
      <c r="T167" s="443"/>
      <c r="U167" s="443"/>
      <c r="V167" s="443"/>
      <c r="W167" s="443"/>
      <c r="X167" s="443"/>
      <c r="Y167" s="443"/>
      <c r="Z167" s="443"/>
      <c r="AA167" s="443"/>
      <c r="AB167" s="443"/>
      <c r="AC167" s="443"/>
      <c r="AD167" s="443"/>
      <c r="AE167" s="443"/>
      <c r="AF167" s="443"/>
      <c r="AG167" s="443"/>
      <c r="AH167" s="443"/>
      <c r="AI167" s="443"/>
      <c r="AJ167" s="443"/>
      <c r="AK167" s="443"/>
    </row>
    <row r="168" spans="1:37">
      <c r="A168" s="443"/>
      <c r="B168" s="443"/>
      <c r="C168" s="443"/>
      <c r="D168" s="443"/>
      <c r="E168" s="443"/>
      <c r="F168" s="443"/>
      <c r="G168" s="443"/>
      <c r="H168" s="443"/>
      <c r="I168" s="443"/>
      <c r="J168" s="443"/>
      <c r="K168" s="443"/>
      <c r="L168" s="443"/>
      <c r="M168" s="443"/>
      <c r="N168" s="443"/>
      <c r="O168" s="443"/>
      <c r="P168" s="443"/>
      <c r="Q168" s="443"/>
      <c r="R168" s="443"/>
      <c r="S168" s="443"/>
      <c r="T168" s="443"/>
      <c r="U168" s="443"/>
      <c r="V168" s="443"/>
      <c r="W168" s="443"/>
      <c r="X168" s="443"/>
      <c r="Y168" s="443"/>
      <c r="Z168" s="443"/>
      <c r="AA168" s="443"/>
      <c r="AB168" s="443"/>
      <c r="AC168" s="443"/>
      <c r="AD168" s="443"/>
      <c r="AE168" s="443"/>
      <c r="AF168" s="443"/>
      <c r="AG168" s="443"/>
      <c r="AH168" s="443"/>
      <c r="AI168" s="443"/>
      <c r="AJ168" s="443"/>
      <c r="AK168" s="443"/>
    </row>
    <row r="169" spans="1:37">
      <c r="A169" s="443"/>
      <c r="B169" s="443"/>
      <c r="C169" s="443"/>
      <c r="D169" s="443"/>
      <c r="E169" s="443"/>
      <c r="F169" s="443"/>
      <c r="G169" s="443"/>
      <c r="H169" s="443"/>
      <c r="I169" s="443"/>
      <c r="J169" s="443"/>
      <c r="K169" s="443"/>
      <c r="L169" s="443"/>
      <c r="M169" s="443"/>
      <c r="N169" s="443"/>
      <c r="O169" s="443"/>
      <c r="P169" s="443"/>
      <c r="Q169" s="443"/>
      <c r="R169" s="443"/>
      <c r="S169" s="443"/>
      <c r="T169" s="443"/>
      <c r="U169" s="443"/>
      <c r="V169" s="443"/>
      <c r="W169" s="443"/>
      <c r="X169" s="443"/>
      <c r="Y169" s="443"/>
      <c r="Z169" s="443"/>
      <c r="AA169" s="443"/>
      <c r="AB169" s="443"/>
      <c r="AC169" s="443"/>
      <c r="AD169" s="443"/>
      <c r="AE169" s="443"/>
      <c r="AF169" s="443"/>
      <c r="AG169" s="443"/>
      <c r="AH169" s="443"/>
      <c r="AI169" s="443"/>
      <c r="AJ169" s="443"/>
      <c r="AK169" s="443"/>
    </row>
    <row r="170" spans="1:37">
      <c r="A170" s="443"/>
      <c r="B170" s="443"/>
      <c r="C170" s="443"/>
      <c r="D170" s="443"/>
      <c r="E170" s="443"/>
      <c r="F170" s="443"/>
      <c r="G170" s="443"/>
      <c r="H170" s="443"/>
      <c r="I170" s="443"/>
      <c r="J170" s="443"/>
      <c r="K170" s="443"/>
      <c r="L170" s="443"/>
      <c r="M170" s="443"/>
      <c r="N170" s="443"/>
      <c r="O170" s="443"/>
      <c r="P170" s="443"/>
      <c r="Q170" s="443"/>
      <c r="R170" s="443"/>
      <c r="S170" s="443"/>
      <c r="T170" s="443"/>
      <c r="U170" s="443"/>
      <c r="V170" s="443"/>
      <c r="W170" s="443"/>
      <c r="X170" s="443"/>
      <c r="Y170" s="443"/>
      <c r="Z170" s="443"/>
      <c r="AA170" s="443"/>
      <c r="AB170" s="443"/>
      <c r="AC170" s="443"/>
      <c r="AD170" s="443"/>
      <c r="AE170" s="443"/>
      <c r="AF170" s="443"/>
      <c r="AG170" s="443"/>
      <c r="AH170" s="443"/>
      <c r="AI170" s="443"/>
      <c r="AJ170" s="443"/>
      <c r="AK170" s="443"/>
    </row>
    <row r="171" spans="1:37">
      <c r="A171" s="443"/>
      <c r="B171" s="443"/>
      <c r="C171" s="443"/>
      <c r="D171" s="443"/>
      <c r="E171" s="443"/>
      <c r="F171" s="443"/>
      <c r="G171" s="443"/>
      <c r="H171" s="443"/>
      <c r="I171" s="443"/>
      <c r="J171" s="443"/>
      <c r="K171" s="443"/>
      <c r="L171" s="443"/>
      <c r="M171" s="443"/>
      <c r="N171" s="443"/>
      <c r="O171" s="443"/>
      <c r="P171" s="443"/>
      <c r="Q171" s="443"/>
      <c r="R171" s="443"/>
      <c r="S171" s="443"/>
      <c r="T171" s="443"/>
      <c r="U171" s="443"/>
      <c r="V171" s="443"/>
      <c r="W171" s="443"/>
      <c r="X171" s="443"/>
      <c r="Y171" s="443"/>
      <c r="Z171" s="443"/>
      <c r="AA171" s="443"/>
      <c r="AB171" s="443"/>
      <c r="AC171" s="443"/>
      <c r="AD171" s="443"/>
      <c r="AE171" s="443"/>
      <c r="AF171" s="443"/>
      <c r="AG171" s="443"/>
      <c r="AH171" s="443"/>
      <c r="AI171" s="443"/>
      <c r="AJ171" s="443"/>
      <c r="AK171" s="443"/>
    </row>
    <row r="172" spans="1:37">
      <c r="A172" s="443"/>
      <c r="B172" s="443"/>
      <c r="C172" s="443"/>
      <c r="D172" s="443"/>
      <c r="E172" s="443"/>
      <c r="F172" s="443"/>
      <c r="G172" s="443"/>
      <c r="H172" s="443"/>
      <c r="I172" s="443"/>
      <c r="J172" s="443"/>
      <c r="K172" s="443"/>
      <c r="L172" s="443"/>
      <c r="M172" s="443"/>
      <c r="N172" s="443"/>
      <c r="O172" s="443"/>
      <c r="P172" s="443"/>
      <c r="Q172" s="443"/>
      <c r="R172" s="443"/>
      <c r="S172" s="443"/>
      <c r="T172" s="443"/>
      <c r="U172" s="443"/>
      <c r="V172" s="443"/>
      <c r="W172" s="443"/>
      <c r="X172" s="443"/>
      <c r="Y172" s="443"/>
      <c r="Z172" s="443"/>
      <c r="AA172" s="443"/>
      <c r="AB172" s="443"/>
      <c r="AC172" s="443"/>
      <c r="AD172" s="443"/>
      <c r="AE172" s="443"/>
      <c r="AF172" s="443"/>
      <c r="AG172" s="443"/>
      <c r="AH172" s="443"/>
      <c r="AI172" s="443"/>
      <c r="AJ172" s="443"/>
      <c r="AK172" s="443"/>
    </row>
    <row r="173" spans="1:37">
      <c r="A173" s="443"/>
      <c r="B173" s="443"/>
      <c r="C173" s="443"/>
      <c r="D173" s="443"/>
      <c r="E173" s="443"/>
      <c r="F173" s="443"/>
      <c r="G173" s="443"/>
      <c r="H173" s="443"/>
      <c r="I173" s="443"/>
      <c r="J173" s="443"/>
      <c r="K173" s="443"/>
      <c r="L173" s="443"/>
      <c r="M173" s="443"/>
      <c r="N173" s="443"/>
      <c r="O173" s="443"/>
      <c r="P173" s="443"/>
      <c r="Q173" s="443"/>
      <c r="R173" s="443"/>
      <c r="S173" s="443"/>
      <c r="T173" s="443"/>
      <c r="U173" s="443"/>
      <c r="V173" s="443"/>
      <c r="W173" s="443"/>
      <c r="X173" s="443"/>
      <c r="Y173" s="443"/>
      <c r="Z173" s="443"/>
      <c r="AA173" s="443"/>
      <c r="AB173" s="443"/>
      <c r="AC173" s="443"/>
      <c r="AD173" s="443"/>
      <c r="AE173" s="443"/>
      <c r="AF173" s="443"/>
      <c r="AG173" s="443"/>
      <c r="AH173" s="443"/>
      <c r="AI173" s="443"/>
      <c r="AJ173" s="443"/>
      <c r="AK173" s="443"/>
    </row>
    <row r="174" spans="1:37">
      <c r="A174" s="443"/>
      <c r="B174" s="443"/>
      <c r="C174" s="443"/>
      <c r="D174" s="443"/>
      <c r="E174" s="443"/>
      <c r="F174" s="443"/>
      <c r="G174" s="443"/>
      <c r="H174" s="443"/>
      <c r="I174" s="443"/>
      <c r="J174" s="443"/>
      <c r="K174" s="443"/>
      <c r="L174" s="443"/>
      <c r="M174" s="443"/>
      <c r="N174" s="443"/>
      <c r="O174" s="443"/>
      <c r="P174" s="443"/>
      <c r="Q174" s="443"/>
      <c r="R174" s="443"/>
      <c r="S174" s="443"/>
      <c r="T174" s="443"/>
      <c r="U174" s="443"/>
      <c r="V174" s="443"/>
      <c r="W174" s="443"/>
      <c r="X174" s="443"/>
      <c r="Y174" s="443"/>
      <c r="Z174" s="443"/>
      <c r="AA174" s="443"/>
      <c r="AB174" s="443"/>
      <c r="AC174" s="443"/>
      <c r="AD174" s="443"/>
      <c r="AE174" s="443"/>
      <c r="AF174" s="443"/>
      <c r="AG174" s="443"/>
      <c r="AH174" s="443"/>
      <c r="AI174" s="443"/>
      <c r="AJ174" s="443"/>
      <c r="AK174" s="443"/>
    </row>
    <row r="175" spans="1:37">
      <c r="A175" s="443"/>
      <c r="B175" s="443"/>
      <c r="C175" s="443"/>
      <c r="D175" s="443"/>
      <c r="E175" s="443"/>
      <c r="F175" s="443"/>
      <c r="G175" s="443"/>
      <c r="H175" s="443"/>
      <c r="I175" s="443"/>
      <c r="J175" s="443"/>
      <c r="K175" s="443"/>
      <c r="L175" s="443"/>
      <c r="M175" s="443"/>
      <c r="N175" s="443"/>
      <c r="O175" s="443"/>
      <c r="P175" s="443"/>
      <c r="Q175" s="443"/>
      <c r="R175" s="443"/>
      <c r="S175" s="443"/>
      <c r="T175" s="443"/>
      <c r="U175" s="443"/>
      <c r="V175" s="443"/>
      <c r="W175" s="443"/>
      <c r="X175" s="443"/>
      <c r="Y175" s="443"/>
      <c r="Z175" s="443"/>
      <c r="AA175" s="443"/>
      <c r="AB175" s="443"/>
      <c r="AC175" s="443"/>
      <c r="AD175" s="443"/>
      <c r="AE175" s="443"/>
      <c r="AF175" s="443"/>
      <c r="AG175" s="443"/>
      <c r="AH175" s="443"/>
      <c r="AI175" s="443"/>
      <c r="AJ175" s="443"/>
      <c r="AK175" s="443"/>
    </row>
    <row r="176" spans="1:37">
      <c r="A176" s="443"/>
      <c r="B176" s="443"/>
      <c r="C176" s="443"/>
      <c r="D176" s="443"/>
      <c r="E176" s="443"/>
      <c r="F176" s="443"/>
      <c r="G176" s="443"/>
      <c r="H176" s="443"/>
      <c r="I176" s="443"/>
      <c r="J176" s="443"/>
      <c r="K176" s="443"/>
      <c r="L176" s="443"/>
      <c r="M176" s="443"/>
      <c r="N176" s="443"/>
      <c r="O176" s="443"/>
      <c r="P176" s="443"/>
      <c r="Q176" s="443"/>
      <c r="R176" s="443"/>
      <c r="S176" s="443"/>
      <c r="T176" s="443"/>
      <c r="U176" s="443"/>
      <c r="V176" s="443"/>
      <c r="W176" s="443"/>
      <c r="X176" s="443"/>
      <c r="Y176" s="443"/>
      <c r="Z176" s="443"/>
      <c r="AA176" s="443"/>
      <c r="AB176" s="443"/>
      <c r="AC176" s="443"/>
      <c r="AD176" s="443"/>
      <c r="AE176" s="443"/>
      <c r="AF176" s="443"/>
      <c r="AG176" s="443"/>
      <c r="AH176" s="443"/>
      <c r="AI176" s="443"/>
      <c r="AJ176" s="443"/>
      <c r="AK176" s="443"/>
    </row>
    <row r="177" spans="1:37">
      <c r="A177" s="443"/>
      <c r="B177" s="443"/>
      <c r="C177" s="443"/>
      <c r="D177" s="443"/>
      <c r="E177" s="443"/>
      <c r="F177" s="443"/>
      <c r="G177" s="443"/>
      <c r="H177" s="443"/>
      <c r="I177" s="443"/>
      <c r="J177" s="443"/>
      <c r="K177" s="443"/>
      <c r="L177" s="443"/>
      <c r="M177" s="443"/>
      <c r="N177" s="443"/>
      <c r="O177" s="443"/>
      <c r="P177" s="443"/>
      <c r="Q177" s="443"/>
      <c r="R177" s="443"/>
      <c r="S177" s="443"/>
      <c r="T177" s="443"/>
      <c r="U177" s="443"/>
      <c r="V177" s="443"/>
      <c r="W177" s="443"/>
      <c r="X177" s="443"/>
      <c r="Y177" s="443"/>
      <c r="Z177" s="443"/>
      <c r="AA177" s="443"/>
      <c r="AB177" s="443"/>
      <c r="AC177" s="443"/>
      <c r="AD177" s="443"/>
      <c r="AE177" s="443"/>
      <c r="AF177" s="443"/>
      <c r="AG177" s="443"/>
      <c r="AH177" s="443"/>
      <c r="AI177" s="443"/>
      <c r="AJ177" s="443"/>
      <c r="AK177" s="443"/>
    </row>
    <row r="178" spans="1:37">
      <c r="A178" s="443"/>
      <c r="B178" s="443"/>
      <c r="C178" s="443"/>
      <c r="D178" s="443"/>
      <c r="E178" s="443"/>
      <c r="F178" s="443"/>
      <c r="G178" s="443"/>
      <c r="H178" s="443"/>
      <c r="I178" s="443"/>
      <c r="J178" s="443"/>
      <c r="K178" s="443"/>
      <c r="L178" s="443"/>
      <c r="M178" s="443"/>
      <c r="N178" s="443"/>
      <c r="O178" s="443"/>
      <c r="P178" s="443"/>
      <c r="Q178" s="443"/>
      <c r="R178" s="443"/>
      <c r="S178" s="443"/>
      <c r="T178" s="443"/>
      <c r="U178" s="443"/>
      <c r="V178" s="443"/>
      <c r="W178" s="443"/>
      <c r="X178" s="443"/>
      <c r="Y178" s="443"/>
      <c r="Z178" s="443"/>
      <c r="AA178" s="443"/>
      <c r="AB178" s="443"/>
      <c r="AC178" s="443"/>
      <c r="AD178" s="443"/>
      <c r="AE178" s="443"/>
      <c r="AF178" s="443"/>
      <c r="AG178" s="443"/>
      <c r="AH178" s="443"/>
      <c r="AI178" s="443"/>
      <c r="AJ178" s="443"/>
      <c r="AK178" s="443"/>
    </row>
    <row r="179" spans="1:37">
      <c r="A179" s="443"/>
      <c r="B179" s="443"/>
      <c r="C179" s="443"/>
      <c r="D179" s="443"/>
      <c r="E179" s="443"/>
      <c r="F179" s="443"/>
      <c r="G179" s="443"/>
      <c r="H179" s="443"/>
      <c r="I179" s="443"/>
      <c r="J179" s="443"/>
      <c r="K179" s="443"/>
      <c r="L179" s="443"/>
      <c r="M179" s="443"/>
      <c r="N179" s="443"/>
      <c r="O179" s="443"/>
      <c r="P179" s="443"/>
      <c r="Q179" s="443"/>
      <c r="R179" s="443"/>
      <c r="S179" s="443"/>
      <c r="T179" s="443"/>
      <c r="U179" s="443"/>
      <c r="V179" s="443"/>
      <c r="W179" s="443"/>
      <c r="X179" s="443"/>
      <c r="Y179" s="443"/>
      <c r="Z179" s="443"/>
      <c r="AA179" s="443"/>
      <c r="AB179" s="443"/>
      <c r="AC179" s="443"/>
      <c r="AD179" s="443"/>
      <c r="AE179" s="443"/>
      <c r="AF179" s="443"/>
      <c r="AG179" s="443"/>
      <c r="AH179" s="443"/>
      <c r="AI179" s="443"/>
      <c r="AJ179" s="443"/>
      <c r="AK179" s="443"/>
    </row>
    <row r="180" spans="1:37">
      <c r="A180" s="443"/>
      <c r="B180" s="443"/>
      <c r="C180" s="443"/>
      <c r="D180" s="443"/>
      <c r="E180" s="443"/>
      <c r="F180" s="443"/>
      <c r="G180" s="443"/>
      <c r="H180" s="443"/>
      <c r="I180" s="443"/>
      <c r="J180" s="443"/>
      <c r="K180" s="443"/>
      <c r="L180" s="443"/>
      <c r="M180" s="443"/>
      <c r="N180" s="443"/>
      <c r="O180" s="443"/>
      <c r="P180" s="443"/>
      <c r="Q180" s="443"/>
      <c r="R180" s="443"/>
      <c r="S180" s="443"/>
      <c r="T180" s="443"/>
      <c r="U180" s="443"/>
      <c r="V180" s="443"/>
      <c r="W180" s="443"/>
      <c r="X180" s="443"/>
      <c r="Y180" s="443"/>
      <c r="Z180" s="443"/>
      <c r="AA180" s="443"/>
      <c r="AB180" s="443"/>
      <c r="AC180" s="443"/>
      <c r="AD180" s="443"/>
      <c r="AE180" s="443"/>
      <c r="AF180" s="443"/>
      <c r="AG180" s="443"/>
      <c r="AH180" s="443"/>
      <c r="AI180" s="443"/>
      <c r="AJ180" s="443"/>
      <c r="AK180" s="443"/>
    </row>
    <row r="181" spans="1:37">
      <c r="A181" s="443"/>
      <c r="B181" s="443"/>
      <c r="C181" s="443"/>
      <c r="D181" s="443"/>
      <c r="E181" s="443"/>
      <c r="F181" s="443"/>
      <c r="G181" s="443"/>
      <c r="H181" s="443"/>
      <c r="I181" s="443"/>
      <c r="J181" s="443"/>
      <c r="K181" s="443"/>
      <c r="L181" s="443"/>
      <c r="M181" s="443"/>
      <c r="N181" s="443"/>
      <c r="O181" s="443"/>
      <c r="P181" s="443"/>
      <c r="Q181" s="443"/>
      <c r="R181" s="443"/>
      <c r="S181" s="443"/>
      <c r="T181" s="443"/>
      <c r="U181" s="443"/>
      <c r="V181" s="443"/>
      <c r="W181" s="443"/>
      <c r="X181" s="443"/>
      <c r="Y181" s="443"/>
      <c r="Z181" s="443"/>
      <c r="AA181" s="443"/>
      <c r="AB181" s="443"/>
      <c r="AC181" s="443"/>
      <c r="AD181" s="443"/>
      <c r="AE181" s="443"/>
      <c r="AF181" s="443"/>
      <c r="AG181" s="443"/>
      <c r="AH181" s="443"/>
      <c r="AI181" s="443"/>
      <c r="AJ181" s="443"/>
      <c r="AK181" s="443"/>
    </row>
    <row r="182" spans="1:37">
      <c r="A182" s="443"/>
      <c r="B182" s="443"/>
      <c r="C182" s="443"/>
      <c r="D182" s="443"/>
      <c r="E182" s="443"/>
      <c r="F182" s="443"/>
      <c r="G182" s="443"/>
      <c r="H182" s="443"/>
      <c r="I182" s="443"/>
      <c r="J182" s="443"/>
      <c r="K182" s="443"/>
      <c r="L182" s="443"/>
      <c r="M182" s="443"/>
      <c r="N182" s="443"/>
      <c r="O182" s="443"/>
      <c r="P182" s="443"/>
      <c r="Q182" s="443"/>
      <c r="R182" s="443"/>
      <c r="S182" s="443"/>
      <c r="T182" s="443"/>
      <c r="U182" s="443"/>
      <c r="V182" s="443"/>
      <c r="W182" s="443"/>
      <c r="X182" s="443"/>
      <c r="Y182" s="443"/>
      <c r="Z182" s="443"/>
      <c r="AA182" s="443"/>
      <c r="AB182" s="443"/>
      <c r="AC182" s="443"/>
      <c r="AD182" s="443"/>
      <c r="AE182" s="443"/>
      <c r="AF182" s="443"/>
      <c r="AG182" s="443"/>
      <c r="AH182" s="443"/>
      <c r="AI182" s="443"/>
      <c r="AJ182" s="443"/>
      <c r="AK182" s="443"/>
    </row>
    <row r="183" spans="1:37">
      <c r="A183" s="443"/>
      <c r="B183" s="443"/>
      <c r="C183" s="443"/>
      <c r="D183" s="443"/>
      <c r="E183" s="443"/>
      <c r="F183" s="443"/>
      <c r="G183" s="443"/>
      <c r="H183" s="443"/>
      <c r="I183" s="443"/>
      <c r="J183" s="443"/>
      <c r="K183" s="443"/>
      <c r="L183" s="443"/>
      <c r="M183" s="443"/>
      <c r="N183" s="443"/>
      <c r="O183" s="443"/>
      <c r="P183" s="443"/>
      <c r="Q183" s="443"/>
      <c r="R183" s="443"/>
      <c r="S183" s="443"/>
      <c r="T183" s="443"/>
      <c r="U183" s="443"/>
      <c r="V183" s="443"/>
      <c r="W183" s="443"/>
      <c r="X183" s="443"/>
      <c r="Y183" s="443"/>
      <c r="Z183" s="443"/>
      <c r="AA183" s="443"/>
      <c r="AB183" s="443"/>
      <c r="AC183" s="443"/>
      <c r="AD183" s="443"/>
      <c r="AE183" s="443"/>
      <c r="AF183" s="443"/>
      <c r="AG183" s="443"/>
      <c r="AH183" s="443"/>
      <c r="AI183" s="443"/>
      <c r="AJ183" s="443"/>
      <c r="AK183" s="443"/>
    </row>
    <row r="184" spans="1:37">
      <c r="A184" s="443"/>
      <c r="B184" s="443"/>
      <c r="C184" s="443"/>
      <c r="D184" s="443"/>
      <c r="E184" s="443"/>
      <c r="F184" s="443"/>
      <c r="G184" s="443"/>
      <c r="H184" s="443"/>
      <c r="I184" s="443"/>
      <c r="J184" s="443"/>
      <c r="K184" s="443"/>
      <c r="L184" s="443"/>
      <c r="M184" s="443"/>
      <c r="N184" s="443"/>
      <c r="O184" s="443"/>
      <c r="P184" s="443"/>
      <c r="Q184" s="443"/>
      <c r="R184" s="443"/>
      <c r="S184" s="443"/>
      <c r="T184" s="443"/>
      <c r="U184" s="443"/>
      <c r="V184" s="443"/>
      <c r="W184" s="443"/>
      <c r="X184" s="443"/>
      <c r="Y184" s="443"/>
      <c r="Z184" s="443"/>
      <c r="AA184" s="443"/>
      <c r="AB184" s="443"/>
      <c r="AC184" s="443"/>
      <c r="AD184" s="443"/>
      <c r="AE184" s="443"/>
      <c r="AF184" s="443"/>
      <c r="AG184" s="443"/>
      <c r="AH184" s="443"/>
      <c r="AI184" s="443"/>
      <c r="AJ184" s="443"/>
      <c r="AK184" s="443"/>
    </row>
    <row r="185" spans="1:37">
      <c r="A185" s="443"/>
      <c r="B185" s="443"/>
      <c r="C185" s="443"/>
      <c r="D185" s="443"/>
      <c r="E185" s="443"/>
      <c r="F185" s="443"/>
      <c r="G185" s="443"/>
      <c r="H185" s="443"/>
      <c r="I185" s="443"/>
      <c r="J185" s="443"/>
      <c r="K185" s="443"/>
      <c r="L185" s="443"/>
      <c r="M185" s="443"/>
      <c r="N185" s="443"/>
      <c r="O185" s="443"/>
      <c r="P185" s="443"/>
      <c r="Q185" s="443"/>
      <c r="R185" s="443"/>
      <c r="S185" s="443"/>
      <c r="T185" s="443"/>
      <c r="U185" s="443"/>
      <c r="V185" s="443"/>
      <c r="W185" s="443"/>
      <c r="X185" s="443"/>
      <c r="Y185" s="443"/>
      <c r="Z185" s="443"/>
      <c r="AA185" s="443"/>
      <c r="AB185" s="443"/>
      <c r="AC185" s="443"/>
      <c r="AD185" s="443"/>
      <c r="AE185" s="443"/>
      <c r="AF185" s="443"/>
      <c r="AG185" s="443"/>
      <c r="AH185" s="443"/>
      <c r="AI185" s="443"/>
      <c r="AJ185" s="443"/>
      <c r="AK185" s="443"/>
    </row>
    <row r="186" spans="1:37">
      <c r="A186" s="443"/>
      <c r="B186" s="443"/>
      <c r="C186" s="443"/>
      <c r="D186" s="443"/>
      <c r="E186" s="443"/>
      <c r="F186" s="443"/>
      <c r="G186" s="443"/>
      <c r="H186" s="443"/>
      <c r="I186" s="443"/>
      <c r="J186" s="443"/>
      <c r="K186" s="443"/>
      <c r="L186" s="443"/>
      <c r="M186" s="443"/>
      <c r="N186" s="443"/>
      <c r="O186" s="443"/>
      <c r="P186" s="443"/>
      <c r="Q186" s="443"/>
      <c r="R186" s="443"/>
      <c r="S186" s="443"/>
      <c r="T186" s="443"/>
      <c r="U186" s="443"/>
      <c r="V186" s="443"/>
      <c r="W186" s="443"/>
      <c r="X186" s="443"/>
      <c r="Y186" s="443"/>
      <c r="Z186" s="443"/>
      <c r="AA186" s="443"/>
      <c r="AB186" s="443"/>
      <c r="AC186" s="443"/>
      <c r="AD186" s="443"/>
      <c r="AE186" s="443"/>
      <c r="AF186" s="443"/>
      <c r="AG186" s="443"/>
      <c r="AH186" s="443"/>
      <c r="AI186" s="443"/>
      <c r="AJ186" s="443"/>
      <c r="AK186" s="443"/>
    </row>
    <row r="187" spans="1:37">
      <c r="A187" s="443"/>
      <c r="B187" s="443"/>
      <c r="C187" s="443"/>
      <c r="D187" s="443"/>
      <c r="E187" s="443"/>
      <c r="F187" s="443"/>
      <c r="G187" s="443"/>
      <c r="H187" s="443"/>
      <c r="I187" s="443"/>
      <c r="J187" s="443"/>
      <c r="K187" s="443"/>
      <c r="L187" s="443"/>
      <c r="M187" s="443"/>
      <c r="N187" s="443"/>
      <c r="O187" s="443"/>
      <c r="P187" s="443"/>
      <c r="Q187" s="443"/>
      <c r="R187" s="443"/>
      <c r="S187" s="443"/>
      <c r="T187" s="443"/>
      <c r="U187" s="443"/>
      <c r="V187" s="443"/>
      <c r="W187" s="443"/>
      <c r="X187" s="443"/>
      <c r="Y187" s="443"/>
      <c r="Z187" s="443"/>
      <c r="AA187" s="443"/>
      <c r="AB187" s="443"/>
      <c r="AC187" s="443"/>
      <c r="AD187" s="443"/>
      <c r="AE187" s="443"/>
      <c r="AF187" s="443"/>
      <c r="AG187" s="443"/>
      <c r="AH187" s="443"/>
      <c r="AI187" s="443"/>
      <c r="AJ187" s="443"/>
      <c r="AK187" s="443"/>
    </row>
    <row r="188" spans="1:37">
      <c r="A188" s="443"/>
      <c r="B188" s="443"/>
      <c r="C188" s="443"/>
      <c r="D188" s="443"/>
      <c r="E188" s="443"/>
      <c r="F188" s="443"/>
      <c r="G188" s="443"/>
      <c r="H188" s="443"/>
      <c r="I188" s="443"/>
      <c r="J188" s="443"/>
      <c r="K188" s="443"/>
      <c r="L188" s="443"/>
      <c r="M188" s="443"/>
      <c r="N188" s="443"/>
      <c r="O188" s="443"/>
      <c r="P188" s="443"/>
      <c r="Q188" s="443"/>
      <c r="R188" s="443"/>
      <c r="S188" s="443"/>
      <c r="T188" s="443"/>
      <c r="U188" s="443"/>
      <c r="V188" s="443"/>
      <c r="W188" s="443"/>
      <c r="X188" s="443"/>
      <c r="Y188" s="443"/>
      <c r="Z188" s="443"/>
      <c r="AA188" s="443"/>
      <c r="AB188" s="443"/>
      <c r="AC188" s="443"/>
      <c r="AD188" s="443"/>
      <c r="AE188" s="443"/>
      <c r="AF188" s="443"/>
      <c r="AG188" s="443"/>
      <c r="AH188" s="443"/>
      <c r="AI188" s="443"/>
      <c r="AJ188" s="443"/>
      <c r="AK188" s="443"/>
    </row>
    <row r="189" spans="1:37">
      <c r="A189" s="443"/>
      <c r="B189" s="443"/>
      <c r="C189" s="443"/>
      <c r="D189" s="443"/>
      <c r="E189" s="443"/>
      <c r="F189" s="443"/>
      <c r="G189" s="443"/>
      <c r="H189" s="443"/>
      <c r="I189" s="443"/>
      <c r="J189" s="443"/>
      <c r="K189" s="443"/>
      <c r="L189" s="443"/>
      <c r="M189" s="443"/>
      <c r="N189" s="443"/>
      <c r="O189" s="443"/>
      <c r="P189" s="443"/>
      <c r="Q189" s="443"/>
      <c r="R189" s="443"/>
      <c r="S189" s="443"/>
      <c r="T189" s="443"/>
      <c r="U189" s="443"/>
      <c r="V189" s="443"/>
      <c r="W189" s="443"/>
      <c r="X189" s="443"/>
      <c r="Y189" s="443"/>
      <c r="Z189" s="443"/>
      <c r="AA189" s="443"/>
      <c r="AB189" s="443"/>
      <c r="AC189" s="443"/>
      <c r="AD189" s="443"/>
      <c r="AE189" s="443"/>
      <c r="AF189" s="443"/>
      <c r="AG189" s="443"/>
      <c r="AH189" s="443"/>
      <c r="AI189" s="443"/>
      <c r="AJ189" s="443"/>
      <c r="AK189" s="443"/>
    </row>
    <row r="190" spans="1:37">
      <c r="A190" s="443"/>
      <c r="B190" s="443"/>
      <c r="C190" s="443"/>
      <c r="D190" s="443"/>
      <c r="E190" s="443"/>
      <c r="F190" s="443"/>
      <c r="G190" s="443"/>
      <c r="H190" s="443"/>
      <c r="I190" s="443"/>
      <c r="J190" s="443"/>
      <c r="K190" s="443"/>
      <c r="L190" s="443"/>
      <c r="M190" s="443"/>
      <c r="N190" s="443"/>
      <c r="O190" s="443"/>
      <c r="P190" s="443"/>
      <c r="Q190" s="443"/>
      <c r="R190" s="443"/>
      <c r="S190" s="443"/>
      <c r="T190" s="443"/>
      <c r="U190" s="443"/>
      <c r="V190" s="443"/>
      <c r="W190" s="443"/>
      <c r="X190" s="443"/>
      <c r="Y190" s="443"/>
      <c r="Z190" s="443"/>
      <c r="AA190" s="443"/>
      <c r="AB190" s="443"/>
      <c r="AC190" s="443"/>
      <c r="AD190" s="443"/>
      <c r="AE190" s="443"/>
      <c r="AF190" s="443"/>
      <c r="AG190" s="443"/>
      <c r="AH190" s="443"/>
      <c r="AI190" s="443"/>
      <c r="AJ190" s="443"/>
      <c r="AK190" s="443"/>
    </row>
    <row r="191" spans="1:37">
      <c r="A191" s="443"/>
      <c r="B191" s="443"/>
      <c r="C191" s="443"/>
      <c r="D191" s="443"/>
      <c r="E191" s="443"/>
      <c r="F191" s="443"/>
      <c r="G191" s="443"/>
      <c r="H191" s="443"/>
      <c r="I191" s="443"/>
      <c r="J191" s="443"/>
      <c r="K191" s="443"/>
      <c r="L191" s="443"/>
      <c r="M191" s="443"/>
      <c r="N191" s="443"/>
      <c r="O191" s="443"/>
      <c r="P191" s="443"/>
      <c r="Q191" s="443"/>
      <c r="R191" s="443"/>
      <c r="S191" s="443"/>
      <c r="T191" s="443"/>
      <c r="U191" s="443"/>
      <c r="V191" s="443"/>
      <c r="W191" s="443"/>
      <c r="X191" s="443"/>
      <c r="Y191" s="443"/>
      <c r="Z191" s="443"/>
      <c r="AA191" s="443"/>
      <c r="AB191" s="443"/>
      <c r="AC191" s="443"/>
      <c r="AD191" s="443"/>
      <c r="AE191" s="443"/>
      <c r="AF191" s="443"/>
      <c r="AG191" s="443"/>
      <c r="AH191" s="443"/>
      <c r="AI191" s="443"/>
      <c r="AJ191" s="443"/>
      <c r="AK191" s="443"/>
    </row>
    <row r="192" spans="1:37">
      <c r="A192" s="443"/>
      <c r="B192" s="443"/>
      <c r="C192" s="443"/>
      <c r="D192" s="443"/>
      <c r="E192" s="443"/>
      <c r="F192" s="443"/>
      <c r="G192" s="443"/>
      <c r="H192" s="443"/>
      <c r="I192" s="443"/>
      <c r="J192" s="443"/>
      <c r="K192" s="443"/>
      <c r="L192" s="443"/>
      <c r="M192" s="443"/>
      <c r="N192" s="443"/>
      <c r="O192" s="443"/>
      <c r="P192" s="443"/>
      <c r="Q192" s="443"/>
      <c r="R192" s="443"/>
      <c r="S192" s="443"/>
      <c r="T192" s="443"/>
      <c r="U192" s="443"/>
      <c r="V192" s="443"/>
      <c r="W192" s="443"/>
      <c r="X192" s="443"/>
      <c r="Y192" s="443"/>
      <c r="Z192" s="443"/>
      <c r="AA192" s="443"/>
      <c r="AB192" s="443"/>
      <c r="AC192" s="443"/>
      <c r="AD192" s="443"/>
      <c r="AE192" s="443"/>
      <c r="AF192" s="443"/>
      <c r="AG192" s="443"/>
      <c r="AH192" s="443"/>
      <c r="AI192" s="443"/>
      <c r="AJ192" s="443"/>
      <c r="AK192" s="443"/>
    </row>
    <row r="193" spans="1:37">
      <c r="A193" s="443"/>
      <c r="B193" s="443"/>
      <c r="C193" s="443"/>
      <c r="D193" s="443"/>
      <c r="E193" s="443"/>
      <c r="F193" s="443"/>
      <c r="G193" s="443"/>
      <c r="H193" s="443"/>
      <c r="I193" s="443"/>
      <c r="J193" s="443"/>
      <c r="K193" s="443"/>
      <c r="L193" s="443"/>
      <c r="M193" s="443"/>
      <c r="N193" s="443"/>
      <c r="O193" s="443"/>
      <c r="P193" s="443"/>
      <c r="Q193" s="443"/>
      <c r="R193" s="443"/>
      <c r="S193" s="443"/>
      <c r="T193" s="443"/>
      <c r="U193" s="443"/>
      <c r="V193" s="443"/>
      <c r="W193" s="443"/>
      <c r="X193" s="443"/>
      <c r="Y193" s="443"/>
      <c r="Z193" s="443"/>
      <c r="AA193" s="443"/>
      <c r="AB193" s="443"/>
      <c r="AC193" s="443"/>
      <c r="AD193" s="443"/>
      <c r="AE193" s="443"/>
      <c r="AF193" s="443"/>
      <c r="AG193" s="443"/>
      <c r="AH193" s="443"/>
      <c r="AI193" s="443"/>
      <c r="AJ193" s="443"/>
      <c r="AK193" s="443"/>
    </row>
    <row r="194" spans="1:37">
      <c r="A194" s="443"/>
      <c r="B194" s="443"/>
      <c r="C194" s="443"/>
      <c r="D194" s="443"/>
      <c r="E194" s="443"/>
      <c r="F194" s="443"/>
      <c r="G194" s="443"/>
      <c r="H194" s="443"/>
      <c r="I194" s="443"/>
      <c r="J194" s="443"/>
      <c r="K194" s="443"/>
      <c r="L194" s="443"/>
      <c r="M194" s="443"/>
      <c r="N194" s="443"/>
      <c r="O194" s="443"/>
      <c r="P194" s="443"/>
      <c r="Q194" s="443"/>
      <c r="R194" s="443"/>
      <c r="S194" s="443"/>
      <c r="T194" s="443"/>
      <c r="U194" s="443"/>
      <c r="V194" s="443"/>
      <c r="W194" s="443"/>
      <c r="X194" s="443"/>
      <c r="Y194" s="443"/>
      <c r="Z194" s="443"/>
      <c r="AA194" s="443"/>
      <c r="AB194" s="443"/>
      <c r="AC194" s="443"/>
      <c r="AD194" s="443"/>
      <c r="AE194" s="443"/>
      <c r="AF194" s="443"/>
      <c r="AG194" s="443"/>
      <c r="AH194" s="443"/>
      <c r="AI194" s="443"/>
      <c r="AJ194" s="443"/>
      <c r="AK194" s="443"/>
    </row>
    <row r="195" spans="1:37">
      <c r="A195" s="443"/>
      <c r="B195" s="443"/>
      <c r="C195" s="443"/>
      <c r="D195" s="443"/>
      <c r="E195" s="443"/>
      <c r="F195" s="443"/>
      <c r="G195" s="443"/>
      <c r="H195" s="443"/>
      <c r="I195" s="443"/>
      <c r="J195" s="443"/>
      <c r="K195" s="443"/>
      <c r="L195" s="443"/>
      <c r="M195" s="443"/>
      <c r="N195" s="443"/>
      <c r="O195" s="443"/>
      <c r="P195" s="443"/>
      <c r="Q195" s="443"/>
      <c r="R195" s="443"/>
      <c r="S195" s="443"/>
      <c r="T195" s="443"/>
      <c r="U195" s="443"/>
      <c r="V195" s="443"/>
      <c r="W195" s="443"/>
      <c r="X195" s="443"/>
      <c r="Y195" s="443"/>
      <c r="Z195" s="443"/>
      <c r="AA195" s="443"/>
      <c r="AB195" s="443"/>
      <c r="AC195" s="443"/>
      <c r="AD195" s="443"/>
      <c r="AE195" s="443"/>
      <c r="AF195" s="443"/>
      <c r="AG195" s="443"/>
      <c r="AH195" s="443"/>
      <c r="AI195" s="443"/>
      <c r="AJ195" s="443"/>
      <c r="AK195" s="443"/>
    </row>
  </sheetData>
  <pageMargins left="0.75" right="0.75" top="1" bottom="1" header="0.5" footer="0.5"/>
  <pageSetup scale="28" orientation="landscape" r:id="rId1"/>
  <headerFooter alignWithMargins="0"/>
  <ignoredErrors>
    <ignoredError sqref="G9 L8 O16:O26 T9 AA17:AA25 Z27:Z33 AB27:AB33 AG11:AG12 B8:C8 E8 H44 G41 G37 G33 G28 G20:G22 G13:G15 G12 G16:G17 G23:G25 G32 G35:G36 G45 J15 J51:K51 K38 L11:L12 L15:L17 L28:L31 M51 M38:N38 O27:O29 O31:O37 O39:O44 G30 G43 G27 G48:G49 L33:L34 Q47 S51 S10 T11:T14 T26:T39 T43:T47 V47 Y7 Y43:Y48 Y34:Y36 Y24:Y29 Y16:Y17 Z35:Z37 Z40:Z41 AA27:AA37 AB37 AG15:AG19 AG21 AG23:AG32 AG34:AG36 AG38:AG40" numberStoredAsText="1"/>
    <ignoredError sqref="AC33:AC42 AC20:AC22 AC18:AC19 AC23:AC31 AC11" formulaRange="1"/>
    <ignoredError sqref="AK15" formula="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00"/>
  <sheetViews>
    <sheetView showGridLines="0" zoomScaleNormal="100" workbookViewId="0">
      <pane xSplit="1" ySplit="5" topLeftCell="M6" activePane="bottomRight" state="frozen"/>
      <selection pane="topRight" activeCell="B1" sqref="B1"/>
      <selection pane="bottomLeft" activeCell="A6" sqref="A6"/>
      <selection pane="bottomRight" activeCell="M17" sqref="M17"/>
    </sheetView>
  </sheetViews>
  <sheetFormatPr defaultColWidth="9.140625" defaultRowHeight="12.75"/>
  <cols>
    <col min="1" max="1" width="12.7109375" style="328" customWidth="1"/>
    <col min="2" max="37" width="10.7109375" style="328" customWidth="1"/>
    <col min="38" max="38" width="11.7109375" style="328" customWidth="1"/>
    <col min="39" max="39" width="9.140625" style="328"/>
    <col min="40" max="40" width="11.28515625" style="328" bestFit="1" customWidth="1"/>
    <col min="41" max="43" width="9.140625" style="328"/>
    <col min="44" max="44" width="11.28515625" style="328" bestFit="1" customWidth="1"/>
    <col min="45" max="45" width="14" style="328" bestFit="1" customWidth="1"/>
    <col min="46" max="46" width="9.140625" style="328"/>
    <col min="47" max="47" width="12.85546875" style="328" bestFit="1" customWidth="1"/>
    <col min="48" max="48" width="16.5703125" style="328" bestFit="1" customWidth="1"/>
    <col min="49" max="49" width="11.28515625" style="328" bestFit="1" customWidth="1"/>
    <col min="50" max="16384" width="9.140625" style="328"/>
  </cols>
  <sheetData>
    <row r="1" spans="1:51">
      <c r="A1" s="324"/>
      <c r="B1" s="325"/>
      <c r="C1" s="325"/>
      <c r="D1" s="325"/>
      <c r="E1" s="325"/>
      <c r="F1" s="325"/>
      <c r="G1" s="326"/>
      <c r="H1" s="326"/>
      <c r="I1" s="326"/>
      <c r="J1" s="326"/>
      <c r="K1" s="327"/>
      <c r="L1" s="326"/>
      <c r="M1" s="326"/>
      <c r="N1" s="326"/>
      <c r="O1" s="326"/>
      <c r="P1" s="326"/>
      <c r="Q1" s="326"/>
      <c r="R1" s="326"/>
      <c r="S1" s="326"/>
      <c r="T1" s="326"/>
      <c r="U1" s="326"/>
      <c r="V1" s="326"/>
      <c r="W1" s="326"/>
      <c r="X1" s="326"/>
      <c r="Y1" s="326"/>
      <c r="Z1" s="326"/>
      <c r="AA1" s="326"/>
      <c r="AB1" s="326"/>
      <c r="AC1" s="326"/>
      <c r="AD1" s="326"/>
      <c r="AE1" s="326"/>
      <c r="AF1" s="326"/>
      <c r="AG1" s="326"/>
      <c r="AH1" s="326"/>
      <c r="AI1" s="326"/>
      <c r="AJ1" s="326"/>
      <c r="AK1" s="326"/>
      <c r="AL1" s="326"/>
      <c r="AR1" s="357"/>
      <c r="AS1" s="357"/>
      <c r="AT1" s="357"/>
      <c r="AU1" s="357"/>
      <c r="AV1" s="357"/>
      <c r="AW1" s="357"/>
      <c r="AX1" s="357"/>
      <c r="AY1" s="357"/>
    </row>
    <row r="2" spans="1:51">
      <c r="A2" s="329" t="s">
        <v>461</v>
      </c>
      <c r="B2" s="330"/>
      <c r="C2" s="330"/>
      <c r="D2" s="330"/>
      <c r="E2" s="330"/>
      <c r="F2" s="331"/>
      <c r="G2" s="332"/>
      <c r="H2" s="332"/>
      <c r="I2" s="332"/>
      <c r="J2" s="332"/>
      <c r="K2" s="333"/>
      <c r="L2" s="332"/>
      <c r="M2" s="332"/>
      <c r="N2" s="332"/>
      <c r="O2" s="332"/>
      <c r="P2" s="332"/>
      <c r="Q2" s="332"/>
      <c r="R2" s="332"/>
      <c r="S2" s="332"/>
      <c r="T2" s="332"/>
      <c r="U2" s="332"/>
      <c r="V2" s="332"/>
      <c r="W2" s="332"/>
      <c r="X2" s="332"/>
      <c r="Y2" s="332"/>
      <c r="Z2" s="332"/>
      <c r="AA2" s="332"/>
      <c r="AB2" s="332"/>
      <c r="AC2" s="332"/>
      <c r="AD2" s="332"/>
      <c r="AE2" s="332"/>
      <c r="AF2" s="332"/>
      <c r="AG2" s="332"/>
      <c r="AH2" s="332"/>
      <c r="AI2" s="332"/>
      <c r="AJ2" s="332"/>
      <c r="AK2" s="332"/>
      <c r="AL2" s="332"/>
      <c r="AR2" s="357"/>
      <c r="AS2" s="357"/>
      <c r="AT2" s="357"/>
      <c r="AU2" s="357"/>
      <c r="AV2" s="357"/>
      <c r="AW2" s="357"/>
      <c r="AX2" s="357"/>
      <c r="AY2" s="357"/>
    </row>
    <row r="3" spans="1:51">
      <c r="A3" s="451"/>
      <c r="B3" s="452"/>
      <c r="C3" s="452"/>
      <c r="D3" s="335"/>
      <c r="E3" s="335" t="s">
        <v>355</v>
      </c>
      <c r="F3" s="335" t="s">
        <v>96</v>
      </c>
      <c r="G3" s="335"/>
      <c r="H3" s="335"/>
      <c r="I3" s="335"/>
      <c r="J3" s="335"/>
      <c r="K3" s="335"/>
      <c r="L3" s="335"/>
      <c r="M3" s="335"/>
      <c r="N3" s="335"/>
      <c r="O3" s="335" t="s">
        <v>112</v>
      </c>
      <c r="P3" s="335" t="s">
        <v>113</v>
      </c>
      <c r="Q3" s="335"/>
      <c r="R3" s="335"/>
      <c r="S3" s="335"/>
      <c r="T3" s="335"/>
      <c r="U3" s="335"/>
      <c r="V3" s="335"/>
      <c r="W3" s="462"/>
      <c r="X3" s="335"/>
      <c r="Y3" s="335"/>
      <c r="Z3" s="335"/>
      <c r="AA3" s="335" t="s">
        <v>288</v>
      </c>
      <c r="AB3" s="335"/>
      <c r="AC3" s="335" t="s">
        <v>96</v>
      </c>
      <c r="AD3" s="335"/>
      <c r="AE3" s="335"/>
      <c r="AF3" s="335"/>
      <c r="AG3" s="335"/>
      <c r="AH3" s="335"/>
      <c r="AI3" s="335"/>
      <c r="AJ3" s="335" t="s">
        <v>96</v>
      </c>
      <c r="AK3" s="335" t="s">
        <v>291</v>
      </c>
      <c r="AL3" s="335" t="s">
        <v>356</v>
      </c>
      <c r="AO3" s="334"/>
      <c r="AP3" s="334"/>
      <c r="AQ3" s="334"/>
      <c r="AR3" s="451"/>
      <c r="AS3" s="451"/>
      <c r="AT3" s="451"/>
      <c r="AU3" s="451"/>
      <c r="AV3" s="357"/>
      <c r="AW3" s="357"/>
      <c r="AX3" s="357"/>
      <c r="AY3" s="357"/>
    </row>
    <row r="4" spans="1:51">
      <c r="A4" s="453" t="s">
        <v>293</v>
      </c>
      <c r="B4" s="454" t="s">
        <v>174</v>
      </c>
      <c r="C4" s="454" t="s">
        <v>439</v>
      </c>
      <c r="D4" s="336" t="s">
        <v>178</v>
      </c>
      <c r="E4" s="336" t="s">
        <v>357</v>
      </c>
      <c r="F4" s="336" t="s">
        <v>294</v>
      </c>
      <c r="G4" s="336" t="s">
        <v>108</v>
      </c>
      <c r="H4" s="336" t="s">
        <v>115</v>
      </c>
      <c r="I4" s="336" t="s">
        <v>132</v>
      </c>
      <c r="J4" s="336" t="s">
        <v>135</v>
      </c>
      <c r="K4" s="336" t="s">
        <v>295</v>
      </c>
      <c r="L4" s="336" t="s">
        <v>296</v>
      </c>
      <c r="M4" s="336" t="s">
        <v>297</v>
      </c>
      <c r="N4" s="336" t="s">
        <v>298</v>
      </c>
      <c r="O4" s="336" t="s">
        <v>299</v>
      </c>
      <c r="P4" s="336" t="s">
        <v>299</v>
      </c>
      <c r="Q4" s="336" t="s">
        <v>134</v>
      </c>
      <c r="R4" s="336" t="s">
        <v>137</v>
      </c>
      <c r="S4" s="336" t="s">
        <v>116</v>
      </c>
      <c r="T4" s="336" t="s">
        <v>111</v>
      </c>
      <c r="U4" s="336" t="s">
        <v>136</v>
      </c>
      <c r="V4" s="336" t="s">
        <v>189</v>
      </c>
      <c r="W4" s="336" t="s">
        <v>190</v>
      </c>
      <c r="X4" s="336" t="s">
        <v>138</v>
      </c>
      <c r="Y4" s="336" t="s">
        <v>109</v>
      </c>
      <c r="Z4" s="336" t="s">
        <v>110</v>
      </c>
      <c r="AA4" s="336" t="s">
        <v>300</v>
      </c>
      <c r="AB4" s="336" t="s">
        <v>28</v>
      </c>
      <c r="AC4" s="336" t="s">
        <v>301</v>
      </c>
      <c r="AD4" s="336" t="s">
        <v>209</v>
      </c>
      <c r="AE4" s="336" t="s">
        <v>302</v>
      </c>
      <c r="AF4" s="336" t="s">
        <v>303</v>
      </c>
      <c r="AG4" s="336" t="s">
        <v>210</v>
      </c>
      <c r="AH4" s="336" t="s">
        <v>304</v>
      </c>
      <c r="AI4" s="336" t="s">
        <v>211</v>
      </c>
      <c r="AJ4" s="336" t="s">
        <v>305</v>
      </c>
      <c r="AK4" s="336" t="s">
        <v>306</v>
      </c>
      <c r="AL4" s="336" t="s">
        <v>307</v>
      </c>
      <c r="AR4" s="357"/>
      <c r="AS4" s="357"/>
      <c r="AT4" s="357"/>
      <c r="AU4" s="357"/>
      <c r="AV4" s="357"/>
      <c r="AW4" s="357"/>
      <c r="AX4" s="357"/>
      <c r="AY4" s="357"/>
    </row>
    <row r="5" spans="1:51">
      <c r="A5" s="334"/>
      <c r="B5" s="337" t="s">
        <v>416</v>
      </c>
      <c r="C5" s="338"/>
      <c r="D5" s="338"/>
      <c r="E5" s="338"/>
      <c r="F5" s="338"/>
      <c r="G5" s="338"/>
      <c r="H5" s="338"/>
      <c r="I5" s="338"/>
      <c r="J5" s="338"/>
      <c r="K5" s="338"/>
      <c r="L5" s="338"/>
      <c r="M5" s="338"/>
      <c r="N5" s="338"/>
      <c r="O5" s="338"/>
      <c r="P5" s="338"/>
      <c r="Q5" s="338"/>
      <c r="R5" s="338"/>
      <c r="S5" s="338"/>
      <c r="T5" s="338"/>
      <c r="U5" s="338"/>
      <c r="V5" s="338"/>
      <c r="W5" s="338"/>
      <c r="X5" s="338"/>
      <c r="Y5" s="338"/>
      <c r="Z5" s="338"/>
      <c r="AA5" s="338"/>
      <c r="AB5" s="338"/>
      <c r="AC5" s="475"/>
      <c r="AD5" s="338"/>
      <c r="AE5" s="338"/>
      <c r="AF5" s="338"/>
      <c r="AG5" s="338"/>
      <c r="AH5" s="338"/>
      <c r="AI5" s="338"/>
      <c r="AJ5" s="338"/>
      <c r="AK5" s="479"/>
      <c r="AL5" s="480" t="s">
        <v>224</v>
      </c>
      <c r="AR5" s="357"/>
      <c r="AS5" s="357"/>
      <c r="AT5" s="357"/>
      <c r="AU5" s="357"/>
      <c r="AV5" s="357"/>
      <c r="AW5" s="357"/>
      <c r="AX5" s="357"/>
      <c r="AY5" s="357"/>
    </row>
    <row r="6" spans="1:51">
      <c r="A6" s="334"/>
      <c r="B6" s="338"/>
      <c r="C6" s="338"/>
      <c r="D6" s="338"/>
      <c r="E6" s="338"/>
      <c r="F6" s="338"/>
      <c r="G6" s="338"/>
      <c r="H6" s="338"/>
      <c r="I6" s="338" t="s">
        <v>358</v>
      </c>
      <c r="J6" s="338" t="s">
        <v>358</v>
      </c>
      <c r="K6" s="338" t="s">
        <v>358</v>
      </c>
      <c r="L6" s="338" t="s">
        <v>358</v>
      </c>
      <c r="M6" s="338"/>
      <c r="N6" s="338"/>
      <c r="O6" s="338"/>
      <c r="P6" s="338"/>
      <c r="Q6" s="338"/>
      <c r="R6" s="338"/>
      <c r="S6" s="338"/>
      <c r="T6" s="338"/>
      <c r="U6" s="338"/>
      <c r="V6" s="338"/>
      <c r="W6" s="338"/>
      <c r="X6" s="338"/>
      <c r="Y6" s="338"/>
      <c r="Z6" s="338"/>
      <c r="AA6" s="338"/>
      <c r="AB6" s="338"/>
      <c r="AC6" s="475"/>
      <c r="AD6" s="338"/>
      <c r="AE6" s="338"/>
      <c r="AF6" s="338"/>
      <c r="AG6" s="338"/>
      <c r="AH6" s="338"/>
      <c r="AI6" s="338"/>
      <c r="AJ6" s="338"/>
      <c r="AK6" s="479"/>
      <c r="AL6" s="479"/>
      <c r="AR6" s="357"/>
      <c r="AS6" s="357"/>
      <c r="AT6" s="357"/>
      <c r="AU6" s="357"/>
      <c r="AV6" s="357"/>
      <c r="AW6" s="357"/>
      <c r="AX6" s="357"/>
      <c r="AY6" s="357"/>
    </row>
    <row r="7" spans="1:51">
      <c r="A7" s="339" t="s">
        <v>310</v>
      </c>
      <c r="B7" s="338">
        <v>0</v>
      </c>
      <c r="C7" s="338">
        <v>0</v>
      </c>
      <c r="D7" s="338">
        <v>0</v>
      </c>
      <c r="E7" s="338">
        <v>0</v>
      </c>
      <c r="F7" s="338">
        <v>0</v>
      </c>
      <c r="G7" s="338">
        <v>0</v>
      </c>
      <c r="H7" s="338">
        <v>0</v>
      </c>
      <c r="I7" s="338">
        <v>0</v>
      </c>
      <c r="J7" s="338">
        <v>0</v>
      </c>
      <c r="K7" s="340">
        <v>0</v>
      </c>
      <c r="L7" s="338">
        <v>0</v>
      </c>
      <c r="M7" s="338">
        <v>0</v>
      </c>
      <c r="N7" s="338">
        <v>0</v>
      </c>
      <c r="O7" s="338">
        <v>0</v>
      </c>
      <c r="P7" s="338">
        <v>0</v>
      </c>
      <c r="Q7" s="338">
        <v>0</v>
      </c>
      <c r="R7" s="338">
        <v>0</v>
      </c>
      <c r="S7" s="338">
        <v>0</v>
      </c>
      <c r="T7" s="338">
        <v>0</v>
      </c>
      <c r="U7" s="338">
        <v>0</v>
      </c>
      <c r="V7" s="338">
        <v>0</v>
      </c>
      <c r="W7" s="338">
        <v>0</v>
      </c>
      <c r="X7" s="338">
        <v>0</v>
      </c>
      <c r="Y7" s="445" t="s">
        <v>226</v>
      </c>
      <c r="Z7" s="338">
        <v>0</v>
      </c>
      <c r="AA7" s="338">
        <v>0</v>
      </c>
      <c r="AB7" s="338">
        <v>0</v>
      </c>
      <c r="AC7" s="338">
        <f t="shared" ref="AC7:AC49" si="0">SUM(G7:AB7)</f>
        <v>0</v>
      </c>
      <c r="AD7" s="338">
        <v>0</v>
      </c>
      <c r="AE7" s="338">
        <v>0</v>
      </c>
      <c r="AF7" s="338">
        <v>0</v>
      </c>
      <c r="AG7" s="338">
        <v>2366</v>
      </c>
      <c r="AH7" s="338">
        <v>0</v>
      </c>
      <c r="AI7" s="338">
        <v>0</v>
      </c>
      <c r="AJ7" s="338">
        <f t="shared" ref="AJ7:AJ51" si="1">SUM(AD7:AI7)</f>
        <v>2366</v>
      </c>
      <c r="AK7" s="338">
        <f t="shared" ref="AK7:AK49" si="2">F7+AC7+AJ7</f>
        <v>2366</v>
      </c>
      <c r="AL7" s="538">
        <f t="shared" ref="AL7:AL49" si="3">AK7/AK$51*100</f>
        <v>8.0702040902086453E-3</v>
      </c>
      <c r="AR7" s="354"/>
      <c r="AS7" s="357"/>
      <c r="AT7" s="357"/>
      <c r="AU7" s="357"/>
      <c r="AV7" s="357"/>
      <c r="AW7" s="357"/>
      <c r="AX7" s="357"/>
      <c r="AY7" s="357"/>
    </row>
    <row r="8" spans="1:51">
      <c r="A8" s="339" t="s">
        <v>311</v>
      </c>
      <c r="B8" s="338">
        <v>0</v>
      </c>
      <c r="C8" s="338">
        <v>0</v>
      </c>
      <c r="D8" s="473">
        <v>34197</v>
      </c>
      <c r="E8" s="338">
        <v>0</v>
      </c>
      <c r="F8" s="474">
        <f>SUM(B8:E8)</f>
        <v>34197</v>
      </c>
      <c r="G8" s="338">
        <v>0</v>
      </c>
      <c r="H8" s="338">
        <v>0</v>
      </c>
      <c r="I8" s="338">
        <v>0</v>
      </c>
      <c r="J8" s="338">
        <v>0</v>
      </c>
      <c r="K8" s="340">
        <v>0</v>
      </c>
      <c r="L8" s="338">
        <v>0</v>
      </c>
      <c r="M8" s="338">
        <v>0</v>
      </c>
      <c r="N8" s="338">
        <v>0</v>
      </c>
      <c r="O8" s="338">
        <v>0</v>
      </c>
      <c r="P8" s="338">
        <v>0</v>
      </c>
      <c r="Q8" s="338">
        <v>0</v>
      </c>
      <c r="R8" s="338">
        <v>66066</v>
      </c>
      <c r="S8" s="338">
        <v>0</v>
      </c>
      <c r="T8" s="338">
        <v>0</v>
      </c>
      <c r="U8" s="338">
        <v>0</v>
      </c>
      <c r="V8" s="338">
        <v>0</v>
      </c>
      <c r="W8" s="338">
        <v>0</v>
      </c>
      <c r="X8" s="338">
        <v>0</v>
      </c>
      <c r="Y8" s="338">
        <v>0</v>
      </c>
      <c r="Z8" s="338">
        <v>0</v>
      </c>
      <c r="AA8" s="338">
        <v>0</v>
      </c>
      <c r="AB8" s="338">
        <v>0</v>
      </c>
      <c r="AC8" s="338">
        <f t="shared" si="0"/>
        <v>66066</v>
      </c>
      <c r="AD8" s="338">
        <v>0</v>
      </c>
      <c r="AE8" s="338">
        <v>0</v>
      </c>
      <c r="AF8" s="338">
        <v>0</v>
      </c>
      <c r="AG8" s="338">
        <v>52173</v>
      </c>
      <c r="AH8" s="338">
        <v>0</v>
      </c>
      <c r="AI8" s="338">
        <v>0</v>
      </c>
      <c r="AJ8" s="338">
        <f t="shared" si="1"/>
        <v>52173</v>
      </c>
      <c r="AK8" s="338">
        <f t="shared" si="2"/>
        <v>152436</v>
      </c>
      <c r="AL8" s="538">
        <f t="shared" si="3"/>
        <v>0.51994489885673922</v>
      </c>
      <c r="AR8" s="354"/>
      <c r="AS8" s="357"/>
      <c r="AT8" s="357"/>
      <c r="AU8" s="357"/>
      <c r="AV8" s="357"/>
      <c r="AW8" s="357"/>
      <c r="AX8" s="357"/>
      <c r="AY8" s="357"/>
    </row>
    <row r="9" spans="1:51">
      <c r="A9" s="339" t="s">
        <v>313</v>
      </c>
      <c r="B9" s="338">
        <v>0</v>
      </c>
      <c r="C9" s="338">
        <v>0</v>
      </c>
      <c r="D9" s="338">
        <v>0</v>
      </c>
      <c r="E9" s="338">
        <v>0</v>
      </c>
      <c r="F9" s="338">
        <v>0</v>
      </c>
      <c r="G9" s="338">
        <v>0</v>
      </c>
      <c r="H9" s="338">
        <v>0</v>
      </c>
      <c r="I9" s="338">
        <v>0</v>
      </c>
      <c r="J9" s="338">
        <v>0</v>
      </c>
      <c r="K9" s="340">
        <v>0</v>
      </c>
      <c r="L9" s="338">
        <v>0</v>
      </c>
      <c r="M9" s="338">
        <v>0</v>
      </c>
      <c r="N9" s="338">
        <v>0</v>
      </c>
      <c r="O9" s="338">
        <v>0</v>
      </c>
      <c r="P9" s="338">
        <v>0</v>
      </c>
      <c r="Q9" s="338">
        <v>0</v>
      </c>
      <c r="R9" s="338">
        <v>0</v>
      </c>
      <c r="S9" s="338">
        <v>0</v>
      </c>
      <c r="T9" s="338">
        <v>0</v>
      </c>
      <c r="U9" s="338">
        <v>0</v>
      </c>
      <c r="V9" s="338">
        <v>0</v>
      </c>
      <c r="W9" s="338">
        <v>0</v>
      </c>
      <c r="X9" s="338">
        <v>0</v>
      </c>
      <c r="Y9" s="338">
        <v>0</v>
      </c>
      <c r="Z9" s="338">
        <v>0</v>
      </c>
      <c r="AA9" s="338">
        <v>0</v>
      </c>
      <c r="AB9" s="338">
        <v>0</v>
      </c>
      <c r="AC9" s="338">
        <f t="shared" si="0"/>
        <v>0</v>
      </c>
      <c r="AD9" s="338">
        <v>0</v>
      </c>
      <c r="AE9" s="338">
        <v>0</v>
      </c>
      <c r="AF9" s="338">
        <v>0</v>
      </c>
      <c r="AG9" s="338">
        <v>0</v>
      </c>
      <c r="AH9" s="338">
        <v>0</v>
      </c>
      <c r="AI9" s="338">
        <v>0</v>
      </c>
      <c r="AJ9" s="338">
        <f t="shared" si="1"/>
        <v>0</v>
      </c>
      <c r="AK9" s="338">
        <f t="shared" si="2"/>
        <v>0</v>
      </c>
      <c r="AL9" s="539">
        <f t="shared" si="3"/>
        <v>0</v>
      </c>
      <c r="AR9" s="354"/>
      <c r="AS9" s="357"/>
      <c r="AT9" s="357"/>
      <c r="AU9" s="357"/>
      <c r="AV9" s="357"/>
      <c r="AW9" s="357"/>
      <c r="AX9" s="357"/>
      <c r="AY9" s="357"/>
    </row>
    <row r="10" spans="1:51" ht="15">
      <c r="A10" s="339" t="s">
        <v>314</v>
      </c>
      <c r="B10" s="338">
        <v>1093052</v>
      </c>
      <c r="C10" s="341">
        <v>69690</v>
      </c>
      <c r="D10" s="473">
        <v>681564</v>
      </c>
      <c r="E10" s="338">
        <v>556024</v>
      </c>
      <c r="F10" s="474">
        <f>SUM(B10:E10)</f>
        <v>2400330</v>
      </c>
      <c r="G10" s="338">
        <v>71000</v>
      </c>
      <c r="H10" s="338">
        <v>31570</v>
      </c>
      <c r="I10" s="341">
        <v>383485</v>
      </c>
      <c r="J10" s="338">
        <v>0</v>
      </c>
      <c r="K10" s="340">
        <v>0</v>
      </c>
      <c r="L10" s="338">
        <v>139755</v>
      </c>
      <c r="M10" s="338">
        <v>0</v>
      </c>
      <c r="N10" s="338">
        <v>331088</v>
      </c>
      <c r="O10" s="338">
        <v>140395</v>
      </c>
      <c r="P10" s="338">
        <v>0</v>
      </c>
      <c r="Q10" s="338">
        <v>0</v>
      </c>
      <c r="R10" s="338">
        <v>86109</v>
      </c>
      <c r="S10" s="445" t="s">
        <v>226</v>
      </c>
      <c r="T10" s="338">
        <v>6254211</v>
      </c>
      <c r="U10" s="341">
        <v>32886</v>
      </c>
      <c r="V10" s="338">
        <v>104626</v>
      </c>
      <c r="W10" s="338">
        <v>40523</v>
      </c>
      <c r="X10" s="338">
        <v>0</v>
      </c>
      <c r="Y10" s="338">
        <v>304213</v>
      </c>
      <c r="Z10" s="338">
        <v>77344</v>
      </c>
      <c r="AA10" s="338">
        <f>92570+194832</f>
        <v>287402</v>
      </c>
      <c r="AB10" s="338">
        <v>2340315</v>
      </c>
      <c r="AC10" s="338">
        <f t="shared" si="0"/>
        <v>10624922</v>
      </c>
      <c r="AD10" s="338">
        <v>5468040</v>
      </c>
      <c r="AE10" s="338">
        <v>0</v>
      </c>
      <c r="AF10" s="338">
        <v>0</v>
      </c>
      <c r="AG10" s="338">
        <v>7400</v>
      </c>
      <c r="AH10" s="338">
        <v>2615550</v>
      </c>
      <c r="AI10" s="341">
        <v>878800</v>
      </c>
      <c r="AJ10" s="338">
        <f t="shared" si="1"/>
        <v>8969790</v>
      </c>
      <c r="AK10" s="338">
        <f t="shared" si="2"/>
        <v>21995042</v>
      </c>
      <c r="AL10" s="538">
        <f t="shared" si="3"/>
        <v>75.02302532236304</v>
      </c>
      <c r="AN10" s="342"/>
      <c r="AR10" s="354"/>
      <c r="AS10" s="357"/>
      <c r="AT10" s="357"/>
      <c r="AU10" s="456"/>
      <c r="AV10" s="456"/>
      <c r="AW10" s="457"/>
      <c r="AX10" s="357"/>
      <c r="AY10" s="357"/>
    </row>
    <row r="11" spans="1:51">
      <c r="A11" s="339" t="s">
        <v>315</v>
      </c>
      <c r="B11" s="338">
        <v>0</v>
      </c>
      <c r="C11" s="338">
        <v>0</v>
      </c>
      <c r="D11" s="338">
        <v>0</v>
      </c>
      <c r="E11" s="338">
        <v>0</v>
      </c>
      <c r="F11" s="338">
        <v>0</v>
      </c>
      <c r="G11" s="338">
        <v>0</v>
      </c>
      <c r="H11" s="338">
        <v>0</v>
      </c>
      <c r="I11" s="338">
        <v>0</v>
      </c>
      <c r="J11" s="338">
        <v>0</v>
      </c>
      <c r="K11" s="340">
        <v>0</v>
      </c>
      <c r="L11" s="338">
        <v>0</v>
      </c>
      <c r="M11" s="338">
        <v>0</v>
      </c>
      <c r="N11" s="338">
        <v>0</v>
      </c>
      <c r="O11" s="338">
        <v>0</v>
      </c>
      <c r="P11" s="338">
        <v>0</v>
      </c>
      <c r="Q11" s="338">
        <v>0</v>
      </c>
      <c r="R11" s="338">
        <v>0</v>
      </c>
      <c r="S11" s="338">
        <v>0</v>
      </c>
      <c r="T11" s="338">
        <v>0</v>
      </c>
      <c r="U11" s="338">
        <v>0</v>
      </c>
      <c r="V11" s="338">
        <v>0</v>
      </c>
      <c r="W11" s="338">
        <v>0</v>
      </c>
      <c r="X11" s="338">
        <v>0</v>
      </c>
      <c r="Y11" s="338">
        <v>28140</v>
      </c>
      <c r="Z11" s="338">
        <v>0</v>
      </c>
      <c r="AA11" s="338">
        <v>0</v>
      </c>
      <c r="AB11" s="338">
        <v>0</v>
      </c>
      <c r="AC11" s="338">
        <f t="shared" si="0"/>
        <v>28140</v>
      </c>
      <c r="AD11" s="338">
        <v>0</v>
      </c>
      <c r="AE11" s="338">
        <v>0</v>
      </c>
      <c r="AF11" s="338">
        <v>0</v>
      </c>
      <c r="AG11" s="338">
        <v>0</v>
      </c>
      <c r="AH11" s="338">
        <v>0</v>
      </c>
      <c r="AI11" s="338">
        <v>0</v>
      </c>
      <c r="AJ11" s="338">
        <f t="shared" si="1"/>
        <v>0</v>
      </c>
      <c r="AK11" s="338">
        <f t="shared" si="2"/>
        <v>28140</v>
      </c>
      <c r="AL11" s="538">
        <f t="shared" si="3"/>
        <v>9.5982900717866151E-2</v>
      </c>
      <c r="AR11" s="354"/>
      <c r="AS11" s="357"/>
      <c r="AT11" s="357"/>
      <c r="AU11" s="357"/>
      <c r="AV11" s="357"/>
      <c r="AW11" s="357"/>
      <c r="AX11" s="357"/>
      <c r="AY11" s="357"/>
    </row>
    <row r="12" spans="1:51">
      <c r="A12" s="339" t="s">
        <v>316</v>
      </c>
      <c r="B12" s="338">
        <v>0</v>
      </c>
      <c r="C12" s="338">
        <v>0</v>
      </c>
      <c r="D12" s="338">
        <v>0</v>
      </c>
      <c r="E12" s="338">
        <v>0</v>
      </c>
      <c r="F12" s="338">
        <v>0</v>
      </c>
      <c r="G12" s="445" t="s">
        <v>226</v>
      </c>
      <c r="H12" s="338">
        <v>0</v>
      </c>
      <c r="I12" s="338">
        <v>0</v>
      </c>
      <c r="J12" s="338">
        <v>0</v>
      </c>
      <c r="K12" s="340">
        <v>0</v>
      </c>
      <c r="L12" s="338">
        <v>0</v>
      </c>
      <c r="M12" s="338">
        <v>0</v>
      </c>
      <c r="N12" s="338">
        <v>0</v>
      </c>
      <c r="O12" s="338">
        <v>0</v>
      </c>
      <c r="P12" s="338">
        <v>0</v>
      </c>
      <c r="Q12" s="338">
        <v>0</v>
      </c>
      <c r="R12" s="338">
        <v>0</v>
      </c>
      <c r="S12" s="338">
        <v>0</v>
      </c>
      <c r="T12" s="338">
        <v>0</v>
      </c>
      <c r="U12" s="338">
        <v>0</v>
      </c>
      <c r="V12" s="338">
        <v>0</v>
      </c>
      <c r="W12" s="338">
        <v>0</v>
      </c>
      <c r="X12" s="338">
        <v>0</v>
      </c>
      <c r="Y12" s="338">
        <v>0</v>
      </c>
      <c r="Z12" s="338">
        <v>0</v>
      </c>
      <c r="AA12" s="338">
        <v>0</v>
      </c>
      <c r="AB12" s="338">
        <v>0</v>
      </c>
      <c r="AC12" s="338">
        <f t="shared" si="0"/>
        <v>0</v>
      </c>
      <c r="AD12" s="338">
        <v>0</v>
      </c>
      <c r="AE12" s="338">
        <v>0</v>
      </c>
      <c r="AF12" s="338">
        <v>0</v>
      </c>
      <c r="AG12" s="338">
        <v>0</v>
      </c>
      <c r="AH12" s="338">
        <v>0</v>
      </c>
      <c r="AI12" s="338">
        <v>0</v>
      </c>
      <c r="AJ12" s="338">
        <f t="shared" si="1"/>
        <v>0</v>
      </c>
      <c r="AK12" s="338">
        <f t="shared" si="2"/>
        <v>0</v>
      </c>
      <c r="AL12" s="538">
        <f t="shared" si="3"/>
        <v>0</v>
      </c>
      <c r="AR12" s="354"/>
      <c r="AS12" s="357"/>
      <c r="AT12" s="357"/>
      <c r="AU12" s="357"/>
      <c r="AV12" s="357"/>
      <c r="AW12" s="357"/>
      <c r="AX12" s="357"/>
      <c r="AY12" s="357"/>
    </row>
    <row r="13" spans="1:51">
      <c r="A13" s="339" t="s">
        <v>317</v>
      </c>
      <c r="B13" s="338">
        <v>701855</v>
      </c>
      <c r="C13" s="338">
        <v>73200</v>
      </c>
      <c r="D13" s="338">
        <v>0</v>
      </c>
      <c r="E13" s="338">
        <v>19952</v>
      </c>
      <c r="F13" s="474">
        <f>SUM(B13:E13)</f>
        <v>795007</v>
      </c>
      <c r="G13" s="338">
        <v>0</v>
      </c>
      <c r="H13" s="338">
        <v>0</v>
      </c>
      <c r="I13" s="341">
        <v>15278</v>
      </c>
      <c r="J13" s="338">
        <v>0</v>
      </c>
      <c r="K13" s="340">
        <v>0</v>
      </c>
      <c r="L13" s="338">
        <v>60404</v>
      </c>
      <c r="M13" s="338">
        <v>0</v>
      </c>
      <c r="N13" s="338">
        <v>0</v>
      </c>
      <c r="O13" s="338">
        <v>0</v>
      </c>
      <c r="P13" s="338">
        <v>0</v>
      </c>
      <c r="Q13" s="338">
        <v>0</v>
      </c>
      <c r="R13" s="338">
        <v>0</v>
      </c>
      <c r="S13" s="338">
        <v>0</v>
      </c>
      <c r="T13" s="338">
        <v>0</v>
      </c>
      <c r="U13" s="338">
        <v>0</v>
      </c>
      <c r="V13" s="338">
        <v>0</v>
      </c>
      <c r="W13" s="338">
        <v>0</v>
      </c>
      <c r="X13" s="338">
        <v>0</v>
      </c>
      <c r="Y13" s="338">
        <v>0</v>
      </c>
      <c r="Z13" s="338">
        <v>0</v>
      </c>
      <c r="AA13" s="338">
        <v>0</v>
      </c>
      <c r="AB13" s="338">
        <v>281750</v>
      </c>
      <c r="AC13" s="338">
        <f t="shared" si="0"/>
        <v>357432</v>
      </c>
      <c r="AD13" s="338">
        <v>0</v>
      </c>
      <c r="AE13" s="338">
        <v>0</v>
      </c>
      <c r="AF13" s="338">
        <v>0</v>
      </c>
      <c r="AG13" s="338">
        <v>0</v>
      </c>
      <c r="AH13" s="338">
        <v>0</v>
      </c>
      <c r="AI13" s="338">
        <v>0</v>
      </c>
      <c r="AJ13" s="338">
        <f t="shared" si="1"/>
        <v>0</v>
      </c>
      <c r="AK13" s="338">
        <f t="shared" si="2"/>
        <v>1152439</v>
      </c>
      <c r="AL13" s="538">
        <f t="shared" si="3"/>
        <v>3.9308613404547597</v>
      </c>
      <c r="AR13" s="354"/>
      <c r="AS13" s="357"/>
      <c r="AT13" s="357"/>
      <c r="AU13" s="357"/>
      <c r="AV13" s="357"/>
      <c r="AW13" s="457"/>
      <c r="AX13" s="357"/>
      <c r="AY13" s="357"/>
    </row>
    <row r="14" spans="1:51">
      <c r="A14" s="339" t="s">
        <v>318</v>
      </c>
      <c r="B14" s="338">
        <v>0</v>
      </c>
      <c r="C14" s="338">
        <v>0</v>
      </c>
      <c r="D14" s="338">
        <v>0</v>
      </c>
      <c r="E14" s="338">
        <v>0</v>
      </c>
      <c r="F14" s="338">
        <v>0</v>
      </c>
      <c r="G14" s="338">
        <v>0</v>
      </c>
      <c r="H14" s="338">
        <v>0</v>
      </c>
      <c r="I14" s="338">
        <v>0</v>
      </c>
      <c r="J14" s="338">
        <v>0</v>
      </c>
      <c r="K14" s="340">
        <v>0</v>
      </c>
      <c r="L14" s="338">
        <v>87258</v>
      </c>
      <c r="M14" s="338">
        <v>0</v>
      </c>
      <c r="N14" s="338">
        <v>0</v>
      </c>
      <c r="O14" s="338">
        <v>0</v>
      </c>
      <c r="P14" s="338">
        <v>0</v>
      </c>
      <c r="Q14" s="338">
        <v>0</v>
      </c>
      <c r="R14" s="338">
        <v>0</v>
      </c>
      <c r="S14" s="338">
        <v>0</v>
      </c>
      <c r="T14" s="338">
        <v>0</v>
      </c>
      <c r="U14" s="338">
        <v>0</v>
      </c>
      <c r="V14" s="338">
        <v>0</v>
      </c>
      <c r="W14" s="338">
        <v>0</v>
      </c>
      <c r="X14" s="338">
        <v>0</v>
      </c>
      <c r="Y14" s="338">
        <v>23868</v>
      </c>
      <c r="Z14" s="338">
        <v>0</v>
      </c>
      <c r="AA14" s="338">
        <v>0</v>
      </c>
      <c r="AB14" s="338">
        <v>0</v>
      </c>
      <c r="AC14" s="338">
        <f t="shared" si="0"/>
        <v>111126</v>
      </c>
      <c r="AD14" s="338">
        <v>0</v>
      </c>
      <c r="AE14" s="338">
        <v>0</v>
      </c>
      <c r="AF14" s="338">
        <v>0</v>
      </c>
      <c r="AG14" s="338">
        <v>113400</v>
      </c>
      <c r="AH14" s="338">
        <v>0</v>
      </c>
      <c r="AI14" s="338">
        <v>0</v>
      </c>
      <c r="AJ14" s="338">
        <f t="shared" si="1"/>
        <v>113400</v>
      </c>
      <c r="AK14" s="338">
        <f t="shared" si="2"/>
        <v>224526</v>
      </c>
      <c r="AL14" s="538">
        <f t="shared" si="3"/>
        <v>0.76583712745485477</v>
      </c>
      <c r="AR14" s="354"/>
      <c r="AS14" s="357"/>
      <c r="AT14" s="357"/>
      <c r="AU14" s="357"/>
      <c r="AV14" s="357"/>
      <c r="AW14" s="357"/>
      <c r="AX14" s="357"/>
      <c r="AY14" s="357"/>
    </row>
    <row r="15" spans="1:51">
      <c r="A15" s="482" t="s">
        <v>449</v>
      </c>
      <c r="B15" s="338">
        <v>0</v>
      </c>
      <c r="C15" s="338">
        <v>0</v>
      </c>
      <c r="D15" s="338">
        <v>0</v>
      </c>
      <c r="E15" s="338">
        <v>0</v>
      </c>
      <c r="F15" s="338">
        <v>0</v>
      </c>
      <c r="G15" s="338">
        <v>0</v>
      </c>
      <c r="H15" s="338">
        <v>0</v>
      </c>
      <c r="I15" s="341">
        <v>1591</v>
      </c>
      <c r="J15" s="445" t="s">
        <v>226</v>
      </c>
      <c r="K15" s="340">
        <v>0</v>
      </c>
      <c r="L15" s="338">
        <v>0</v>
      </c>
      <c r="M15" s="338">
        <v>0</v>
      </c>
      <c r="N15" s="338">
        <v>0</v>
      </c>
      <c r="O15" s="338">
        <v>0</v>
      </c>
      <c r="P15" s="338">
        <v>0</v>
      </c>
      <c r="Q15" s="338">
        <v>0</v>
      </c>
      <c r="R15" s="338">
        <v>0</v>
      </c>
      <c r="S15" s="338">
        <v>0</v>
      </c>
      <c r="T15" s="338">
        <v>0</v>
      </c>
      <c r="U15" s="338">
        <v>0</v>
      </c>
      <c r="V15" s="338">
        <v>0</v>
      </c>
      <c r="W15" s="338">
        <v>0</v>
      </c>
      <c r="X15" s="341">
        <v>5702</v>
      </c>
      <c r="Y15" s="338">
        <v>0</v>
      </c>
      <c r="Z15" s="338">
        <v>0</v>
      </c>
      <c r="AA15" s="338">
        <v>0</v>
      </c>
      <c r="AB15" s="338">
        <v>0</v>
      </c>
      <c r="AC15" s="338">
        <f t="shared" si="0"/>
        <v>7293</v>
      </c>
      <c r="AD15" s="338">
        <v>0</v>
      </c>
      <c r="AE15" s="338">
        <v>0</v>
      </c>
      <c r="AF15" s="338">
        <v>42007</v>
      </c>
      <c r="AG15" s="338">
        <v>0</v>
      </c>
      <c r="AH15" s="338">
        <v>0</v>
      </c>
      <c r="AI15" s="338">
        <v>0</v>
      </c>
      <c r="AJ15" s="338">
        <f t="shared" si="1"/>
        <v>42007</v>
      </c>
      <c r="AK15" s="338">
        <f>F15+AC15+AJ15+50160</f>
        <v>99460</v>
      </c>
      <c r="AL15" s="538">
        <f t="shared" si="3"/>
        <v>0.33924873153514451</v>
      </c>
      <c r="AR15" s="354"/>
      <c r="AS15" s="357"/>
      <c r="AT15" s="357"/>
      <c r="AU15" s="357"/>
      <c r="AV15" s="357"/>
      <c r="AW15" s="457"/>
      <c r="AX15" s="357"/>
      <c r="AY15" s="357"/>
    </row>
    <row r="16" spans="1:51">
      <c r="A16" s="339" t="s">
        <v>319</v>
      </c>
      <c r="B16" s="338">
        <v>0</v>
      </c>
      <c r="C16" s="338">
        <v>0</v>
      </c>
      <c r="D16" s="338">
        <v>0</v>
      </c>
      <c r="E16" s="338">
        <v>0</v>
      </c>
      <c r="F16" s="338">
        <v>0</v>
      </c>
      <c r="G16" s="445" t="s">
        <v>226</v>
      </c>
      <c r="H16" s="338">
        <v>0</v>
      </c>
      <c r="I16" s="338">
        <v>0</v>
      </c>
      <c r="J16" s="338">
        <v>0</v>
      </c>
      <c r="K16" s="340">
        <v>0</v>
      </c>
      <c r="L16" s="338">
        <v>0</v>
      </c>
      <c r="M16" s="338">
        <v>0</v>
      </c>
      <c r="N16" s="338">
        <v>0</v>
      </c>
      <c r="O16" s="338">
        <v>0</v>
      </c>
      <c r="P16" s="338">
        <v>0</v>
      </c>
      <c r="Q16" s="338">
        <v>0</v>
      </c>
      <c r="R16" s="338">
        <v>0</v>
      </c>
      <c r="S16" s="338">
        <v>0</v>
      </c>
      <c r="T16" s="338">
        <v>0</v>
      </c>
      <c r="U16" s="338">
        <v>0</v>
      </c>
      <c r="V16" s="338">
        <v>0</v>
      </c>
      <c r="W16" s="338">
        <v>0</v>
      </c>
      <c r="X16" s="338">
        <v>0</v>
      </c>
      <c r="Y16" s="445" t="s">
        <v>226</v>
      </c>
      <c r="Z16" s="338">
        <v>0</v>
      </c>
      <c r="AA16" s="338">
        <v>0</v>
      </c>
      <c r="AB16" s="338">
        <v>0</v>
      </c>
      <c r="AC16" s="338">
        <f t="shared" si="0"/>
        <v>0</v>
      </c>
      <c r="AD16" s="338">
        <v>0</v>
      </c>
      <c r="AE16" s="338">
        <v>0</v>
      </c>
      <c r="AF16" s="338">
        <v>0</v>
      </c>
      <c r="AG16" s="338">
        <v>0</v>
      </c>
      <c r="AH16" s="338">
        <v>0</v>
      </c>
      <c r="AI16" s="338">
        <v>0</v>
      </c>
      <c r="AJ16" s="338">
        <f t="shared" si="1"/>
        <v>0</v>
      </c>
      <c r="AK16" s="338">
        <f t="shared" si="2"/>
        <v>0</v>
      </c>
      <c r="AL16" s="538">
        <f t="shared" si="3"/>
        <v>0</v>
      </c>
      <c r="AR16" s="354"/>
      <c r="AS16" s="357"/>
      <c r="AT16" s="357"/>
      <c r="AU16" s="357"/>
      <c r="AV16" s="357"/>
      <c r="AW16" s="357"/>
      <c r="AX16" s="357"/>
      <c r="AY16" s="357"/>
    </row>
    <row r="17" spans="1:51">
      <c r="A17" s="339" t="s">
        <v>320</v>
      </c>
      <c r="B17" s="338">
        <v>0</v>
      </c>
      <c r="C17" s="338">
        <v>0</v>
      </c>
      <c r="D17" s="338">
        <v>0</v>
      </c>
      <c r="E17" s="338">
        <v>0</v>
      </c>
      <c r="F17" s="338">
        <v>0</v>
      </c>
      <c r="G17" s="445" t="s">
        <v>226</v>
      </c>
      <c r="H17" s="338">
        <v>0</v>
      </c>
      <c r="I17" s="338">
        <v>0</v>
      </c>
      <c r="J17" s="338">
        <v>0</v>
      </c>
      <c r="K17" s="340">
        <v>0</v>
      </c>
      <c r="L17" s="338">
        <v>0</v>
      </c>
      <c r="M17" s="338">
        <v>0</v>
      </c>
      <c r="N17" s="338">
        <v>0</v>
      </c>
      <c r="O17" s="338">
        <v>0</v>
      </c>
      <c r="P17" s="338">
        <v>0</v>
      </c>
      <c r="Q17" s="338">
        <v>0</v>
      </c>
      <c r="R17" s="338">
        <v>0</v>
      </c>
      <c r="S17" s="338">
        <v>0</v>
      </c>
      <c r="T17" s="338">
        <v>0</v>
      </c>
      <c r="U17" s="338">
        <v>0</v>
      </c>
      <c r="V17" s="338">
        <v>0</v>
      </c>
      <c r="W17" s="338">
        <v>0</v>
      </c>
      <c r="X17" s="338">
        <v>0</v>
      </c>
      <c r="Y17" s="445" t="s">
        <v>226</v>
      </c>
      <c r="Z17" s="338">
        <v>0</v>
      </c>
      <c r="AA17" s="338">
        <v>0</v>
      </c>
      <c r="AB17" s="338">
        <v>0</v>
      </c>
      <c r="AC17" s="338">
        <f t="shared" si="0"/>
        <v>0</v>
      </c>
      <c r="AD17" s="338">
        <v>0</v>
      </c>
      <c r="AE17" s="338">
        <v>0</v>
      </c>
      <c r="AF17" s="338">
        <v>0</v>
      </c>
      <c r="AG17" s="338">
        <v>0</v>
      </c>
      <c r="AH17" s="338">
        <v>0</v>
      </c>
      <c r="AI17" s="338">
        <v>0</v>
      </c>
      <c r="AJ17" s="338">
        <f t="shared" si="1"/>
        <v>0</v>
      </c>
      <c r="AK17" s="338">
        <f t="shared" si="2"/>
        <v>0</v>
      </c>
      <c r="AL17" s="538">
        <f t="shared" si="3"/>
        <v>0</v>
      </c>
      <c r="AR17" s="354"/>
      <c r="AS17" s="357"/>
      <c r="AT17" s="357"/>
      <c r="AU17" s="357"/>
      <c r="AV17" s="357"/>
      <c r="AW17" s="357"/>
      <c r="AX17" s="357"/>
      <c r="AY17" s="357"/>
    </row>
    <row r="18" spans="1:51">
      <c r="A18" s="339" t="s">
        <v>321</v>
      </c>
      <c r="B18" s="338">
        <v>0</v>
      </c>
      <c r="C18" s="338">
        <v>0</v>
      </c>
      <c r="D18" s="338">
        <v>0</v>
      </c>
      <c r="E18" s="338">
        <v>0</v>
      </c>
      <c r="F18" s="338">
        <v>0</v>
      </c>
      <c r="G18" s="338">
        <v>0</v>
      </c>
      <c r="H18" s="338">
        <v>0</v>
      </c>
      <c r="I18" s="338">
        <v>0</v>
      </c>
      <c r="J18" s="338">
        <v>0</v>
      </c>
      <c r="K18" s="340">
        <v>0</v>
      </c>
      <c r="L18" s="338">
        <v>0</v>
      </c>
      <c r="M18" s="338">
        <v>0</v>
      </c>
      <c r="N18" s="338">
        <v>0</v>
      </c>
      <c r="O18" s="338">
        <v>0</v>
      </c>
      <c r="P18" s="338">
        <v>0</v>
      </c>
      <c r="Q18" s="338">
        <v>0</v>
      </c>
      <c r="R18" s="338">
        <v>0</v>
      </c>
      <c r="S18" s="338">
        <v>0</v>
      </c>
      <c r="T18" s="338">
        <v>0</v>
      </c>
      <c r="U18" s="338">
        <v>0</v>
      </c>
      <c r="V18" s="338">
        <v>0</v>
      </c>
      <c r="W18" s="338">
        <v>0</v>
      </c>
      <c r="X18" s="338">
        <v>0</v>
      </c>
      <c r="Y18" s="338">
        <v>0</v>
      </c>
      <c r="Z18" s="338">
        <v>0</v>
      </c>
      <c r="AA18" s="338">
        <v>0</v>
      </c>
      <c r="AB18" s="338">
        <v>0</v>
      </c>
      <c r="AC18" s="338">
        <f t="shared" si="0"/>
        <v>0</v>
      </c>
      <c r="AD18" s="338">
        <v>0</v>
      </c>
      <c r="AE18" s="338">
        <v>0</v>
      </c>
      <c r="AF18" s="338">
        <v>0</v>
      </c>
      <c r="AG18" s="338">
        <v>0</v>
      </c>
      <c r="AH18" s="338">
        <v>0</v>
      </c>
      <c r="AI18" s="338">
        <v>0</v>
      </c>
      <c r="AJ18" s="338">
        <f t="shared" si="1"/>
        <v>0</v>
      </c>
      <c r="AK18" s="338">
        <f t="shared" si="2"/>
        <v>0</v>
      </c>
      <c r="AL18" s="538">
        <f t="shared" si="3"/>
        <v>0</v>
      </c>
      <c r="AR18" s="354"/>
      <c r="AS18" s="357"/>
      <c r="AT18" s="357"/>
      <c r="AU18" s="357"/>
      <c r="AV18" s="357"/>
      <c r="AW18" s="357"/>
      <c r="AX18" s="357"/>
      <c r="AY18" s="357"/>
    </row>
    <row r="19" spans="1:51">
      <c r="A19" s="339" t="s">
        <v>322</v>
      </c>
      <c r="B19" s="338">
        <v>0</v>
      </c>
      <c r="C19" s="338">
        <v>0</v>
      </c>
      <c r="D19" s="338">
        <v>0</v>
      </c>
      <c r="E19" s="338">
        <v>0</v>
      </c>
      <c r="F19" s="338">
        <v>0</v>
      </c>
      <c r="G19" s="338">
        <v>0</v>
      </c>
      <c r="H19" s="338">
        <v>0</v>
      </c>
      <c r="I19" s="338">
        <v>0</v>
      </c>
      <c r="J19" s="338">
        <v>0</v>
      </c>
      <c r="K19" s="340">
        <v>0</v>
      </c>
      <c r="L19" s="338">
        <v>0</v>
      </c>
      <c r="M19" s="338">
        <v>0</v>
      </c>
      <c r="N19" s="338">
        <v>0</v>
      </c>
      <c r="O19" s="338">
        <v>0</v>
      </c>
      <c r="P19" s="338">
        <v>0</v>
      </c>
      <c r="Q19" s="338">
        <v>0</v>
      </c>
      <c r="R19" s="338">
        <v>0</v>
      </c>
      <c r="S19" s="338">
        <v>0</v>
      </c>
      <c r="T19" s="338">
        <v>0</v>
      </c>
      <c r="U19" s="338">
        <v>0</v>
      </c>
      <c r="V19" s="338">
        <v>0</v>
      </c>
      <c r="W19" s="338">
        <v>0</v>
      </c>
      <c r="X19" s="338">
        <v>0</v>
      </c>
      <c r="Y19" s="338">
        <v>0</v>
      </c>
      <c r="Z19" s="338">
        <v>0</v>
      </c>
      <c r="AA19" s="338">
        <v>0</v>
      </c>
      <c r="AB19" s="338">
        <v>0</v>
      </c>
      <c r="AC19" s="338">
        <f t="shared" si="0"/>
        <v>0</v>
      </c>
      <c r="AD19" s="338">
        <v>0</v>
      </c>
      <c r="AE19" s="338">
        <v>0</v>
      </c>
      <c r="AF19" s="338">
        <v>0</v>
      </c>
      <c r="AG19" s="338">
        <v>0</v>
      </c>
      <c r="AH19" s="338">
        <v>0</v>
      </c>
      <c r="AI19" s="338">
        <v>0</v>
      </c>
      <c r="AJ19" s="338">
        <f t="shared" si="1"/>
        <v>0</v>
      </c>
      <c r="AK19" s="338">
        <f t="shared" si="2"/>
        <v>0</v>
      </c>
      <c r="AL19" s="538">
        <f t="shared" si="3"/>
        <v>0</v>
      </c>
      <c r="AR19" s="354"/>
      <c r="AS19" s="357"/>
      <c r="AT19" s="357"/>
      <c r="AU19" s="357"/>
      <c r="AV19" s="357"/>
      <c r="AW19" s="357"/>
      <c r="AX19" s="357"/>
      <c r="AY19" s="357"/>
    </row>
    <row r="20" spans="1:51">
      <c r="A20" s="339" t="s">
        <v>323</v>
      </c>
      <c r="B20" s="338">
        <v>0</v>
      </c>
      <c r="C20" s="338">
        <v>0</v>
      </c>
      <c r="D20" s="338">
        <v>0</v>
      </c>
      <c r="E20" s="338">
        <v>0</v>
      </c>
      <c r="F20" s="338">
        <v>0</v>
      </c>
      <c r="G20" s="338">
        <v>0</v>
      </c>
      <c r="H20" s="338">
        <v>0</v>
      </c>
      <c r="I20" s="338">
        <v>0</v>
      </c>
      <c r="J20" s="338">
        <v>0</v>
      </c>
      <c r="K20" s="340">
        <v>0</v>
      </c>
      <c r="L20" s="338">
        <v>0</v>
      </c>
      <c r="M20" s="338">
        <v>0</v>
      </c>
      <c r="N20" s="338">
        <v>0</v>
      </c>
      <c r="O20" s="338">
        <v>0</v>
      </c>
      <c r="P20" s="338">
        <v>0</v>
      </c>
      <c r="Q20" s="338">
        <v>0</v>
      </c>
      <c r="R20" s="338">
        <v>0</v>
      </c>
      <c r="S20" s="338">
        <v>0</v>
      </c>
      <c r="T20" s="338">
        <v>0</v>
      </c>
      <c r="U20" s="338">
        <v>0</v>
      </c>
      <c r="V20" s="338">
        <v>0</v>
      </c>
      <c r="W20" s="338">
        <v>0</v>
      </c>
      <c r="X20" s="338">
        <v>0</v>
      </c>
      <c r="Y20" s="338">
        <v>0</v>
      </c>
      <c r="Z20" s="338">
        <v>0</v>
      </c>
      <c r="AA20" s="338">
        <v>0</v>
      </c>
      <c r="AB20" s="338">
        <v>0</v>
      </c>
      <c r="AC20" s="338">
        <f t="shared" si="0"/>
        <v>0</v>
      </c>
      <c r="AD20" s="338">
        <v>0</v>
      </c>
      <c r="AE20" s="338">
        <v>0</v>
      </c>
      <c r="AF20" s="338">
        <v>0</v>
      </c>
      <c r="AG20" s="338">
        <v>0</v>
      </c>
      <c r="AH20" s="338">
        <v>0</v>
      </c>
      <c r="AI20" s="338">
        <v>0</v>
      </c>
      <c r="AJ20" s="338">
        <f t="shared" si="1"/>
        <v>0</v>
      </c>
      <c r="AK20" s="338">
        <f t="shared" si="2"/>
        <v>0</v>
      </c>
      <c r="AL20" s="538">
        <f t="shared" si="3"/>
        <v>0</v>
      </c>
      <c r="AR20" s="354"/>
      <c r="AS20" s="357"/>
      <c r="AT20" s="357"/>
      <c r="AU20" s="357"/>
      <c r="AV20" s="357"/>
      <c r="AW20" s="357"/>
      <c r="AX20" s="357"/>
      <c r="AY20" s="357"/>
    </row>
    <row r="21" spans="1:51">
      <c r="A21" s="339" t="s">
        <v>324</v>
      </c>
      <c r="B21" s="338">
        <v>0</v>
      </c>
      <c r="C21" s="338">
        <v>0</v>
      </c>
      <c r="D21" s="338">
        <v>0</v>
      </c>
      <c r="E21" s="338">
        <v>0</v>
      </c>
      <c r="F21" s="338">
        <v>0</v>
      </c>
      <c r="G21" s="338">
        <v>0</v>
      </c>
      <c r="H21" s="338">
        <v>0</v>
      </c>
      <c r="I21" s="338">
        <v>0</v>
      </c>
      <c r="J21" s="338">
        <v>0</v>
      </c>
      <c r="K21" s="340">
        <v>0</v>
      </c>
      <c r="L21" s="338">
        <v>0</v>
      </c>
      <c r="M21" s="338">
        <v>0</v>
      </c>
      <c r="N21" s="338">
        <v>0</v>
      </c>
      <c r="O21" s="338">
        <v>0</v>
      </c>
      <c r="P21" s="338">
        <v>0</v>
      </c>
      <c r="Q21" s="338">
        <v>0</v>
      </c>
      <c r="R21" s="338">
        <v>0</v>
      </c>
      <c r="S21" s="338">
        <v>0</v>
      </c>
      <c r="T21" s="338">
        <v>0</v>
      </c>
      <c r="U21" s="338">
        <v>0</v>
      </c>
      <c r="V21" s="338">
        <v>0</v>
      </c>
      <c r="W21" s="338">
        <v>0</v>
      </c>
      <c r="X21" s="338">
        <v>0</v>
      </c>
      <c r="Y21" s="338">
        <v>0</v>
      </c>
      <c r="Z21" s="338">
        <v>0</v>
      </c>
      <c r="AA21" s="338">
        <v>0</v>
      </c>
      <c r="AB21" s="338">
        <v>0</v>
      </c>
      <c r="AC21" s="338">
        <f t="shared" si="0"/>
        <v>0</v>
      </c>
      <c r="AD21" s="338">
        <v>0</v>
      </c>
      <c r="AE21" s="338">
        <v>0</v>
      </c>
      <c r="AF21" s="338">
        <v>0</v>
      </c>
      <c r="AG21" s="338">
        <v>0</v>
      </c>
      <c r="AH21" s="338">
        <v>0</v>
      </c>
      <c r="AI21" s="338">
        <v>0</v>
      </c>
      <c r="AJ21" s="338">
        <f t="shared" si="1"/>
        <v>0</v>
      </c>
      <c r="AK21" s="338">
        <f t="shared" si="2"/>
        <v>0</v>
      </c>
      <c r="AL21" s="538">
        <f t="shared" si="3"/>
        <v>0</v>
      </c>
      <c r="AR21" s="354"/>
      <c r="AS21" s="357"/>
      <c r="AT21" s="357"/>
      <c r="AU21" s="357"/>
      <c r="AV21" s="357"/>
      <c r="AW21" s="357"/>
      <c r="AX21" s="357"/>
      <c r="AY21" s="357"/>
    </row>
    <row r="22" spans="1:51">
      <c r="A22" s="339" t="s">
        <v>325</v>
      </c>
      <c r="B22" s="338">
        <v>0</v>
      </c>
      <c r="C22" s="338">
        <v>0</v>
      </c>
      <c r="D22" s="338">
        <v>0</v>
      </c>
      <c r="E22" s="338">
        <v>0</v>
      </c>
      <c r="F22" s="338">
        <v>0</v>
      </c>
      <c r="G22" s="338">
        <v>0</v>
      </c>
      <c r="H22" s="338">
        <v>0</v>
      </c>
      <c r="I22" s="338">
        <v>0</v>
      </c>
      <c r="J22" s="338">
        <v>0</v>
      </c>
      <c r="K22" s="340">
        <v>0</v>
      </c>
      <c r="L22" s="338">
        <v>0</v>
      </c>
      <c r="M22" s="338">
        <v>0</v>
      </c>
      <c r="N22" s="338">
        <v>0</v>
      </c>
      <c r="O22" s="338">
        <v>0</v>
      </c>
      <c r="P22" s="338">
        <v>0</v>
      </c>
      <c r="Q22" s="338">
        <v>0</v>
      </c>
      <c r="R22" s="338">
        <v>0</v>
      </c>
      <c r="S22" s="338">
        <v>0</v>
      </c>
      <c r="T22" s="338">
        <v>0</v>
      </c>
      <c r="U22" s="338">
        <v>0</v>
      </c>
      <c r="V22" s="338">
        <v>0</v>
      </c>
      <c r="W22" s="338">
        <v>0</v>
      </c>
      <c r="X22" s="338">
        <v>0</v>
      </c>
      <c r="Y22" s="338">
        <v>0</v>
      </c>
      <c r="Z22" s="338">
        <v>0</v>
      </c>
      <c r="AA22" s="338">
        <v>0</v>
      </c>
      <c r="AB22" s="338">
        <v>0</v>
      </c>
      <c r="AC22" s="338">
        <f t="shared" si="0"/>
        <v>0</v>
      </c>
      <c r="AD22" s="338">
        <v>0</v>
      </c>
      <c r="AE22" s="338">
        <v>0</v>
      </c>
      <c r="AF22" s="338">
        <v>0</v>
      </c>
      <c r="AG22" s="338">
        <v>5954</v>
      </c>
      <c r="AH22" s="338">
        <v>0</v>
      </c>
      <c r="AI22" s="338">
        <v>0</v>
      </c>
      <c r="AJ22" s="338">
        <f t="shared" si="1"/>
        <v>5954</v>
      </c>
      <c r="AK22" s="338">
        <f t="shared" si="2"/>
        <v>5954</v>
      </c>
      <c r="AL22" s="538">
        <f t="shared" si="3"/>
        <v>2.0308535567667912E-2</v>
      </c>
      <c r="AR22" s="354"/>
      <c r="AS22" s="357"/>
      <c r="AT22" s="357"/>
      <c r="AU22" s="357"/>
      <c r="AV22" s="357"/>
      <c r="AW22" s="357"/>
      <c r="AX22" s="357"/>
      <c r="AY22" s="357"/>
    </row>
    <row r="23" spans="1:51">
      <c r="A23" s="339" t="s">
        <v>326</v>
      </c>
      <c r="B23" s="338">
        <v>0</v>
      </c>
      <c r="C23" s="338">
        <v>0</v>
      </c>
      <c r="D23" s="338">
        <v>0</v>
      </c>
      <c r="E23" s="338">
        <v>0</v>
      </c>
      <c r="F23" s="338">
        <v>0</v>
      </c>
      <c r="G23" s="445" t="s">
        <v>226</v>
      </c>
      <c r="H23" s="338">
        <v>0</v>
      </c>
      <c r="I23" s="338">
        <v>0</v>
      </c>
      <c r="J23" s="338">
        <v>0</v>
      </c>
      <c r="K23" s="340">
        <v>0</v>
      </c>
      <c r="L23" s="338">
        <v>23155</v>
      </c>
      <c r="M23" s="338">
        <v>0</v>
      </c>
      <c r="N23" s="338">
        <v>0</v>
      </c>
      <c r="O23" s="338">
        <v>0</v>
      </c>
      <c r="P23" s="338">
        <v>0</v>
      </c>
      <c r="Q23" s="338">
        <v>0</v>
      </c>
      <c r="R23" s="338">
        <v>0</v>
      </c>
      <c r="S23" s="338">
        <v>0</v>
      </c>
      <c r="T23" s="338">
        <v>0</v>
      </c>
      <c r="U23" s="338">
        <v>0</v>
      </c>
      <c r="V23" s="338">
        <v>0</v>
      </c>
      <c r="W23" s="338">
        <v>0</v>
      </c>
      <c r="X23" s="338">
        <v>0</v>
      </c>
      <c r="Y23" s="338">
        <v>0</v>
      </c>
      <c r="Z23" s="338">
        <v>0</v>
      </c>
      <c r="AA23" s="338">
        <v>0</v>
      </c>
      <c r="AB23" s="338">
        <v>0</v>
      </c>
      <c r="AC23" s="338">
        <f t="shared" si="0"/>
        <v>23155</v>
      </c>
      <c r="AD23" s="338">
        <v>0</v>
      </c>
      <c r="AE23" s="338">
        <v>0</v>
      </c>
      <c r="AF23" s="338">
        <v>0</v>
      </c>
      <c r="AG23" s="338">
        <v>0</v>
      </c>
      <c r="AH23" s="338">
        <v>0</v>
      </c>
      <c r="AI23" s="338">
        <v>0</v>
      </c>
      <c r="AJ23" s="338">
        <f t="shared" si="1"/>
        <v>0</v>
      </c>
      <c r="AK23" s="338">
        <f t="shared" si="2"/>
        <v>23155</v>
      </c>
      <c r="AL23" s="538">
        <f t="shared" si="3"/>
        <v>7.897953326660237E-2</v>
      </c>
      <c r="AR23" s="354"/>
      <c r="AS23" s="357"/>
      <c r="AT23" s="357"/>
      <c r="AU23" s="357"/>
      <c r="AV23" s="357"/>
      <c r="AW23" s="357"/>
      <c r="AX23" s="357"/>
      <c r="AY23" s="357"/>
    </row>
    <row r="24" spans="1:51">
      <c r="A24" s="339" t="s">
        <v>327</v>
      </c>
      <c r="B24" s="338">
        <v>0</v>
      </c>
      <c r="C24" s="338">
        <v>0</v>
      </c>
      <c r="D24" s="338">
        <v>0</v>
      </c>
      <c r="E24" s="338">
        <v>0</v>
      </c>
      <c r="F24" s="338">
        <v>0</v>
      </c>
      <c r="G24" s="445" t="s">
        <v>226</v>
      </c>
      <c r="H24" s="338">
        <v>0</v>
      </c>
      <c r="I24" s="338">
        <v>0</v>
      </c>
      <c r="J24" s="338">
        <v>0</v>
      </c>
      <c r="K24" s="340">
        <v>0</v>
      </c>
      <c r="L24" s="338">
        <v>0</v>
      </c>
      <c r="M24" s="338">
        <v>0</v>
      </c>
      <c r="N24" s="338">
        <v>0</v>
      </c>
      <c r="O24" s="338">
        <v>0</v>
      </c>
      <c r="P24" s="338">
        <v>0</v>
      </c>
      <c r="Q24" s="338">
        <v>0</v>
      </c>
      <c r="R24" s="338">
        <v>0</v>
      </c>
      <c r="S24" s="338">
        <v>0</v>
      </c>
      <c r="T24" s="338">
        <v>0</v>
      </c>
      <c r="U24" s="338">
        <v>0</v>
      </c>
      <c r="V24" s="338">
        <v>0</v>
      </c>
      <c r="W24" s="338">
        <v>0</v>
      </c>
      <c r="X24" s="338">
        <v>0</v>
      </c>
      <c r="Y24" s="445" t="s">
        <v>226</v>
      </c>
      <c r="Z24" s="338">
        <v>0</v>
      </c>
      <c r="AA24" s="338">
        <v>0</v>
      </c>
      <c r="AB24" s="338">
        <v>0</v>
      </c>
      <c r="AC24" s="338">
        <f t="shared" si="0"/>
        <v>0</v>
      </c>
      <c r="AD24" s="338">
        <v>0</v>
      </c>
      <c r="AE24" s="338">
        <v>0</v>
      </c>
      <c r="AF24" s="338">
        <v>0</v>
      </c>
      <c r="AG24" s="338">
        <v>0</v>
      </c>
      <c r="AH24" s="338">
        <v>0</v>
      </c>
      <c r="AI24" s="338">
        <v>0</v>
      </c>
      <c r="AJ24" s="338">
        <f t="shared" si="1"/>
        <v>0</v>
      </c>
      <c r="AK24" s="338">
        <f t="shared" si="2"/>
        <v>0</v>
      </c>
      <c r="AL24" s="538">
        <f t="shared" si="3"/>
        <v>0</v>
      </c>
      <c r="AR24" s="354"/>
      <c r="AS24" s="357"/>
      <c r="AT24" s="357"/>
      <c r="AU24" s="357"/>
      <c r="AV24" s="357"/>
      <c r="AW24" s="357"/>
      <c r="AX24" s="357"/>
      <c r="AY24" s="357"/>
    </row>
    <row r="25" spans="1:51">
      <c r="A25" s="339" t="s">
        <v>328</v>
      </c>
      <c r="B25" s="338">
        <v>0</v>
      </c>
      <c r="C25" s="338">
        <v>0</v>
      </c>
      <c r="D25" s="338">
        <v>0</v>
      </c>
      <c r="E25" s="338">
        <v>0</v>
      </c>
      <c r="F25" s="338">
        <v>0</v>
      </c>
      <c r="G25" s="445" t="s">
        <v>226</v>
      </c>
      <c r="H25" s="338">
        <v>0</v>
      </c>
      <c r="I25" s="338">
        <v>0</v>
      </c>
      <c r="J25" s="338">
        <v>0</v>
      </c>
      <c r="K25" s="340">
        <v>0</v>
      </c>
      <c r="L25" s="338">
        <v>0</v>
      </c>
      <c r="M25" s="338">
        <v>0</v>
      </c>
      <c r="N25" s="338">
        <v>0</v>
      </c>
      <c r="O25" s="338">
        <v>0</v>
      </c>
      <c r="P25" s="338">
        <v>0</v>
      </c>
      <c r="Q25" s="338">
        <v>49956</v>
      </c>
      <c r="R25" s="338">
        <v>0</v>
      </c>
      <c r="S25" s="338">
        <v>0</v>
      </c>
      <c r="T25" s="338">
        <v>0</v>
      </c>
      <c r="U25" s="338">
        <v>0</v>
      </c>
      <c r="V25" s="338">
        <v>0</v>
      </c>
      <c r="W25" s="338">
        <v>0</v>
      </c>
      <c r="X25" s="338">
        <v>0</v>
      </c>
      <c r="Y25" s="338">
        <v>0</v>
      </c>
      <c r="Z25" s="338">
        <v>0</v>
      </c>
      <c r="AA25" s="338">
        <v>0</v>
      </c>
      <c r="AB25" s="338">
        <v>0</v>
      </c>
      <c r="AC25" s="338">
        <f t="shared" si="0"/>
        <v>49956</v>
      </c>
      <c r="AD25" s="338">
        <v>0</v>
      </c>
      <c r="AE25" s="338">
        <v>0</v>
      </c>
      <c r="AF25" s="338">
        <v>0</v>
      </c>
      <c r="AG25" s="338">
        <v>0</v>
      </c>
      <c r="AH25" s="338">
        <v>0</v>
      </c>
      <c r="AI25" s="338">
        <v>0</v>
      </c>
      <c r="AJ25" s="338">
        <f t="shared" si="1"/>
        <v>0</v>
      </c>
      <c r="AK25" s="338">
        <f t="shared" si="2"/>
        <v>49956</v>
      </c>
      <c r="AL25" s="538">
        <f t="shared" si="3"/>
        <v>0.17039523057077899</v>
      </c>
      <c r="AR25" s="354"/>
      <c r="AS25" s="357"/>
      <c r="AT25" s="357"/>
      <c r="AU25" s="357"/>
      <c r="AV25" s="357"/>
      <c r="AW25" s="357"/>
      <c r="AX25" s="357"/>
      <c r="AY25" s="357"/>
    </row>
    <row r="26" spans="1:51">
      <c r="A26" s="339" t="s">
        <v>329</v>
      </c>
      <c r="B26" s="338">
        <v>0</v>
      </c>
      <c r="C26" s="338">
        <v>0</v>
      </c>
      <c r="D26" s="338">
        <v>0</v>
      </c>
      <c r="E26" s="338">
        <v>0</v>
      </c>
      <c r="F26" s="338">
        <v>0</v>
      </c>
      <c r="G26" s="338">
        <v>294420</v>
      </c>
      <c r="H26" s="338">
        <v>0</v>
      </c>
      <c r="I26" s="338">
        <v>0</v>
      </c>
      <c r="J26" s="338">
        <v>0</v>
      </c>
      <c r="K26" s="340">
        <v>0</v>
      </c>
      <c r="L26" s="338">
        <v>70226</v>
      </c>
      <c r="M26" s="338">
        <v>0</v>
      </c>
      <c r="N26" s="338">
        <v>0</v>
      </c>
      <c r="O26" s="445" t="s">
        <v>226</v>
      </c>
      <c r="P26" s="338">
        <v>37936</v>
      </c>
      <c r="Q26" s="338">
        <v>0</v>
      </c>
      <c r="R26" s="338">
        <v>0</v>
      </c>
      <c r="S26" s="338">
        <v>0</v>
      </c>
      <c r="T26" s="445" t="s">
        <v>226</v>
      </c>
      <c r="U26" s="338">
        <v>0</v>
      </c>
      <c r="V26" s="338">
        <v>0</v>
      </c>
      <c r="W26" s="338">
        <v>0</v>
      </c>
      <c r="X26" s="338">
        <v>0</v>
      </c>
      <c r="Y26" s="338">
        <v>12642</v>
      </c>
      <c r="Z26" s="338">
        <v>0</v>
      </c>
      <c r="AA26" s="338">
        <v>0</v>
      </c>
      <c r="AB26" s="338">
        <v>0</v>
      </c>
      <c r="AC26" s="338">
        <f t="shared" si="0"/>
        <v>415224</v>
      </c>
      <c r="AD26" s="338">
        <v>0</v>
      </c>
      <c r="AE26" s="338">
        <v>0</v>
      </c>
      <c r="AF26" s="338">
        <v>0</v>
      </c>
      <c r="AG26" s="338">
        <v>0</v>
      </c>
      <c r="AH26" s="338">
        <v>0</v>
      </c>
      <c r="AI26" s="338">
        <v>0</v>
      </c>
      <c r="AJ26" s="338">
        <f t="shared" si="1"/>
        <v>0</v>
      </c>
      <c r="AK26" s="338">
        <f t="shared" si="2"/>
        <v>415224</v>
      </c>
      <c r="AL26" s="538">
        <f t="shared" si="3"/>
        <v>1.4162901196757374</v>
      </c>
      <c r="AR26" s="354"/>
      <c r="AS26" s="357"/>
      <c r="AT26" s="357"/>
      <c r="AU26" s="357"/>
      <c r="AV26" s="357"/>
      <c r="AW26" s="357"/>
      <c r="AX26" s="357"/>
      <c r="AY26" s="357"/>
    </row>
    <row r="27" spans="1:51">
      <c r="A27" s="339" t="s">
        <v>330</v>
      </c>
      <c r="B27" s="338">
        <v>0</v>
      </c>
      <c r="C27" s="338">
        <v>0</v>
      </c>
      <c r="D27" s="338">
        <v>0</v>
      </c>
      <c r="E27" s="338">
        <v>0</v>
      </c>
      <c r="F27" s="338">
        <v>0</v>
      </c>
      <c r="G27" s="445" t="s">
        <v>226</v>
      </c>
      <c r="H27" s="338">
        <v>0</v>
      </c>
      <c r="I27" s="338">
        <v>0</v>
      </c>
      <c r="J27" s="338">
        <v>0</v>
      </c>
      <c r="K27" s="340">
        <v>0</v>
      </c>
      <c r="L27" s="338">
        <v>0</v>
      </c>
      <c r="M27" s="338">
        <v>0</v>
      </c>
      <c r="N27" s="338">
        <v>0</v>
      </c>
      <c r="O27" s="338">
        <v>0</v>
      </c>
      <c r="P27" s="338">
        <v>0</v>
      </c>
      <c r="Q27" s="338">
        <v>0</v>
      </c>
      <c r="R27" s="338">
        <v>0</v>
      </c>
      <c r="S27" s="338">
        <v>0</v>
      </c>
      <c r="T27" s="338">
        <v>0</v>
      </c>
      <c r="U27" s="338">
        <v>0</v>
      </c>
      <c r="V27" s="338">
        <v>0</v>
      </c>
      <c r="W27" s="338">
        <v>0</v>
      </c>
      <c r="X27" s="338">
        <v>0</v>
      </c>
      <c r="Y27" s="338">
        <v>0</v>
      </c>
      <c r="Z27" s="338">
        <v>0</v>
      </c>
      <c r="AA27" s="338">
        <v>0</v>
      </c>
      <c r="AB27" s="338">
        <v>0</v>
      </c>
      <c r="AC27" s="338">
        <f t="shared" si="0"/>
        <v>0</v>
      </c>
      <c r="AD27" s="338">
        <v>0</v>
      </c>
      <c r="AE27" s="338">
        <v>0</v>
      </c>
      <c r="AF27" s="338">
        <v>0</v>
      </c>
      <c r="AG27" s="338">
        <v>0</v>
      </c>
      <c r="AH27" s="338">
        <v>0</v>
      </c>
      <c r="AI27" s="338">
        <v>0</v>
      </c>
      <c r="AJ27" s="338">
        <f t="shared" si="1"/>
        <v>0</v>
      </c>
      <c r="AK27" s="338">
        <f t="shared" si="2"/>
        <v>0</v>
      </c>
      <c r="AL27" s="538">
        <f t="shared" si="3"/>
        <v>0</v>
      </c>
      <c r="AR27" s="354"/>
      <c r="AS27" s="357"/>
      <c r="AT27" s="357"/>
      <c r="AU27" s="357"/>
      <c r="AV27" s="357"/>
      <c r="AW27" s="357"/>
      <c r="AX27" s="357"/>
      <c r="AY27" s="357"/>
    </row>
    <row r="28" spans="1:51">
      <c r="A28" s="339" t="s">
        <v>331</v>
      </c>
      <c r="B28" s="338">
        <v>0</v>
      </c>
      <c r="C28" s="338">
        <v>0</v>
      </c>
      <c r="D28" s="338">
        <v>0</v>
      </c>
      <c r="E28" s="338">
        <v>0</v>
      </c>
      <c r="F28" s="338">
        <v>0</v>
      </c>
      <c r="G28" s="338">
        <v>0</v>
      </c>
      <c r="H28" s="338">
        <v>0</v>
      </c>
      <c r="I28" s="338">
        <v>0</v>
      </c>
      <c r="J28" s="338">
        <v>0</v>
      </c>
      <c r="K28" s="340">
        <v>0</v>
      </c>
      <c r="L28" s="445" t="s">
        <v>226</v>
      </c>
      <c r="M28" s="338">
        <v>0</v>
      </c>
      <c r="N28" s="338">
        <v>0</v>
      </c>
      <c r="O28" s="338">
        <v>0</v>
      </c>
      <c r="P28" s="338">
        <v>0</v>
      </c>
      <c r="Q28" s="338">
        <v>0</v>
      </c>
      <c r="R28" s="338">
        <v>0</v>
      </c>
      <c r="S28" s="338">
        <v>0</v>
      </c>
      <c r="T28" s="338">
        <v>0</v>
      </c>
      <c r="U28" s="338">
        <v>0</v>
      </c>
      <c r="V28" s="338">
        <v>0</v>
      </c>
      <c r="W28" s="338">
        <v>0</v>
      </c>
      <c r="X28" s="338">
        <v>0</v>
      </c>
      <c r="Y28" s="338">
        <v>0</v>
      </c>
      <c r="Z28" s="338">
        <v>0</v>
      </c>
      <c r="AA28" s="338">
        <v>0</v>
      </c>
      <c r="AB28" s="338">
        <v>0</v>
      </c>
      <c r="AC28" s="338">
        <f t="shared" si="0"/>
        <v>0</v>
      </c>
      <c r="AD28" s="338">
        <v>0</v>
      </c>
      <c r="AE28" s="338">
        <v>0</v>
      </c>
      <c r="AF28" s="338">
        <v>0</v>
      </c>
      <c r="AG28" s="338">
        <v>0</v>
      </c>
      <c r="AH28" s="338">
        <v>0</v>
      </c>
      <c r="AI28" s="338">
        <v>0</v>
      </c>
      <c r="AJ28" s="338">
        <f t="shared" si="1"/>
        <v>0</v>
      </c>
      <c r="AK28" s="338">
        <f t="shared" si="2"/>
        <v>0</v>
      </c>
      <c r="AL28" s="538">
        <f t="shared" si="3"/>
        <v>0</v>
      </c>
      <c r="AR28" s="354"/>
      <c r="AS28" s="357"/>
      <c r="AT28" s="357"/>
      <c r="AU28" s="357"/>
      <c r="AV28" s="357"/>
      <c r="AW28" s="357"/>
      <c r="AX28" s="357"/>
      <c r="AY28" s="357"/>
    </row>
    <row r="29" spans="1:51">
      <c r="A29" s="339" t="s">
        <v>332</v>
      </c>
      <c r="B29" s="338">
        <v>0</v>
      </c>
      <c r="C29" s="338">
        <v>0</v>
      </c>
      <c r="D29" s="338">
        <v>0</v>
      </c>
      <c r="E29" s="338">
        <v>0</v>
      </c>
      <c r="F29" s="338">
        <v>0</v>
      </c>
      <c r="G29" s="338">
        <v>0</v>
      </c>
      <c r="H29" s="338">
        <v>0</v>
      </c>
      <c r="I29" s="338">
        <v>0</v>
      </c>
      <c r="J29" s="338">
        <v>0</v>
      </c>
      <c r="K29" s="340">
        <v>0</v>
      </c>
      <c r="L29" s="338">
        <v>0</v>
      </c>
      <c r="M29" s="338">
        <v>0</v>
      </c>
      <c r="N29" s="338">
        <v>0</v>
      </c>
      <c r="O29" s="338">
        <v>0</v>
      </c>
      <c r="P29" s="338">
        <v>0</v>
      </c>
      <c r="Q29" s="338">
        <v>0</v>
      </c>
      <c r="R29" s="338">
        <v>0</v>
      </c>
      <c r="S29" s="338">
        <v>0</v>
      </c>
      <c r="T29" s="445" t="s">
        <v>226</v>
      </c>
      <c r="U29" s="338">
        <v>0</v>
      </c>
      <c r="V29" s="338">
        <v>0</v>
      </c>
      <c r="W29" s="338">
        <v>0</v>
      </c>
      <c r="X29" s="338">
        <v>0</v>
      </c>
      <c r="Y29" s="445" t="s">
        <v>226</v>
      </c>
      <c r="Z29" s="338">
        <v>0</v>
      </c>
      <c r="AA29" s="338">
        <v>0</v>
      </c>
      <c r="AB29" s="338">
        <v>0</v>
      </c>
      <c r="AC29" s="338">
        <f t="shared" si="0"/>
        <v>0</v>
      </c>
      <c r="AD29" s="338">
        <v>0</v>
      </c>
      <c r="AE29" s="338">
        <v>0</v>
      </c>
      <c r="AF29" s="338">
        <v>0</v>
      </c>
      <c r="AG29" s="338">
        <v>0</v>
      </c>
      <c r="AH29" s="338">
        <v>0</v>
      </c>
      <c r="AI29" s="338">
        <v>0</v>
      </c>
      <c r="AJ29" s="338">
        <f t="shared" si="1"/>
        <v>0</v>
      </c>
      <c r="AK29" s="338">
        <f t="shared" si="2"/>
        <v>0</v>
      </c>
      <c r="AL29" s="538">
        <f t="shared" si="3"/>
        <v>0</v>
      </c>
      <c r="AR29" s="354"/>
      <c r="AS29" s="357"/>
      <c r="AT29" s="357"/>
      <c r="AU29" s="357"/>
      <c r="AV29" s="357"/>
      <c r="AW29" s="357"/>
      <c r="AX29" s="357"/>
      <c r="AY29" s="357"/>
    </row>
    <row r="30" spans="1:51">
      <c r="A30" s="339" t="s">
        <v>333</v>
      </c>
      <c r="B30" s="338">
        <v>0</v>
      </c>
      <c r="C30" s="338">
        <v>0</v>
      </c>
      <c r="D30" s="338">
        <v>0</v>
      </c>
      <c r="E30" s="338">
        <v>0</v>
      </c>
      <c r="F30" s="338">
        <v>0</v>
      </c>
      <c r="G30" s="338">
        <v>0</v>
      </c>
      <c r="H30" s="338">
        <v>0</v>
      </c>
      <c r="I30" s="338">
        <v>0</v>
      </c>
      <c r="J30" s="338">
        <v>0</v>
      </c>
      <c r="K30" s="340">
        <v>0</v>
      </c>
      <c r="L30" s="338">
        <v>0</v>
      </c>
      <c r="M30" s="338">
        <v>0</v>
      </c>
      <c r="N30" s="338">
        <v>0</v>
      </c>
      <c r="O30" s="338">
        <v>0</v>
      </c>
      <c r="P30" s="338">
        <v>0</v>
      </c>
      <c r="Q30" s="338">
        <v>0</v>
      </c>
      <c r="R30" s="338">
        <v>0</v>
      </c>
      <c r="S30" s="338">
        <v>0</v>
      </c>
      <c r="T30" s="338">
        <v>0</v>
      </c>
      <c r="U30" s="338">
        <v>0</v>
      </c>
      <c r="V30" s="338">
        <v>0</v>
      </c>
      <c r="W30" s="338">
        <v>0</v>
      </c>
      <c r="X30" s="338">
        <v>0</v>
      </c>
      <c r="Y30" s="338">
        <v>0</v>
      </c>
      <c r="Z30" s="338">
        <v>0</v>
      </c>
      <c r="AA30" s="338">
        <v>0</v>
      </c>
      <c r="AB30" s="338">
        <v>0</v>
      </c>
      <c r="AC30" s="338">
        <f t="shared" si="0"/>
        <v>0</v>
      </c>
      <c r="AD30" s="338">
        <v>0</v>
      </c>
      <c r="AE30" s="338">
        <v>0</v>
      </c>
      <c r="AF30" s="338">
        <v>0</v>
      </c>
      <c r="AG30" s="338">
        <v>0</v>
      </c>
      <c r="AH30" s="338">
        <v>0</v>
      </c>
      <c r="AI30" s="338">
        <v>0</v>
      </c>
      <c r="AJ30" s="338">
        <f t="shared" si="1"/>
        <v>0</v>
      </c>
      <c r="AK30" s="338">
        <f t="shared" si="2"/>
        <v>0</v>
      </c>
      <c r="AL30" s="538">
        <f t="shared" si="3"/>
        <v>0</v>
      </c>
      <c r="AR30" s="354"/>
      <c r="AS30" s="357"/>
      <c r="AT30" s="357"/>
      <c r="AU30" s="357"/>
      <c r="AV30" s="357"/>
      <c r="AW30" s="357"/>
      <c r="AX30" s="357"/>
      <c r="AY30" s="357"/>
    </row>
    <row r="31" spans="1:51">
      <c r="A31" s="339" t="s">
        <v>334</v>
      </c>
      <c r="B31" s="338">
        <v>0</v>
      </c>
      <c r="C31" s="338">
        <v>0</v>
      </c>
      <c r="D31" s="338">
        <v>0</v>
      </c>
      <c r="E31" s="338">
        <v>0</v>
      </c>
      <c r="F31" s="338">
        <v>0</v>
      </c>
      <c r="G31" s="338">
        <v>0</v>
      </c>
      <c r="H31" s="338">
        <v>0</v>
      </c>
      <c r="I31" s="338">
        <v>0</v>
      </c>
      <c r="J31" s="338">
        <v>0</v>
      </c>
      <c r="K31" s="340">
        <v>0</v>
      </c>
      <c r="L31" s="338">
        <v>0</v>
      </c>
      <c r="M31" s="338">
        <v>0</v>
      </c>
      <c r="N31" s="338">
        <v>0</v>
      </c>
      <c r="O31" s="338">
        <v>0</v>
      </c>
      <c r="P31" s="338">
        <v>0</v>
      </c>
      <c r="Q31" s="338">
        <v>0</v>
      </c>
      <c r="R31" s="338">
        <v>0</v>
      </c>
      <c r="S31" s="338">
        <v>0</v>
      </c>
      <c r="T31" s="338">
        <v>0</v>
      </c>
      <c r="U31" s="338">
        <v>0</v>
      </c>
      <c r="V31" s="338">
        <v>0</v>
      </c>
      <c r="W31" s="338">
        <v>0</v>
      </c>
      <c r="X31" s="338">
        <v>0</v>
      </c>
      <c r="Y31" s="338">
        <v>0</v>
      </c>
      <c r="Z31" s="338">
        <v>0</v>
      </c>
      <c r="AA31" s="338">
        <v>0</v>
      </c>
      <c r="AB31" s="338">
        <v>0</v>
      </c>
      <c r="AC31" s="338">
        <f t="shared" si="0"/>
        <v>0</v>
      </c>
      <c r="AD31" s="338">
        <v>0</v>
      </c>
      <c r="AE31" s="338">
        <v>0</v>
      </c>
      <c r="AF31" s="338">
        <v>0</v>
      </c>
      <c r="AG31" s="338">
        <v>0</v>
      </c>
      <c r="AH31" s="338">
        <v>0</v>
      </c>
      <c r="AI31" s="338">
        <v>0</v>
      </c>
      <c r="AJ31" s="338">
        <f t="shared" si="1"/>
        <v>0</v>
      </c>
      <c r="AK31" s="338">
        <f t="shared" si="2"/>
        <v>0</v>
      </c>
      <c r="AL31" s="538">
        <f t="shared" si="3"/>
        <v>0</v>
      </c>
      <c r="AR31" s="354"/>
      <c r="AS31" s="357"/>
      <c r="AT31" s="357"/>
      <c r="AU31" s="357"/>
      <c r="AV31" s="357"/>
      <c r="AW31" s="357"/>
      <c r="AX31" s="357"/>
      <c r="AY31" s="357"/>
    </row>
    <row r="32" spans="1:51">
      <c r="A32" s="339" t="s">
        <v>335</v>
      </c>
      <c r="B32" s="338">
        <v>0</v>
      </c>
      <c r="C32" s="338">
        <v>0</v>
      </c>
      <c r="D32" s="338">
        <v>0</v>
      </c>
      <c r="E32" s="338">
        <v>0</v>
      </c>
      <c r="F32" s="338">
        <v>0</v>
      </c>
      <c r="G32" s="445" t="s">
        <v>226</v>
      </c>
      <c r="H32" s="338">
        <v>0</v>
      </c>
      <c r="I32" s="338">
        <v>0</v>
      </c>
      <c r="J32" s="338">
        <v>0</v>
      </c>
      <c r="K32" s="340">
        <v>0</v>
      </c>
      <c r="L32" s="338">
        <v>62441</v>
      </c>
      <c r="M32" s="338">
        <v>0</v>
      </c>
      <c r="N32" s="338">
        <v>0</v>
      </c>
      <c r="O32" s="338">
        <v>0</v>
      </c>
      <c r="P32" s="338">
        <v>0</v>
      </c>
      <c r="Q32" s="338">
        <v>15792</v>
      </c>
      <c r="R32" s="338">
        <v>0</v>
      </c>
      <c r="S32" s="338">
        <v>0</v>
      </c>
      <c r="T32" s="338">
        <v>0</v>
      </c>
      <c r="U32" s="338">
        <v>0</v>
      </c>
      <c r="V32" s="338">
        <v>0</v>
      </c>
      <c r="W32" s="338">
        <v>0</v>
      </c>
      <c r="X32" s="338">
        <v>0</v>
      </c>
      <c r="Y32" s="338">
        <v>41048</v>
      </c>
      <c r="Z32" s="338">
        <v>0</v>
      </c>
      <c r="AA32" s="338">
        <v>0</v>
      </c>
      <c r="AB32" s="338">
        <v>0</v>
      </c>
      <c r="AC32" s="338">
        <f t="shared" si="0"/>
        <v>119281</v>
      </c>
      <c r="AD32" s="338">
        <v>0</v>
      </c>
      <c r="AE32" s="338">
        <v>0</v>
      </c>
      <c r="AF32" s="338">
        <v>0</v>
      </c>
      <c r="AG32" s="338">
        <v>0</v>
      </c>
      <c r="AH32" s="338">
        <v>0</v>
      </c>
      <c r="AI32" s="338">
        <v>0</v>
      </c>
      <c r="AJ32" s="338">
        <f t="shared" si="1"/>
        <v>0</v>
      </c>
      <c r="AK32" s="338">
        <f t="shared" si="2"/>
        <v>119281</v>
      </c>
      <c r="AL32" s="538">
        <f t="shared" si="3"/>
        <v>0.40685630350134294</v>
      </c>
      <c r="AR32" s="354"/>
      <c r="AS32" s="357"/>
      <c r="AT32" s="357"/>
      <c r="AU32" s="357"/>
      <c r="AV32" s="357"/>
      <c r="AW32" s="357"/>
      <c r="AX32" s="357"/>
      <c r="AY32" s="357"/>
    </row>
    <row r="33" spans="1:51">
      <c r="A33" s="339" t="s">
        <v>336</v>
      </c>
      <c r="B33" s="338">
        <v>0</v>
      </c>
      <c r="C33" s="338">
        <v>0</v>
      </c>
      <c r="D33" s="338">
        <v>0</v>
      </c>
      <c r="E33" s="338">
        <v>0</v>
      </c>
      <c r="F33" s="338">
        <v>0</v>
      </c>
      <c r="G33" s="338">
        <v>0</v>
      </c>
      <c r="H33" s="338">
        <v>0</v>
      </c>
      <c r="I33" s="338">
        <v>0</v>
      </c>
      <c r="J33" s="338">
        <v>0</v>
      </c>
      <c r="K33" s="340">
        <v>0</v>
      </c>
      <c r="L33" s="338">
        <v>0</v>
      </c>
      <c r="M33" s="338">
        <v>0</v>
      </c>
      <c r="N33" s="338">
        <v>0</v>
      </c>
      <c r="O33" s="338">
        <v>0</v>
      </c>
      <c r="P33" s="338">
        <v>0</v>
      </c>
      <c r="Q33" s="338">
        <v>0</v>
      </c>
      <c r="R33" s="338">
        <v>0</v>
      </c>
      <c r="S33" s="338">
        <v>0</v>
      </c>
      <c r="T33" s="338">
        <v>0</v>
      </c>
      <c r="U33" s="338">
        <v>0</v>
      </c>
      <c r="V33" s="338">
        <v>0</v>
      </c>
      <c r="W33" s="338">
        <v>0</v>
      </c>
      <c r="X33" s="338">
        <v>0</v>
      </c>
      <c r="Y33" s="338">
        <v>0</v>
      </c>
      <c r="Z33" s="338">
        <v>0</v>
      </c>
      <c r="AA33" s="338">
        <v>0</v>
      </c>
      <c r="AB33" s="338">
        <v>0</v>
      </c>
      <c r="AC33" s="338">
        <f t="shared" si="0"/>
        <v>0</v>
      </c>
      <c r="AD33" s="338">
        <v>0</v>
      </c>
      <c r="AE33" s="338">
        <v>0</v>
      </c>
      <c r="AF33" s="338">
        <v>0</v>
      </c>
      <c r="AG33" s="338">
        <v>173090</v>
      </c>
      <c r="AH33" s="338">
        <v>0</v>
      </c>
      <c r="AI33" s="338">
        <v>0</v>
      </c>
      <c r="AJ33" s="338">
        <f t="shared" si="1"/>
        <v>173090</v>
      </c>
      <c r="AK33" s="338">
        <f t="shared" si="2"/>
        <v>173090</v>
      </c>
      <c r="AL33" s="538">
        <f t="shared" si="3"/>
        <v>0.59039375569493435</v>
      </c>
      <c r="AR33" s="354"/>
      <c r="AS33" s="357"/>
      <c r="AT33" s="357"/>
      <c r="AU33" s="357"/>
      <c r="AV33" s="357"/>
      <c r="AW33" s="357"/>
      <c r="AX33" s="357"/>
      <c r="AY33" s="357"/>
    </row>
    <row r="34" spans="1:51">
      <c r="A34" s="339" t="s">
        <v>337</v>
      </c>
      <c r="B34" s="338">
        <v>0</v>
      </c>
      <c r="C34" s="338">
        <v>0</v>
      </c>
      <c r="D34" s="338">
        <v>0</v>
      </c>
      <c r="E34" s="338">
        <v>0</v>
      </c>
      <c r="F34" s="338">
        <v>0</v>
      </c>
      <c r="G34" s="338">
        <v>262345</v>
      </c>
      <c r="H34" s="338">
        <v>0</v>
      </c>
      <c r="I34" s="338">
        <v>0</v>
      </c>
      <c r="J34" s="338">
        <v>0</v>
      </c>
      <c r="K34" s="340">
        <v>0</v>
      </c>
      <c r="L34" s="445" t="s">
        <v>226</v>
      </c>
      <c r="M34" s="338">
        <v>0</v>
      </c>
      <c r="N34" s="338">
        <v>0</v>
      </c>
      <c r="O34" s="338">
        <v>0</v>
      </c>
      <c r="P34" s="341" t="s">
        <v>459</v>
      </c>
      <c r="Q34" s="338">
        <v>0</v>
      </c>
      <c r="R34" s="338">
        <v>0</v>
      </c>
      <c r="S34" s="338">
        <v>0</v>
      </c>
      <c r="T34" s="445" t="s">
        <v>226</v>
      </c>
      <c r="U34" s="338">
        <v>0</v>
      </c>
      <c r="V34" s="338">
        <v>0</v>
      </c>
      <c r="W34" s="338">
        <v>0</v>
      </c>
      <c r="X34" s="338">
        <v>0</v>
      </c>
      <c r="Y34" s="445" t="s">
        <v>226</v>
      </c>
      <c r="Z34" s="338">
        <v>0</v>
      </c>
      <c r="AA34" s="338">
        <v>0</v>
      </c>
      <c r="AB34" s="338">
        <v>6229</v>
      </c>
      <c r="AC34" s="338">
        <f t="shared" si="0"/>
        <v>268574</v>
      </c>
      <c r="AD34" s="338">
        <v>0</v>
      </c>
      <c r="AE34" s="338">
        <v>0</v>
      </c>
      <c r="AF34" s="338">
        <v>0</v>
      </c>
      <c r="AG34" s="338">
        <v>0</v>
      </c>
      <c r="AH34" s="338">
        <v>0</v>
      </c>
      <c r="AI34" s="338">
        <v>0</v>
      </c>
      <c r="AJ34" s="338">
        <f t="shared" si="1"/>
        <v>0</v>
      </c>
      <c r="AK34" s="338">
        <f t="shared" si="2"/>
        <v>268574</v>
      </c>
      <c r="AL34" s="538">
        <f t="shared" si="3"/>
        <v>0.91608072414357433</v>
      </c>
      <c r="AR34" s="354"/>
      <c r="AS34" s="357"/>
      <c r="AT34" s="357"/>
      <c r="AU34" s="357"/>
      <c r="AV34" s="357"/>
      <c r="AW34" s="357"/>
      <c r="AX34" s="357"/>
      <c r="AY34" s="357"/>
    </row>
    <row r="35" spans="1:51">
      <c r="A35" s="339" t="s">
        <v>338</v>
      </c>
      <c r="B35" s="338">
        <v>0</v>
      </c>
      <c r="C35" s="338">
        <v>0</v>
      </c>
      <c r="D35" s="338">
        <v>0</v>
      </c>
      <c r="E35" s="338">
        <v>0</v>
      </c>
      <c r="F35" s="338">
        <v>0</v>
      </c>
      <c r="G35" s="445" t="s">
        <v>226</v>
      </c>
      <c r="H35" s="338">
        <v>0</v>
      </c>
      <c r="I35" s="338">
        <v>0</v>
      </c>
      <c r="J35" s="338">
        <v>0</v>
      </c>
      <c r="K35" s="340">
        <v>0</v>
      </c>
      <c r="L35" s="338">
        <v>57304</v>
      </c>
      <c r="M35" s="338">
        <v>0</v>
      </c>
      <c r="N35" s="338">
        <v>0</v>
      </c>
      <c r="O35" s="338">
        <v>0</v>
      </c>
      <c r="P35" s="338">
        <v>0</v>
      </c>
      <c r="Q35" s="338">
        <v>0</v>
      </c>
      <c r="R35" s="338">
        <v>0</v>
      </c>
      <c r="S35" s="338">
        <v>0</v>
      </c>
      <c r="T35" s="445" t="s">
        <v>226</v>
      </c>
      <c r="U35" s="338">
        <v>0</v>
      </c>
      <c r="V35" s="338">
        <v>0</v>
      </c>
      <c r="W35" s="338">
        <v>0</v>
      </c>
      <c r="X35" s="338">
        <v>0</v>
      </c>
      <c r="Y35" s="445" t="s">
        <v>226</v>
      </c>
      <c r="Z35" s="338">
        <v>0</v>
      </c>
      <c r="AA35" s="338">
        <v>0</v>
      </c>
      <c r="AB35" s="338">
        <v>21375</v>
      </c>
      <c r="AC35" s="338">
        <f t="shared" si="0"/>
        <v>78679</v>
      </c>
      <c r="AD35" s="338">
        <v>0</v>
      </c>
      <c r="AE35" s="338">
        <v>0</v>
      </c>
      <c r="AF35" s="338">
        <v>0</v>
      </c>
      <c r="AG35" s="338">
        <v>0</v>
      </c>
      <c r="AH35" s="338">
        <v>0</v>
      </c>
      <c r="AI35" s="338">
        <v>0</v>
      </c>
      <c r="AJ35" s="338">
        <f t="shared" si="1"/>
        <v>0</v>
      </c>
      <c r="AK35" s="338">
        <f t="shared" si="2"/>
        <v>78679</v>
      </c>
      <c r="AL35" s="538">
        <f t="shared" si="3"/>
        <v>0.26836668960842186</v>
      </c>
      <c r="AR35" s="354"/>
      <c r="AS35" s="357"/>
      <c r="AT35" s="357"/>
      <c r="AU35" s="357"/>
      <c r="AV35" s="357"/>
      <c r="AW35" s="357"/>
      <c r="AX35" s="357"/>
      <c r="AY35" s="357"/>
    </row>
    <row r="36" spans="1:51">
      <c r="A36" s="339" t="s">
        <v>339</v>
      </c>
      <c r="B36" s="338">
        <v>0</v>
      </c>
      <c r="C36" s="338">
        <v>0</v>
      </c>
      <c r="D36" s="338">
        <v>0</v>
      </c>
      <c r="E36" s="338">
        <v>0</v>
      </c>
      <c r="F36" s="338">
        <v>0</v>
      </c>
      <c r="G36" s="445" t="s">
        <v>226</v>
      </c>
      <c r="H36" s="338">
        <v>0</v>
      </c>
      <c r="I36" s="338">
        <v>0</v>
      </c>
      <c r="J36" s="338">
        <v>0</v>
      </c>
      <c r="K36" s="340">
        <v>0</v>
      </c>
      <c r="L36" s="338">
        <v>0</v>
      </c>
      <c r="M36" s="338">
        <v>0</v>
      </c>
      <c r="N36" s="338">
        <v>0</v>
      </c>
      <c r="O36" s="338">
        <v>0</v>
      </c>
      <c r="P36" s="338">
        <v>0</v>
      </c>
      <c r="Q36" s="338">
        <v>0</v>
      </c>
      <c r="R36" s="338">
        <v>0</v>
      </c>
      <c r="S36" s="338">
        <v>0</v>
      </c>
      <c r="T36" s="445" t="s">
        <v>226</v>
      </c>
      <c r="U36" s="338">
        <v>0</v>
      </c>
      <c r="V36" s="338">
        <v>0</v>
      </c>
      <c r="W36" s="338">
        <v>0</v>
      </c>
      <c r="X36" s="338">
        <v>0</v>
      </c>
      <c r="Y36" s="445" t="s">
        <v>226</v>
      </c>
      <c r="Z36" s="338">
        <v>0</v>
      </c>
      <c r="AA36" s="338">
        <v>0</v>
      </c>
      <c r="AB36" s="338">
        <v>0</v>
      </c>
      <c r="AC36" s="338">
        <f t="shared" si="0"/>
        <v>0</v>
      </c>
      <c r="AD36" s="338">
        <v>0</v>
      </c>
      <c r="AE36" s="338">
        <v>0</v>
      </c>
      <c r="AF36" s="338">
        <v>0</v>
      </c>
      <c r="AG36" s="338">
        <v>0</v>
      </c>
      <c r="AH36" s="338">
        <v>0</v>
      </c>
      <c r="AI36" s="338">
        <v>0</v>
      </c>
      <c r="AJ36" s="338">
        <f t="shared" si="1"/>
        <v>0</v>
      </c>
      <c r="AK36" s="338">
        <f t="shared" si="2"/>
        <v>0</v>
      </c>
      <c r="AL36" s="538">
        <f t="shared" si="3"/>
        <v>0</v>
      </c>
      <c r="AR36" s="354"/>
      <c r="AS36" s="357"/>
      <c r="AT36" s="357"/>
      <c r="AU36" s="357"/>
      <c r="AV36" s="357"/>
      <c r="AW36" s="357"/>
      <c r="AX36" s="357"/>
      <c r="AY36" s="357"/>
    </row>
    <row r="37" spans="1:51">
      <c r="A37" s="339" t="s">
        <v>340</v>
      </c>
      <c r="B37" s="338">
        <v>0</v>
      </c>
      <c r="C37" s="338">
        <v>0</v>
      </c>
      <c r="D37" s="338">
        <v>0</v>
      </c>
      <c r="E37" s="338">
        <v>0</v>
      </c>
      <c r="F37" s="338">
        <v>0</v>
      </c>
      <c r="G37" s="338">
        <v>0</v>
      </c>
      <c r="H37" s="338">
        <v>0</v>
      </c>
      <c r="I37" s="338">
        <v>0</v>
      </c>
      <c r="J37" s="338">
        <v>0</v>
      </c>
      <c r="K37" s="340">
        <v>0</v>
      </c>
      <c r="L37" s="338">
        <v>0</v>
      </c>
      <c r="M37" s="338">
        <v>0</v>
      </c>
      <c r="N37" s="338">
        <v>0</v>
      </c>
      <c r="O37" s="338">
        <v>0</v>
      </c>
      <c r="P37" s="338">
        <v>0</v>
      </c>
      <c r="Q37" s="338">
        <v>0</v>
      </c>
      <c r="R37" s="338">
        <v>0</v>
      </c>
      <c r="S37" s="338">
        <v>0</v>
      </c>
      <c r="T37" s="338">
        <v>0</v>
      </c>
      <c r="U37" s="338">
        <v>0</v>
      </c>
      <c r="V37" s="338">
        <v>0</v>
      </c>
      <c r="W37" s="338">
        <v>0</v>
      </c>
      <c r="X37" s="338">
        <v>0</v>
      </c>
      <c r="Y37" s="338">
        <v>0</v>
      </c>
      <c r="Z37" s="338">
        <v>0</v>
      </c>
      <c r="AA37" s="338">
        <v>0</v>
      </c>
      <c r="AB37" s="338">
        <v>0</v>
      </c>
      <c r="AC37" s="338">
        <f t="shared" si="0"/>
        <v>0</v>
      </c>
      <c r="AD37" s="338">
        <v>0</v>
      </c>
      <c r="AE37" s="338">
        <v>0</v>
      </c>
      <c r="AF37" s="338">
        <v>0</v>
      </c>
      <c r="AG37" s="338">
        <v>14884</v>
      </c>
      <c r="AH37" s="338">
        <v>0</v>
      </c>
      <c r="AI37" s="338">
        <v>0</v>
      </c>
      <c r="AJ37" s="338">
        <f t="shared" si="1"/>
        <v>14884</v>
      </c>
      <c r="AK37" s="338">
        <f t="shared" si="2"/>
        <v>14884</v>
      </c>
      <c r="AL37" s="538">
        <f t="shared" si="3"/>
        <v>5.07679280129609E-2</v>
      </c>
      <c r="AR37" s="354"/>
      <c r="AS37" s="357"/>
      <c r="AT37" s="357"/>
      <c r="AU37" s="357"/>
      <c r="AV37" s="357"/>
      <c r="AW37" s="357"/>
      <c r="AX37" s="357"/>
      <c r="AY37" s="357"/>
    </row>
    <row r="38" spans="1:51">
      <c r="A38" s="339" t="s">
        <v>341</v>
      </c>
      <c r="B38" s="338">
        <v>0</v>
      </c>
      <c r="C38" s="338">
        <v>0</v>
      </c>
      <c r="D38" s="338">
        <v>0</v>
      </c>
      <c r="E38" s="338">
        <v>0</v>
      </c>
      <c r="F38" s="338">
        <v>0</v>
      </c>
      <c r="G38" s="338">
        <v>55180</v>
      </c>
      <c r="H38" s="338">
        <v>0</v>
      </c>
      <c r="I38" s="338">
        <v>0</v>
      </c>
      <c r="J38" s="338">
        <v>0</v>
      </c>
      <c r="K38" s="445" t="s">
        <v>226</v>
      </c>
      <c r="L38" s="338">
        <v>180730</v>
      </c>
      <c r="M38" s="445" t="s">
        <v>226</v>
      </c>
      <c r="N38" s="445" t="s">
        <v>226</v>
      </c>
      <c r="O38" s="338">
        <v>70835</v>
      </c>
      <c r="P38" s="338">
        <v>0</v>
      </c>
      <c r="Q38" s="338">
        <v>14028</v>
      </c>
      <c r="R38" s="338">
        <v>0</v>
      </c>
      <c r="S38" s="338">
        <v>0</v>
      </c>
      <c r="T38" s="445" t="s">
        <v>226</v>
      </c>
      <c r="U38" s="338">
        <v>0</v>
      </c>
      <c r="V38" s="338">
        <v>0</v>
      </c>
      <c r="W38" s="338">
        <v>0</v>
      </c>
      <c r="X38" s="338">
        <v>0</v>
      </c>
      <c r="Y38" s="338">
        <v>0</v>
      </c>
      <c r="Z38" s="338">
        <v>140966</v>
      </c>
      <c r="AA38" s="338">
        <v>0</v>
      </c>
      <c r="AB38" s="338">
        <v>11687</v>
      </c>
      <c r="AC38" s="338">
        <f t="shared" si="0"/>
        <v>473426</v>
      </c>
      <c r="AD38" s="338">
        <v>0</v>
      </c>
      <c r="AE38" s="338">
        <v>91800</v>
      </c>
      <c r="AF38" s="338">
        <v>0</v>
      </c>
      <c r="AG38" s="338">
        <v>0</v>
      </c>
      <c r="AH38" s="338">
        <v>0</v>
      </c>
      <c r="AI38" s="338">
        <v>0</v>
      </c>
      <c r="AJ38" s="338">
        <f t="shared" si="1"/>
        <v>91800</v>
      </c>
      <c r="AK38" s="338">
        <f t="shared" si="2"/>
        <v>565226</v>
      </c>
      <c r="AL38" s="538">
        <f t="shared" si="3"/>
        <v>1.9279328728200644</v>
      </c>
      <c r="AN38" s="342"/>
      <c r="AR38" s="354"/>
      <c r="AS38" s="357"/>
      <c r="AT38" s="357"/>
      <c r="AU38" s="357"/>
      <c r="AV38" s="357"/>
      <c r="AW38" s="357"/>
      <c r="AX38" s="357"/>
      <c r="AY38" s="357"/>
    </row>
    <row r="39" spans="1:51">
      <c r="A39" s="339" t="s">
        <v>342</v>
      </c>
      <c r="B39" s="338">
        <v>0</v>
      </c>
      <c r="C39" s="338">
        <v>0</v>
      </c>
      <c r="D39" s="338">
        <v>0</v>
      </c>
      <c r="E39" s="338">
        <v>0</v>
      </c>
      <c r="F39" s="338">
        <v>0</v>
      </c>
      <c r="G39" s="338">
        <v>107637</v>
      </c>
      <c r="H39" s="338">
        <v>0</v>
      </c>
      <c r="I39" s="338">
        <v>0</v>
      </c>
      <c r="J39" s="338">
        <v>0</v>
      </c>
      <c r="K39" s="340">
        <v>0</v>
      </c>
      <c r="L39" s="338">
        <v>0</v>
      </c>
      <c r="M39" s="338">
        <v>0</v>
      </c>
      <c r="N39" s="338">
        <v>0</v>
      </c>
      <c r="O39" s="338">
        <v>0</v>
      </c>
      <c r="P39" s="338">
        <v>0</v>
      </c>
      <c r="Q39" s="338">
        <v>0</v>
      </c>
      <c r="R39" s="338">
        <v>0</v>
      </c>
      <c r="S39" s="338">
        <v>0</v>
      </c>
      <c r="T39" s="445" t="s">
        <v>226</v>
      </c>
      <c r="U39" s="338">
        <v>0</v>
      </c>
      <c r="V39" s="338">
        <v>0</v>
      </c>
      <c r="W39" s="338">
        <v>0</v>
      </c>
      <c r="X39" s="338">
        <v>0</v>
      </c>
      <c r="Y39" s="338">
        <v>20670</v>
      </c>
      <c r="Z39" s="338">
        <v>0</v>
      </c>
      <c r="AA39" s="338">
        <v>0</v>
      </c>
      <c r="AB39" s="338">
        <v>0</v>
      </c>
      <c r="AC39" s="338">
        <f t="shared" si="0"/>
        <v>128307</v>
      </c>
      <c r="AD39" s="338">
        <v>0</v>
      </c>
      <c r="AE39" s="338">
        <v>0</v>
      </c>
      <c r="AF39" s="338">
        <v>0</v>
      </c>
      <c r="AG39" s="338">
        <v>0</v>
      </c>
      <c r="AH39" s="338">
        <v>0</v>
      </c>
      <c r="AI39" s="338">
        <v>0</v>
      </c>
      <c r="AJ39" s="338">
        <f t="shared" si="1"/>
        <v>0</v>
      </c>
      <c r="AK39" s="338">
        <f t="shared" si="2"/>
        <v>128307</v>
      </c>
      <c r="AL39" s="538">
        <f t="shared" si="3"/>
        <v>0.43764314294268841</v>
      </c>
      <c r="AR39" s="354"/>
      <c r="AS39" s="357"/>
      <c r="AT39" s="357"/>
      <c r="AU39" s="357"/>
      <c r="AV39" s="357"/>
      <c r="AW39" s="357"/>
      <c r="AX39" s="357"/>
      <c r="AY39" s="357"/>
    </row>
    <row r="40" spans="1:51">
      <c r="A40" s="339" t="s">
        <v>343</v>
      </c>
      <c r="B40" s="338">
        <v>0</v>
      </c>
      <c r="C40" s="338">
        <v>0</v>
      </c>
      <c r="D40" s="338">
        <v>0</v>
      </c>
      <c r="E40" s="338">
        <v>0</v>
      </c>
      <c r="F40" s="338">
        <v>0</v>
      </c>
      <c r="G40" s="338">
        <v>0</v>
      </c>
      <c r="H40" s="338">
        <v>0</v>
      </c>
      <c r="I40" s="338">
        <v>0</v>
      </c>
      <c r="J40" s="338">
        <v>0</v>
      </c>
      <c r="K40" s="340">
        <v>0</v>
      </c>
      <c r="L40" s="338">
        <v>0</v>
      </c>
      <c r="M40" s="338">
        <v>0</v>
      </c>
      <c r="N40" s="338">
        <v>0</v>
      </c>
      <c r="O40" s="338">
        <v>0</v>
      </c>
      <c r="P40" s="338">
        <v>0</v>
      </c>
      <c r="Q40" s="338">
        <v>0</v>
      </c>
      <c r="R40" s="338">
        <v>0</v>
      </c>
      <c r="S40" s="338">
        <v>0</v>
      </c>
      <c r="T40" s="338">
        <v>0</v>
      </c>
      <c r="U40" s="338">
        <v>0</v>
      </c>
      <c r="V40" s="338">
        <v>0</v>
      </c>
      <c r="W40" s="338">
        <v>0</v>
      </c>
      <c r="X40" s="338">
        <v>0</v>
      </c>
      <c r="Y40" s="338">
        <v>0</v>
      </c>
      <c r="Z40" s="338">
        <v>0</v>
      </c>
      <c r="AA40" s="338">
        <v>0</v>
      </c>
      <c r="AB40" s="338">
        <v>0</v>
      </c>
      <c r="AC40" s="338">
        <f t="shared" si="0"/>
        <v>0</v>
      </c>
      <c r="AD40" s="338">
        <v>0</v>
      </c>
      <c r="AE40" s="338">
        <v>0</v>
      </c>
      <c r="AF40" s="338">
        <v>0</v>
      </c>
      <c r="AG40" s="338">
        <v>0</v>
      </c>
      <c r="AH40" s="338">
        <v>0</v>
      </c>
      <c r="AI40" s="338">
        <v>0</v>
      </c>
      <c r="AJ40" s="338">
        <f t="shared" si="1"/>
        <v>0</v>
      </c>
      <c r="AK40" s="338">
        <f t="shared" si="2"/>
        <v>0</v>
      </c>
      <c r="AL40" s="538">
        <f t="shared" si="3"/>
        <v>0</v>
      </c>
      <c r="AR40" s="354"/>
      <c r="AS40" s="357"/>
      <c r="AT40" s="357"/>
      <c r="AU40" s="357"/>
      <c r="AV40" s="357"/>
      <c r="AW40" s="357"/>
      <c r="AX40" s="357"/>
      <c r="AY40" s="357"/>
    </row>
    <row r="41" spans="1:51" ht="15">
      <c r="A41" s="339" t="s">
        <v>344</v>
      </c>
      <c r="B41" s="338">
        <v>0</v>
      </c>
      <c r="C41" s="338">
        <v>0</v>
      </c>
      <c r="D41" s="338">
        <v>0</v>
      </c>
      <c r="E41" s="338">
        <v>0</v>
      </c>
      <c r="F41" s="338">
        <v>0</v>
      </c>
      <c r="G41" s="338">
        <v>0</v>
      </c>
      <c r="H41" s="338">
        <v>0</v>
      </c>
      <c r="I41" s="338">
        <v>0</v>
      </c>
      <c r="J41" s="338">
        <v>0</v>
      </c>
      <c r="K41" s="340">
        <v>0</v>
      </c>
      <c r="L41" s="338">
        <v>0</v>
      </c>
      <c r="M41" s="338">
        <v>0</v>
      </c>
      <c r="N41" s="338">
        <v>0</v>
      </c>
      <c r="O41" s="338">
        <v>0</v>
      </c>
      <c r="P41" s="338">
        <v>0</v>
      </c>
      <c r="Q41" s="338">
        <v>0</v>
      </c>
      <c r="R41" s="338">
        <v>0</v>
      </c>
      <c r="S41" s="338">
        <v>0</v>
      </c>
      <c r="T41" s="338">
        <v>0</v>
      </c>
      <c r="U41" s="338">
        <v>0</v>
      </c>
      <c r="V41" s="338">
        <v>0</v>
      </c>
      <c r="W41" s="338">
        <v>0</v>
      </c>
      <c r="X41" s="338">
        <v>0</v>
      </c>
      <c r="Y41" s="338">
        <v>17546</v>
      </c>
      <c r="Z41" s="338">
        <v>0</v>
      </c>
      <c r="AA41" s="338">
        <v>0</v>
      </c>
      <c r="AB41" s="338">
        <v>0</v>
      </c>
      <c r="AC41" s="338">
        <f t="shared" si="0"/>
        <v>17546</v>
      </c>
      <c r="AD41" s="338">
        <v>0</v>
      </c>
      <c r="AE41" s="338">
        <v>0</v>
      </c>
      <c r="AF41" s="338">
        <v>0</v>
      </c>
      <c r="AG41" s="338">
        <v>0</v>
      </c>
      <c r="AH41" s="338">
        <v>0</v>
      </c>
      <c r="AI41" s="338">
        <v>0</v>
      </c>
      <c r="AJ41" s="338">
        <f t="shared" si="1"/>
        <v>0</v>
      </c>
      <c r="AK41" s="338">
        <f t="shared" si="2"/>
        <v>17546</v>
      </c>
      <c r="AL41" s="538">
        <f t="shared" si="3"/>
        <v>5.9847760340997848E-2</v>
      </c>
      <c r="AR41" s="354"/>
      <c r="AS41" s="456"/>
      <c r="AT41" s="357"/>
      <c r="AU41" s="357"/>
      <c r="AV41" s="357"/>
      <c r="AW41" s="357"/>
      <c r="AX41" s="357"/>
      <c r="AY41" s="357"/>
    </row>
    <row r="42" spans="1:51">
      <c r="A42" s="339" t="s">
        <v>345</v>
      </c>
      <c r="B42" s="338">
        <v>0</v>
      </c>
      <c r="C42" s="338">
        <v>0</v>
      </c>
      <c r="D42" s="338">
        <v>0</v>
      </c>
      <c r="E42" s="338">
        <v>0</v>
      </c>
      <c r="F42" s="338">
        <v>0</v>
      </c>
      <c r="G42" s="338">
        <v>0</v>
      </c>
      <c r="H42" s="338">
        <v>0</v>
      </c>
      <c r="I42" s="338">
        <v>0</v>
      </c>
      <c r="J42" s="338">
        <v>0</v>
      </c>
      <c r="K42" s="340">
        <v>0</v>
      </c>
      <c r="L42" s="338">
        <v>0</v>
      </c>
      <c r="M42" s="338">
        <v>0</v>
      </c>
      <c r="N42" s="338">
        <v>0</v>
      </c>
      <c r="O42" s="338">
        <v>0</v>
      </c>
      <c r="P42" s="338">
        <v>0</v>
      </c>
      <c r="Q42" s="338">
        <v>0</v>
      </c>
      <c r="R42" s="338">
        <v>0</v>
      </c>
      <c r="S42" s="338">
        <v>0</v>
      </c>
      <c r="T42" s="338">
        <v>0</v>
      </c>
      <c r="U42" s="338">
        <v>0</v>
      </c>
      <c r="V42" s="338">
        <v>0</v>
      </c>
      <c r="W42" s="338">
        <v>0</v>
      </c>
      <c r="X42" s="338">
        <v>0</v>
      </c>
      <c r="Y42" s="338">
        <v>0</v>
      </c>
      <c r="Z42" s="338">
        <v>0</v>
      </c>
      <c r="AA42" s="338">
        <v>0</v>
      </c>
      <c r="AB42" s="338">
        <v>0</v>
      </c>
      <c r="AC42" s="338">
        <f t="shared" si="0"/>
        <v>0</v>
      </c>
      <c r="AD42" s="338">
        <v>0</v>
      </c>
      <c r="AE42" s="338">
        <v>0</v>
      </c>
      <c r="AF42" s="338">
        <v>0</v>
      </c>
      <c r="AG42" s="338">
        <v>0</v>
      </c>
      <c r="AH42" s="338">
        <v>0</v>
      </c>
      <c r="AI42" s="338">
        <v>0</v>
      </c>
      <c r="AJ42" s="338">
        <f t="shared" si="1"/>
        <v>0</v>
      </c>
      <c r="AK42" s="338">
        <f t="shared" si="2"/>
        <v>0</v>
      </c>
      <c r="AL42" s="538">
        <f t="shared" si="3"/>
        <v>0</v>
      </c>
      <c r="AR42" s="354"/>
      <c r="AS42" s="357"/>
      <c r="AT42" s="357"/>
      <c r="AU42" s="357"/>
      <c r="AV42" s="357"/>
      <c r="AW42" s="357"/>
      <c r="AX42" s="357"/>
      <c r="AY42" s="357"/>
    </row>
    <row r="43" spans="1:51">
      <c r="A43" s="339" t="s">
        <v>346</v>
      </c>
      <c r="B43" s="338">
        <v>35538</v>
      </c>
      <c r="C43" s="338">
        <v>65080</v>
      </c>
      <c r="D43" s="338">
        <v>0</v>
      </c>
      <c r="E43" s="338">
        <v>0</v>
      </c>
      <c r="F43" s="474">
        <f>SUM(B43:E43)</f>
        <v>100618</v>
      </c>
      <c r="G43" s="338">
        <v>0</v>
      </c>
      <c r="H43" s="338">
        <v>0</v>
      </c>
      <c r="I43" s="338">
        <v>0</v>
      </c>
      <c r="J43" s="338">
        <v>0</v>
      </c>
      <c r="K43" s="340">
        <v>0</v>
      </c>
      <c r="L43" s="338">
        <v>0</v>
      </c>
      <c r="M43" s="338">
        <v>0</v>
      </c>
      <c r="N43" s="338">
        <v>0</v>
      </c>
      <c r="O43" s="338">
        <v>0</v>
      </c>
      <c r="P43" s="338">
        <v>0</v>
      </c>
      <c r="Q43" s="338">
        <v>0</v>
      </c>
      <c r="R43" s="338">
        <v>0</v>
      </c>
      <c r="S43" s="338">
        <v>0</v>
      </c>
      <c r="T43" s="445" t="s">
        <v>226</v>
      </c>
      <c r="U43" s="338">
        <v>0</v>
      </c>
      <c r="V43" s="338">
        <v>0</v>
      </c>
      <c r="W43" s="338">
        <v>0</v>
      </c>
      <c r="X43" s="338">
        <v>0</v>
      </c>
      <c r="Y43" s="445" t="s">
        <v>226</v>
      </c>
      <c r="Z43" s="338">
        <v>0</v>
      </c>
      <c r="AA43" s="338">
        <v>0</v>
      </c>
      <c r="AB43" s="338">
        <v>0</v>
      </c>
      <c r="AC43" s="338">
        <f t="shared" si="0"/>
        <v>0</v>
      </c>
      <c r="AD43" s="338">
        <v>0</v>
      </c>
      <c r="AE43" s="338">
        <v>0</v>
      </c>
      <c r="AF43" s="338">
        <v>0</v>
      </c>
      <c r="AG43" s="338">
        <v>56064</v>
      </c>
      <c r="AH43" s="338">
        <v>0</v>
      </c>
      <c r="AI43" s="338">
        <v>0</v>
      </c>
      <c r="AJ43" s="338">
        <f t="shared" si="1"/>
        <v>56064</v>
      </c>
      <c r="AK43" s="338">
        <f t="shared" si="2"/>
        <v>156682</v>
      </c>
      <c r="AL43" s="538">
        <f t="shared" si="3"/>
        <v>0.53442760661964117</v>
      </c>
      <c r="AR43" s="354"/>
      <c r="AS43" s="357"/>
      <c r="AT43" s="357"/>
      <c r="AU43" s="357"/>
      <c r="AV43" s="357"/>
      <c r="AW43" s="357"/>
      <c r="AX43" s="357"/>
      <c r="AY43" s="357"/>
    </row>
    <row r="44" spans="1:51">
      <c r="A44" s="339" t="s">
        <v>347</v>
      </c>
      <c r="B44" s="338">
        <v>0</v>
      </c>
      <c r="C44" s="338">
        <v>0</v>
      </c>
      <c r="D44" s="338">
        <v>0</v>
      </c>
      <c r="E44" s="338">
        <v>0</v>
      </c>
      <c r="F44" s="338">
        <v>0</v>
      </c>
      <c r="G44" s="338">
        <v>0</v>
      </c>
      <c r="H44" s="338">
        <v>0</v>
      </c>
      <c r="I44" s="338">
        <v>0</v>
      </c>
      <c r="J44" s="338">
        <v>0</v>
      </c>
      <c r="K44" s="340">
        <v>0</v>
      </c>
      <c r="L44" s="338">
        <v>0</v>
      </c>
      <c r="M44" s="338">
        <v>0</v>
      </c>
      <c r="N44" s="338">
        <v>0</v>
      </c>
      <c r="O44" s="338">
        <v>0</v>
      </c>
      <c r="P44" s="338">
        <v>9102</v>
      </c>
      <c r="Q44" s="338">
        <v>0</v>
      </c>
      <c r="R44" s="338">
        <v>0</v>
      </c>
      <c r="S44" s="338">
        <v>0</v>
      </c>
      <c r="T44" s="338">
        <v>0</v>
      </c>
      <c r="U44" s="338">
        <v>0</v>
      </c>
      <c r="V44" s="338">
        <v>0</v>
      </c>
      <c r="W44" s="338">
        <v>0</v>
      </c>
      <c r="X44" s="338">
        <v>0</v>
      </c>
      <c r="Y44" s="445" t="s">
        <v>226</v>
      </c>
      <c r="Z44" s="338">
        <v>0</v>
      </c>
      <c r="AA44" s="338">
        <v>0</v>
      </c>
      <c r="AB44" s="338">
        <v>0</v>
      </c>
      <c r="AC44" s="338">
        <f t="shared" si="0"/>
        <v>9102</v>
      </c>
      <c r="AD44" s="338">
        <v>0</v>
      </c>
      <c r="AE44" s="338">
        <v>0</v>
      </c>
      <c r="AF44" s="338">
        <v>0</v>
      </c>
      <c r="AG44" s="338">
        <v>0</v>
      </c>
      <c r="AH44" s="338">
        <v>0</v>
      </c>
      <c r="AI44" s="338">
        <v>0</v>
      </c>
      <c r="AJ44" s="338">
        <f t="shared" si="1"/>
        <v>0</v>
      </c>
      <c r="AK44" s="338">
        <f t="shared" si="2"/>
        <v>9102</v>
      </c>
      <c r="AL44" s="538">
        <f t="shared" si="3"/>
        <v>3.1046068313220241E-2</v>
      </c>
      <c r="AR44" s="354"/>
      <c r="AS44" s="357"/>
      <c r="AT44" s="357"/>
      <c r="AU44" s="357"/>
      <c r="AV44" s="357"/>
      <c r="AW44" s="357"/>
      <c r="AX44" s="357"/>
      <c r="AY44" s="357"/>
    </row>
    <row r="45" spans="1:51">
      <c r="A45" s="339" t="s">
        <v>348</v>
      </c>
      <c r="B45" s="338">
        <v>0</v>
      </c>
      <c r="C45" s="338">
        <v>0</v>
      </c>
      <c r="D45" s="338">
        <v>0</v>
      </c>
      <c r="E45" s="338">
        <v>0</v>
      </c>
      <c r="F45" s="338">
        <v>0</v>
      </c>
      <c r="G45" s="445" t="s">
        <v>226</v>
      </c>
      <c r="H45" s="338">
        <v>0</v>
      </c>
      <c r="I45" s="338">
        <v>0</v>
      </c>
      <c r="J45" s="338">
        <v>0</v>
      </c>
      <c r="K45" s="340">
        <v>0</v>
      </c>
      <c r="L45" s="338">
        <v>0</v>
      </c>
      <c r="M45" s="338">
        <v>0</v>
      </c>
      <c r="N45" s="338">
        <v>0</v>
      </c>
      <c r="O45" s="338">
        <v>0</v>
      </c>
      <c r="P45" s="338">
        <v>0</v>
      </c>
      <c r="Q45" s="338">
        <v>0</v>
      </c>
      <c r="R45" s="338">
        <v>0</v>
      </c>
      <c r="S45" s="338">
        <v>0</v>
      </c>
      <c r="T45" s="338">
        <v>0</v>
      </c>
      <c r="U45" s="338">
        <v>0</v>
      </c>
      <c r="V45" s="338">
        <v>0</v>
      </c>
      <c r="W45" s="338">
        <v>0</v>
      </c>
      <c r="X45" s="338">
        <v>0</v>
      </c>
      <c r="Y45" s="338">
        <v>0</v>
      </c>
      <c r="Z45" s="338">
        <v>0</v>
      </c>
      <c r="AA45" s="338">
        <v>0</v>
      </c>
      <c r="AB45" s="338">
        <v>0</v>
      </c>
      <c r="AC45" s="338">
        <f t="shared" si="0"/>
        <v>0</v>
      </c>
      <c r="AD45" s="338">
        <v>0</v>
      </c>
      <c r="AE45" s="338">
        <v>0</v>
      </c>
      <c r="AF45" s="338">
        <v>0</v>
      </c>
      <c r="AG45" s="338">
        <v>0</v>
      </c>
      <c r="AH45" s="338">
        <v>0</v>
      </c>
      <c r="AI45" s="338">
        <v>0</v>
      </c>
      <c r="AJ45" s="338">
        <f t="shared" si="1"/>
        <v>0</v>
      </c>
      <c r="AK45" s="338">
        <f t="shared" si="2"/>
        <v>0</v>
      </c>
      <c r="AL45" s="538">
        <f t="shared" si="3"/>
        <v>0</v>
      </c>
      <c r="AR45" s="354"/>
      <c r="AS45" s="357"/>
      <c r="AT45" s="357"/>
      <c r="AU45" s="357"/>
      <c r="AV45" s="357"/>
      <c r="AW45" s="357"/>
      <c r="AX45" s="357"/>
      <c r="AY45" s="357"/>
    </row>
    <row r="46" spans="1:51">
      <c r="A46" s="339" t="s">
        <v>349</v>
      </c>
      <c r="B46" s="338">
        <v>0</v>
      </c>
      <c r="C46" s="338">
        <v>0</v>
      </c>
      <c r="D46" s="338">
        <v>0</v>
      </c>
      <c r="E46" s="338">
        <v>0</v>
      </c>
      <c r="F46" s="338">
        <v>0</v>
      </c>
      <c r="G46" s="338">
        <v>37256</v>
      </c>
      <c r="H46" s="338">
        <v>0</v>
      </c>
      <c r="I46" s="338">
        <v>0</v>
      </c>
      <c r="J46" s="338">
        <v>0</v>
      </c>
      <c r="K46" s="340">
        <v>0</v>
      </c>
      <c r="L46" s="338">
        <v>0</v>
      </c>
      <c r="M46" s="338">
        <v>0</v>
      </c>
      <c r="N46" s="338">
        <v>0</v>
      </c>
      <c r="O46" s="338">
        <v>0</v>
      </c>
      <c r="P46" s="338">
        <v>0</v>
      </c>
      <c r="Q46" s="338">
        <v>0</v>
      </c>
      <c r="R46" s="338">
        <v>0</v>
      </c>
      <c r="S46" s="338">
        <v>0</v>
      </c>
      <c r="T46" s="445" t="s">
        <v>226</v>
      </c>
      <c r="U46" s="338">
        <v>0</v>
      </c>
      <c r="V46" s="338">
        <v>0</v>
      </c>
      <c r="W46" s="338">
        <v>0</v>
      </c>
      <c r="X46" s="338">
        <v>0</v>
      </c>
      <c r="Y46" s="445" t="s">
        <v>226</v>
      </c>
      <c r="Z46" s="338">
        <v>0</v>
      </c>
      <c r="AA46" s="338">
        <v>0</v>
      </c>
      <c r="AB46" s="338">
        <v>0</v>
      </c>
      <c r="AC46" s="338">
        <f t="shared" si="0"/>
        <v>37256</v>
      </c>
      <c r="AD46" s="338">
        <v>0</v>
      </c>
      <c r="AE46" s="338">
        <v>0</v>
      </c>
      <c r="AF46" s="338">
        <v>0</v>
      </c>
      <c r="AG46" s="338">
        <v>0</v>
      </c>
      <c r="AH46" s="338">
        <v>0</v>
      </c>
      <c r="AI46" s="338">
        <v>0</v>
      </c>
      <c r="AJ46" s="338">
        <f t="shared" si="1"/>
        <v>0</v>
      </c>
      <c r="AK46" s="338">
        <f t="shared" si="2"/>
        <v>37256</v>
      </c>
      <c r="AL46" s="538">
        <f t="shared" si="3"/>
        <v>0.12707672171801068</v>
      </c>
      <c r="AR46" s="339"/>
    </row>
    <row r="47" spans="1:51">
      <c r="A47" s="339" t="s">
        <v>350</v>
      </c>
      <c r="B47" s="338">
        <v>0</v>
      </c>
      <c r="C47" s="338">
        <v>0</v>
      </c>
      <c r="D47" s="338">
        <v>0</v>
      </c>
      <c r="E47" s="338">
        <v>0</v>
      </c>
      <c r="F47" s="338">
        <v>0</v>
      </c>
      <c r="G47" s="338">
        <v>2185875</v>
      </c>
      <c r="H47" s="338">
        <v>7800</v>
      </c>
      <c r="I47" s="338">
        <v>0</v>
      </c>
      <c r="J47" s="338">
        <v>0</v>
      </c>
      <c r="K47" s="340">
        <v>0</v>
      </c>
      <c r="L47" s="338">
        <v>139177</v>
      </c>
      <c r="M47" s="338">
        <v>0</v>
      </c>
      <c r="N47" s="338">
        <v>35913</v>
      </c>
      <c r="O47" s="338">
        <v>426470</v>
      </c>
      <c r="P47" s="341" t="s">
        <v>459</v>
      </c>
      <c r="Q47" s="445" t="s">
        <v>226</v>
      </c>
      <c r="R47" s="338">
        <v>0</v>
      </c>
      <c r="S47" s="338">
        <v>0</v>
      </c>
      <c r="T47" s="338">
        <v>360910</v>
      </c>
      <c r="U47" s="338">
        <v>0</v>
      </c>
      <c r="V47" s="445" t="s">
        <v>226</v>
      </c>
      <c r="W47" s="338">
        <v>0</v>
      </c>
      <c r="X47" s="338">
        <v>0</v>
      </c>
      <c r="Y47" s="338">
        <v>9099</v>
      </c>
      <c r="Z47" s="338">
        <v>210630</v>
      </c>
      <c r="AA47" s="338">
        <v>0</v>
      </c>
      <c r="AB47" s="338">
        <v>9167</v>
      </c>
      <c r="AC47" s="338">
        <f t="shared" si="0"/>
        <v>3385041</v>
      </c>
      <c r="AD47" s="338">
        <v>0</v>
      </c>
      <c r="AE47" s="338">
        <v>0</v>
      </c>
      <c r="AF47" s="338">
        <v>0</v>
      </c>
      <c r="AG47" s="338">
        <v>0</v>
      </c>
      <c r="AH47" s="338">
        <v>0</v>
      </c>
      <c r="AI47" s="338">
        <v>0</v>
      </c>
      <c r="AJ47" s="338">
        <f t="shared" si="1"/>
        <v>0</v>
      </c>
      <c r="AK47" s="338">
        <f t="shared" si="2"/>
        <v>3385041</v>
      </c>
      <c r="AL47" s="538">
        <f>AK47/AK51*100</f>
        <v>11.546057364211313</v>
      </c>
      <c r="AN47" s="342"/>
      <c r="AR47" s="339"/>
    </row>
    <row r="48" spans="1:51">
      <c r="A48" s="339" t="s">
        <v>351</v>
      </c>
      <c r="B48" s="338">
        <v>0</v>
      </c>
      <c r="C48" s="338">
        <v>0</v>
      </c>
      <c r="D48" s="338">
        <v>0</v>
      </c>
      <c r="E48" s="338">
        <v>0</v>
      </c>
      <c r="F48" s="338">
        <v>0</v>
      </c>
      <c r="G48" s="445" t="s">
        <v>226</v>
      </c>
      <c r="H48" s="338">
        <v>0</v>
      </c>
      <c r="I48" s="338">
        <v>0</v>
      </c>
      <c r="J48" s="338">
        <v>0</v>
      </c>
      <c r="K48" s="340">
        <v>0</v>
      </c>
      <c r="L48" s="338">
        <v>0</v>
      </c>
      <c r="M48" s="338">
        <v>0</v>
      </c>
      <c r="N48" s="338">
        <v>0</v>
      </c>
      <c r="O48" s="338">
        <v>0</v>
      </c>
      <c r="P48" s="338">
        <v>0</v>
      </c>
      <c r="Q48" s="338">
        <v>0</v>
      </c>
      <c r="R48" s="338">
        <v>0</v>
      </c>
      <c r="S48" s="338">
        <v>0</v>
      </c>
      <c r="T48" s="338">
        <v>0</v>
      </c>
      <c r="U48" s="338">
        <v>0</v>
      </c>
      <c r="V48" s="338">
        <v>0</v>
      </c>
      <c r="W48" s="338">
        <v>0</v>
      </c>
      <c r="X48" s="338">
        <v>0</v>
      </c>
      <c r="Y48" s="445" t="s">
        <v>226</v>
      </c>
      <c r="Z48" s="338">
        <v>0</v>
      </c>
      <c r="AA48" s="338">
        <v>0</v>
      </c>
      <c r="AB48" s="338">
        <v>0</v>
      </c>
      <c r="AC48" s="338">
        <f t="shared" si="0"/>
        <v>0</v>
      </c>
      <c r="AD48" s="338">
        <v>0</v>
      </c>
      <c r="AE48" s="338">
        <v>0</v>
      </c>
      <c r="AF48" s="338">
        <v>0</v>
      </c>
      <c r="AG48" s="338">
        <v>0</v>
      </c>
      <c r="AH48" s="338">
        <v>0</v>
      </c>
      <c r="AI48" s="338">
        <v>0</v>
      </c>
      <c r="AJ48" s="338">
        <f t="shared" si="1"/>
        <v>0</v>
      </c>
      <c r="AK48" s="338">
        <f t="shared" si="2"/>
        <v>0</v>
      </c>
      <c r="AL48" s="538">
        <f t="shared" si="3"/>
        <v>0</v>
      </c>
      <c r="AR48" s="339"/>
    </row>
    <row r="49" spans="1:44">
      <c r="A49" s="339" t="s">
        <v>352</v>
      </c>
      <c r="B49" s="338">
        <v>0</v>
      </c>
      <c r="C49" s="338">
        <v>0</v>
      </c>
      <c r="D49" s="338">
        <v>0</v>
      </c>
      <c r="E49" s="338">
        <v>0</v>
      </c>
      <c r="F49" s="338">
        <v>0</v>
      </c>
      <c r="G49" s="445" t="s">
        <v>226</v>
      </c>
      <c r="H49" s="338">
        <v>0</v>
      </c>
      <c r="I49" s="338">
        <v>0</v>
      </c>
      <c r="J49" s="338">
        <v>0</v>
      </c>
      <c r="K49" s="340">
        <v>0</v>
      </c>
      <c r="L49" s="338">
        <v>0</v>
      </c>
      <c r="M49" s="338">
        <v>0</v>
      </c>
      <c r="N49" s="338">
        <v>0</v>
      </c>
      <c r="O49" s="338">
        <v>0</v>
      </c>
      <c r="P49" s="338">
        <v>1928</v>
      </c>
      <c r="Q49" s="338">
        <v>142664</v>
      </c>
      <c r="R49" s="338">
        <v>0</v>
      </c>
      <c r="S49" s="338">
        <v>0</v>
      </c>
      <c r="T49" s="338">
        <v>0</v>
      </c>
      <c r="U49" s="338">
        <v>0</v>
      </c>
      <c r="V49" s="338">
        <v>0</v>
      </c>
      <c r="W49" s="338">
        <v>0</v>
      </c>
      <c r="X49" s="338">
        <v>0</v>
      </c>
      <c r="Y49" s="338">
        <v>0</v>
      </c>
      <c r="Z49" s="338">
        <v>0</v>
      </c>
      <c r="AA49" s="338">
        <v>0</v>
      </c>
      <c r="AB49" s="338">
        <v>0</v>
      </c>
      <c r="AC49" s="338">
        <f t="shared" si="0"/>
        <v>144592</v>
      </c>
      <c r="AD49" s="338">
        <v>0</v>
      </c>
      <c r="AE49" s="338">
        <v>0</v>
      </c>
      <c r="AF49" s="338">
        <v>0</v>
      </c>
      <c r="AG49" s="338">
        <v>0</v>
      </c>
      <c r="AH49" s="338">
        <v>0</v>
      </c>
      <c r="AI49" s="338">
        <v>0</v>
      </c>
      <c r="AJ49" s="338">
        <f t="shared" si="1"/>
        <v>0</v>
      </c>
      <c r="AK49" s="338">
        <f t="shared" si="2"/>
        <v>144592</v>
      </c>
      <c r="AL49" s="538">
        <f t="shared" si="3"/>
        <v>0.49318975055428932</v>
      </c>
      <c r="AR49" s="339"/>
    </row>
    <row r="50" spans="1:44">
      <c r="A50" s="339"/>
      <c r="B50" s="338"/>
      <c r="C50" s="338"/>
      <c r="D50" s="338"/>
      <c r="E50" s="338"/>
      <c r="F50" s="338"/>
      <c r="G50" s="338"/>
      <c r="H50" s="338"/>
      <c r="I50" s="338"/>
      <c r="J50" s="338"/>
      <c r="K50" s="340"/>
      <c r="L50" s="338"/>
      <c r="M50" s="338"/>
      <c r="N50" s="338"/>
      <c r="O50" s="338"/>
      <c r="P50" s="338"/>
      <c r="Q50" s="338"/>
      <c r="R50" s="338"/>
      <c r="S50" s="338"/>
      <c r="T50" s="338"/>
      <c r="U50" s="338"/>
      <c r="V50" s="338"/>
      <c r="W50" s="338"/>
      <c r="X50" s="338"/>
      <c r="Y50" s="338"/>
      <c r="Z50" s="338"/>
      <c r="AA50" s="338"/>
      <c r="AB50" s="338"/>
      <c r="AC50" s="338"/>
      <c r="AD50" s="338"/>
      <c r="AE50" s="338"/>
      <c r="AF50" s="338"/>
      <c r="AG50" s="338"/>
      <c r="AH50" s="338"/>
      <c r="AI50" s="338"/>
      <c r="AJ50" s="338"/>
      <c r="AK50" s="338"/>
      <c r="AL50" s="479"/>
    </row>
    <row r="51" spans="1:44">
      <c r="A51" s="344" t="s">
        <v>353</v>
      </c>
      <c r="B51" s="345">
        <v>1830445</v>
      </c>
      <c r="C51" s="345">
        <v>207970</v>
      </c>
      <c r="D51" s="345">
        <v>715761</v>
      </c>
      <c r="E51" s="345">
        <v>575976</v>
      </c>
      <c r="F51" s="345">
        <f>SUM(B51:E51)</f>
        <v>3330152</v>
      </c>
      <c r="G51" s="345">
        <v>3013713</v>
      </c>
      <c r="H51" s="345">
        <v>39370</v>
      </c>
      <c r="I51" s="346">
        <v>400354</v>
      </c>
      <c r="J51" s="517" t="s">
        <v>226</v>
      </c>
      <c r="K51" s="517" t="s">
        <v>226</v>
      </c>
      <c r="L51" s="345">
        <v>797295</v>
      </c>
      <c r="M51" s="517" t="s">
        <v>226</v>
      </c>
      <c r="N51" s="345">
        <v>367001</v>
      </c>
      <c r="O51" s="345">
        <v>637700</v>
      </c>
      <c r="P51" s="345">
        <v>56635</v>
      </c>
      <c r="Q51" s="345">
        <v>222440</v>
      </c>
      <c r="R51" s="345">
        <v>152175</v>
      </c>
      <c r="S51" s="517" t="s">
        <v>226</v>
      </c>
      <c r="T51" s="345">
        <v>6615121</v>
      </c>
      <c r="U51" s="346">
        <v>32886</v>
      </c>
      <c r="V51" s="345">
        <v>104626</v>
      </c>
      <c r="W51" s="345">
        <v>40523</v>
      </c>
      <c r="X51" s="346">
        <v>5702</v>
      </c>
      <c r="Y51" s="345">
        <v>511226</v>
      </c>
      <c r="Z51" s="345">
        <v>428940</v>
      </c>
      <c r="AA51" s="345">
        <f>92570+194832</f>
        <v>287402</v>
      </c>
      <c r="AB51" s="345">
        <v>2670523</v>
      </c>
      <c r="AC51" s="345">
        <v>16466042</v>
      </c>
      <c r="AD51" s="345">
        <v>5468040</v>
      </c>
      <c r="AE51" s="345">
        <v>91800</v>
      </c>
      <c r="AF51" s="345">
        <v>42007</v>
      </c>
      <c r="AG51" s="345">
        <v>425331</v>
      </c>
      <c r="AH51" s="345">
        <v>2615550</v>
      </c>
      <c r="AI51" s="346">
        <v>878800</v>
      </c>
      <c r="AJ51" s="345">
        <f t="shared" si="1"/>
        <v>9521528</v>
      </c>
      <c r="AK51" s="345">
        <f>F51+AC51+AJ51</f>
        <v>29317722</v>
      </c>
      <c r="AL51" s="481">
        <f>SUM(AL7:AL49)</f>
        <v>99.758630633034869</v>
      </c>
      <c r="AN51" s="342"/>
    </row>
    <row r="52" spans="1:44">
      <c r="A52" s="420" t="s">
        <v>458</v>
      </c>
      <c r="B52" s="349"/>
      <c r="C52" s="349"/>
      <c r="D52" s="349"/>
      <c r="E52" s="349"/>
      <c r="F52" s="349"/>
      <c r="G52" s="348"/>
      <c r="H52" s="348"/>
      <c r="I52" s="518"/>
      <c r="J52" s="519"/>
      <c r="K52" s="519"/>
      <c r="L52" s="348"/>
      <c r="M52" s="519"/>
      <c r="N52" s="348"/>
      <c r="O52" s="348"/>
      <c r="P52" s="348"/>
      <c r="Q52" s="349"/>
      <c r="R52" s="349"/>
      <c r="S52" s="520"/>
      <c r="T52" s="349"/>
      <c r="U52" s="520"/>
      <c r="V52" s="349"/>
      <c r="W52" s="349"/>
      <c r="X52" s="520"/>
      <c r="Y52" s="349"/>
      <c r="Z52" s="349"/>
      <c r="AA52" s="349"/>
      <c r="AB52" s="349"/>
      <c r="AC52" s="349"/>
      <c r="AD52" s="349"/>
      <c r="AE52" s="349"/>
      <c r="AF52" s="349"/>
      <c r="AG52" s="349"/>
      <c r="AH52" s="349"/>
      <c r="AI52" s="520"/>
      <c r="AJ52" s="349"/>
      <c r="AK52" s="349"/>
      <c r="AL52" s="350"/>
      <c r="AN52" s="342"/>
    </row>
    <row r="53" spans="1:44">
      <c r="A53" s="482" t="s">
        <v>444</v>
      </c>
      <c r="B53" s="347"/>
      <c r="C53" s="347"/>
      <c r="D53" s="348"/>
      <c r="E53" s="348"/>
      <c r="F53" s="348"/>
      <c r="G53" s="348"/>
      <c r="H53" s="349"/>
      <c r="I53" s="349"/>
      <c r="J53" s="349"/>
      <c r="K53" s="349"/>
      <c r="L53" s="349"/>
      <c r="M53" s="349"/>
      <c r="N53" s="349"/>
      <c r="O53" s="349"/>
      <c r="P53" s="349"/>
      <c r="Q53" s="349"/>
      <c r="R53" s="349"/>
      <c r="S53" s="349"/>
      <c r="T53" s="349"/>
      <c r="U53" s="349"/>
      <c r="V53" s="349"/>
      <c r="W53" s="349"/>
      <c r="X53" s="349"/>
      <c r="Y53" s="349"/>
      <c r="Z53" s="349"/>
      <c r="AA53" s="349"/>
      <c r="AB53" s="349"/>
      <c r="AC53" s="348"/>
      <c r="AD53" s="349"/>
      <c r="AE53" s="349"/>
      <c r="AF53" s="349"/>
      <c r="AG53" s="349"/>
      <c r="AH53" s="349"/>
      <c r="AI53" s="349"/>
      <c r="AJ53" s="349"/>
      <c r="AK53" s="349"/>
      <c r="AL53" s="455"/>
      <c r="AN53" s="342"/>
    </row>
    <row r="54" spans="1:44">
      <c r="A54" s="482" t="s">
        <v>445</v>
      </c>
      <c r="B54" s="347"/>
      <c r="C54" s="347"/>
      <c r="D54" s="348"/>
      <c r="E54" s="348"/>
      <c r="F54" s="348"/>
      <c r="G54" s="349"/>
      <c r="H54" s="349"/>
      <c r="I54" s="349"/>
      <c r="J54" s="349"/>
      <c r="K54" s="349"/>
      <c r="L54" s="349"/>
      <c r="M54" s="349"/>
      <c r="N54" s="349"/>
      <c r="O54" s="349"/>
      <c r="P54" s="349"/>
      <c r="Q54" s="349"/>
      <c r="R54" s="349"/>
      <c r="S54" s="349"/>
      <c r="T54" s="349"/>
      <c r="U54" s="349"/>
      <c r="V54" s="349"/>
      <c r="W54" s="349"/>
      <c r="X54" s="349"/>
      <c r="Y54" s="349"/>
      <c r="Z54" s="349"/>
      <c r="AA54" s="349"/>
      <c r="AB54" s="349"/>
      <c r="AC54" s="348"/>
      <c r="AD54" s="349"/>
      <c r="AE54" s="349"/>
      <c r="AF54" s="349"/>
      <c r="AG54" s="349"/>
      <c r="AH54" s="349"/>
      <c r="AI54" s="349"/>
      <c r="AJ54" s="349"/>
      <c r="AK54" s="349"/>
      <c r="AL54" s="350"/>
      <c r="AN54" s="342"/>
    </row>
    <row r="55" spans="1:44">
      <c r="A55" s="482" t="s">
        <v>446</v>
      </c>
      <c r="B55" s="347"/>
      <c r="C55" s="347"/>
      <c r="D55" s="348"/>
      <c r="E55" s="348"/>
      <c r="F55" s="348"/>
      <c r="G55" s="348"/>
      <c r="H55" s="349"/>
      <c r="I55" s="349"/>
      <c r="J55" s="349"/>
      <c r="K55" s="349"/>
      <c r="L55" s="349"/>
      <c r="M55" s="349"/>
      <c r="N55" s="349"/>
      <c r="O55" s="349"/>
      <c r="P55" s="349"/>
      <c r="Q55" s="349"/>
      <c r="R55" s="349"/>
      <c r="S55" s="349"/>
      <c r="T55" s="349"/>
      <c r="U55" s="349"/>
      <c r="V55" s="349"/>
      <c r="W55" s="349"/>
      <c r="X55" s="349"/>
      <c r="Y55" s="349"/>
      <c r="Z55" s="349"/>
      <c r="AA55" s="349"/>
      <c r="AB55" s="349"/>
      <c r="AC55" s="348"/>
      <c r="AD55" s="349"/>
      <c r="AE55" s="349"/>
      <c r="AF55" s="349"/>
      <c r="AG55" s="349"/>
      <c r="AH55" s="349"/>
      <c r="AI55" s="349"/>
      <c r="AJ55" s="349"/>
      <c r="AK55" s="349"/>
      <c r="AL55" s="350"/>
      <c r="AN55" s="342"/>
    </row>
    <row r="56" spans="1:44">
      <c r="A56" s="482" t="s">
        <v>450</v>
      </c>
      <c r="B56" s="347"/>
      <c r="C56" s="347"/>
      <c r="D56" s="348"/>
      <c r="E56" s="348"/>
      <c r="F56" s="348"/>
      <c r="G56" s="348"/>
      <c r="H56" s="349"/>
      <c r="I56" s="349"/>
      <c r="J56" s="349"/>
      <c r="K56" s="349"/>
      <c r="L56" s="349"/>
      <c r="M56" s="349"/>
      <c r="N56" s="349"/>
      <c r="O56" s="349"/>
      <c r="P56" s="349"/>
      <c r="Q56" s="349"/>
      <c r="R56" s="349"/>
      <c r="S56" s="349"/>
      <c r="T56" s="349"/>
      <c r="U56" s="349"/>
      <c r="V56" s="349"/>
      <c r="W56" s="349"/>
      <c r="X56" s="349"/>
      <c r="Y56" s="349"/>
      <c r="Z56" s="349"/>
      <c r="AA56" s="349"/>
      <c r="AB56" s="349"/>
      <c r="AC56" s="348"/>
      <c r="AD56" s="349"/>
      <c r="AE56" s="349"/>
      <c r="AF56" s="349"/>
      <c r="AG56" s="349"/>
      <c r="AH56" s="349"/>
      <c r="AI56" s="349"/>
      <c r="AJ56" s="349"/>
      <c r="AK56" s="349"/>
      <c r="AL56" s="350"/>
      <c r="AN56" s="342"/>
    </row>
    <row r="57" spans="1:44">
      <c r="A57" s="326" t="s">
        <v>462</v>
      </c>
      <c r="B57" s="347"/>
      <c r="C57" s="347"/>
      <c r="D57" s="347"/>
      <c r="E57" s="347"/>
      <c r="F57" s="347"/>
      <c r="G57" s="339"/>
      <c r="H57" s="339"/>
      <c r="I57" s="339"/>
      <c r="J57" s="339"/>
      <c r="K57" s="339"/>
      <c r="L57" s="339"/>
      <c r="M57" s="339"/>
      <c r="N57" s="339"/>
      <c r="O57" s="339"/>
      <c r="P57" s="339"/>
      <c r="Q57" s="339"/>
      <c r="R57" s="339"/>
      <c r="S57" s="339"/>
      <c r="T57" s="339"/>
      <c r="U57" s="339"/>
      <c r="V57" s="339"/>
      <c r="W57" s="339"/>
      <c r="X57" s="339"/>
      <c r="Y57" s="351"/>
      <c r="Z57" s="351"/>
      <c r="AA57" s="352"/>
      <c r="AB57" s="351"/>
      <c r="AC57" s="338"/>
      <c r="AD57" s="339"/>
      <c r="AE57" s="339"/>
      <c r="AF57" s="339"/>
      <c r="AG57" s="339"/>
      <c r="AH57" s="339"/>
      <c r="AI57" s="339"/>
      <c r="AJ57" s="339"/>
      <c r="AK57" s="353"/>
    </row>
    <row r="58" spans="1:44">
      <c r="A58" s="339"/>
      <c r="B58" s="347"/>
      <c r="C58" s="347"/>
      <c r="D58" s="347"/>
      <c r="E58" s="347"/>
      <c r="F58" s="347"/>
      <c r="G58" s="339"/>
      <c r="H58" s="339"/>
      <c r="I58" s="339"/>
      <c r="J58" s="339"/>
      <c r="K58" s="339"/>
      <c r="L58" s="339"/>
      <c r="M58" s="339"/>
      <c r="N58" s="339"/>
      <c r="O58" s="339"/>
      <c r="P58" s="339"/>
      <c r="Q58" s="339"/>
      <c r="R58" s="339"/>
      <c r="S58" s="339"/>
      <c r="T58" s="339"/>
      <c r="U58" s="339"/>
      <c r="V58" s="339"/>
      <c r="W58" s="339"/>
      <c r="X58" s="339"/>
      <c r="Y58" s="351"/>
      <c r="Z58" s="351"/>
      <c r="AA58" s="352"/>
      <c r="AB58" s="351"/>
      <c r="AC58" s="338"/>
      <c r="AD58" s="339"/>
      <c r="AE58" s="339"/>
      <c r="AF58" s="339"/>
      <c r="AG58" s="339"/>
      <c r="AH58" s="339"/>
      <c r="AI58" s="339"/>
      <c r="AJ58" s="339"/>
      <c r="AK58" s="353"/>
    </row>
    <row r="59" spans="1:44">
      <c r="A59" s="343"/>
      <c r="B59" s="347"/>
      <c r="C59" s="347"/>
      <c r="D59" s="347"/>
      <c r="E59" s="347"/>
      <c r="F59" s="347"/>
      <c r="G59" s="339"/>
      <c r="H59" s="339"/>
      <c r="I59" s="339"/>
      <c r="J59" s="339"/>
      <c r="K59" s="339"/>
      <c r="L59" s="339"/>
      <c r="M59" s="339"/>
      <c r="N59" s="339"/>
      <c r="O59" s="339"/>
      <c r="P59" s="339"/>
      <c r="Q59" s="339"/>
      <c r="R59" s="339"/>
      <c r="S59" s="339"/>
      <c r="T59" s="339"/>
      <c r="U59" s="339"/>
      <c r="V59" s="339"/>
      <c r="W59" s="339"/>
      <c r="X59" s="339"/>
      <c r="Y59" s="351"/>
      <c r="Z59" s="351"/>
      <c r="AA59" s="352"/>
      <c r="AB59" s="351"/>
      <c r="AC59" s="476"/>
      <c r="AD59" s="339"/>
      <c r="AE59" s="339"/>
      <c r="AF59" s="339"/>
      <c r="AG59" s="339"/>
      <c r="AH59" s="339"/>
      <c r="AI59" s="339"/>
      <c r="AJ59" s="339"/>
      <c r="AK59" s="353"/>
    </row>
    <row r="60" spans="1:44">
      <c r="A60" s="446"/>
      <c r="B60" s="355"/>
      <c r="C60" s="355"/>
      <c r="D60" s="355"/>
      <c r="E60" s="355"/>
      <c r="F60" s="355"/>
      <c r="G60" s="355"/>
      <c r="H60" s="355"/>
      <c r="I60" s="355"/>
      <c r="J60" s="355"/>
      <c r="K60" s="355"/>
      <c r="L60" s="355"/>
      <c r="M60" s="355"/>
      <c r="N60" s="356"/>
      <c r="O60" s="356"/>
      <c r="P60" s="356"/>
      <c r="Q60" s="356"/>
      <c r="R60" s="356"/>
      <c r="S60" s="356"/>
      <c r="T60" s="356"/>
      <c r="U60" s="356"/>
      <c r="V60" s="356"/>
      <c r="W60" s="356"/>
      <c r="X60" s="356"/>
      <c r="Y60" s="356"/>
      <c r="Z60" s="356"/>
      <c r="AA60" s="356"/>
      <c r="AB60" s="356"/>
      <c r="AC60" s="477"/>
      <c r="AD60" s="356"/>
      <c r="AE60" s="356"/>
      <c r="AF60" s="356"/>
      <c r="AG60" s="356"/>
      <c r="AH60" s="356"/>
      <c r="AI60" s="356"/>
      <c r="AJ60" s="356"/>
      <c r="AK60" s="356"/>
      <c r="AL60" s="356"/>
    </row>
    <row r="61" spans="1:44">
      <c r="A61" s="357"/>
      <c r="B61" s="357"/>
      <c r="C61" s="357"/>
      <c r="D61" s="358"/>
      <c r="E61" s="358"/>
      <c r="F61" s="358"/>
      <c r="G61" s="358"/>
      <c r="H61" s="358"/>
      <c r="I61" s="358"/>
      <c r="J61" s="358"/>
      <c r="K61" s="358"/>
      <c r="L61" s="358"/>
      <c r="M61" s="358"/>
      <c r="N61" s="351"/>
      <c r="O61" s="351"/>
      <c r="P61" s="351"/>
      <c r="Q61" s="351"/>
      <c r="R61" s="351"/>
      <c r="S61" s="351"/>
      <c r="T61" s="359"/>
      <c r="U61" s="351"/>
      <c r="V61" s="351"/>
      <c r="W61" s="351"/>
      <c r="X61" s="351"/>
      <c r="Y61" s="351"/>
      <c r="Z61" s="351"/>
      <c r="AA61" s="351"/>
      <c r="AB61" s="351"/>
      <c r="AC61" s="478"/>
      <c r="AD61" s="351"/>
      <c r="AE61" s="351"/>
      <c r="AF61" s="351"/>
      <c r="AG61" s="351"/>
      <c r="AH61" s="351"/>
      <c r="AI61" s="351"/>
      <c r="AJ61" s="351"/>
      <c r="AK61" s="360"/>
    </row>
    <row r="62" spans="1:44">
      <c r="A62" s="357"/>
      <c r="B62" s="358"/>
      <c r="C62" s="358"/>
      <c r="D62" s="358"/>
      <c r="E62" s="358"/>
      <c r="F62" s="358"/>
      <c r="G62" s="358"/>
      <c r="H62" s="358"/>
      <c r="I62" s="358"/>
      <c r="J62" s="358"/>
      <c r="K62" s="358"/>
      <c r="L62" s="358"/>
      <c r="M62" s="358"/>
      <c r="N62" s="351"/>
      <c r="O62" s="351"/>
      <c r="P62" s="351"/>
      <c r="Q62" s="351"/>
      <c r="R62" s="351"/>
      <c r="S62" s="351"/>
      <c r="T62" s="359"/>
      <c r="U62" s="351"/>
      <c r="V62" s="351"/>
      <c r="W62" s="351"/>
      <c r="X62" s="351"/>
      <c r="Y62" s="351"/>
      <c r="Z62" s="351"/>
      <c r="AA62" s="351"/>
      <c r="AB62" s="351"/>
      <c r="AC62" s="351"/>
      <c r="AD62" s="351"/>
      <c r="AE62" s="351"/>
      <c r="AF62" s="351"/>
      <c r="AG62" s="351"/>
      <c r="AH62" s="351"/>
      <c r="AI62" s="351"/>
      <c r="AJ62" s="351"/>
      <c r="AK62" s="360"/>
    </row>
    <row r="63" spans="1:44">
      <c r="A63" s="354"/>
      <c r="B63" s="358"/>
      <c r="C63" s="358"/>
      <c r="D63" s="358"/>
      <c r="E63" s="358"/>
      <c r="F63" s="358"/>
      <c r="G63" s="358"/>
      <c r="H63" s="358"/>
      <c r="I63" s="358"/>
      <c r="J63" s="358"/>
      <c r="K63" s="358"/>
      <c r="L63" s="358"/>
      <c r="M63" s="358"/>
      <c r="N63" s="351"/>
      <c r="O63" s="351"/>
      <c r="P63" s="351"/>
      <c r="Q63" s="351"/>
      <c r="R63" s="351"/>
      <c r="S63" s="351"/>
      <c r="T63" s="359"/>
      <c r="U63" s="351"/>
      <c r="V63" s="351"/>
      <c r="W63" s="351"/>
      <c r="X63" s="351"/>
      <c r="Y63" s="351"/>
      <c r="Z63" s="351"/>
      <c r="AA63" s="351"/>
      <c r="AB63" s="351"/>
      <c r="AC63" s="351"/>
      <c r="AD63" s="351"/>
      <c r="AE63" s="351"/>
      <c r="AF63" s="351"/>
      <c r="AG63" s="351"/>
      <c r="AH63" s="351"/>
      <c r="AI63" s="351"/>
      <c r="AJ63" s="351"/>
      <c r="AK63" s="360"/>
    </row>
    <row r="64" spans="1:44">
      <c r="A64" s="357"/>
      <c r="B64" s="358"/>
      <c r="C64" s="358"/>
      <c r="D64" s="358"/>
      <c r="E64" s="358"/>
      <c r="F64" s="358"/>
      <c r="G64" s="358"/>
      <c r="H64" s="358"/>
      <c r="I64" s="358"/>
      <c r="J64" s="358"/>
      <c r="K64" s="358"/>
      <c r="L64" s="358"/>
      <c r="M64" s="358"/>
      <c r="N64" s="351"/>
      <c r="O64" s="351"/>
      <c r="P64" s="351"/>
      <c r="Q64" s="351"/>
      <c r="R64" s="351"/>
      <c r="S64" s="351"/>
      <c r="T64" s="351"/>
      <c r="U64" s="351"/>
      <c r="V64" s="351"/>
      <c r="W64" s="351"/>
      <c r="X64" s="351"/>
      <c r="Y64" s="351"/>
      <c r="Z64" s="351"/>
      <c r="AA64" s="351"/>
      <c r="AB64" s="351"/>
      <c r="AC64" s="351"/>
      <c r="AD64" s="351"/>
      <c r="AE64" s="351"/>
      <c r="AF64" s="351"/>
      <c r="AG64" s="351"/>
      <c r="AH64" s="351"/>
      <c r="AI64" s="351"/>
      <c r="AJ64" s="351"/>
      <c r="AK64" s="360"/>
    </row>
    <row r="65" spans="1:37">
      <c r="A65" s="358"/>
      <c r="B65" s="358"/>
      <c r="C65" s="358"/>
      <c r="D65" s="358"/>
      <c r="E65" s="358"/>
      <c r="F65" s="358"/>
      <c r="G65" s="358"/>
      <c r="H65" s="358"/>
      <c r="I65" s="358"/>
      <c r="J65" s="358"/>
      <c r="K65" s="358"/>
      <c r="L65" s="358"/>
      <c r="M65" s="358"/>
      <c r="N65" s="351"/>
      <c r="O65" s="351"/>
      <c r="P65" s="351"/>
      <c r="Q65" s="351"/>
      <c r="R65" s="351"/>
      <c r="S65" s="351"/>
      <c r="T65" s="351"/>
      <c r="U65" s="351"/>
      <c r="V65" s="351"/>
      <c r="W65" s="351"/>
      <c r="X65" s="351"/>
      <c r="Y65" s="351"/>
      <c r="Z65" s="351"/>
      <c r="AA65" s="351"/>
      <c r="AB65" s="351"/>
      <c r="AC65" s="351"/>
      <c r="AD65" s="351"/>
      <c r="AE65" s="351"/>
      <c r="AF65" s="351"/>
      <c r="AG65" s="351"/>
      <c r="AH65" s="351"/>
      <c r="AI65" s="351"/>
      <c r="AJ65" s="351"/>
      <c r="AK65" s="360"/>
    </row>
    <row r="66" spans="1:37">
      <c r="A66" s="358"/>
      <c r="B66" s="358"/>
      <c r="C66" s="358"/>
      <c r="D66" s="358"/>
      <c r="E66" s="358"/>
      <c r="F66" s="358"/>
      <c r="G66" s="358"/>
      <c r="H66" s="358"/>
      <c r="I66" s="358"/>
      <c r="J66" s="358"/>
      <c r="K66" s="358"/>
      <c r="L66" s="358"/>
      <c r="M66" s="358"/>
      <c r="N66" s="351"/>
      <c r="O66" s="351"/>
      <c r="P66" s="351"/>
      <c r="Q66" s="351"/>
      <c r="R66" s="351"/>
      <c r="S66" s="351"/>
      <c r="T66" s="351"/>
      <c r="U66" s="351"/>
      <c r="V66" s="351"/>
      <c r="W66" s="351"/>
      <c r="X66" s="351"/>
      <c r="Y66" s="351"/>
      <c r="Z66" s="351"/>
      <c r="AA66" s="351"/>
      <c r="AB66" s="351"/>
      <c r="AC66" s="351"/>
      <c r="AD66" s="351"/>
      <c r="AE66" s="351"/>
      <c r="AF66" s="351"/>
      <c r="AG66" s="351"/>
      <c r="AH66" s="351"/>
      <c r="AI66" s="351"/>
      <c r="AJ66" s="351"/>
      <c r="AK66" s="360"/>
    </row>
    <row r="67" spans="1:37">
      <c r="A67" s="358"/>
      <c r="B67" s="358"/>
      <c r="C67" s="358"/>
      <c r="D67" s="358"/>
      <c r="E67" s="358"/>
      <c r="F67" s="358"/>
      <c r="G67" s="358"/>
      <c r="H67" s="358"/>
      <c r="I67" s="358"/>
      <c r="J67" s="358"/>
      <c r="K67" s="358"/>
      <c r="L67" s="358"/>
      <c r="M67" s="358"/>
      <c r="N67" s="351"/>
      <c r="O67" s="351"/>
      <c r="P67" s="351"/>
      <c r="Q67" s="351"/>
      <c r="R67" s="351"/>
      <c r="S67" s="351"/>
      <c r="T67" s="351"/>
      <c r="U67" s="351"/>
      <c r="V67" s="351"/>
      <c r="W67" s="351"/>
      <c r="X67" s="351"/>
      <c r="Y67" s="351"/>
      <c r="Z67" s="351"/>
      <c r="AA67" s="351"/>
      <c r="AB67" s="351"/>
      <c r="AC67" s="351"/>
      <c r="AD67" s="351"/>
      <c r="AE67" s="351"/>
      <c r="AF67" s="351"/>
      <c r="AG67" s="351"/>
      <c r="AH67" s="351"/>
      <c r="AI67" s="351"/>
      <c r="AJ67" s="351"/>
      <c r="AK67" s="360"/>
    </row>
    <row r="68" spans="1:37">
      <c r="A68" s="358"/>
      <c r="B68" s="358"/>
      <c r="C68" s="358"/>
      <c r="D68" s="358"/>
      <c r="E68" s="358"/>
      <c r="F68" s="358"/>
      <c r="G68" s="358"/>
      <c r="H68" s="358"/>
      <c r="I68" s="358"/>
      <c r="J68" s="358"/>
      <c r="K68" s="358"/>
      <c r="L68" s="358"/>
      <c r="M68" s="358"/>
      <c r="N68" s="351"/>
      <c r="O68" s="351"/>
      <c r="P68" s="351"/>
      <c r="Q68" s="351"/>
      <c r="R68" s="351"/>
      <c r="S68" s="351"/>
      <c r="T68" s="351"/>
      <c r="U68" s="351"/>
      <c r="V68" s="351"/>
      <c r="W68" s="351"/>
      <c r="X68" s="351"/>
      <c r="Y68" s="351"/>
      <c r="Z68" s="351"/>
      <c r="AA68" s="351"/>
      <c r="AB68" s="351"/>
      <c r="AC68" s="351"/>
      <c r="AD68" s="351"/>
      <c r="AE68" s="351"/>
      <c r="AF68" s="351"/>
      <c r="AG68" s="351"/>
      <c r="AH68" s="351"/>
      <c r="AI68" s="351"/>
      <c r="AJ68" s="351"/>
      <c r="AK68" s="360"/>
    </row>
    <row r="69" spans="1:37">
      <c r="A69" s="358"/>
      <c r="B69" s="358"/>
      <c r="C69" s="358"/>
      <c r="D69" s="358"/>
      <c r="E69" s="358"/>
      <c r="F69" s="358"/>
      <c r="G69" s="358"/>
      <c r="H69" s="358"/>
      <c r="I69" s="358"/>
      <c r="J69" s="358"/>
      <c r="K69" s="358"/>
      <c r="L69" s="358"/>
      <c r="M69" s="358"/>
      <c r="N69" s="351"/>
      <c r="O69" s="351"/>
      <c r="P69" s="351"/>
      <c r="Q69" s="351"/>
      <c r="R69" s="351"/>
      <c r="S69" s="351"/>
      <c r="T69" s="351"/>
      <c r="U69" s="351"/>
      <c r="V69" s="351"/>
      <c r="W69" s="351"/>
      <c r="X69" s="351"/>
      <c r="Y69" s="351"/>
      <c r="Z69" s="351"/>
      <c r="AA69" s="351"/>
      <c r="AB69" s="351"/>
      <c r="AC69" s="351"/>
      <c r="AD69" s="351"/>
      <c r="AE69" s="351"/>
      <c r="AF69" s="351"/>
      <c r="AG69" s="351"/>
      <c r="AH69" s="351"/>
      <c r="AI69" s="351"/>
      <c r="AJ69" s="351"/>
      <c r="AK69" s="360"/>
    </row>
    <row r="70" spans="1:37">
      <c r="A70" s="358"/>
      <c r="B70" s="358"/>
      <c r="C70" s="358"/>
      <c r="D70" s="358"/>
      <c r="E70" s="358"/>
      <c r="F70" s="358"/>
      <c r="G70" s="358"/>
      <c r="H70" s="358"/>
      <c r="I70" s="358"/>
      <c r="J70" s="358"/>
      <c r="K70" s="358"/>
      <c r="L70" s="358"/>
      <c r="M70" s="358"/>
      <c r="N70" s="351"/>
      <c r="O70" s="351"/>
      <c r="P70" s="351"/>
      <c r="Q70" s="351"/>
      <c r="R70" s="351"/>
      <c r="S70" s="351"/>
      <c r="T70" s="351"/>
      <c r="U70" s="351"/>
      <c r="V70" s="351"/>
      <c r="W70" s="351"/>
      <c r="X70" s="351"/>
      <c r="Y70" s="351"/>
      <c r="Z70" s="351"/>
      <c r="AA70" s="351"/>
      <c r="AB70" s="351"/>
      <c r="AC70" s="351"/>
      <c r="AD70" s="351"/>
      <c r="AE70" s="351"/>
      <c r="AF70" s="351"/>
      <c r="AG70" s="351"/>
      <c r="AH70" s="351"/>
      <c r="AI70" s="351"/>
      <c r="AJ70" s="351"/>
      <c r="AK70" s="360"/>
    </row>
    <row r="71" spans="1:37">
      <c r="A71" s="358"/>
      <c r="B71" s="358"/>
      <c r="C71" s="358"/>
      <c r="D71" s="358"/>
      <c r="E71" s="358"/>
      <c r="F71" s="358"/>
      <c r="G71" s="358"/>
      <c r="H71" s="358"/>
      <c r="I71" s="358"/>
      <c r="J71" s="358"/>
      <c r="K71" s="358"/>
      <c r="L71" s="358"/>
      <c r="M71" s="358"/>
      <c r="N71" s="351"/>
      <c r="O71" s="351"/>
      <c r="P71" s="351"/>
      <c r="Q71" s="351"/>
      <c r="R71" s="351"/>
      <c r="S71" s="351"/>
      <c r="T71" s="351"/>
      <c r="U71" s="351"/>
      <c r="V71" s="351"/>
      <c r="W71" s="351"/>
      <c r="X71" s="351"/>
      <c r="Y71" s="351"/>
      <c r="Z71" s="351"/>
      <c r="AA71" s="351"/>
      <c r="AB71" s="351"/>
      <c r="AC71" s="351"/>
      <c r="AD71" s="351"/>
      <c r="AE71" s="351"/>
      <c r="AF71" s="351"/>
      <c r="AG71" s="351"/>
      <c r="AH71" s="351"/>
      <c r="AI71" s="351"/>
      <c r="AJ71" s="351"/>
      <c r="AK71" s="360"/>
    </row>
    <row r="72" spans="1:37">
      <c r="A72" s="358"/>
      <c r="B72" s="358"/>
      <c r="C72" s="358"/>
      <c r="D72" s="358"/>
      <c r="E72" s="358"/>
      <c r="F72" s="358"/>
      <c r="G72" s="358"/>
      <c r="H72" s="358"/>
      <c r="I72" s="358"/>
      <c r="J72" s="358"/>
      <c r="K72" s="358"/>
      <c r="L72" s="358"/>
      <c r="M72" s="358"/>
      <c r="N72" s="351"/>
      <c r="O72" s="351"/>
      <c r="P72" s="351"/>
      <c r="Q72" s="351"/>
      <c r="R72" s="351"/>
      <c r="S72" s="351"/>
      <c r="T72" s="351"/>
      <c r="U72" s="351"/>
      <c r="V72" s="351"/>
      <c r="W72" s="351"/>
      <c r="X72" s="351"/>
      <c r="Y72" s="351"/>
      <c r="Z72" s="351"/>
      <c r="AA72" s="351"/>
      <c r="AB72" s="351"/>
      <c r="AC72" s="351"/>
      <c r="AD72" s="351"/>
      <c r="AE72" s="351"/>
      <c r="AF72" s="351"/>
      <c r="AG72" s="351"/>
      <c r="AH72" s="351"/>
      <c r="AI72" s="351"/>
      <c r="AJ72" s="351"/>
      <c r="AK72" s="360"/>
    </row>
    <row r="73" spans="1:37">
      <c r="A73" s="358"/>
      <c r="B73" s="358"/>
      <c r="C73" s="358"/>
      <c r="D73" s="358"/>
      <c r="E73" s="358"/>
      <c r="F73" s="358"/>
      <c r="G73" s="358"/>
      <c r="H73" s="358"/>
      <c r="I73" s="358"/>
      <c r="J73" s="358"/>
      <c r="K73" s="358"/>
      <c r="L73" s="358"/>
      <c r="M73" s="358"/>
      <c r="N73" s="351"/>
      <c r="O73" s="351"/>
      <c r="P73" s="351"/>
      <c r="Q73" s="351"/>
      <c r="R73" s="351"/>
      <c r="S73" s="351"/>
      <c r="T73" s="351"/>
      <c r="U73" s="351"/>
      <c r="V73" s="351"/>
      <c r="W73" s="351"/>
      <c r="X73" s="351"/>
      <c r="Y73" s="351"/>
      <c r="Z73" s="351"/>
      <c r="AA73" s="351"/>
      <c r="AB73" s="351"/>
      <c r="AC73" s="351"/>
      <c r="AD73" s="351"/>
      <c r="AE73" s="351"/>
      <c r="AF73" s="351"/>
      <c r="AG73" s="351"/>
      <c r="AH73" s="351"/>
      <c r="AI73" s="351"/>
      <c r="AJ73" s="351"/>
      <c r="AK73" s="360"/>
    </row>
    <row r="74" spans="1:37">
      <c r="A74" s="358"/>
      <c r="B74" s="358"/>
      <c r="C74" s="358"/>
      <c r="D74" s="358"/>
      <c r="E74" s="358"/>
      <c r="F74" s="358"/>
      <c r="G74" s="358"/>
      <c r="H74" s="358"/>
      <c r="I74" s="358"/>
      <c r="J74" s="358"/>
      <c r="K74" s="358"/>
      <c r="L74" s="358"/>
      <c r="M74" s="358"/>
      <c r="N74" s="351"/>
      <c r="O74" s="351"/>
      <c r="P74" s="351"/>
      <c r="Q74" s="351"/>
      <c r="R74" s="351"/>
      <c r="S74" s="351"/>
      <c r="T74" s="351"/>
      <c r="U74" s="351"/>
      <c r="V74" s="351"/>
      <c r="W74" s="351"/>
      <c r="X74" s="351"/>
      <c r="Y74" s="351"/>
      <c r="Z74" s="351"/>
      <c r="AA74" s="351"/>
      <c r="AB74" s="351"/>
      <c r="AC74" s="351"/>
      <c r="AD74" s="351"/>
      <c r="AE74" s="351"/>
      <c r="AF74" s="351"/>
      <c r="AG74" s="351"/>
      <c r="AH74" s="351"/>
      <c r="AI74" s="351"/>
      <c r="AJ74" s="351"/>
      <c r="AK74" s="360"/>
    </row>
    <row r="75" spans="1:37">
      <c r="A75" s="358"/>
      <c r="B75" s="358"/>
      <c r="C75" s="358"/>
      <c r="D75" s="358"/>
      <c r="E75" s="358"/>
      <c r="F75" s="358"/>
      <c r="G75" s="358"/>
      <c r="H75" s="358"/>
      <c r="I75" s="358"/>
      <c r="J75" s="358"/>
      <c r="K75" s="358"/>
      <c r="L75" s="358"/>
      <c r="M75" s="358"/>
      <c r="N75" s="351"/>
      <c r="O75" s="351"/>
      <c r="P75" s="351"/>
      <c r="Q75" s="351"/>
      <c r="R75" s="351"/>
      <c r="S75" s="351"/>
      <c r="T75" s="351"/>
      <c r="U75" s="351"/>
      <c r="V75" s="351"/>
      <c r="W75" s="351"/>
      <c r="X75" s="351"/>
      <c r="Y75" s="351"/>
      <c r="Z75" s="351"/>
      <c r="AA75" s="351"/>
      <c r="AB75" s="351"/>
      <c r="AC75" s="351"/>
      <c r="AD75" s="351"/>
      <c r="AE75" s="351"/>
      <c r="AF75" s="351"/>
      <c r="AG75" s="351"/>
      <c r="AH75" s="351"/>
      <c r="AI75" s="351"/>
      <c r="AJ75" s="351"/>
      <c r="AK75" s="360"/>
    </row>
    <row r="76" spans="1:37">
      <c r="A76" s="358"/>
      <c r="B76" s="358"/>
      <c r="C76" s="358"/>
      <c r="D76" s="358"/>
      <c r="E76" s="358"/>
      <c r="F76" s="358"/>
      <c r="G76" s="358"/>
      <c r="H76" s="358"/>
      <c r="I76" s="358"/>
      <c r="J76" s="358"/>
      <c r="K76" s="358"/>
      <c r="L76" s="358"/>
      <c r="M76" s="358"/>
      <c r="N76" s="351"/>
      <c r="O76" s="351"/>
      <c r="P76" s="351"/>
      <c r="Q76" s="351"/>
      <c r="R76" s="351"/>
      <c r="S76" s="351"/>
      <c r="T76" s="351"/>
      <c r="U76" s="351"/>
      <c r="V76" s="351"/>
      <c r="W76" s="351"/>
      <c r="X76" s="351"/>
      <c r="Y76" s="351"/>
      <c r="Z76" s="351"/>
      <c r="AA76" s="351"/>
      <c r="AB76" s="351"/>
      <c r="AC76" s="351"/>
      <c r="AD76" s="351"/>
      <c r="AE76" s="351"/>
      <c r="AF76" s="351"/>
      <c r="AG76" s="351"/>
      <c r="AH76" s="351"/>
      <c r="AI76" s="351"/>
      <c r="AJ76" s="351"/>
      <c r="AK76" s="360"/>
    </row>
    <row r="77" spans="1:37">
      <c r="A77" s="358"/>
      <c r="B77" s="358"/>
      <c r="C77" s="358"/>
      <c r="D77" s="358"/>
      <c r="E77" s="358"/>
      <c r="F77" s="358"/>
      <c r="G77" s="358"/>
      <c r="H77" s="358"/>
      <c r="I77" s="358"/>
      <c r="J77" s="358"/>
      <c r="K77" s="358"/>
      <c r="L77" s="358"/>
      <c r="M77" s="358"/>
      <c r="N77" s="351"/>
      <c r="O77" s="351"/>
      <c r="P77" s="351"/>
      <c r="Q77" s="351"/>
      <c r="R77" s="351"/>
      <c r="S77" s="351"/>
      <c r="T77" s="351"/>
      <c r="U77" s="351"/>
      <c r="V77" s="351"/>
      <c r="W77" s="351"/>
      <c r="X77" s="351"/>
      <c r="Y77" s="351"/>
      <c r="Z77" s="351"/>
      <c r="AA77" s="351"/>
      <c r="AB77" s="351"/>
      <c r="AC77" s="351"/>
      <c r="AD77" s="351"/>
      <c r="AE77" s="351"/>
      <c r="AF77" s="351"/>
      <c r="AG77" s="351"/>
      <c r="AH77" s="351"/>
      <c r="AI77" s="351"/>
      <c r="AJ77" s="351"/>
      <c r="AK77" s="360"/>
    </row>
    <row r="78" spans="1:37">
      <c r="A78" s="358"/>
      <c r="B78" s="358"/>
      <c r="C78" s="358"/>
      <c r="D78" s="358"/>
      <c r="E78" s="358"/>
      <c r="F78" s="358"/>
      <c r="G78" s="358"/>
      <c r="H78" s="358"/>
      <c r="I78" s="358"/>
      <c r="J78" s="358"/>
      <c r="K78" s="358"/>
      <c r="L78" s="358"/>
      <c r="M78" s="358"/>
      <c r="N78" s="351"/>
      <c r="O78" s="351"/>
      <c r="P78" s="351"/>
      <c r="Q78" s="351"/>
      <c r="R78" s="351"/>
      <c r="S78" s="351"/>
      <c r="T78" s="351"/>
      <c r="U78" s="351"/>
      <c r="V78" s="351"/>
      <c r="W78" s="351"/>
      <c r="X78" s="351"/>
      <c r="Y78" s="351"/>
      <c r="Z78" s="351"/>
      <c r="AA78" s="351"/>
      <c r="AB78" s="351"/>
      <c r="AC78" s="351"/>
      <c r="AD78" s="351"/>
      <c r="AE78" s="351"/>
      <c r="AF78" s="351"/>
      <c r="AG78" s="351"/>
      <c r="AH78" s="351"/>
      <c r="AI78" s="351"/>
      <c r="AJ78" s="351"/>
      <c r="AK78" s="360"/>
    </row>
    <row r="79" spans="1:37">
      <c r="A79" s="358"/>
      <c r="B79" s="358"/>
      <c r="C79" s="358"/>
      <c r="D79" s="358"/>
      <c r="E79" s="358"/>
      <c r="F79" s="358"/>
      <c r="G79" s="358"/>
      <c r="H79" s="358"/>
      <c r="I79" s="358"/>
      <c r="J79" s="358"/>
      <c r="K79" s="358"/>
      <c r="L79" s="358"/>
      <c r="M79" s="358"/>
      <c r="N79" s="351"/>
      <c r="O79" s="351"/>
      <c r="P79" s="351"/>
      <c r="Q79" s="351"/>
      <c r="R79" s="351"/>
      <c r="S79" s="351"/>
      <c r="T79" s="351"/>
      <c r="U79" s="351"/>
      <c r="V79" s="351"/>
      <c r="W79" s="351"/>
      <c r="X79" s="351"/>
      <c r="Y79" s="351"/>
      <c r="Z79" s="351"/>
      <c r="AA79" s="351"/>
      <c r="AB79" s="351"/>
      <c r="AC79" s="351"/>
      <c r="AD79" s="351"/>
      <c r="AE79" s="351"/>
      <c r="AF79" s="351"/>
      <c r="AG79" s="351"/>
      <c r="AH79" s="351"/>
      <c r="AI79" s="351"/>
      <c r="AJ79" s="351"/>
      <c r="AK79" s="360"/>
    </row>
    <row r="80" spans="1:37">
      <c r="A80" s="358"/>
      <c r="B80" s="358"/>
      <c r="C80" s="358"/>
      <c r="D80" s="358"/>
      <c r="E80" s="358"/>
      <c r="F80" s="358"/>
      <c r="G80" s="358"/>
      <c r="H80" s="358"/>
      <c r="I80" s="358"/>
      <c r="J80" s="358"/>
      <c r="K80" s="358"/>
      <c r="L80" s="358"/>
      <c r="M80" s="358"/>
      <c r="N80" s="351"/>
      <c r="O80" s="351"/>
      <c r="P80" s="351"/>
      <c r="Q80" s="351"/>
      <c r="R80" s="351"/>
      <c r="S80" s="351"/>
      <c r="T80" s="351"/>
      <c r="U80" s="351"/>
      <c r="V80" s="351"/>
      <c r="W80" s="351"/>
      <c r="X80" s="351"/>
      <c r="Y80" s="351"/>
      <c r="Z80" s="351"/>
      <c r="AA80" s="351"/>
      <c r="AB80" s="351"/>
      <c r="AC80" s="351"/>
      <c r="AD80" s="351"/>
      <c r="AE80" s="351"/>
      <c r="AF80" s="351"/>
      <c r="AG80" s="351"/>
      <c r="AH80" s="351"/>
      <c r="AI80" s="351"/>
      <c r="AJ80" s="351"/>
      <c r="AK80" s="360"/>
    </row>
    <row r="81" spans="1:37">
      <c r="A81" s="358"/>
      <c r="B81" s="358"/>
      <c r="C81" s="358"/>
      <c r="D81" s="358"/>
      <c r="E81" s="358"/>
      <c r="F81" s="358"/>
      <c r="G81" s="358"/>
      <c r="H81" s="358"/>
      <c r="I81" s="358"/>
      <c r="J81" s="358"/>
      <c r="K81" s="358"/>
      <c r="L81" s="358"/>
      <c r="M81" s="358"/>
      <c r="N81" s="351"/>
      <c r="O81" s="351"/>
      <c r="P81" s="351"/>
      <c r="Q81" s="351"/>
      <c r="R81" s="351"/>
      <c r="S81" s="351"/>
      <c r="T81" s="351"/>
      <c r="U81" s="351"/>
      <c r="V81" s="351"/>
      <c r="W81" s="351"/>
      <c r="X81" s="351"/>
      <c r="Y81" s="351"/>
      <c r="Z81" s="351"/>
      <c r="AA81" s="351"/>
      <c r="AB81" s="351"/>
      <c r="AC81" s="351"/>
      <c r="AD81" s="351"/>
      <c r="AE81" s="351"/>
      <c r="AF81" s="351"/>
      <c r="AG81" s="351"/>
      <c r="AH81" s="351"/>
      <c r="AI81" s="351"/>
      <c r="AJ81" s="351"/>
      <c r="AK81" s="360"/>
    </row>
    <row r="82" spans="1:37">
      <c r="A82" s="358"/>
      <c r="B82" s="358"/>
      <c r="C82" s="358"/>
      <c r="D82" s="358"/>
      <c r="E82" s="358"/>
      <c r="F82" s="358"/>
      <c r="G82" s="358"/>
      <c r="H82" s="358"/>
      <c r="I82" s="358"/>
      <c r="J82" s="358"/>
      <c r="K82" s="358"/>
      <c r="L82" s="358"/>
      <c r="M82" s="358"/>
      <c r="N82" s="351"/>
      <c r="O82" s="351"/>
      <c r="P82" s="351"/>
      <c r="Q82" s="351"/>
      <c r="R82" s="351"/>
      <c r="S82" s="351"/>
      <c r="T82" s="351"/>
      <c r="U82" s="351"/>
      <c r="V82" s="351"/>
      <c r="W82" s="351"/>
      <c r="X82" s="351"/>
      <c r="Y82" s="351"/>
      <c r="Z82" s="351"/>
      <c r="AA82" s="351"/>
      <c r="AB82" s="351"/>
      <c r="AC82" s="351"/>
      <c r="AD82" s="351"/>
      <c r="AE82" s="351"/>
      <c r="AF82" s="351"/>
      <c r="AG82" s="351"/>
      <c r="AH82" s="351"/>
      <c r="AI82" s="351"/>
      <c r="AJ82" s="351"/>
      <c r="AK82" s="360"/>
    </row>
    <row r="83" spans="1:37">
      <c r="A83" s="358"/>
      <c r="B83" s="358"/>
      <c r="C83" s="358"/>
      <c r="D83" s="358"/>
      <c r="E83" s="358"/>
      <c r="F83" s="358"/>
      <c r="G83" s="358"/>
      <c r="H83" s="358"/>
      <c r="I83" s="358"/>
      <c r="J83" s="358"/>
      <c r="K83" s="358"/>
      <c r="L83" s="358"/>
      <c r="M83" s="358"/>
      <c r="N83" s="351"/>
      <c r="O83" s="351"/>
      <c r="P83" s="351"/>
      <c r="Q83" s="351"/>
      <c r="R83" s="351"/>
      <c r="S83" s="351"/>
      <c r="T83" s="351"/>
      <c r="U83" s="351"/>
      <c r="V83" s="351"/>
      <c r="W83" s="351"/>
      <c r="X83" s="351"/>
      <c r="Y83" s="351"/>
      <c r="Z83" s="351"/>
      <c r="AA83" s="351"/>
      <c r="AB83" s="351"/>
      <c r="AC83" s="351"/>
      <c r="AD83" s="351"/>
      <c r="AE83" s="351"/>
      <c r="AF83" s="351"/>
      <c r="AG83" s="351"/>
      <c r="AH83" s="351"/>
      <c r="AI83" s="351"/>
      <c r="AJ83" s="351"/>
      <c r="AK83" s="360"/>
    </row>
    <row r="84" spans="1:37">
      <c r="A84" s="358"/>
      <c r="B84" s="358"/>
      <c r="C84" s="358"/>
      <c r="D84" s="358"/>
      <c r="E84" s="358"/>
      <c r="F84" s="358"/>
      <c r="G84" s="358"/>
      <c r="H84" s="358"/>
      <c r="I84" s="358"/>
      <c r="J84" s="358"/>
      <c r="K84" s="358"/>
      <c r="L84" s="358"/>
      <c r="M84" s="358"/>
      <c r="N84" s="351"/>
      <c r="O84" s="351"/>
      <c r="P84" s="351"/>
      <c r="Q84" s="351"/>
      <c r="R84" s="351"/>
      <c r="S84" s="351"/>
      <c r="T84" s="351"/>
      <c r="U84" s="351"/>
      <c r="V84" s="351"/>
      <c r="W84" s="351"/>
      <c r="X84" s="351"/>
      <c r="Y84" s="351"/>
      <c r="Z84" s="351"/>
      <c r="AA84" s="351"/>
      <c r="AB84" s="351"/>
      <c r="AC84" s="351"/>
      <c r="AD84" s="351"/>
      <c r="AE84" s="351"/>
      <c r="AF84" s="351"/>
      <c r="AG84" s="351"/>
      <c r="AH84" s="351"/>
      <c r="AI84" s="351"/>
      <c r="AJ84" s="351"/>
      <c r="AK84" s="360"/>
    </row>
    <row r="85" spans="1:37">
      <c r="A85" s="351"/>
      <c r="B85" s="351"/>
      <c r="C85" s="351"/>
      <c r="D85" s="351"/>
      <c r="E85" s="351"/>
      <c r="F85" s="351"/>
      <c r="G85" s="351"/>
      <c r="H85" s="351"/>
      <c r="I85" s="351"/>
      <c r="J85" s="351"/>
      <c r="K85" s="351"/>
      <c r="L85" s="351"/>
      <c r="M85" s="351"/>
      <c r="N85" s="351"/>
      <c r="O85" s="351"/>
      <c r="P85" s="351"/>
      <c r="Q85" s="351"/>
      <c r="R85" s="351"/>
      <c r="S85" s="351"/>
      <c r="T85" s="351"/>
      <c r="U85" s="351"/>
      <c r="V85" s="351"/>
      <c r="W85" s="351"/>
      <c r="X85" s="351"/>
      <c r="Y85" s="351"/>
      <c r="Z85" s="351"/>
      <c r="AA85" s="351"/>
      <c r="AB85" s="351"/>
      <c r="AC85" s="351"/>
      <c r="AD85" s="351"/>
      <c r="AE85" s="351"/>
      <c r="AF85" s="351"/>
      <c r="AG85" s="351"/>
      <c r="AH85" s="351"/>
      <c r="AI85" s="351"/>
      <c r="AJ85" s="351"/>
      <c r="AK85" s="360"/>
    </row>
    <row r="86" spans="1:37">
      <c r="A86" s="351"/>
      <c r="B86" s="351"/>
      <c r="C86" s="351"/>
      <c r="D86" s="351"/>
      <c r="E86" s="351"/>
      <c r="F86" s="351"/>
      <c r="G86" s="351"/>
      <c r="H86" s="351"/>
      <c r="I86" s="351"/>
      <c r="J86" s="351"/>
      <c r="K86" s="351"/>
      <c r="L86" s="351"/>
      <c r="M86" s="351"/>
      <c r="N86" s="351"/>
      <c r="O86" s="351"/>
      <c r="P86" s="351"/>
      <c r="Q86" s="351"/>
      <c r="R86" s="351"/>
      <c r="S86" s="351"/>
      <c r="T86" s="351"/>
      <c r="U86" s="351"/>
      <c r="V86" s="351"/>
      <c r="W86" s="351"/>
      <c r="X86" s="351"/>
      <c r="Y86" s="351"/>
      <c r="Z86" s="351"/>
      <c r="AA86" s="351"/>
      <c r="AB86" s="351"/>
      <c r="AC86" s="351"/>
      <c r="AD86" s="351"/>
      <c r="AE86" s="351"/>
      <c r="AF86" s="351"/>
      <c r="AG86" s="351"/>
      <c r="AH86" s="351"/>
      <c r="AI86" s="351"/>
      <c r="AJ86" s="351"/>
      <c r="AK86" s="360"/>
    </row>
    <row r="87" spans="1:37">
      <c r="A87" s="351"/>
      <c r="B87" s="351"/>
      <c r="C87" s="351"/>
      <c r="D87" s="351"/>
      <c r="E87" s="351"/>
      <c r="F87" s="351"/>
      <c r="G87" s="351"/>
      <c r="H87" s="351"/>
      <c r="I87" s="351"/>
      <c r="J87" s="351"/>
      <c r="K87" s="351"/>
      <c r="L87" s="351"/>
      <c r="M87" s="351"/>
      <c r="N87" s="351"/>
      <c r="O87" s="351"/>
      <c r="P87" s="351"/>
      <c r="Q87" s="351"/>
      <c r="R87" s="351"/>
      <c r="S87" s="351"/>
      <c r="T87" s="351"/>
      <c r="U87" s="351"/>
      <c r="V87" s="351"/>
      <c r="W87" s="351"/>
      <c r="X87" s="351"/>
      <c r="Y87" s="351"/>
      <c r="Z87" s="351"/>
      <c r="AA87" s="351"/>
      <c r="AB87" s="351"/>
      <c r="AC87" s="351"/>
      <c r="AD87" s="351"/>
      <c r="AE87" s="351"/>
      <c r="AF87" s="351"/>
      <c r="AG87" s="351"/>
      <c r="AH87" s="351"/>
      <c r="AI87" s="351"/>
      <c r="AJ87" s="351"/>
      <c r="AK87" s="360"/>
    </row>
    <row r="88" spans="1:37">
      <c r="A88" s="351"/>
      <c r="B88" s="351"/>
      <c r="C88" s="351"/>
      <c r="D88" s="351"/>
      <c r="E88" s="351"/>
      <c r="F88" s="351"/>
      <c r="G88" s="351"/>
      <c r="H88" s="351"/>
      <c r="I88" s="351"/>
      <c r="J88" s="351"/>
      <c r="K88" s="351"/>
      <c r="L88" s="351"/>
      <c r="M88" s="351"/>
      <c r="N88" s="351"/>
      <c r="O88" s="351"/>
      <c r="P88" s="351"/>
      <c r="Q88" s="351"/>
      <c r="R88" s="351"/>
      <c r="S88" s="351"/>
      <c r="T88" s="351"/>
      <c r="U88" s="351"/>
      <c r="V88" s="351"/>
      <c r="W88" s="351"/>
      <c r="X88" s="351"/>
      <c r="Y88" s="351"/>
      <c r="Z88" s="351"/>
      <c r="AA88" s="351"/>
      <c r="AB88" s="351"/>
      <c r="AC88" s="351"/>
      <c r="AD88" s="351"/>
      <c r="AE88" s="351"/>
      <c r="AF88" s="351"/>
      <c r="AG88" s="351"/>
      <c r="AH88" s="351"/>
      <c r="AI88" s="351"/>
      <c r="AJ88" s="351"/>
      <c r="AK88" s="360"/>
    </row>
    <row r="89" spans="1:37">
      <c r="A89" s="351"/>
      <c r="B89" s="351"/>
      <c r="C89" s="351"/>
      <c r="D89" s="351"/>
      <c r="E89" s="351"/>
      <c r="F89" s="351"/>
      <c r="G89" s="351"/>
      <c r="H89" s="351"/>
      <c r="I89" s="351"/>
      <c r="J89" s="351"/>
      <c r="K89" s="351"/>
      <c r="L89" s="351"/>
      <c r="M89" s="351"/>
      <c r="N89" s="351"/>
      <c r="O89" s="351"/>
      <c r="P89" s="351"/>
      <c r="Q89" s="351"/>
      <c r="R89" s="351"/>
      <c r="S89" s="351"/>
      <c r="T89" s="351"/>
      <c r="U89" s="351"/>
      <c r="V89" s="351"/>
      <c r="W89" s="351"/>
      <c r="X89" s="351"/>
      <c r="Y89" s="351"/>
      <c r="Z89" s="351"/>
      <c r="AA89" s="351"/>
      <c r="AB89" s="351"/>
      <c r="AC89" s="351"/>
      <c r="AD89" s="351"/>
      <c r="AE89" s="351"/>
      <c r="AF89" s="351"/>
      <c r="AG89" s="351"/>
      <c r="AH89" s="351"/>
      <c r="AI89" s="351"/>
      <c r="AJ89" s="351"/>
      <c r="AK89" s="360"/>
    </row>
    <row r="90" spans="1:37">
      <c r="A90" s="351"/>
      <c r="B90" s="351"/>
      <c r="C90" s="351"/>
      <c r="D90" s="351"/>
      <c r="E90" s="351"/>
      <c r="F90" s="351"/>
      <c r="G90" s="351"/>
      <c r="H90" s="351"/>
      <c r="I90" s="351"/>
      <c r="J90" s="351"/>
      <c r="K90" s="351"/>
      <c r="L90" s="351"/>
      <c r="M90" s="351"/>
      <c r="N90" s="351"/>
      <c r="O90" s="351"/>
      <c r="P90" s="351"/>
      <c r="Q90" s="351"/>
      <c r="R90" s="351"/>
      <c r="S90" s="351"/>
      <c r="T90" s="351"/>
      <c r="U90" s="351"/>
      <c r="V90" s="351"/>
      <c r="W90" s="351"/>
      <c r="X90" s="351"/>
      <c r="Y90" s="351"/>
      <c r="Z90" s="351"/>
      <c r="AA90" s="351"/>
      <c r="AB90" s="351"/>
      <c r="AC90" s="351"/>
      <c r="AD90" s="351"/>
      <c r="AE90" s="351"/>
      <c r="AF90" s="351"/>
      <c r="AG90" s="351"/>
      <c r="AH90" s="351"/>
      <c r="AI90" s="351"/>
      <c r="AJ90" s="351"/>
      <c r="AK90" s="360"/>
    </row>
    <row r="91" spans="1:37">
      <c r="A91" s="351"/>
      <c r="B91" s="351"/>
      <c r="C91" s="351"/>
      <c r="D91" s="351"/>
      <c r="E91" s="351"/>
      <c r="F91" s="351"/>
      <c r="G91" s="351"/>
      <c r="H91" s="351"/>
      <c r="I91" s="351"/>
      <c r="J91" s="351"/>
      <c r="K91" s="351"/>
      <c r="L91" s="351"/>
      <c r="M91" s="351"/>
      <c r="N91" s="351"/>
      <c r="O91" s="351"/>
      <c r="P91" s="351"/>
      <c r="Q91" s="351"/>
      <c r="R91" s="351"/>
      <c r="S91" s="351"/>
      <c r="T91" s="351"/>
      <c r="U91" s="351"/>
      <c r="V91" s="351"/>
      <c r="W91" s="351"/>
      <c r="X91" s="351"/>
      <c r="Y91" s="351"/>
      <c r="Z91" s="351"/>
      <c r="AA91" s="351"/>
      <c r="AB91" s="351"/>
      <c r="AC91" s="351"/>
      <c r="AD91" s="351"/>
      <c r="AE91" s="351"/>
      <c r="AF91" s="351"/>
      <c r="AG91" s="351"/>
      <c r="AH91" s="351"/>
      <c r="AI91" s="351"/>
      <c r="AJ91" s="351"/>
      <c r="AK91" s="360"/>
    </row>
    <row r="92" spans="1:37">
      <c r="A92" s="351"/>
      <c r="B92" s="351"/>
      <c r="C92" s="351"/>
      <c r="D92" s="351"/>
      <c r="E92" s="351"/>
      <c r="F92" s="351"/>
      <c r="G92" s="351"/>
      <c r="H92" s="351"/>
      <c r="I92" s="351"/>
      <c r="J92" s="351"/>
      <c r="K92" s="351"/>
      <c r="L92" s="351"/>
      <c r="M92" s="351"/>
      <c r="N92" s="351"/>
      <c r="O92" s="351"/>
      <c r="P92" s="351"/>
      <c r="Q92" s="351"/>
      <c r="R92" s="351"/>
      <c r="S92" s="351"/>
      <c r="T92" s="351"/>
      <c r="U92" s="351"/>
      <c r="V92" s="351"/>
      <c r="W92" s="351"/>
      <c r="X92" s="351"/>
      <c r="Y92" s="351"/>
      <c r="Z92" s="351"/>
      <c r="AA92" s="351"/>
      <c r="AB92" s="351"/>
      <c r="AC92" s="351"/>
      <c r="AD92" s="351"/>
      <c r="AE92" s="351"/>
      <c r="AF92" s="351"/>
      <c r="AG92" s="351"/>
      <c r="AH92" s="351"/>
      <c r="AI92" s="351"/>
      <c r="AJ92" s="351"/>
      <c r="AK92" s="360"/>
    </row>
    <row r="93" spans="1:37">
      <c r="A93" s="351"/>
      <c r="B93" s="351"/>
      <c r="C93" s="351"/>
      <c r="D93" s="351"/>
      <c r="E93" s="351"/>
      <c r="F93" s="351"/>
      <c r="G93" s="351"/>
      <c r="H93" s="351"/>
      <c r="I93" s="351"/>
      <c r="J93" s="351"/>
      <c r="K93" s="351"/>
      <c r="L93" s="351"/>
      <c r="M93" s="351"/>
      <c r="N93" s="351"/>
      <c r="O93" s="351"/>
      <c r="P93" s="351"/>
      <c r="Q93" s="351"/>
      <c r="R93" s="351"/>
      <c r="S93" s="351"/>
      <c r="T93" s="351"/>
      <c r="U93" s="351"/>
      <c r="V93" s="351"/>
      <c r="W93" s="351"/>
      <c r="X93" s="351"/>
      <c r="Y93" s="351"/>
      <c r="Z93" s="351"/>
      <c r="AA93" s="351"/>
      <c r="AB93" s="351"/>
      <c r="AC93" s="351"/>
      <c r="AD93" s="351"/>
      <c r="AE93" s="351"/>
      <c r="AF93" s="351"/>
      <c r="AG93" s="351"/>
      <c r="AH93" s="351"/>
      <c r="AI93" s="351"/>
      <c r="AJ93" s="351"/>
      <c r="AK93" s="360"/>
    </row>
    <row r="94" spans="1:37">
      <c r="A94" s="351"/>
      <c r="B94" s="351"/>
      <c r="C94" s="351"/>
      <c r="D94" s="351"/>
      <c r="E94" s="351"/>
      <c r="F94" s="351"/>
      <c r="G94" s="351"/>
      <c r="H94" s="351"/>
      <c r="I94" s="351"/>
      <c r="J94" s="351"/>
      <c r="K94" s="351"/>
      <c r="L94" s="351"/>
      <c r="M94" s="351"/>
      <c r="N94" s="351"/>
      <c r="O94" s="351"/>
      <c r="P94" s="351"/>
      <c r="Q94" s="351"/>
      <c r="R94" s="351"/>
      <c r="S94" s="351"/>
      <c r="T94" s="351"/>
      <c r="U94" s="351"/>
      <c r="V94" s="351"/>
      <c r="W94" s="351"/>
      <c r="X94" s="351"/>
      <c r="Y94" s="351"/>
      <c r="Z94" s="351"/>
      <c r="AA94" s="351"/>
      <c r="AB94" s="351"/>
      <c r="AC94" s="351"/>
      <c r="AD94" s="351"/>
      <c r="AE94" s="351"/>
      <c r="AF94" s="351"/>
      <c r="AG94" s="351"/>
      <c r="AH94" s="351"/>
      <c r="AI94" s="351"/>
      <c r="AJ94" s="351"/>
      <c r="AK94" s="360"/>
    </row>
    <row r="95" spans="1:37">
      <c r="A95" s="351"/>
      <c r="B95" s="351"/>
      <c r="C95" s="351"/>
      <c r="D95" s="351"/>
      <c r="E95" s="351"/>
      <c r="F95" s="351"/>
      <c r="G95" s="351"/>
      <c r="H95" s="351"/>
      <c r="I95" s="351"/>
      <c r="J95" s="351"/>
      <c r="K95" s="351"/>
      <c r="L95" s="351"/>
      <c r="M95" s="351"/>
      <c r="N95" s="351"/>
      <c r="O95" s="351"/>
      <c r="P95" s="351"/>
      <c r="Q95" s="351"/>
      <c r="R95" s="351"/>
      <c r="S95" s="351"/>
      <c r="T95" s="351"/>
      <c r="U95" s="351"/>
      <c r="V95" s="351"/>
      <c r="W95" s="351"/>
      <c r="X95" s="351"/>
      <c r="Y95" s="351"/>
      <c r="Z95" s="351"/>
      <c r="AA95" s="351"/>
      <c r="AB95" s="351"/>
      <c r="AC95" s="351"/>
      <c r="AD95" s="351"/>
      <c r="AE95" s="351"/>
      <c r="AF95" s="351"/>
      <c r="AG95" s="351"/>
      <c r="AH95" s="351"/>
      <c r="AI95" s="351"/>
      <c r="AJ95" s="351"/>
      <c r="AK95" s="360"/>
    </row>
    <row r="96" spans="1:37">
      <c r="A96" s="351"/>
      <c r="B96" s="351"/>
      <c r="C96" s="351"/>
      <c r="D96" s="351"/>
      <c r="E96" s="351"/>
      <c r="F96" s="351"/>
      <c r="G96" s="351"/>
      <c r="H96" s="351"/>
      <c r="I96" s="351"/>
      <c r="J96" s="351"/>
      <c r="K96" s="351"/>
      <c r="L96" s="351"/>
      <c r="M96" s="351"/>
      <c r="N96" s="351"/>
      <c r="O96" s="351"/>
      <c r="P96" s="351"/>
      <c r="Q96" s="351"/>
      <c r="R96" s="351"/>
      <c r="S96" s="351"/>
      <c r="T96" s="351"/>
      <c r="U96" s="351"/>
      <c r="V96" s="351"/>
      <c r="W96" s="351"/>
      <c r="X96" s="351"/>
      <c r="Y96" s="351"/>
      <c r="Z96" s="351"/>
      <c r="AA96" s="351"/>
      <c r="AB96" s="351"/>
      <c r="AC96" s="351"/>
      <c r="AD96" s="351"/>
      <c r="AE96" s="351"/>
      <c r="AF96" s="351"/>
      <c r="AG96" s="351"/>
      <c r="AH96" s="351"/>
      <c r="AI96" s="351"/>
      <c r="AJ96" s="351"/>
      <c r="AK96" s="360"/>
    </row>
    <row r="97" spans="1:37">
      <c r="A97" s="351"/>
      <c r="B97" s="351"/>
      <c r="C97" s="351"/>
      <c r="D97" s="351"/>
      <c r="E97" s="351"/>
      <c r="F97" s="351"/>
      <c r="G97" s="351"/>
      <c r="H97" s="351"/>
      <c r="I97" s="351"/>
      <c r="J97" s="351"/>
      <c r="K97" s="351"/>
      <c r="L97" s="351"/>
      <c r="M97" s="351"/>
      <c r="N97" s="351"/>
      <c r="O97" s="351"/>
      <c r="P97" s="351"/>
      <c r="Q97" s="351"/>
      <c r="R97" s="351"/>
      <c r="S97" s="351"/>
      <c r="T97" s="351"/>
      <c r="U97" s="351"/>
      <c r="V97" s="351"/>
      <c r="W97" s="351"/>
      <c r="X97" s="351"/>
      <c r="Y97" s="351"/>
      <c r="Z97" s="351"/>
      <c r="AA97" s="351"/>
      <c r="AB97" s="351"/>
      <c r="AC97" s="351"/>
      <c r="AD97" s="351"/>
      <c r="AE97" s="351"/>
      <c r="AF97" s="351"/>
      <c r="AG97" s="351"/>
      <c r="AH97" s="351"/>
      <c r="AI97" s="351"/>
      <c r="AJ97" s="351"/>
      <c r="AK97" s="360"/>
    </row>
    <row r="98" spans="1:37">
      <c r="A98" s="351"/>
      <c r="B98" s="351"/>
      <c r="C98" s="351"/>
      <c r="D98" s="351"/>
      <c r="E98" s="351"/>
      <c r="F98" s="351"/>
      <c r="G98" s="351"/>
      <c r="H98" s="351"/>
      <c r="I98" s="351"/>
      <c r="J98" s="351"/>
      <c r="K98" s="351"/>
      <c r="L98" s="351"/>
      <c r="M98" s="351"/>
      <c r="N98" s="351"/>
      <c r="O98" s="351"/>
      <c r="P98" s="351"/>
      <c r="Q98" s="351"/>
      <c r="R98" s="351"/>
      <c r="S98" s="351"/>
      <c r="T98" s="351"/>
      <c r="U98" s="351"/>
      <c r="V98" s="351"/>
      <c r="W98" s="351"/>
      <c r="X98" s="351"/>
      <c r="Y98" s="351"/>
      <c r="Z98" s="351"/>
      <c r="AA98" s="351"/>
      <c r="AB98" s="351"/>
      <c r="AC98" s="351"/>
      <c r="AD98" s="351"/>
      <c r="AE98" s="351"/>
      <c r="AF98" s="351"/>
      <c r="AG98" s="351"/>
      <c r="AH98" s="351"/>
      <c r="AI98" s="351"/>
      <c r="AJ98" s="351"/>
      <c r="AK98" s="360"/>
    </row>
    <row r="99" spans="1:37">
      <c r="A99" s="351"/>
      <c r="B99" s="351"/>
      <c r="C99" s="351"/>
      <c r="D99" s="351"/>
      <c r="E99" s="351"/>
      <c r="F99" s="351"/>
      <c r="G99" s="351"/>
      <c r="H99" s="351"/>
      <c r="I99" s="351"/>
      <c r="J99" s="351"/>
      <c r="K99" s="351"/>
      <c r="L99" s="351"/>
      <c r="M99" s="351"/>
      <c r="N99" s="351"/>
      <c r="O99" s="351"/>
      <c r="P99" s="351"/>
      <c r="Q99" s="351"/>
      <c r="R99" s="351"/>
      <c r="S99" s="351"/>
      <c r="T99" s="351"/>
      <c r="U99" s="351"/>
      <c r="V99" s="351"/>
      <c r="W99" s="351"/>
      <c r="X99" s="351"/>
      <c r="Y99" s="351"/>
      <c r="Z99" s="351"/>
      <c r="AA99" s="351"/>
      <c r="AB99" s="351"/>
      <c r="AC99" s="351"/>
      <c r="AD99" s="351"/>
      <c r="AE99" s="351"/>
      <c r="AF99" s="351"/>
      <c r="AG99" s="351"/>
      <c r="AH99" s="351"/>
      <c r="AI99" s="351"/>
      <c r="AJ99" s="351"/>
      <c r="AK99" s="360"/>
    </row>
    <row r="100" spans="1:37">
      <c r="A100" s="351"/>
      <c r="B100" s="351"/>
      <c r="C100" s="351"/>
      <c r="D100" s="351"/>
      <c r="E100" s="351"/>
      <c r="F100" s="351"/>
      <c r="G100" s="351"/>
      <c r="H100" s="351"/>
      <c r="I100" s="351"/>
      <c r="J100" s="351"/>
      <c r="K100" s="351"/>
      <c r="L100" s="351"/>
      <c r="M100" s="351"/>
      <c r="N100" s="351"/>
      <c r="O100" s="351"/>
      <c r="P100" s="351"/>
      <c r="Q100" s="351"/>
      <c r="R100" s="351"/>
      <c r="S100" s="351"/>
      <c r="T100" s="351"/>
      <c r="U100" s="351"/>
      <c r="V100" s="351"/>
      <c r="W100" s="351"/>
      <c r="X100" s="351"/>
      <c r="Y100" s="351"/>
      <c r="Z100" s="351"/>
      <c r="AA100" s="351"/>
      <c r="AB100" s="351"/>
      <c r="AC100" s="351"/>
      <c r="AD100" s="351"/>
      <c r="AE100" s="351"/>
      <c r="AF100" s="351"/>
      <c r="AG100" s="351"/>
      <c r="AH100" s="351"/>
      <c r="AI100" s="351"/>
      <c r="AJ100" s="351"/>
      <c r="AK100" s="360"/>
    </row>
    <row r="101" spans="1:37">
      <c r="A101" s="351"/>
      <c r="B101" s="351"/>
      <c r="C101" s="351"/>
      <c r="D101" s="351"/>
      <c r="E101" s="351"/>
      <c r="F101" s="351"/>
      <c r="G101" s="351"/>
      <c r="H101" s="351"/>
      <c r="I101" s="351"/>
      <c r="J101" s="351"/>
      <c r="K101" s="351"/>
      <c r="L101" s="351"/>
      <c r="M101" s="351"/>
      <c r="N101" s="351"/>
      <c r="O101" s="351"/>
      <c r="P101" s="351"/>
      <c r="Q101" s="351"/>
      <c r="R101" s="351"/>
      <c r="S101" s="351"/>
      <c r="T101" s="351"/>
      <c r="U101" s="351"/>
      <c r="V101" s="351"/>
      <c r="W101" s="351"/>
      <c r="X101" s="351"/>
      <c r="Y101" s="351"/>
      <c r="Z101" s="351"/>
      <c r="AA101" s="351"/>
      <c r="AB101" s="351"/>
      <c r="AC101" s="351"/>
      <c r="AD101" s="351"/>
      <c r="AE101" s="351"/>
      <c r="AF101" s="351"/>
      <c r="AG101" s="351"/>
      <c r="AH101" s="351"/>
      <c r="AI101" s="351"/>
      <c r="AJ101" s="351"/>
      <c r="AK101" s="360"/>
    </row>
    <row r="102" spans="1:37">
      <c r="A102" s="351"/>
      <c r="B102" s="351"/>
      <c r="C102" s="351"/>
      <c r="D102" s="351"/>
      <c r="E102" s="351"/>
      <c r="F102" s="351"/>
      <c r="G102" s="351"/>
      <c r="H102" s="351"/>
      <c r="I102" s="351"/>
      <c r="J102" s="351"/>
      <c r="K102" s="351"/>
      <c r="L102" s="351"/>
      <c r="M102" s="351"/>
      <c r="N102" s="351"/>
      <c r="O102" s="351"/>
      <c r="P102" s="351"/>
      <c r="Q102" s="351"/>
      <c r="R102" s="351"/>
      <c r="S102" s="351"/>
      <c r="T102" s="351"/>
      <c r="U102" s="351"/>
      <c r="V102" s="351"/>
      <c r="W102" s="351"/>
      <c r="X102" s="351"/>
      <c r="Y102" s="351"/>
      <c r="Z102" s="351"/>
      <c r="AA102" s="351"/>
      <c r="AB102" s="351"/>
      <c r="AC102" s="351"/>
      <c r="AD102" s="351"/>
      <c r="AE102" s="351"/>
      <c r="AF102" s="351"/>
      <c r="AG102" s="351"/>
      <c r="AH102" s="351"/>
      <c r="AI102" s="351"/>
      <c r="AJ102" s="351"/>
      <c r="AK102" s="360"/>
    </row>
    <row r="103" spans="1:37">
      <c r="A103" s="351"/>
      <c r="B103" s="351"/>
      <c r="C103" s="351"/>
      <c r="D103" s="351"/>
      <c r="E103" s="351"/>
      <c r="F103" s="351"/>
      <c r="G103" s="351"/>
      <c r="H103" s="351"/>
      <c r="I103" s="351"/>
      <c r="J103" s="351"/>
      <c r="K103" s="351"/>
      <c r="L103" s="351"/>
      <c r="M103" s="351"/>
      <c r="N103" s="351"/>
      <c r="O103" s="351"/>
      <c r="P103" s="351"/>
      <c r="Q103" s="351"/>
      <c r="R103" s="351"/>
      <c r="S103" s="351"/>
      <c r="T103" s="351"/>
      <c r="U103" s="351"/>
      <c r="V103" s="351"/>
      <c r="W103" s="351"/>
      <c r="X103" s="351"/>
      <c r="Y103" s="351"/>
      <c r="Z103" s="351"/>
      <c r="AA103" s="351"/>
      <c r="AB103" s="351"/>
      <c r="AC103" s="351"/>
      <c r="AD103" s="351"/>
      <c r="AE103" s="351"/>
      <c r="AF103" s="351"/>
      <c r="AG103" s="351"/>
      <c r="AH103" s="351"/>
      <c r="AI103" s="351"/>
      <c r="AJ103" s="351"/>
      <c r="AK103" s="360"/>
    </row>
    <row r="104" spans="1:37">
      <c r="A104" s="351"/>
      <c r="B104" s="351"/>
      <c r="C104" s="351"/>
      <c r="D104" s="351"/>
      <c r="E104" s="351"/>
      <c r="F104" s="351"/>
      <c r="G104" s="351"/>
      <c r="H104" s="351"/>
      <c r="I104" s="351"/>
      <c r="J104" s="351"/>
      <c r="K104" s="351"/>
      <c r="L104" s="351"/>
      <c r="M104" s="351"/>
      <c r="N104" s="351"/>
      <c r="O104" s="351"/>
      <c r="P104" s="351"/>
      <c r="Q104" s="351"/>
      <c r="R104" s="351"/>
      <c r="S104" s="351"/>
      <c r="T104" s="351"/>
      <c r="U104" s="351"/>
      <c r="V104" s="351"/>
      <c r="W104" s="351"/>
      <c r="X104" s="351"/>
      <c r="Y104" s="351"/>
      <c r="Z104" s="351"/>
      <c r="AA104" s="351"/>
      <c r="AB104" s="351"/>
      <c r="AC104" s="351"/>
      <c r="AD104" s="351"/>
      <c r="AE104" s="351"/>
      <c r="AF104" s="351"/>
      <c r="AG104" s="351"/>
      <c r="AH104" s="351"/>
      <c r="AI104" s="351"/>
      <c r="AJ104" s="351"/>
      <c r="AK104" s="360"/>
    </row>
    <row r="105" spans="1:37">
      <c r="A105" s="351"/>
      <c r="B105" s="351"/>
      <c r="C105" s="351"/>
      <c r="D105" s="351"/>
      <c r="E105" s="351"/>
      <c r="F105" s="351"/>
      <c r="G105" s="351"/>
      <c r="H105" s="351"/>
      <c r="I105" s="351"/>
      <c r="J105" s="351"/>
      <c r="K105" s="351"/>
      <c r="L105" s="351"/>
      <c r="M105" s="351"/>
      <c r="N105" s="351"/>
      <c r="O105" s="351"/>
      <c r="P105" s="351"/>
      <c r="Q105" s="351"/>
      <c r="R105" s="351"/>
      <c r="S105" s="351"/>
      <c r="T105" s="351"/>
      <c r="U105" s="351"/>
      <c r="V105" s="351"/>
      <c r="W105" s="351"/>
      <c r="X105" s="351"/>
      <c r="Y105" s="351"/>
      <c r="Z105" s="351"/>
      <c r="AA105" s="351"/>
      <c r="AB105" s="351"/>
      <c r="AC105" s="351"/>
      <c r="AD105" s="351"/>
      <c r="AE105" s="351"/>
      <c r="AF105" s="351"/>
      <c r="AG105" s="351"/>
      <c r="AH105" s="351"/>
      <c r="AI105" s="351"/>
      <c r="AJ105" s="351"/>
      <c r="AK105" s="360"/>
    </row>
    <row r="106" spans="1:37">
      <c r="A106" s="351"/>
      <c r="B106" s="351"/>
      <c r="C106" s="351"/>
      <c r="D106" s="351"/>
      <c r="E106" s="351"/>
      <c r="F106" s="351"/>
      <c r="G106" s="351"/>
      <c r="H106" s="351"/>
      <c r="I106" s="351"/>
      <c r="J106" s="351"/>
      <c r="K106" s="351"/>
      <c r="L106" s="351"/>
      <c r="M106" s="351"/>
      <c r="N106" s="351"/>
      <c r="O106" s="351"/>
      <c r="P106" s="351"/>
      <c r="Q106" s="351"/>
      <c r="R106" s="351"/>
      <c r="S106" s="351"/>
      <c r="T106" s="351"/>
      <c r="U106" s="351"/>
      <c r="V106" s="351"/>
      <c r="W106" s="351"/>
      <c r="X106" s="351"/>
      <c r="Y106" s="351"/>
      <c r="Z106" s="351"/>
      <c r="AA106" s="351"/>
      <c r="AB106" s="351"/>
      <c r="AC106" s="351"/>
      <c r="AD106" s="351"/>
      <c r="AE106" s="351"/>
      <c r="AF106" s="351"/>
      <c r="AG106" s="351"/>
      <c r="AH106" s="351"/>
      <c r="AI106" s="351"/>
      <c r="AJ106" s="351"/>
      <c r="AK106" s="360"/>
    </row>
    <row r="107" spans="1:37">
      <c r="A107" s="351"/>
      <c r="B107" s="351"/>
      <c r="C107" s="351"/>
      <c r="D107" s="351"/>
      <c r="E107" s="351"/>
      <c r="F107" s="351"/>
      <c r="G107" s="351"/>
      <c r="H107" s="351"/>
      <c r="I107" s="351"/>
      <c r="J107" s="351"/>
      <c r="K107" s="351"/>
      <c r="L107" s="351"/>
      <c r="M107" s="351"/>
      <c r="N107" s="351"/>
      <c r="O107" s="351"/>
      <c r="P107" s="351"/>
      <c r="Q107" s="351"/>
      <c r="R107" s="351"/>
      <c r="S107" s="351"/>
      <c r="T107" s="351"/>
      <c r="U107" s="351"/>
      <c r="V107" s="351"/>
      <c r="W107" s="351"/>
      <c r="X107" s="351"/>
      <c r="Y107" s="351"/>
      <c r="Z107" s="351"/>
      <c r="AA107" s="351"/>
      <c r="AB107" s="351"/>
      <c r="AC107" s="351"/>
      <c r="AD107" s="351"/>
      <c r="AE107" s="351"/>
      <c r="AF107" s="351"/>
      <c r="AG107" s="351"/>
      <c r="AH107" s="351"/>
      <c r="AI107" s="351"/>
      <c r="AJ107" s="351"/>
      <c r="AK107" s="360"/>
    </row>
    <row r="108" spans="1:37">
      <c r="A108" s="351"/>
      <c r="B108" s="351"/>
      <c r="C108" s="351"/>
      <c r="D108" s="351"/>
      <c r="E108" s="351"/>
      <c r="F108" s="351"/>
      <c r="G108" s="351"/>
      <c r="H108" s="351"/>
      <c r="I108" s="351"/>
      <c r="J108" s="351"/>
      <c r="K108" s="351"/>
      <c r="L108" s="351"/>
      <c r="M108" s="351"/>
      <c r="N108" s="351"/>
      <c r="O108" s="351"/>
      <c r="P108" s="351"/>
      <c r="Q108" s="351"/>
      <c r="R108" s="351"/>
      <c r="S108" s="351"/>
      <c r="T108" s="351"/>
      <c r="U108" s="351"/>
      <c r="V108" s="351"/>
      <c r="W108" s="351"/>
      <c r="X108" s="351"/>
      <c r="Y108" s="351"/>
      <c r="Z108" s="351"/>
      <c r="AA108" s="351"/>
      <c r="AB108" s="351"/>
      <c r="AC108" s="351"/>
      <c r="AD108" s="351"/>
      <c r="AE108" s="351"/>
      <c r="AF108" s="351"/>
      <c r="AG108" s="351"/>
      <c r="AH108" s="351"/>
      <c r="AI108" s="351"/>
      <c r="AJ108" s="351"/>
      <c r="AK108" s="360"/>
    </row>
    <row r="109" spans="1:37">
      <c r="A109" s="351"/>
      <c r="B109" s="351"/>
      <c r="C109" s="351"/>
      <c r="D109" s="351"/>
      <c r="E109" s="351"/>
      <c r="F109" s="351"/>
      <c r="G109" s="351"/>
      <c r="H109" s="351"/>
      <c r="I109" s="351"/>
      <c r="J109" s="351"/>
      <c r="K109" s="351"/>
      <c r="L109" s="351"/>
      <c r="M109" s="351"/>
      <c r="N109" s="351"/>
      <c r="O109" s="351"/>
      <c r="P109" s="351"/>
      <c r="Q109" s="351"/>
      <c r="R109" s="351"/>
      <c r="S109" s="351"/>
      <c r="T109" s="351"/>
      <c r="U109" s="351"/>
      <c r="V109" s="351"/>
      <c r="W109" s="351"/>
      <c r="X109" s="351"/>
      <c r="Y109" s="351"/>
      <c r="Z109" s="351"/>
      <c r="AA109" s="351"/>
      <c r="AB109" s="351"/>
      <c r="AC109" s="351"/>
      <c r="AD109" s="351"/>
      <c r="AE109" s="351"/>
      <c r="AF109" s="351"/>
      <c r="AG109" s="351"/>
      <c r="AH109" s="351"/>
      <c r="AI109" s="351"/>
      <c r="AJ109" s="351"/>
      <c r="AK109" s="360"/>
    </row>
    <row r="110" spans="1:37">
      <c r="A110" s="351"/>
      <c r="B110" s="351"/>
      <c r="C110" s="351"/>
      <c r="D110" s="351"/>
      <c r="E110" s="351"/>
      <c r="F110" s="351"/>
      <c r="G110" s="351"/>
      <c r="H110" s="351"/>
      <c r="I110" s="351"/>
      <c r="J110" s="351"/>
      <c r="K110" s="351"/>
      <c r="L110" s="351"/>
      <c r="M110" s="351"/>
      <c r="N110" s="351"/>
      <c r="O110" s="351"/>
      <c r="P110" s="351"/>
      <c r="Q110" s="351"/>
      <c r="R110" s="351"/>
      <c r="S110" s="351"/>
      <c r="T110" s="351"/>
      <c r="U110" s="351"/>
      <c r="V110" s="351"/>
      <c r="W110" s="351"/>
      <c r="X110" s="351"/>
      <c r="Y110" s="351"/>
      <c r="Z110" s="351"/>
      <c r="AA110" s="351"/>
      <c r="AB110" s="351"/>
      <c r="AC110" s="351"/>
      <c r="AD110" s="351"/>
      <c r="AE110" s="351"/>
      <c r="AF110" s="351"/>
      <c r="AG110" s="351"/>
      <c r="AH110" s="351"/>
      <c r="AI110" s="351"/>
      <c r="AJ110" s="351"/>
      <c r="AK110" s="360"/>
    </row>
    <row r="111" spans="1:37">
      <c r="A111" s="351"/>
      <c r="B111" s="351"/>
      <c r="C111" s="351"/>
      <c r="D111" s="351"/>
      <c r="E111" s="351"/>
      <c r="F111" s="351"/>
      <c r="G111" s="351"/>
      <c r="H111" s="351"/>
      <c r="I111" s="351"/>
      <c r="J111" s="351"/>
      <c r="K111" s="351"/>
      <c r="L111" s="351"/>
      <c r="M111" s="351"/>
      <c r="N111" s="351"/>
      <c r="O111" s="351"/>
      <c r="P111" s="351"/>
      <c r="Q111" s="351"/>
      <c r="R111" s="351"/>
      <c r="S111" s="351"/>
      <c r="T111" s="351"/>
      <c r="U111" s="351"/>
      <c r="V111" s="351"/>
      <c r="W111" s="351"/>
      <c r="X111" s="351"/>
      <c r="Y111" s="351"/>
      <c r="Z111" s="351"/>
      <c r="AA111" s="351"/>
      <c r="AB111" s="351"/>
      <c r="AC111" s="351"/>
      <c r="AD111" s="351"/>
      <c r="AE111" s="351"/>
      <c r="AF111" s="351"/>
      <c r="AG111" s="351"/>
      <c r="AH111" s="351"/>
      <c r="AI111" s="351"/>
      <c r="AJ111" s="351"/>
      <c r="AK111" s="360"/>
    </row>
    <row r="112" spans="1:37">
      <c r="A112" s="351"/>
      <c r="B112" s="351"/>
      <c r="C112" s="351"/>
      <c r="D112" s="351"/>
      <c r="E112" s="351"/>
      <c r="F112" s="351"/>
      <c r="G112" s="351"/>
      <c r="H112" s="351"/>
      <c r="I112" s="351"/>
      <c r="J112" s="351"/>
      <c r="K112" s="351"/>
      <c r="L112" s="351"/>
      <c r="M112" s="351"/>
      <c r="N112" s="351"/>
      <c r="O112" s="351"/>
      <c r="P112" s="351"/>
      <c r="Q112" s="351"/>
      <c r="R112" s="351"/>
      <c r="S112" s="351"/>
      <c r="T112" s="351"/>
      <c r="U112" s="351"/>
      <c r="V112" s="351"/>
      <c r="W112" s="351"/>
      <c r="X112" s="351"/>
      <c r="Y112" s="351"/>
      <c r="Z112" s="351"/>
      <c r="AA112" s="351"/>
      <c r="AB112" s="351"/>
      <c r="AC112" s="351"/>
      <c r="AD112" s="351"/>
      <c r="AE112" s="351"/>
      <c r="AF112" s="351"/>
      <c r="AG112" s="351"/>
      <c r="AH112" s="351"/>
      <c r="AI112" s="351"/>
      <c r="AJ112" s="351"/>
      <c r="AK112" s="360"/>
    </row>
    <row r="113" spans="1:37">
      <c r="A113" s="351"/>
      <c r="B113" s="351"/>
      <c r="C113" s="351"/>
      <c r="D113" s="351"/>
      <c r="E113" s="351"/>
      <c r="F113" s="351"/>
      <c r="G113" s="351"/>
      <c r="H113" s="351"/>
      <c r="I113" s="351"/>
      <c r="J113" s="351"/>
      <c r="K113" s="351"/>
      <c r="L113" s="351"/>
      <c r="M113" s="351"/>
      <c r="N113" s="351"/>
      <c r="O113" s="351"/>
      <c r="P113" s="351"/>
      <c r="Q113" s="351"/>
      <c r="R113" s="351"/>
      <c r="S113" s="351"/>
      <c r="T113" s="351"/>
      <c r="U113" s="351"/>
      <c r="V113" s="351"/>
      <c r="W113" s="351"/>
      <c r="X113" s="351"/>
      <c r="Y113" s="351"/>
      <c r="Z113" s="351"/>
      <c r="AA113" s="351"/>
      <c r="AB113" s="351"/>
      <c r="AC113" s="351"/>
      <c r="AD113" s="351"/>
      <c r="AE113" s="351"/>
      <c r="AF113" s="351"/>
      <c r="AG113" s="351"/>
      <c r="AH113" s="351"/>
      <c r="AI113" s="351"/>
      <c r="AJ113" s="351"/>
      <c r="AK113" s="360"/>
    </row>
    <row r="114" spans="1:37">
      <c r="A114" s="351"/>
      <c r="B114" s="351"/>
      <c r="C114" s="351"/>
      <c r="D114" s="351"/>
      <c r="E114" s="351"/>
      <c r="F114" s="351"/>
      <c r="G114" s="351"/>
      <c r="H114" s="351"/>
      <c r="I114" s="351"/>
      <c r="J114" s="351"/>
      <c r="K114" s="351"/>
      <c r="L114" s="351"/>
      <c r="M114" s="351"/>
      <c r="N114" s="351"/>
      <c r="O114" s="351"/>
      <c r="P114" s="351"/>
      <c r="Q114" s="351"/>
      <c r="R114" s="351"/>
      <c r="S114" s="351"/>
      <c r="T114" s="351"/>
      <c r="U114" s="351"/>
      <c r="V114" s="351"/>
      <c r="W114" s="351"/>
      <c r="X114" s="351"/>
      <c r="Y114" s="351"/>
      <c r="Z114" s="351"/>
      <c r="AA114" s="351"/>
      <c r="AB114" s="351"/>
      <c r="AC114" s="351"/>
      <c r="AD114" s="351"/>
      <c r="AE114" s="351"/>
      <c r="AF114" s="351"/>
      <c r="AG114" s="351"/>
      <c r="AH114" s="351"/>
      <c r="AI114" s="351"/>
      <c r="AJ114" s="351"/>
      <c r="AK114" s="360"/>
    </row>
    <row r="115" spans="1:37">
      <c r="A115" s="351"/>
      <c r="B115" s="351"/>
      <c r="C115" s="351"/>
      <c r="D115" s="351"/>
      <c r="E115" s="351"/>
      <c r="F115" s="351"/>
      <c r="G115" s="351"/>
      <c r="H115" s="351"/>
      <c r="I115" s="351"/>
      <c r="J115" s="351"/>
      <c r="K115" s="351"/>
      <c r="L115" s="351"/>
      <c r="M115" s="351"/>
      <c r="N115" s="351"/>
      <c r="O115" s="351"/>
      <c r="P115" s="351"/>
      <c r="Q115" s="351"/>
      <c r="R115" s="351"/>
      <c r="S115" s="351"/>
      <c r="T115" s="351"/>
      <c r="U115" s="351"/>
      <c r="V115" s="351"/>
      <c r="W115" s="351"/>
      <c r="X115" s="351"/>
      <c r="Y115" s="351"/>
      <c r="Z115" s="351"/>
      <c r="AA115" s="351"/>
      <c r="AB115" s="351"/>
      <c r="AC115" s="351"/>
      <c r="AD115" s="351"/>
      <c r="AE115" s="351"/>
      <c r="AF115" s="351"/>
      <c r="AG115" s="351"/>
      <c r="AH115" s="351"/>
      <c r="AI115" s="351"/>
      <c r="AJ115" s="351"/>
      <c r="AK115" s="360"/>
    </row>
    <row r="116" spans="1:37">
      <c r="A116" s="351"/>
      <c r="B116" s="351"/>
      <c r="C116" s="351"/>
      <c r="D116" s="351"/>
      <c r="E116" s="351"/>
      <c r="F116" s="351"/>
      <c r="G116" s="351"/>
      <c r="H116" s="351"/>
      <c r="I116" s="351"/>
      <c r="J116" s="351"/>
      <c r="K116" s="351"/>
      <c r="L116" s="351"/>
      <c r="M116" s="351"/>
      <c r="N116" s="351"/>
      <c r="O116" s="351"/>
      <c r="P116" s="351"/>
      <c r="Q116" s="351"/>
      <c r="R116" s="351"/>
      <c r="S116" s="351"/>
      <c r="T116" s="351"/>
      <c r="U116" s="351"/>
      <c r="V116" s="351"/>
      <c r="W116" s="351"/>
      <c r="X116" s="351"/>
      <c r="Y116" s="351"/>
      <c r="Z116" s="351"/>
      <c r="AA116" s="351"/>
      <c r="AB116" s="351"/>
      <c r="AC116" s="351"/>
      <c r="AD116" s="351"/>
      <c r="AE116" s="351"/>
      <c r="AF116" s="351"/>
      <c r="AG116" s="351"/>
      <c r="AH116" s="351"/>
      <c r="AI116" s="351"/>
      <c r="AJ116" s="351"/>
      <c r="AK116" s="360"/>
    </row>
    <row r="117" spans="1:37">
      <c r="A117" s="351"/>
      <c r="B117" s="351"/>
      <c r="C117" s="351"/>
      <c r="D117" s="351"/>
      <c r="E117" s="351"/>
      <c r="F117" s="351"/>
      <c r="G117" s="351"/>
      <c r="H117" s="351"/>
      <c r="I117" s="351"/>
      <c r="J117" s="351"/>
      <c r="K117" s="351"/>
      <c r="L117" s="351"/>
      <c r="M117" s="351"/>
      <c r="N117" s="351"/>
      <c r="O117" s="351"/>
      <c r="P117" s="351"/>
      <c r="Q117" s="351"/>
      <c r="R117" s="351"/>
      <c r="S117" s="351"/>
      <c r="T117" s="351"/>
      <c r="U117" s="351"/>
      <c r="V117" s="351"/>
      <c r="W117" s="351"/>
      <c r="X117" s="351"/>
      <c r="Y117" s="351"/>
      <c r="Z117" s="351"/>
      <c r="AA117" s="351"/>
      <c r="AB117" s="351"/>
      <c r="AC117" s="351"/>
      <c r="AD117" s="351"/>
      <c r="AE117" s="351"/>
      <c r="AF117" s="351"/>
      <c r="AG117" s="351"/>
      <c r="AH117" s="351"/>
      <c r="AI117" s="351"/>
      <c r="AJ117" s="351"/>
      <c r="AK117" s="360"/>
    </row>
    <row r="118" spans="1:37">
      <c r="A118" s="351"/>
      <c r="B118" s="351"/>
      <c r="C118" s="351"/>
      <c r="D118" s="351"/>
      <c r="E118" s="351"/>
      <c r="F118" s="351"/>
      <c r="G118" s="351"/>
      <c r="H118" s="351"/>
      <c r="I118" s="351"/>
      <c r="J118" s="351"/>
      <c r="K118" s="351"/>
      <c r="L118" s="351"/>
      <c r="M118" s="351"/>
      <c r="N118" s="351"/>
      <c r="O118" s="351"/>
      <c r="P118" s="351"/>
      <c r="Q118" s="351"/>
      <c r="R118" s="351"/>
      <c r="S118" s="351"/>
      <c r="T118" s="351"/>
      <c r="U118" s="351"/>
      <c r="V118" s="351"/>
      <c r="W118" s="351"/>
      <c r="X118" s="351"/>
      <c r="Y118" s="351"/>
      <c r="Z118" s="351"/>
      <c r="AA118" s="351"/>
      <c r="AB118" s="351"/>
      <c r="AC118" s="351"/>
      <c r="AD118" s="351"/>
      <c r="AE118" s="351"/>
      <c r="AF118" s="351"/>
      <c r="AG118" s="351"/>
      <c r="AH118" s="351"/>
      <c r="AI118" s="351"/>
      <c r="AJ118" s="351"/>
      <c r="AK118" s="360"/>
    </row>
    <row r="119" spans="1:37">
      <c r="A119" s="351"/>
      <c r="B119" s="351"/>
      <c r="C119" s="351"/>
      <c r="D119" s="351"/>
      <c r="E119" s="351"/>
      <c r="F119" s="351"/>
      <c r="G119" s="351"/>
      <c r="H119" s="351"/>
      <c r="I119" s="351"/>
      <c r="J119" s="351"/>
      <c r="K119" s="351"/>
      <c r="L119" s="351"/>
      <c r="M119" s="351"/>
      <c r="N119" s="351"/>
      <c r="O119" s="351"/>
      <c r="P119" s="351"/>
      <c r="Q119" s="351"/>
      <c r="R119" s="351"/>
      <c r="S119" s="351"/>
      <c r="T119" s="351"/>
      <c r="U119" s="351"/>
      <c r="V119" s="351"/>
      <c r="W119" s="351"/>
      <c r="X119" s="351"/>
      <c r="Y119" s="351"/>
      <c r="Z119" s="351"/>
      <c r="AA119" s="351"/>
      <c r="AB119" s="351"/>
      <c r="AC119" s="351"/>
      <c r="AD119" s="351"/>
      <c r="AE119" s="351"/>
      <c r="AF119" s="351"/>
      <c r="AG119" s="351"/>
      <c r="AH119" s="351"/>
      <c r="AI119" s="351"/>
      <c r="AJ119" s="351"/>
      <c r="AK119" s="360"/>
    </row>
    <row r="120" spans="1:37">
      <c r="A120" s="351"/>
      <c r="B120" s="351"/>
      <c r="C120" s="351"/>
      <c r="D120" s="351"/>
      <c r="E120" s="351"/>
      <c r="F120" s="351"/>
      <c r="G120" s="351"/>
      <c r="H120" s="351"/>
      <c r="I120" s="351"/>
      <c r="J120" s="351"/>
      <c r="K120" s="351"/>
      <c r="L120" s="351"/>
      <c r="M120" s="351"/>
      <c r="N120" s="351"/>
      <c r="O120" s="351"/>
      <c r="P120" s="351"/>
      <c r="Q120" s="351"/>
      <c r="R120" s="351"/>
      <c r="S120" s="351"/>
      <c r="T120" s="351"/>
      <c r="U120" s="351"/>
      <c r="V120" s="351"/>
      <c r="W120" s="351"/>
      <c r="X120" s="351"/>
      <c r="Y120" s="351"/>
      <c r="Z120" s="351"/>
      <c r="AA120" s="351"/>
      <c r="AB120" s="351"/>
      <c r="AC120" s="351"/>
      <c r="AD120" s="351"/>
      <c r="AE120" s="351"/>
      <c r="AF120" s="351"/>
      <c r="AG120" s="351"/>
      <c r="AH120" s="351"/>
      <c r="AI120" s="351"/>
      <c r="AJ120" s="351"/>
      <c r="AK120" s="360"/>
    </row>
    <row r="121" spans="1:37">
      <c r="A121" s="351"/>
      <c r="B121" s="351"/>
      <c r="C121" s="351"/>
      <c r="D121" s="351"/>
      <c r="E121" s="351"/>
      <c r="F121" s="351"/>
      <c r="G121" s="351"/>
      <c r="H121" s="351"/>
      <c r="I121" s="351"/>
      <c r="J121" s="351"/>
      <c r="K121" s="351"/>
      <c r="L121" s="351"/>
      <c r="M121" s="351"/>
      <c r="N121" s="351"/>
      <c r="O121" s="351"/>
      <c r="P121" s="351"/>
      <c r="Q121" s="351"/>
      <c r="R121" s="351"/>
      <c r="S121" s="351"/>
      <c r="T121" s="351"/>
      <c r="U121" s="351"/>
      <c r="V121" s="351"/>
      <c r="W121" s="351"/>
      <c r="X121" s="351"/>
      <c r="Y121" s="351"/>
      <c r="Z121" s="351"/>
      <c r="AA121" s="351"/>
      <c r="AB121" s="351"/>
      <c r="AC121" s="351"/>
      <c r="AD121" s="351"/>
      <c r="AE121" s="351"/>
      <c r="AF121" s="351"/>
      <c r="AG121" s="351"/>
      <c r="AH121" s="351"/>
      <c r="AI121" s="351"/>
      <c r="AJ121" s="351"/>
      <c r="AK121" s="360"/>
    </row>
    <row r="122" spans="1:37">
      <c r="A122" s="351"/>
      <c r="B122" s="351"/>
      <c r="C122" s="351"/>
      <c r="D122" s="351"/>
      <c r="E122" s="351"/>
      <c r="F122" s="351"/>
      <c r="G122" s="351"/>
      <c r="H122" s="351"/>
      <c r="I122" s="351"/>
      <c r="J122" s="351"/>
      <c r="K122" s="351"/>
      <c r="L122" s="351"/>
      <c r="M122" s="351"/>
      <c r="N122" s="351"/>
      <c r="O122" s="351"/>
      <c r="P122" s="351"/>
      <c r="Q122" s="351"/>
      <c r="R122" s="351"/>
      <c r="S122" s="351"/>
      <c r="T122" s="351"/>
      <c r="U122" s="351"/>
      <c r="V122" s="351"/>
      <c r="W122" s="351"/>
      <c r="X122" s="351"/>
      <c r="Y122" s="351"/>
      <c r="Z122" s="351"/>
      <c r="AA122" s="351"/>
      <c r="AB122" s="351"/>
      <c r="AC122" s="351"/>
      <c r="AD122" s="351"/>
      <c r="AE122" s="351"/>
      <c r="AF122" s="351"/>
      <c r="AG122" s="351"/>
      <c r="AH122" s="351"/>
      <c r="AI122" s="351"/>
      <c r="AJ122" s="351"/>
      <c r="AK122" s="360"/>
    </row>
    <row r="123" spans="1:37">
      <c r="A123" s="351"/>
      <c r="B123" s="351"/>
      <c r="C123" s="351"/>
      <c r="D123" s="351"/>
      <c r="E123" s="351"/>
      <c r="F123" s="351"/>
      <c r="G123" s="351"/>
      <c r="H123" s="351"/>
      <c r="I123" s="351"/>
      <c r="J123" s="351"/>
      <c r="K123" s="351"/>
      <c r="L123" s="351"/>
      <c r="M123" s="351"/>
      <c r="N123" s="351"/>
      <c r="O123" s="351"/>
      <c r="P123" s="351"/>
      <c r="Q123" s="351"/>
      <c r="R123" s="351"/>
      <c r="S123" s="351"/>
      <c r="T123" s="351"/>
      <c r="U123" s="351"/>
      <c r="V123" s="351"/>
      <c r="W123" s="351"/>
      <c r="X123" s="351"/>
      <c r="Y123" s="351"/>
      <c r="Z123" s="351"/>
      <c r="AA123" s="351"/>
      <c r="AB123" s="351"/>
      <c r="AC123" s="351"/>
      <c r="AD123" s="351"/>
      <c r="AE123" s="351"/>
      <c r="AF123" s="351"/>
      <c r="AG123" s="351"/>
      <c r="AH123" s="351"/>
      <c r="AI123" s="351"/>
      <c r="AJ123" s="351"/>
      <c r="AK123" s="360"/>
    </row>
    <row r="124" spans="1:37">
      <c r="A124" s="351"/>
      <c r="B124" s="351"/>
      <c r="C124" s="351"/>
      <c r="D124" s="351"/>
      <c r="E124" s="351"/>
      <c r="F124" s="351"/>
      <c r="G124" s="351"/>
      <c r="H124" s="351"/>
      <c r="I124" s="351"/>
      <c r="J124" s="351"/>
      <c r="K124" s="351"/>
      <c r="L124" s="351"/>
      <c r="M124" s="351"/>
      <c r="N124" s="351"/>
      <c r="O124" s="351"/>
      <c r="P124" s="351"/>
      <c r="Q124" s="351"/>
      <c r="R124" s="351"/>
      <c r="S124" s="351"/>
      <c r="T124" s="351"/>
      <c r="U124" s="351"/>
      <c r="V124" s="351"/>
      <c r="W124" s="351"/>
      <c r="X124" s="351"/>
      <c r="Y124" s="351"/>
      <c r="Z124" s="351"/>
      <c r="AA124" s="351"/>
      <c r="AB124" s="351"/>
      <c r="AC124" s="351"/>
      <c r="AD124" s="351"/>
      <c r="AE124" s="351"/>
      <c r="AF124" s="351"/>
      <c r="AG124" s="351"/>
      <c r="AH124" s="351"/>
      <c r="AI124" s="351"/>
      <c r="AJ124" s="351"/>
      <c r="AK124" s="360"/>
    </row>
    <row r="125" spans="1:37">
      <c r="A125" s="351"/>
      <c r="B125" s="351"/>
      <c r="C125" s="351"/>
      <c r="D125" s="351"/>
      <c r="E125" s="351"/>
      <c r="F125" s="351"/>
      <c r="G125" s="351"/>
      <c r="H125" s="351"/>
      <c r="I125" s="351"/>
      <c r="J125" s="351"/>
      <c r="K125" s="351"/>
      <c r="L125" s="351"/>
      <c r="M125" s="351"/>
      <c r="N125" s="351"/>
      <c r="O125" s="351"/>
      <c r="P125" s="351"/>
      <c r="Q125" s="351"/>
      <c r="R125" s="351"/>
      <c r="S125" s="351"/>
      <c r="T125" s="351"/>
      <c r="U125" s="351"/>
      <c r="V125" s="351"/>
      <c r="W125" s="351"/>
      <c r="X125" s="351"/>
      <c r="Y125" s="351"/>
      <c r="Z125" s="351"/>
      <c r="AA125" s="351"/>
      <c r="AB125" s="351"/>
      <c r="AC125" s="351"/>
      <c r="AD125" s="351"/>
      <c r="AE125" s="351"/>
      <c r="AF125" s="351"/>
      <c r="AG125" s="351"/>
      <c r="AH125" s="351"/>
      <c r="AI125" s="351"/>
      <c r="AJ125" s="351"/>
      <c r="AK125" s="360"/>
    </row>
    <row r="126" spans="1:37">
      <c r="A126" s="351"/>
      <c r="B126" s="351"/>
      <c r="C126" s="351"/>
      <c r="D126" s="351"/>
      <c r="E126" s="351"/>
      <c r="F126" s="351"/>
      <c r="G126" s="351"/>
      <c r="H126" s="351"/>
      <c r="I126" s="351"/>
      <c r="J126" s="351"/>
      <c r="K126" s="351"/>
      <c r="L126" s="351"/>
      <c r="M126" s="351"/>
      <c r="N126" s="351"/>
      <c r="O126" s="351"/>
      <c r="P126" s="351"/>
      <c r="Q126" s="351"/>
      <c r="R126" s="351"/>
      <c r="S126" s="351"/>
      <c r="T126" s="351"/>
      <c r="U126" s="351"/>
      <c r="V126" s="351"/>
      <c r="W126" s="351"/>
      <c r="X126" s="351"/>
      <c r="Y126" s="351"/>
      <c r="Z126" s="351"/>
      <c r="AA126" s="351"/>
      <c r="AB126" s="351"/>
      <c r="AC126" s="351"/>
      <c r="AD126" s="351"/>
      <c r="AE126" s="351"/>
      <c r="AF126" s="351"/>
      <c r="AG126" s="351"/>
      <c r="AH126" s="351"/>
      <c r="AI126" s="351"/>
      <c r="AJ126" s="351"/>
      <c r="AK126" s="360"/>
    </row>
    <row r="127" spans="1:37">
      <c r="A127" s="351"/>
      <c r="B127" s="351"/>
      <c r="C127" s="351"/>
      <c r="D127" s="351"/>
      <c r="E127" s="351"/>
      <c r="F127" s="351"/>
      <c r="G127" s="351"/>
      <c r="H127" s="351"/>
      <c r="I127" s="351"/>
      <c r="J127" s="351"/>
      <c r="K127" s="351"/>
      <c r="L127" s="351"/>
      <c r="M127" s="351"/>
      <c r="N127" s="351"/>
      <c r="O127" s="351"/>
      <c r="P127" s="351"/>
      <c r="Q127" s="351"/>
      <c r="R127" s="351"/>
      <c r="S127" s="351"/>
      <c r="T127" s="351"/>
      <c r="U127" s="351"/>
      <c r="V127" s="351"/>
      <c r="W127" s="351"/>
      <c r="X127" s="351"/>
      <c r="Y127" s="351"/>
      <c r="Z127" s="351"/>
      <c r="AA127" s="351"/>
      <c r="AB127" s="351"/>
      <c r="AC127" s="351"/>
      <c r="AD127" s="351"/>
      <c r="AE127" s="351"/>
      <c r="AF127" s="351"/>
      <c r="AG127" s="351"/>
      <c r="AH127" s="351"/>
      <c r="AI127" s="351"/>
      <c r="AJ127" s="351"/>
      <c r="AK127" s="360"/>
    </row>
    <row r="128" spans="1:37">
      <c r="A128" s="351"/>
      <c r="B128" s="351"/>
      <c r="C128" s="351"/>
      <c r="D128" s="351"/>
      <c r="E128" s="351"/>
      <c r="F128" s="351"/>
      <c r="G128" s="351"/>
      <c r="H128" s="351"/>
      <c r="I128" s="351"/>
      <c r="J128" s="351"/>
      <c r="K128" s="351"/>
      <c r="L128" s="351"/>
      <c r="M128" s="351"/>
      <c r="N128" s="351"/>
      <c r="O128" s="351"/>
      <c r="P128" s="351"/>
      <c r="Q128" s="351"/>
      <c r="R128" s="351"/>
      <c r="S128" s="351"/>
      <c r="T128" s="351"/>
      <c r="U128" s="351"/>
      <c r="V128" s="351"/>
      <c r="W128" s="351"/>
      <c r="X128" s="351"/>
      <c r="Y128" s="351"/>
      <c r="Z128" s="351"/>
      <c r="AA128" s="351"/>
      <c r="AB128" s="351"/>
      <c r="AC128" s="351"/>
      <c r="AD128" s="351"/>
      <c r="AE128" s="351"/>
      <c r="AF128" s="351"/>
      <c r="AG128" s="351"/>
      <c r="AH128" s="351"/>
      <c r="AI128" s="351"/>
      <c r="AJ128" s="351"/>
      <c r="AK128" s="360"/>
    </row>
    <row r="129" spans="1:37">
      <c r="A129" s="351"/>
      <c r="B129" s="351"/>
      <c r="C129" s="351"/>
      <c r="D129" s="351"/>
      <c r="E129" s="351"/>
      <c r="F129" s="351"/>
      <c r="G129" s="351"/>
      <c r="H129" s="351"/>
      <c r="I129" s="351"/>
      <c r="J129" s="351"/>
      <c r="K129" s="351"/>
      <c r="L129" s="351"/>
      <c r="M129" s="351"/>
      <c r="N129" s="351"/>
      <c r="O129" s="351"/>
      <c r="P129" s="351"/>
      <c r="Q129" s="351"/>
      <c r="R129" s="351"/>
      <c r="S129" s="351"/>
      <c r="T129" s="351"/>
      <c r="U129" s="351"/>
      <c r="V129" s="351"/>
      <c r="W129" s="351"/>
      <c r="X129" s="351"/>
      <c r="Y129" s="351"/>
      <c r="Z129" s="351"/>
      <c r="AA129" s="351"/>
      <c r="AB129" s="351"/>
      <c r="AC129" s="351"/>
      <c r="AD129" s="351"/>
      <c r="AE129" s="351"/>
      <c r="AF129" s="351"/>
      <c r="AG129" s="351"/>
      <c r="AH129" s="351"/>
      <c r="AI129" s="351"/>
      <c r="AJ129" s="351"/>
      <c r="AK129" s="360"/>
    </row>
    <row r="130" spans="1:37">
      <c r="A130" s="351"/>
      <c r="B130" s="351"/>
      <c r="C130" s="351"/>
      <c r="D130" s="351"/>
      <c r="E130" s="351"/>
      <c r="F130" s="351"/>
      <c r="G130" s="351"/>
      <c r="H130" s="351"/>
      <c r="I130" s="351"/>
      <c r="J130" s="351"/>
      <c r="K130" s="351"/>
      <c r="L130" s="351"/>
      <c r="M130" s="351"/>
      <c r="N130" s="351"/>
      <c r="O130" s="351"/>
      <c r="P130" s="351"/>
      <c r="Q130" s="351"/>
      <c r="R130" s="351"/>
      <c r="S130" s="351"/>
      <c r="T130" s="351"/>
      <c r="U130" s="351"/>
      <c r="V130" s="351"/>
      <c r="W130" s="351"/>
      <c r="X130" s="351"/>
      <c r="Y130" s="351"/>
      <c r="Z130" s="351"/>
      <c r="AA130" s="351"/>
      <c r="AB130" s="351"/>
      <c r="AC130" s="351"/>
      <c r="AD130" s="351"/>
      <c r="AE130" s="351"/>
      <c r="AF130" s="351"/>
      <c r="AG130" s="351"/>
      <c r="AH130" s="351"/>
      <c r="AI130" s="351"/>
      <c r="AJ130" s="351"/>
      <c r="AK130" s="360"/>
    </row>
    <row r="131" spans="1:37">
      <c r="A131" s="351"/>
      <c r="B131" s="351"/>
      <c r="C131" s="351"/>
      <c r="D131" s="351"/>
      <c r="E131" s="351"/>
      <c r="F131" s="351"/>
      <c r="G131" s="351"/>
      <c r="H131" s="351"/>
      <c r="I131" s="351"/>
      <c r="J131" s="351"/>
      <c r="K131" s="351"/>
      <c r="L131" s="351"/>
      <c r="M131" s="351"/>
      <c r="N131" s="351"/>
      <c r="O131" s="351"/>
      <c r="P131" s="351"/>
      <c r="Q131" s="351"/>
      <c r="R131" s="351"/>
      <c r="S131" s="351"/>
      <c r="T131" s="351"/>
      <c r="U131" s="351"/>
      <c r="V131" s="351"/>
      <c r="W131" s="351"/>
      <c r="X131" s="351"/>
      <c r="Y131" s="351"/>
      <c r="Z131" s="351"/>
      <c r="AA131" s="351"/>
      <c r="AB131" s="351"/>
      <c r="AC131" s="351"/>
      <c r="AD131" s="351"/>
      <c r="AE131" s="351"/>
      <c r="AF131" s="351"/>
      <c r="AG131" s="351"/>
      <c r="AH131" s="351"/>
      <c r="AI131" s="351"/>
      <c r="AJ131" s="351"/>
      <c r="AK131" s="360"/>
    </row>
    <row r="132" spans="1:37">
      <c r="A132" s="351"/>
      <c r="B132" s="351"/>
      <c r="C132" s="351"/>
      <c r="D132" s="351"/>
      <c r="E132" s="351"/>
      <c r="F132" s="351"/>
      <c r="G132" s="351"/>
      <c r="H132" s="351"/>
      <c r="I132" s="351"/>
      <c r="J132" s="351"/>
      <c r="K132" s="351"/>
      <c r="L132" s="351"/>
      <c r="M132" s="351"/>
      <c r="N132" s="351"/>
      <c r="O132" s="351"/>
      <c r="P132" s="351"/>
      <c r="Q132" s="351"/>
      <c r="R132" s="351"/>
      <c r="S132" s="351"/>
      <c r="T132" s="351"/>
      <c r="U132" s="351"/>
      <c r="V132" s="351"/>
      <c r="W132" s="351"/>
      <c r="X132" s="351"/>
      <c r="Y132" s="351"/>
      <c r="Z132" s="351"/>
      <c r="AA132" s="351"/>
      <c r="AB132" s="351"/>
      <c r="AC132" s="351"/>
      <c r="AD132" s="351"/>
      <c r="AE132" s="351"/>
      <c r="AF132" s="351"/>
      <c r="AG132" s="351"/>
      <c r="AH132" s="351"/>
      <c r="AI132" s="351"/>
      <c r="AJ132" s="351"/>
      <c r="AK132" s="360"/>
    </row>
    <row r="133" spans="1:37">
      <c r="A133" s="351"/>
      <c r="B133" s="351"/>
      <c r="C133" s="351"/>
      <c r="D133" s="351"/>
      <c r="E133" s="351"/>
      <c r="F133" s="351"/>
      <c r="G133" s="351"/>
      <c r="H133" s="351"/>
      <c r="I133" s="351"/>
      <c r="J133" s="351"/>
      <c r="K133" s="351"/>
      <c r="L133" s="351"/>
      <c r="M133" s="351"/>
      <c r="N133" s="351"/>
      <c r="O133" s="351"/>
      <c r="P133" s="351"/>
      <c r="Q133" s="351"/>
      <c r="R133" s="351"/>
      <c r="S133" s="351"/>
      <c r="T133" s="351"/>
      <c r="U133" s="351"/>
      <c r="V133" s="351"/>
      <c r="W133" s="351"/>
      <c r="X133" s="351"/>
      <c r="Y133" s="351"/>
      <c r="Z133" s="351"/>
      <c r="AA133" s="351"/>
      <c r="AB133" s="351"/>
      <c r="AC133" s="351"/>
      <c r="AD133" s="351"/>
      <c r="AE133" s="351"/>
      <c r="AF133" s="351"/>
      <c r="AG133" s="351"/>
      <c r="AH133" s="351"/>
      <c r="AI133" s="351"/>
      <c r="AJ133" s="351"/>
      <c r="AK133" s="360"/>
    </row>
    <row r="134" spans="1:37">
      <c r="A134" s="351"/>
      <c r="B134" s="351"/>
      <c r="C134" s="351"/>
      <c r="D134" s="351"/>
      <c r="E134" s="351"/>
      <c r="F134" s="351"/>
      <c r="G134" s="351"/>
      <c r="H134" s="351"/>
      <c r="I134" s="351"/>
      <c r="J134" s="351"/>
      <c r="K134" s="351"/>
      <c r="L134" s="351"/>
      <c r="M134" s="351"/>
      <c r="N134" s="351"/>
      <c r="O134" s="351"/>
      <c r="P134" s="351"/>
      <c r="Q134" s="351"/>
      <c r="R134" s="351"/>
      <c r="S134" s="351"/>
      <c r="T134" s="351"/>
      <c r="U134" s="351"/>
      <c r="V134" s="351"/>
      <c r="W134" s="351"/>
      <c r="X134" s="351"/>
      <c r="Y134" s="351"/>
      <c r="Z134" s="351"/>
      <c r="AA134" s="351"/>
      <c r="AB134" s="351"/>
      <c r="AC134" s="351"/>
      <c r="AD134" s="351"/>
      <c r="AE134" s="351"/>
      <c r="AF134" s="351"/>
      <c r="AG134" s="351"/>
      <c r="AH134" s="351"/>
      <c r="AI134" s="351"/>
      <c r="AJ134" s="351"/>
      <c r="AK134" s="360"/>
    </row>
    <row r="135" spans="1:37">
      <c r="A135" s="351"/>
      <c r="B135" s="351"/>
      <c r="C135" s="351"/>
      <c r="D135" s="351"/>
      <c r="E135" s="351"/>
      <c r="F135" s="351"/>
      <c r="G135" s="351"/>
      <c r="H135" s="351"/>
      <c r="I135" s="351"/>
      <c r="J135" s="351"/>
      <c r="K135" s="351"/>
      <c r="L135" s="351"/>
      <c r="M135" s="351"/>
      <c r="N135" s="351"/>
      <c r="O135" s="351"/>
      <c r="P135" s="351"/>
      <c r="Q135" s="351"/>
      <c r="R135" s="351"/>
      <c r="S135" s="351"/>
      <c r="T135" s="351"/>
      <c r="U135" s="351"/>
      <c r="V135" s="351"/>
      <c r="W135" s="351"/>
      <c r="X135" s="351"/>
      <c r="Y135" s="351"/>
      <c r="Z135" s="351"/>
      <c r="AA135" s="351"/>
      <c r="AB135" s="351"/>
      <c r="AC135" s="351"/>
      <c r="AD135" s="351"/>
      <c r="AE135" s="351"/>
      <c r="AF135" s="351"/>
      <c r="AG135" s="351"/>
      <c r="AH135" s="351"/>
      <c r="AI135" s="351"/>
      <c r="AJ135" s="351"/>
      <c r="AK135" s="360"/>
    </row>
    <row r="136" spans="1:37">
      <c r="A136" s="351"/>
      <c r="B136" s="351"/>
      <c r="C136" s="351"/>
      <c r="D136" s="351"/>
      <c r="E136" s="351"/>
      <c r="F136" s="351"/>
      <c r="G136" s="351"/>
      <c r="H136" s="351"/>
      <c r="I136" s="351"/>
      <c r="J136" s="351"/>
      <c r="K136" s="351"/>
      <c r="L136" s="351"/>
      <c r="M136" s="351"/>
      <c r="N136" s="351"/>
      <c r="O136" s="351"/>
      <c r="P136" s="351"/>
      <c r="Q136" s="351"/>
      <c r="R136" s="351"/>
      <c r="S136" s="351"/>
      <c r="T136" s="351"/>
      <c r="U136" s="351"/>
      <c r="V136" s="351"/>
      <c r="W136" s="351"/>
      <c r="X136" s="351"/>
      <c r="Y136" s="351"/>
      <c r="Z136" s="351"/>
      <c r="AA136" s="351"/>
      <c r="AB136" s="351"/>
      <c r="AC136" s="351"/>
      <c r="AD136" s="351"/>
      <c r="AE136" s="351"/>
      <c r="AF136" s="351"/>
      <c r="AG136" s="351"/>
      <c r="AH136" s="351"/>
      <c r="AI136" s="351"/>
      <c r="AJ136" s="351"/>
      <c r="AK136" s="360"/>
    </row>
    <row r="137" spans="1:37">
      <c r="A137" s="351"/>
      <c r="B137" s="351"/>
      <c r="C137" s="351"/>
      <c r="D137" s="351"/>
      <c r="E137" s="351"/>
      <c r="F137" s="351"/>
      <c r="G137" s="351"/>
      <c r="H137" s="351"/>
      <c r="I137" s="351"/>
      <c r="J137" s="351"/>
      <c r="K137" s="351"/>
      <c r="L137" s="351"/>
      <c r="M137" s="351"/>
      <c r="N137" s="351"/>
      <c r="O137" s="351"/>
      <c r="P137" s="351"/>
      <c r="Q137" s="351"/>
      <c r="R137" s="351"/>
      <c r="S137" s="351"/>
      <c r="T137" s="351"/>
      <c r="U137" s="351"/>
      <c r="V137" s="351"/>
      <c r="W137" s="351"/>
      <c r="X137" s="351"/>
      <c r="Y137" s="351"/>
      <c r="Z137" s="351"/>
      <c r="AA137" s="351"/>
      <c r="AB137" s="351"/>
      <c r="AC137" s="351"/>
      <c r="AD137" s="351"/>
      <c r="AE137" s="351"/>
      <c r="AF137" s="351"/>
      <c r="AG137" s="351"/>
      <c r="AH137" s="351"/>
      <c r="AI137" s="351"/>
      <c r="AJ137" s="351"/>
      <c r="AK137" s="360"/>
    </row>
    <row r="138" spans="1:37">
      <c r="A138" s="351"/>
      <c r="B138" s="351"/>
      <c r="C138" s="351"/>
      <c r="D138" s="351"/>
      <c r="E138" s="351"/>
      <c r="F138" s="351"/>
      <c r="G138" s="351"/>
      <c r="H138" s="351"/>
      <c r="I138" s="351"/>
      <c r="J138" s="351"/>
      <c r="K138" s="351"/>
      <c r="L138" s="351"/>
      <c r="M138" s="351"/>
      <c r="N138" s="351"/>
      <c r="O138" s="351"/>
      <c r="P138" s="351"/>
      <c r="Q138" s="351"/>
      <c r="R138" s="351"/>
      <c r="S138" s="351"/>
      <c r="T138" s="351"/>
      <c r="U138" s="351"/>
      <c r="V138" s="351"/>
      <c r="W138" s="351"/>
      <c r="X138" s="351"/>
      <c r="Y138" s="351"/>
      <c r="Z138" s="351"/>
      <c r="AA138" s="351"/>
      <c r="AB138" s="351"/>
      <c r="AC138" s="351"/>
      <c r="AD138" s="351"/>
      <c r="AE138" s="351"/>
      <c r="AF138" s="351"/>
      <c r="AG138" s="351"/>
      <c r="AH138" s="351"/>
      <c r="AI138" s="351"/>
      <c r="AJ138" s="351"/>
      <c r="AK138" s="360"/>
    </row>
    <row r="139" spans="1:37">
      <c r="A139" s="351"/>
      <c r="B139" s="351"/>
      <c r="C139" s="351"/>
      <c r="D139" s="351"/>
      <c r="E139" s="351"/>
      <c r="F139" s="351"/>
      <c r="G139" s="351"/>
      <c r="H139" s="351"/>
      <c r="I139" s="351"/>
      <c r="J139" s="351"/>
      <c r="K139" s="351"/>
      <c r="L139" s="351"/>
      <c r="M139" s="351"/>
      <c r="N139" s="351"/>
      <c r="O139" s="351"/>
      <c r="P139" s="351"/>
      <c r="Q139" s="351"/>
      <c r="R139" s="351"/>
      <c r="S139" s="351"/>
      <c r="T139" s="351"/>
      <c r="U139" s="351"/>
      <c r="V139" s="351"/>
      <c r="W139" s="351"/>
      <c r="X139" s="351"/>
      <c r="Y139" s="351"/>
      <c r="Z139" s="351"/>
      <c r="AA139" s="351"/>
      <c r="AB139" s="351"/>
      <c r="AC139" s="351"/>
      <c r="AD139" s="351"/>
      <c r="AE139" s="351"/>
      <c r="AF139" s="351"/>
      <c r="AG139" s="351"/>
      <c r="AH139" s="351"/>
      <c r="AI139" s="351"/>
      <c r="AJ139" s="351"/>
      <c r="AK139" s="360"/>
    </row>
    <row r="140" spans="1:37">
      <c r="A140" s="351"/>
      <c r="B140" s="351"/>
      <c r="C140" s="351"/>
      <c r="D140" s="351"/>
      <c r="E140" s="351"/>
      <c r="F140" s="351"/>
      <c r="G140" s="351"/>
      <c r="H140" s="351"/>
      <c r="I140" s="351"/>
      <c r="J140" s="351"/>
      <c r="K140" s="351"/>
      <c r="L140" s="351"/>
      <c r="M140" s="351"/>
      <c r="N140" s="351"/>
      <c r="O140" s="351"/>
      <c r="P140" s="351"/>
      <c r="Q140" s="351"/>
      <c r="R140" s="351"/>
      <c r="S140" s="351"/>
      <c r="T140" s="351"/>
      <c r="U140" s="351"/>
      <c r="V140" s="351"/>
      <c r="W140" s="351"/>
      <c r="X140" s="351"/>
      <c r="Y140" s="351"/>
      <c r="Z140" s="351"/>
      <c r="AA140" s="351"/>
      <c r="AB140" s="351"/>
      <c r="AC140" s="351"/>
      <c r="AD140" s="351"/>
      <c r="AE140" s="351"/>
      <c r="AF140" s="351"/>
      <c r="AG140" s="351"/>
      <c r="AH140" s="351"/>
      <c r="AI140" s="351"/>
      <c r="AJ140" s="351"/>
      <c r="AK140" s="360"/>
    </row>
    <row r="141" spans="1:37">
      <c r="A141" s="351"/>
      <c r="B141" s="351"/>
      <c r="C141" s="351"/>
      <c r="D141" s="351"/>
      <c r="E141" s="351"/>
      <c r="F141" s="351"/>
      <c r="G141" s="351"/>
      <c r="H141" s="351"/>
      <c r="I141" s="351"/>
      <c r="J141" s="351"/>
      <c r="K141" s="351"/>
      <c r="L141" s="351"/>
      <c r="M141" s="351"/>
      <c r="N141" s="351"/>
      <c r="O141" s="351"/>
      <c r="P141" s="351"/>
      <c r="Q141" s="351"/>
      <c r="R141" s="351"/>
      <c r="S141" s="351"/>
      <c r="T141" s="351"/>
      <c r="U141" s="351"/>
      <c r="V141" s="351"/>
      <c r="W141" s="351"/>
      <c r="X141" s="351"/>
      <c r="Y141" s="351"/>
      <c r="Z141" s="351"/>
      <c r="AA141" s="351"/>
      <c r="AB141" s="351"/>
      <c r="AC141" s="351"/>
      <c r="AD141" s="351"/>
      <c r="AE141" s="351"/>
      <c r="AF141" s="351"/>
      <c r="AG141" s="351"/>
      <c r="AH141" s="351"/>
      <c r="AI141" s="351"/>
      <c r="AJ141" s="351"/>
      <c r="AK141" s="360"/>
    </row>
    <row r="142" spans="1:37">
      <c r="A142" s="351"/>
      <c r="B142" s="351"/>
      <c r="C142" s="351"/>
      <c r="D142" s="351"/>
      <c r="E142" s="351"/>
      <c r="F142" s="351"/>
      <c r="G142" s="351"/>
      <c r="H142" s="351"/>
      <c r="I142" s="351"/>
      <c r="J142" s="351"/>
      <c r="K142" s="351"/>
      <c r="L142" s="351"/>
      <c r="M142" s="351"/>
      <c r="N142" s="351"/>
      <c r="O142" s="351"/>
      <c r="P142" s="351"/>
      <c r="Q142" s="351"/>
      <c r="R142" s="351"/>
      <c r="S142" s="351"/>
      <c r="T142" s="351"/>
      <c r="U142" s="351"/>
      <c r="V142" s="351"/>
      <c r="W142" s="351"/>
      <c r="X142" s="351"/>
      <c r="Y142" s="351"/>
      <c r="Z142" s="351"/>
      <c r="AA142" s="351"/>
      <c r="AB142" s="351"/>
      <c r="AC142" s="351"/>
      <c r="AD142" s="351"/>
      <c r="AE142" s="351"/>
      <c r="AF142" s="351"/>
      <c r="AG142" s="351"/>
      <c r="AH142" s="351"/>
      <c r="AI142" s="351"/>
      <c r="AJ142" s="351"/>
      <c r="AK142" s="360"/>
    </row>
    <row r="143" spans="1:37">
      <c r="A143" s="351"/>
      <c r="B143" s="351"/>
      <c r="C143" s="351"/>
      <c r="D143" s="351"/>
      <c r="E143" s="351"/>
      <c r="F143" s="351"/>
      <c r="G143" s="351"/>
      <c r="H143" s="351"/>
      <c r="I143" s="351"/>
      <c r="J143" s="351"/>
      <c r="K143" s="351"/>
      <c r="L143" s="351"/>
      <c r="M143" s="351"/>
      <c r="N143" s="351"/>
      <c r="O143" s="351"/>
      <c r="P143" s="351"/>
      <c r="Q143" s="351"/>
      <c r="R143" s="351"/>
      <c r="S143" s="351"/>
      <c r="T143" s="351"/>
      <c r="U143" s="351"/>
      <c r="V143" s="351"/>
      <c r="W143" s="351"/>
      <c r="X143" s="351"/>
      <c r="Y143" s="351"/>
      <c r="Z143" s="351"/>
      <c r="AA143" s="351"/>
      <c r="AB143" s="351"/>
      <c r="AC143" s="351"/>
      <c r="AD143" s="351"/>
      <c r="AE143" s="351"/>
      <c r="AF143" s="351"/>
      <c r="AG143" s="351"/>
      <c r="AH143" s="351"/>
      <c r="AI143" s="351"/>
      <c r="AJ143" s="351"/>
      <c r="AK143" s="360"/>
    </row>
    <row r="144" spans="1:37">
      <c r="A144" s="351"/>
      <c r="B144" s="351"/>
      <c r="C144" s="351"/>
      <c r="D144" s="351"/>
      <c r="E144" s="351"/>
      <c r="F144" s="351"/>
      <c r="G144" s="351"/>
      <c r="H144" s="351"/>
      <c r="I144" s="351"/>
      <c r="J144" s="351"/>
      <c r="K144" s="351"/>
      <c r="L144" s="351"/>
      <c r="M144" s="351"/>
      <c r="N144" s="351"/>
      <c r="O144" s="351"/>
      <c r="P144" s="351"/>
      <c r="Q144" s="351"/>
      <c r="R144" s="351"/>
      <c r="S144" s="351"/>
      <c r="T144" s="351"/>
      <c r="U144" s="351"/>
      <c r="V144" s="351"/>
      <c r="W144" s="351"/>
      <c r="X144" s="351"/>
      <c r="Y144" s="351"/>
      <c r="Z144" s="351"/>
      <c r="AA144" s="351"/>
      <c r="AB144" s="351"/>
      <c r="AC144" s="351"/>
      <c r="AD144" s="351"/>
      <c r="AE144" s="351"/>
      <c r="AF144" s="351"/>
      <c r="AG144" s="351"/>
      <c r="AH144" s="351"/>
      <c r="AI144" s="351"/>
      <c r="AJ144" s="351"/>
      <c r="AK144" s="360"/>
    </row>
    <row r="145" spans="1:37">
      <c r="A145" s="351"/>
      <c r="B145" s="351"/>
      <c r="C145" s="351"/>
      <c r="D145" s="351"/>
      <c r="E145" s="351"/>
      <c r="F145" s="351"/>
      <c r="G145" s="351"/>
      <c r="H145" s="351"/>
      <c r="I145" s="351"/>
      <c r="J145" s="351"/>
      <c r="K145" s="351"/>
      <c r="L145" s="351"/>
      <c r="M145" s="351"/>
      <c r="N145" s="351"/>
      <c r="O145" s="351"/>
      <c r="P145" s="351"/>
      <c r="Q145" s="351"/>
      <c r="R145" s="351"/>
      <c r="S145" s="351"/>
      <c r="T145" s="351"/>
      <c r="U145" s="351"/>
      <c r="V145" s="351"/>
      <c r="W145" s="351"/>
      <c r="X145" s="351"/>
      <c r="Y145" s="351"/>
      <c r="Z145" s="351"/>
      <c r="AA145" s="351"/>
      <c r="AB145" s="351"/>
      <c r="AC145" s="351"/>
      <c r="AD145" s="351"/>
      <c r="AE145" s="351"/>
      <c r="AF145" s="351"/>
      <c r="AG145" s="351"/>
      <c r="AH145" s="351"/>
      <c r="AI145" s="351"/>
      <c r="AJ145" s="351"/>
      <c r="AK145" s="360"/>
    </row>
    <row r="146" spans="1:37">
      <c r="A146" s="351"/>
      <c r="B146" s="351"/>
      <c r="C146" s="351"/>
      <c r="D146" s="351"/>
      <c r="E146" s="351"/>
      <c r="F146" s="351"/>
      <c r="G146" s="351"/>
      <c r="H146" s="351"/>
      <c r="I146" s="351"/>
      <c r="J146" s="351"/>
      <c r="K146" s="351"/>
      <c r="L146" s="351"/>
      <c r="M146" s="351"/>
      <c r="N146" s="351"/>
      <c r="O146" s="351"/>
      <c r="P146" s="351"/>
      <c r="Q146" s="351"/>
      <c r="R146" s="351"/>
      <c r="S146" s="351"/>
      <c r="T146" s="351"/>
      <c r="U146" s="351"/>
      <c r="V146" s="351"/>
      <c r="W146" s="351"/>
      <c r="X146" s="351"/>
      <c r="Y146" s="351"/>
      <c r="Z146" s="351"/>
      <c r="AA146" s="351"/>
      <c r="AB146" s="351"/>
      <c r="AC146" s="351"/>
      <c r="AD146" s="351"/>
      <c r="AE146" s="351"/>
      <c r="AF146" s="351"/>
      <c r="AG146" s="351"/>
      <c r="AH146" s="351"/>
      <c r="AI146" s="351"/>
      <c r="AJ146" s="351"/>
      <c r="AK146" s="360"/>
    </row>
    <row r="147" spans="1:37">
      <c r="A147" s="351"/>
      <c r="B147" s="351"/>
      <c r="C147" s="351"/>
      <c r="D147" s="351"/>
      <c r="E147" s="351"/>
      <c r="F147" s="351"/>
      <c r="G147" s="351"/>
      <c r="H147" s="351"/>
      <c r="I147" s="351"/>
      <c r="J147" s="351"/>
      <c r="K147" s="351"/>
      <c r="L147" s="351"/>
      <c r="M147" s="351"/>
      <c r="N147" s="351"/>
      <c r="O147" s="351"/>
      <c r="P147" s="351"/>
      <c r="Q147" s="351"/>
      <c r="R147" s="351"/>
      <c r="S147" s="351"/>
      <c r="T147" s="351"/>
      <c r="U147" s="351"/>
      <c r="V147" s="351"/>
      <c r="W147" s="351"/>
      <c r="X147" s="351"/>
      <c r="Y147" s="351"/>
      <c r="Z147" s="351"/>
      <c r="AA147" s="351"/>
      <c r="AB147" s="351"/>
      <c r="AC147" s="351"/>
      <c r="AD147" s="351"/>
      <c r="AE147" s="351"/>
      <c r="AF147" s="351"/>
      <c r="AG147" s="351"/>
      <c r="AH147" s="351"/>
      <c r="AI147" s="351"/>
      <c r="AJ147" s="351"/>
      <c r="AK147" s="360"/>
    </row>
    <row r="148" spans="1:37">
      <c r="A148" s="351"/>
      <c r="B148" s="351"/>
      <c r="C148" s="351"/>
      <c r="D148" s="351"/>
      <c r="E148" s="351"/>
      <c r="F148" s="351"/>
      <c r="G148" s="351"/>
      <c r="H148" s="351"/>
      <c r="I148" s="351"/>
      <c r="J148" s="351"/>
      <c r="K148" s="351"/>
      <c r="L148" s="351"/>
      <c r="M148" s="351"/>
      <c r="N148" s="351"/>
      <c r="O148" s="351"/>
      <c r="P148" s="351"/>
      <c r="Q148" s="351"/>
      <c r="R148" s="351"/>
      <c r="S148" s="351"/>
      <c r="T148" s="351"/>
      <c r="U148" s="351"/>
      <c r="V148" s="351"/>
      <c r="W148" s="351"/>
      <c r="X148" s="351"/>
      <c r="Y148" s="351"/>
      <c r="Z148" s="351"/>
      <c r="AA148" s="351"/>
      <c r="AB148" s="351"/>
      <c r="AC148" s="351"/>
      <c r="AD148" s="351"/>
      <c r="AE148" s="351"/>
      <c r="AF148" s="351"/>
      <c r="AG148" s="351"/>
      <c r="AH148" s="351"/>
      <c r="AI148" s="351"/>
      <c r="AJ148" s="351"/>
      <c r="AK148" s="360"/>
    </row>
    <row r="149" spans="1:37">
      <c r="A149" s="351"/>
      <c r="B149" s="351"/>
      <c r="C149" s="351"/>
      <c r="D149" s="351"/>
      <c r="E149" s="351"/>
      <c r="F149" s="351"/>
      <c r="G149" s="351"/>
      <c r="H149" s="351"/>
      <c r="I149" s="351"/>
      <c r="J149" s="351"/>
      <c r="K149" s="351"/>
      <c r="L149" s="351"/>
      <c r="M149" s="351"/>
      <c r="N149" s="351"/>
      <c r="O149" s="351"/>
      <c r="P149" s="351"/>
      <c r="Q149" s="351"/>
      <c r="R149" s="351"/>
      <c r="S149" s="351"/>
      <c r="T149" s="351"/>
      <c r="U149" s="351"/>
      <c r="V149" s="351"/>
      <c r="W149" s="351"/>
      <c r="X149" s="351"/>
      <c r="Y149" s="351"/>
      <c r="Z149" s="351"/>
      <c r="AA149" s="351"/>
      <c r="AB149" s="351"/>
      <c r="AC149" s="351"/>
      <c r="AD149" s="351"/>
      <c r="AE149" s="351"/>
      <c r="AF149" s="351"/>
      <c r="AG149" s="351"/>
      <c r="AH149" s="351"/>
      <c r="AI149" s="351"/>
      <c r="AJ149" s="351"/>
      <c r="AK149" s="360"/>
    </row>
    <row r="150" spans="1:37">
      <c r="A150" s="351"/>
      <c r="B150" s="351"/>
      <c r="C150" s="351"/>
      <c r="D150" s="351"/>
      <c r="E150" s="351"/>
      <c r="F150" s="351"/>
      <c r="G150" s="351"/>
      <c r="H150" s="351"/>
      <c r="I150" s="351"/>
      <c r="J150" s="351"/>
      <c r="K150" s="351"/>
      <c r="L150" s="351"/>
      <c r="M150" s="351"/>
      <c r="N150" s="351"/>
      <c r="O150" s="351"/>
      <c r="P150" s="351"/>
      <c r="Q150" s="351"/>
      <c r="R150" s="351"/>
      <c r="S150" s="351"/>
      <c r="T150" s="351"/>
      <c r="U150" s="351"/>
      <c r="V150" s="351"/>
      <c r="W150" s="351"/>
      <c r="X150" s="351"/>
      <c r="Y150" s="351"/>
      <c r="Z150" s="351"/>
      <c r="AA150" s="351"/>
      <c r="AB150" s="351"/>
      <c r="AC150" s="351"/>
      <c r="AD150" s="351"/>
      <c r="AE150" s="351"/>
      <c r="AF150" s="351"/>
      <c r="AG150" s="351"/>
      <c r="AH150" s="351"/>
      <c r="AI150" s="351"/>
      <c r="AJ150" s="351"/>
      <c r="AK150" s="360"/>
    </row>
    <row r="151" spans="1:37">
      <c r="A151" s="351"/>
      <c r="B151" s="351"/>
      <c r="C151" s="351"/>
      <c r="D151" s="351"/>
      <c r="E151" s="351"/>
      <c r="F151" s="351"/>
      <c r="G151" s="351"/>
      <c r="H151" s="351"/>
      <c r="I151" s="351"/>
      <c r="J151" s="351"/>
      <c r="K151" s="351"/>
      <c r="L151" s="351"/>
      <c r="M151" s="351"/>
      <c r="N151" s="351"/>
      <c r="O151" s="351"/>
      <c r="P151" s="351"/>
      <c r="Q151" s="351"/>
      <c r="R151" s="351"/>
      <c r="S151" s="351"/>
      <c r="T151" s="351"/>
      <c r="U151" s="351"/>
      <c r="V151" s="351"/>
      <c r="W151" s="351"/>
      <c r="X151" s="351"/>
      <c r="Y151" s="351"/>
      <c r="Z151" s="351"/>
      <c r="AA151" s="351"/>
      <c r="AB151" s="351"/>
      <c r="AC151" s="351"/>
      <c r="AD151" s="351"/>
      <c r="AE151" s="351"/>
      <c r="AF151" s="351"/>
      <c r="AG151" s="351"/>
      <c r="AH151" s="351"/>
      <c r="AI151" s="351"/>
      <c r="AJ151" s="351"/>
      <c r="AK151" s="360"/>
    </row>
    <row r="152" spans="1:37">
      <c r="A152" s="351"/>
      <c r="B152" s="351"/>
      <c r="C152" s="351"/>
      <c r="D152" s="351"/>
      <c r="E152" s="351"/>
      <c r="F152" s="351"/>
      <c r="G152" s="351"/>
      <c r="H152" s="351"/>
      <c r="I152" s="351"/>
      <c r="J152" s="351"/>
      <c r="K152" s="351"/>
      <c r="L152" s="351"/>
      <c r="M152" s="351"/>
      <c r="N152" s="351"/>
      <c r="O152" s="351"/>
      <c r="P152" s="351"/>
      <c r="Q152" s="351"/>
      <c r="R152" s="351"/>
      <c r="S152" s="351"/>
      <c r="T152" s="351"/>
      <c r="U152" s="351"/>
      <c r="V152" s="351"/>
      <c r="W152" s="351"/>
      <c r="X152" s="351"/>
      <c r="Y152" s="351"/>
      <c r="Z152" s="351"/>
      <c r="AA152" s="351"/>
      <c r="AB152" s="351"/>
      <c r="AC152" s="351"/>
      <c r="AD152" s="351"/>
      <c r="AE152" s="351"/>
      <c r="AF152" s="351"/>
      <c r="AG152" s="351"/>
      <c r="AH152" s="351"/>
      <c r="AI152" s="351"/>
      <c r="AJ152" s="351"/>
      <c r="AK152" s="360"/>
    </row>
    <row r="153" spans="1:37">
      <c r="A153" s="351"/>
      <c r="B153" s="351"/>
      <c r="C153" s="351"/>
      <c r="D153" s="351"/>
      <c r="E153" s="351"/>
      <c r="F153" s="351"/>
      <c r="G153" s="351"/>
      <c r="H153" s="351"/>
      <c r="I153" s="351"/>
      <c r="J153" s="351"/>
      <c r="K153" s="351"/>
      <c r="L153" s="351"/>
      <c r="M153" s="351"/>
      <c r="N153" s="351"/>
      <c r="O153" s="351"/>
      <c r="P153" s="351"/>
      <c r="Q153" s="351"/>
      <c r="R153" s="351"/>
      <c r="S153" s="351"/>
      <c r="T153" s="351"/>
      <c r="U153" s="351"/>
      <c r="V153" s="351"/>
      <c r="W153" s="351"/>
      <c r="X153" s="351"/>
      <c r="Y153" s="351"/>
      <c r="Z153" s="351"/>
      <c r="AA153" s="351"/>
      <c r="AB153" s="351"/>
      <c r="AC153" s="351"/>
      <c r="AD153" s="351"/>
      <c r="AE153" s="351"/>
      <c r="AF153" s="351"/>
      <c r="AG153" s="351"/>
      <c r="AH153" s="351"/>
      <c r="AI153" s="351"/>
      <c r="AJ153" s="351"/>
      <c r="AK153" s="360"/>
    </row>
    <row r="154" spans="1:37">
      <c r="A154" s="351"/>
      <c r="B154" s="351"/>
      <c r="C154" s="351"/>
      <c r="D154" s="351"/>
      <c r="E154" s="351"/>
      <c r="F154" s="351"/>
      <c r="G154" s="351"/>
      <c r="H154" s="351"/>
      <c r="I154" s="351"/>
      <c r="J154" s="351"/>
      <c r="K154" s="351"/>
      <c r="L154" s="351"/>
      <c r="M154" s="351"/>
      <c r="N154" s="351"/>
      <c r="O154" s="351"/>
      <c r="P154" s="351"/>
      <c r="Q154" s="351"/>
      <c r="R154" s="351"/>
      <c r="S154" s="351"/>
      <c r="T154" s="351"/>
      <c r="U154" s="351"/>
      <c r="V154" s="351"/>
      <c r="W154" s="351"/>
      <c r="X154" s="351"/>
      <c r="Y154" s="351"/>
      <c r="Z154" s="351"/>
      <c r="AA154" s="351"/>
      <c r="AB154" s="351"/>
      <c r="AC154" s="351"/>
      <c r="AD154" s="351"/>
      <c r="AE154" s="351"/>
      <c r="AF154" s="351"/>
      <c r="AG154" s="351"/>
      <c r="AH154" s="351"/>
      <c r="AI154" s="351"/>
      <c r="AJ154" s="351"/>
      <c r="AK154" s="360"/>
    </row>
    <row r="155" spans="1:37">
      <c r="A155" s="351"/>
      <c r="B155" s="351"/>
      <c r="C155" s="351"/>
      <c r="D155" s="351"/>
      <c r="E155" s="351"/>
      <c r="F155" s="351"/>
      <c r="G155" s="351"/>
      <c r="H155" s="351"/>
      <c r="I155" s="351"/>
      <c r="J155" s="351"/>
      <c r="K155" s="351"/>
      <c r="L155" s="351"/>
      <c r="M155" s="351"/>
      <c r="N155" s="351"/>
      <c r="O155" s="351"/>
      <c r="P155" s="351"/>
      <c r="Q155" s="351"/>
      <c r="R155" s="351"/>
      <c r="S155" s="351"/>
      <c r="T155" s="351"/>
      <c r="U155" s="351"/>
      <c r="V155" s="351"/>
      <c r="W155" s="351"/>
      <c r="X155" s="351"/>
      <c r="Y155" s="351"/>
      <c r="Z155" s="351"/>
      <c r="AA155" s="351"/>
      <c r="AB155" s="351"/>
      <c r="AC155" s="351"/>
      <c r="AD155" s="351"/>
      <c r="AE155" s="351"/>
      <c r="AF155" s="351"/>
      <c r="AG155" s="351"/>
      <c r="AH155" s="351"/>
      <c r="AI155" s="351"/>
      <c r="AJ155" s="351"/>
      <c r="AK155" s="360"/>
    </row>
    <row r="156" spans="1:37">
      <c r="A156" s="351"/>
      <c r="B156" s="351"/>
      <c r="C156" s="351"/>
      <c r="D156" s="351"/>
      <c r="E156" s="351"/>
      <c r="F156" s="351"/>
      <c r="G156" s="351"/>
      <c r="H156" s="351"/>
      <c r="I156" s="351"/>
      <c r="J156" s="351"/>
      <c r="K156" s="351"/>
      <c r="L156" s="351"/>
      <c r="M156" s="351"/>
      <c r="N156" s="351"/>
      <c r="O156" s="351"/>
      <c r="P156" s="351"/>
      <c r="Q156" s="351"/>
      <c r="R156" s="351"/>
      <c r="S156" s="351"/>
      <c r="T156" s="351"/>
      <c r="U156" s="351"/>
      <c r="V156" s="351"/>
      <c r="W156" s="351"/>
      <c r="X156" s="351"/>
      <c r="Y156" s="351"/>
      <c r="Z156" s="351"/>
      <c r="AA156" s="351"/>
      <c r="AB156" s="351"/>
      <c r="AC156" s="351"/>
      <c r="AD156" s="351"/>
      <c r="AE156" s="351"/>
      <c r="AF156" s="351"/>
      <c r="AG156" s="351"/>
      <c r="AH156" s="351"/>
      <c r="AI156" s="351"/>
      <c r="AJ156" s="351"/>
      <c r="AK156" s="360"/>
    </row>
    <row r="157" spans="1:37">
      <c r="A157" s="351"/>
      <c r="B157" s="351"/>
      <c r="C157" s="351"/>
      <c r="D157" s="351"/>
      <c r="E157" s="351"/>
      <c r="F157" s="351"/>
      <c r="G157" s="351"/>
      <c r="H157" s="351"/>
      <c r="I157" s="351"/>
      <c r="J157" s="351"/>
      <c r="K157" s="351"/>
      <c r="L157" s="351"/>
      <c r="M157" s="351"/>
      <c r="N157" s="351"/>
      <c r="O157" s="351"/>
      <c r="P157" s="351"/>
      <c r="Q157" s="351"/>
      <c r="R157" s="351"/>
      <c r="S157" s="351"/>
      <c r="T157" s="351"/>
      <c r="U157" s="351"/>
      <c r="V157" s="351"/>
      <c r="W157" s="351"/>
      <c r="X157" s="351"/>
      <c r="Y157" s="351"/>
      <c r="Z157" s="351"/>
      <c r="AA157" s="351"/>
      <c r="AB157" s="351"/>
      <c r="AC157" s="351"/>
      <c r="AD157" s="351"/>
      <c r="AE157" s="351"/>
      <c r="AF157" s="351"/>
      <c r="AG157" s="351"/>
      <c r="AH157" s="351"/>
      <c r="AI157" s="351"/>
      <c r="AJ157" s="351"/>
      <c r="AK157" s="360"/>
    </row>
    <row r="158" spans="1:37">
      <c r="A158" s="351"/>
      <c r="B158" s="351"/>
      <c r="C158" s="351"/>
      <c r="D158" s="351"/>
      <c r="E158" s="351"/>
      <c r="F158" s="351"/>
      <c r="G158" s="351"/>
      <c r="H158" s="351"/>
      <c r="I158" s="351"/>
      <c r="J158" s="351"/>
      <c r="K158" s="351"/>
      <c r="L158" s="351"/>
      <c r="M158" s="351"/>
      <c r="N158" s="351"/>
      <c r="O158" s="351"/>
      <c r="P158" s="351"/>
      <c r="Q158" s="351"/>
      <c r="R158" s="351"/>
      <c r="S158" s="351"/>
      <c r="T158" s="351"/>
      <c r="U158" s="351"/>
      <c r="V158" s="351"/>
      <c r="W158" s="351"/>
      <c r="X158" s="351"/>
      <c r="Y158" s="351"/>
      <c r="Z158" s="351"/>
      <c r="AA158" s="351"/>
      <c r="AB158" s="351"/>
      <c r="AC158" s="351"/>
      <c r="AD158" s="351"/>
      <c r="AE158" s="351"/>
      <c r="AF158" s="351"/>
      <c r="AG158" s="351"/>
      <c r="AH158" s="351"/>
      <c r="AI158" s="351"/>
      <c r="AJ158" s="351"/>
      <c r="AK158" s="360"/>
    </row>
    <row r="159" spans="1:37">
      <c r="A159" s="360"/>
      <c r="B159" s="360"/>
      <c r="C159" s="360"/>
      <c r="D159" s="360"/>
      <c r="E159" s="360"/>
      <c r="F159" s="360"/>
      <c r="G159" s="360"/>
      <c r="H159" s="360"/>
      <c r="I159" s="360"/>
      <c r="J159" s="360"/>
      <c r="K159" s="360"/>
      <c r="L159" s="360"/>
      <c r="M159" s="360"/>
      <c r="N159" s="360"/>
      <c r="O159" s="360"/>
      <c r="P159" s="360"/>
      <c r="Q159" s="360"/>
      <c r="R159" s="360"/>
      <c r="S159" s="360"/>
      <c r="T159" s="360"/>
      <c r="U159" s="360"/>
      <c r="V159" s="360"/>
      <c r="W159" s="360"/>
      <c r="X159" s="360"/>
      <c r="Y159" s="360"/>
      <c r="Z159" s="360"/>
      <c r="AA159" s="360"/>
      <c r="AB159" s="360"/>
      <c r="AC159" s="360"/>
      <c r="AD159" s="360"/>
      <c r="AE159" s="360"/>
      <c r="AF159" s="360"/>
      <c r="AG159" s="360"/>
      <c r="AH159" s="360"/>
      <c r="AI159" s="360"/>
      <c r="AJ159" s="360"/>
      <c r="AK159" s="360"/>
    </row>
    <row r="160" spans="1:37">
      <c r="A160" s="360"/>
      <c r="B160" s="360"/>
      <c r="C160" s="360"/>
      <c r="D160" s="360"/>
      <c r="E160" s="360"/>
      <c r="F160" s="360"/>
      <c r="G160" s="360"/>
      <c r="H160" s="360"/>
      <c r="I160" s="360"/>
      <c r="J160" s="360"/>
      <c r="K160" s="360"/>
      <c r="L160" s="360"/>
      <c r="M160" s="360"/>
      <c r="N160" s="360"/>
      <c r="O160" s="360"/>
      <c r="P160" s="360"/>
      <c r="Q160" s="360"/>
      <c r="R160" s="360"/>
      <c r="S160" s="360"/>
      <c r="T160" s="360"/>
      <c r="U160" s="360"/>
      <c r="V160" s="360"/>
      <c r="W160" s="360"/>
      <c r="X160" s="360"/>
      <c r="Y160" s="360"/>
      <c r="Z160" s="360"/>
      <c r="AA160" s="360"/>
      <c r="AB160" s="360"/>
      <c r="AC160" s="360"/>
      <c r="AD160" s="360"/>
      <c r="AE160" s="360"/>
      <c r="AF160" s="360"/>
      <c r="AG160" s="360"/>
      <c r="AH160" s="360"/>
      <c r="AI160" s="360"/>
      <c r="AJ160" s="360"/>
      <c r="AK160" s="360"/>
    </row>
    <row r="161" spans="1:37">
      <c r="A161" s="360"/>
      <c r="B161" s="360"/>
      <c r="C161" s="360"/>
      <c r="D161" s="360"/>
      <c r="E161" s="360"/>
      <c r="F161" s="360"/>
      <c r="G161" s="360"/>
      <c r="H161" s="360"/>
      <c r="I161" s="360"/>
      <c r="J161" s="360"/>
      <c r="K161" s="360"/>
      <c r="L161" s="360"/>
      <c r="M161" s="360"/>
      <c r="N161" s="360"/>
      <c r="O161" s="360"/>
      <c r="P161" s="360"/>
      <c r="Q161" s="360"/>
      <c r="R161" s="360"/>
      <c r="S161" s="360"/>
      <c r="T161" s="360"/>
      <c r="U161" s="360"/>
      <c r="V161" s="360"/>
      <c r="W161" s="360"/>
      <c r="X161" s="360"/>
      <c r="Y161" s="360"/>
      <c r="Z161" s="360"/>
      <c r="AA161" s="360"/>
      <c r="AB161" s="360"/>
      <c r="AC161" s="360"/>
      <c r="AD161" s="360"/>
      <c r="AE161" s="360"/>
      <c r="AF161" s="360"/>
      <c r="AG161" s="360"/>
      <c r="AH161" s="360"/>
      <c r="AI161" s="360"/>
      <c r="AJ161" s="360"/>
      <c r="AK161" s="360"/>
    </row>
    <row r="162" spans="1:37">
      <c r="A162" s="360"/>
      <c r="B162" s="360"/>
      <c r="C162" s="360"/>
      <c r="D162" s="360"/>
      <c r="E162" s="360"/>
      <c r="F162" s="360"/>
      <c r="G162" s="360"/>
      <c r="H162" s="360"/>
      <c r="I162" s="360"/>
      <c r="J162" s="360"/>
      <c r="K162" s="360"/>
      <c r="L162" s="360"/>
      <c r="M162" s="360"/>
      <c r="N162" s="360"/>
      <c r="O162" s="360"/>
      <c r="P162" s="360"/>
      <c r="Q162" s="360"/>
      <c r="R162" s="360"/>
      <c r="S162" s="360"/>
      <c r="T162" s="360"/>
      <c r="U162" s="360"/>
      <c r="V162" s="360"/>
      <c r="W162" s="360"/>
      <c r="X162" s="360"/>
      <c r="Y162" s="360"/>
      <c r="Z162" s="360"/>
      <c r="AA162" s="360"/>
      <c r="AB162" s="360"/>
      <c r="AC162" s="360"/>
      <c r="AD162" s="360"/>
      <c r="AE162" s="360"/>
      <c r="AF162" s="360"/>
      <c r="AG162" s="360"/>
      <c r="AH162" s="360"/>
      <c r="AI162" s="360"/>
      <c r="AJ162" s="360"/>
      <c r="AK162" s="360"/>
    </row>
    <row r="163" spans="1:37">
      <c r="A163" s="360"/>
      <c r="B163" s="360"/>
      <c r="C163" s="360"/>
      <c r="D163" s="360"/>
      <c r="E163" s="360"/>
      <c r="F163" s="360"/>
      <c r="G163" s="360"/>
      <c r="H163" s="360"/>
      <c r="I163" s="360"/>
      <c r="J163" s="360"/>
      <c r="K163" s="360"/>
      <c r="L163" s="360"/>
      <c r="M163" s="360"/>
      <c r="N163" s="360"/>
      <c r="O163" s="360"/>
      <c r="P163" s="360"/>
      <c r="Q163" s="360"/>
      <c r="R163" s="360"/>
      <c r="S163" s="360"/>
      <c r="T163" s="360"/>
      <c r="U163" s="360"/>
      <c r="V163" s="360"/>
      <c r="W163" s="360"/>
      <c r="X163" s="360"/>
      <c r="Y163" s="360"/>
      <c r="Z163" s="360"/>
      <c r="AA163" s="360"/>
      <c r="AB163" s="360"/>
      <c r="AC163" s="360"/>
      <c r="AD163" s="360"/>
      <c r="AE163" s="360"/>
      <c r="AF163" s="360"/>
      <c r="AG163" s="360"/>
      <c r="AH163" s="360"/>
      <c r="AI163" s="360"/>
      <c r="AJ163" s="360"/>
      <c r="AK163" s="360"/>
    </row>
    <row r="164" spans="1:37">
      <c r="A164" s="360"/>
      <c r="B164" s="360"/>
      <c r="C164" s="360"/>
      <c r="D164" s="360"/>
      <c r="E164" s="360"/>
      <c r="F164" s="360"/>
      <c r="G164" s="360"/>
      <c r="H164" s="360"/>
      <c r="I164" s="360"/>
      <c r="J164" s="360"/>
      <c r="K164" s="360"/>
      <c r="L164" s="360"/>
      <c r="M164" s="360"/>
      <c r="N164" s="360"/>
      <c r="O164" s="360"/>
      <c r="P164" s="360"/>
      <c r="Q164" s="360"/>
      <c r="R164" s="360"/>
      <c r="S164" s="360"/>
      <c r="T164" s="360"/>
      <c r="U164" s="360"/>
      <c r="V164" s="360"/>
      <c r="W164" s="360"/>
      <c r="X164" s="360"/>
      <c r="Y164" s="360"/>
      <c r="Z164" s="360"/>
      <c r="AA164" s="360"/>
      <c r="AB164" s="360"/>
      <c r="AC164" s="360"/>
      <c r="AD164" s="360"/>
      <c r="AE164" s="360"/>
      <c r="AF164" s="360"/>
      <c r="AG164" s="360"/>
      <c r="AH164" s="360"/>
      <c r="AI164" s="360"/>
      <c r="AJ164" s="360"/>
      <c r="AK164" s="360"/>
    </row>
    <row r="165" spans="1:37">
      <c r="A165" s="360"/>
      <c r="B165" s="360"/>
      <c r="C165" s="360"/>
      <c r="D165" s="360"/>
      <c r="E165" s="360"/>
      <c r="F165" s="360"/>
      <c r="G165" s="360"/>
      <c r="H165" s="360"/>
      <c r="I165" s="360"/>
      <c r="J165" s="360"/>
      <c r="K165" s="360"/>
      <c r="L165" s="360"/>
      <c r="M165" s="360"/>
      <c r="N165" s="360"/>
      <c r="O165" s="360"/>
      <c r="P165" s="360"/>
      <c r="Q165" s="360"/>
      <c r="R165" s="360"/>
      <c r="S165" s="360"/>
      <c r="T165" s="360"/>
      <c r="U165" s="360"/>
      <c r="V165" s="360"/>
      <c r="W165" s="360"/>
      <c r="X165" s="360"/>
      <c r="Y165" s="360"/>
      <c r="Z165" s="360"/>
      <c r="AA165" s="360"/>
      <c r="AB165" s="360"/>
      <c r="AC165" s="360"/>
      <c r="AD165" s="360"/>
      <c r="AE165" s="360"/>
      <c r="AF165" s="360"/>
      <c r="AG165" s="360"/>
      <c r="AH165" s="360"/>
      <c r="AI165" s="360"/>
      <c r="AJ165" s="360"/>
      <c r="AK165" s="360"/>
    </row>
    <row r="166" spans="1:37">
      <c r="A166" s="360"/>
      <c r="B166" s="360"/>
      <c r="C166" s="360"/>
      <c r="D166" s="360"/>
      <c r="E166" s="360"/>
      <c r="F166" s="360"/>
      <c r="G166" s="360"/>
      <c r="H166" s="360"/>
      <c r="I166" s="360"/>
      <c r="J166" s="360"/>
      <c r="K166" s="360"/>
      <c r="L166" s="360"/>
      <c r="M166" s="360"/>
      <c r="N166" s="360"/>
      <c r="O166" s="360"/>
      <c r="P166" s="360"/>
      <c r="Q166" s="360"/>
      <c r="R166" s="360"/>
      <c r="S166" s="360"/>
      <c r="T166" s="360"/>
      <c r="U166" s="360"/>
      <c r="V166" s="360"/>
      <c r="W166" s="360"/>
      <c r="X166" s="360"/>
      <c r="Y166" s="360"/>
      <c r="Z166" s="360"/>
      <c r="AA166" s="360"/>
      <c r="AB166" s="360"/>
      <c r="AC166" s="360"/>
      <c r="AD166" s="360"/>
      <c r="AE166" s="360"/>
      <c r="AF166" s="360"/>
      <c r="AG166" s="360"/>
      <c r="AH166" s="360"/>
      <c r="AI166" s="360"/>
      <c r="AJ166" s="360"/>
      <c r="AK166" s="360"/>
    </row>
    <row r="167" spans="1:37">
      <c r="A167" s="360"/>
      <c r="B167" s="360"/>
      <c r="C167" s="360"/>
      <c r="D167" s="360"/>
      <c r="E167" s="360"/>
      <c r="F167" s="360"/>
      <c r="G167" s="360"/>
      <c r="H167" s="360"/>
      <c r="I167" s="360"/>
      <c r="J167" s="360"/>
      <c r="K167" s="360"/>
      <c r="L167" s="360"/>
      <c r="M167" s="360"/>
      <c r="N167" s="360"/>
      <c r="O167" s="360"/>
      <c r="P167" s="360"/>
      <c r="Q167" s="360"/>
      <c r="R167" s="360"/>
      <c r="S167" s="360"/>
      <c r="T167" s="360"/>
      <c r="U167" s="360"/>
      <c r="V167" s="360"/>
      <c r="W167" s="360"/>
      <c r="X167" s="360"/>
      <c r="Y167" s="360"/>
      <c r="Z167" s="360"/>
      <c r="AA167" s="360"/>
      <c r="AB167" s="360"/>
      <c r="AC167" s="360"/>
      <c r="AD167" s="360"/>
      <c r="AE167" s="360"/>
      <c r="AF167" s="360"/>
      <c r="AG167" s="360"/>
      <c r="AH167" s="360"/>
      <c r="AI167" s="360"/>
      <c r="AJ167" s="360"/>
      <c r="AK167" s="360"/>
    </row>
    <row r="168" spans="1:37">
      <c r="A168" s="360"/>
      <c r="B168" s="360"/>
      <c r="C168" s="360"/>
      <c r="D168" s="360"/>
      <c r="E168" s="360"/>
      <c r="F168" s="360"/>
      <c r="G168" s="360"/>
      <c r="H168" s="360"/>
      <c r="I168" s="360"/>
      <c r="J168" s="360"/>
      <c r="K168" s="360"/>
      <c r="L168" s="360"/>
      <c r="M168" s="360"/>
      <c r="N168" s="360"/>
      <c r="O168" s="360"/>
      <c r="P168" s="360"/>
      <c r="Q168" s="360"/>
      <c r="R168" s="360"/>
      <c r="S168" s="360"/>
      <c r="T168" s="360"/>
      <c r="U168" s="360"/>
      <c r="V168" s="360"/>
      <c r="W168" s="360"/>
      <c r="X168" s="360"/>
      <c r="Y168" s="360"/>
      <c r="Z168" s="360"/>
      <c r="AA168" s="360"/>
      <c r="AB168" s="360"/>
      <c r="AC168" s="360"/>
      <c r="AD168" s="360"/>
      <c r="AE168" s="360"/>
      <c r="AF168" s="360"/>
      <c r="AG168" s="360"/>
      <c r="AH168" s="360"/>
      <c r="AI168" s="360"/>
      <c r="AJ168" s="360"/>
      <c r="AK168" s="360"/>
    </row>
    <row r="169" spans="1:37">
      <c r="A169" s="360"/>
      <c r="B169" s="360"/>
      <c r="C169" s="360"/>
      <c r="D169" s="360"/>
      <c r="E169" s="360"/>
      <c r="F169" s="360"/>
      <c r="G169" s="360"/>
      <c r="H169" s="360"/>
      <c r="I169" s="360"/>
      <c r="J169" s="360"/>
      <c r="K169" s="360"/>
      <c r="L169" s="360"/>
      <c r="M169" s="360"/>
      <c r="N169" s="360"/>
      <c r="O169" s="360"/>
      <c r="P169" s="360"/>
      <c r="Q169" s="360"/>
      <c r="R169" s="360"/>
      <c r="S169" s="360"/>
      <c r="T169" s="360"/>
      <c r="U169" s="360"/>
      <c r="V169" s="360"/>
      <c r="W169" s="360"/>
      <c r="X169" s="360"/>
      <c r="Y169" s="360"/>
      <c r="Z169" s="360"/>
      <c r="AA169" s="360"/>
      <c r="AB169" s="360"/>
      <c r="AC169" s="360"/>
      <c r="AD169" s="360"/>
      <c r="AE169" s="360"/>
      <c r="AF169" s="360"/>
      <c r="AG169" s="360"/>
      <c r="AH169" s="360"/>
      <c r="AI169" s="360"/>
      <c r="AJ169" s="360"/>
      <c r="AK169" s="360"/>
    </row>
    <row r="170" spans="1:37">
      <c r="A170" s="360"/>
      <c r="B170" s="360"/>
      <c r="C170" s="360"/>
      <c r="D170" s="360"/>
      <c r="E170" s="360"/>
      <c r="F170" s="360"/>
      <c r="G170" s="360"/>
      <c r="H170" s="360"/>
      <c r="I170" s="360"/>
      <c r="J170" s="360"/>
      <c r="K170" s="360"/>
      <c r="L170" s="360"/>
      <c r="M170" s="360"/>
      <c r="N170" s="360"/>
      <c r="O170" s="360"/>
      <c r="P170" s="360"/>
      <c r="Q170" s="360"/>
      <c r="R170" s="360"/>
      <c r="S170" s="360"/>
      <c r="T170" s="360"/>
      <c r="U170" s="360"/>
      <c r="V170" s="360"/>
      <c r="W170" s="360"/>
      <c r="X170" s="360"/>
      <c r="Y170" s="360"/>
      <c r="Z170" s="360"/>
      <c r="AA170" s="360"/>
      <c r="AB170" s="360"/>
      <c r="AC170" s="360"/>
      <c r="AD170" s="360"/>
      <c r="AE170" s="360"/>
      <c r="AF170" s="360"/>
      <c r="AG170" s="360"/>
      <c r="AH170" s="360"/>
      <c r="AI170" s="360"/>
      <c r="AJ170" s="360"/>
      <c r="AK170" s="360"/>
    </row>
    <row r="171" spans="1:37">
      <c r="A171" s="360"/>
      <c r="B171" s="360"/>
      <c r="C171" s="360"/>
      <c r="D171" s="360"/>
      <c r="E171" s="360"/>
      <c r="F171" s="360"/>
      <c r="G171" s="360"/>
      <c r="H171" s="360"/>
      <c r="I171" s="360"/>
      <c r="J171" s="360"/>
      <c r="K171" s="360"/>
      <c r="L171" s="360"/>
      <c r="M171" s="360"/>
      <c r="N171" s="360"/>
      <c r="O171" s="360"/>
      <c r="P171" s="360"/>
      <c r="Q171" s="360"/>
      <c r="R171" s="360"/>
      <c r="S171" s="360"/>
      <c r="T171" s="360"/>
      <c r="U171" s="360"/>
      <c r="V171" s="360"/>
      <c r="W171" s="360"/>
      <c r="X171" s="360"/>
      <c r="Y171" s="360"/>
      <c r="Z171" s="360"/>
      <c r="AA171" s="360"/>
      <c r="AB171" s="360"/>
      <c r="AC171" s="360"/>
      <c r="AD171" s="360"/>
      <c r="AE171" s="360"/>
      <c r="AF171" s="360"/>
      <c r="AG171" s="360"/>
      <c r="AH171" s="360"/>
      <c r="AI171" s="360"/>
      <c r="AJ171" s="360"/>
      <c r="AK171" s="360"/>
    </row>
    <row r="172" spans="1:37">
      <c r="A172" s="360"/>
      <c r="B172" s="360"/>
      <c r="C172" s="360"/>
      <c r="D172" s="360"/>
      <c r="E172" s="360"/>
      <c r="F172" s="360"/>
      <c r="G172" s="360"/>
      <c r="H172" s="360"/>
      <c r="I172" s="360"/>
      <c r="J172" s="360"/>
      <c r="K172" s="360"/>
      <c r="L172" s="360"/>
      <c r="M172" s="360"/>
      <c r="N172" s="360"/>
      <c r="O172" s="360"/>
      <c r="P172" s="360"/>
      <c r="Q172" s="360"/>
      <c r="R172" s="360"/>
      <c r="S172" s="360"/>
      <c r="T172" s="360"/>
      <c r="U172" s="360"/>
      <c r="V172" s="360"/>
      <c r="W172" s="360"/>
      <c r="X172" s="360"/>
      <c r="Y172" s="360"/>
      <c r="Z172" s="360"/>
      <c r="AA172" s="360"/>
      <c r="AB172" s="360"/>
      <c r="AC172" s="360"/>
      <c r="AD172" s="360"/>
      <c r="AE172" s="360"/>
      <c r="AF172" s="360"/>
      <c r="AG172" s="360"/>
      <c r="AH172" s="360"/>
      <c r="AI172" s="360"/>
      <c r="AJ172" s="360"/>
      <c r="AK172" s="360"/>
    </row>
    <row r="173" spans="1:37">
      <c r="A173" s="360"/>
      <c r="B173" s="360"/>
      <c r="C173" s="360"/>
      <c r="D173" s="360"/>
      <c r="E173" s="360"/>
      <c r="F173" s="360"/>
      <c r="G173" s="360"/>
      <c r="H173" s="360"/>
      <c r="I173" s="360"/>
      <c r="J173" s="360"/>
      <c r="K173" s="360"/>
      <c r="L173" s="360"/>
      <c r="M173" s="360"/>
      <c r="N173" s="360"/>
      <c r="O173" s="360"/>
      <c r="P173" s="360"/>
      <c r="Q173" s="360"/>
      <c r="R173" s="360"/>
      <c r="S173" s="360"/>
      <c r="T173" s="360"/>
      <c r="U173" s="360"/>
      <c r="V173" s="360"/>
      <c r="W173" s="360"/>
      <c r="X173" s="360"/>
      <c r="Y173" s="360"/>
      <c r="Z173" s="360"/>
      <c r="AA173" s="360"/>
      <c r="AB173" s="360"/>
      <c r="AC173" s="360"/>
      <c r="AD173" s="360"/>
      <c r="AE173" s="360"/>
      <c r="AF173" s="360"/>
      <c r="AG173" s="360"/>
      <c r="AH173" s="360"/>
      <c r="AI173" s="360"/>
      <c r="AJ173" s="360"/>
      <c r="AK173" s="360"/>
    </row>
    <row r="174" spans="1:37">
      <c r="A174" s="360"/>
      <c r="B174" s="360"/>
      <c r="C174" s="360"/>
      <c r="D174" s="360"/>
      <c r="E174" s="360"/>
      <c r="F174" s="360"/>
      <c r="G174" s="360"/>
      <c r="H174" s="360"/>
      <c r="I174" s="360"/>
      <c r="J174" s="360"/>
      <c r="K174" s="360"/>
      <c r="L174" s="360"/>
      <c r="M174" s="360"/>
      <c r="N174" s="360"/>
      <c r="O174" s="360"/>
      <c r="P174" s="360"/>
      <c r="Q174" s="360"/>
      <c r="R174" s="360"/>
      <c r="S174" s="360"/>
      <c r="T174" s="360"/>
      <c r="U174" s="360"/>
      <c r="V174" s="360"/>
      <c r="W174" s="360"/>
      <c r="X174" s="360"/>
      <c r="Y174" s="360"/>
      <c r="Z174" s="360"/>
      <c r="AA174" s="360"/>
      <c r="AB174" s="360"/>
      <c r="AC174" s="360"/>
      <c r="AD174" s="360"/>
      <c r="AE174" s="360"/>
      <c r="AF174" s="360"/>
      <c r="AG174" s="360"/>
      <c r="AH174" s="360"/>
      <c r="AI174" s="360"/>
      <c r="AJ174" s="360"/>
      <c r="AK174" s="360"/>
    </row>
    <row r="175" spans="1:37">
      <c r="A175" s="360"/>
      <c r="B175" s="360"/>
      <c r="C175" s="360"/>
      <c r="D175" s="360"/>
      <c r="E175" s="360"/>
      <c r="F175" s="360"/>
      <c r="G175" s="360"/>
      <c r="H175" s="360"/>
      <c r="I175" s="360"/>
      <c r="J175" s="360"/>
      <c r="K175" s="360"/>
      <c r="L175" s="360"/>
      <c r="M175" s="360"/>
      <c r="N175" s="360"/>
      <c r="O175" s="360"/>
      <c r="P175" s="360"/>
      <c r="Q175" s="360"/>
      <c r="R175" s="360"/>
      <c r="S175" s="360"/>
      <c r="T175" s="360"/>
      <c r="U175" s="360"/>
      <c r="V175" s="360"/>
      <c r="W175" s="360"/>
      <c r="X175" s="360"/>
      <c r="Y175" s="360"/>
      <c r="Z175" s="360"/>
      <c r="AA175" s="360"/>
      <c r="AB175" s="360"/>
      <c r="AC175" s="360"/>
      <c r="AD175" s="360"/>
      <c r="AE175" s="360"/>
      <c r="AF175" s="360"/>
      <c r="AG175" s="360"/>
      <c r="AH175" s="360"/>
      <c r="AI175" s="360"/>
      <c r="AJ175" s="360"/>
      <c r="AK175" s="360"/>
    </row>
    <row r="176" spans="1:37">
      <c r="A176" s="360"/>
      <c r="B176" s="360"/>
      <c r="C176" s="360"/>
      <c r="D176" s="360"/>
      <c r="E176" s="360"/>
      <c r="F176" s="360"/>
      <c r="G176" s="360"/>
      <c r="H176" s="360"/>
      <c r="I176" s="360"/>
      <c r="J176" s="360"/>
      <c r="K176" s="360"/>
      <c r="L176" s="360"/>
      <c r="M176" s="360"/>
      <c r="N176" s="360"/>
      <c r="O176" s="360"/>
      <c r="P176" s="360"/>
      <c r="Q176" s="360"/>
      <c r="R176" s="360"/>
      <c r="S176" s="360"/>
      <c r="T176" s="360"/>
      <c r="U176" s="360"/>
      <c r="V176" s="360"/>
      <c r="W176" s="360"/>
      <c r="X176" s="360"/>
      <c r="Y176" s="360"/>
      <c r="Z176" s="360"/>
      <c r="AA176" s="360"/>
      <c r="AB176" s="360"/>
      <c r="AC176" s="360"/>
      <c r="AD176" s="360"/>
      <c r="AE176" s="360"/>
      <c r="AF176" s="360"/>
      <c r="AG176" s="360"/>
      <c r="AH176" s="360"/>
      <c r="AI176" s="360"/>
      <c r="AJ176" s="360"/>
      <c r="AK176" s="360"/>
    </row>
    <row r="177" spans="1:37">
      <c r="A177" s="360"/>
      <c r="B177" s="360"/>
      <c r="C177" s="360"/>
      <c r="D177" s="360"/>
      <c r="E177" s="360"/>
      <c r="F177" s="360"/>
      <c r="G177" s="360"/>
      <c r="H177" s="360"/>
      <c r="I177" s="360"/>
      <c r="J177" s="360"/>
      <c r="K177" s="360"/>
      <c r="L177" s="360"/>
      <c r="M177" s="360"/>
      <c r="N177" s="360"/>
      <c r="O177" s="360"/>
      <c r="P177" s="360"/>
      <c r="Q177" s="360"/>
      <c r="R177" s="360"/>
      <c r="S177" s="360"/>
      <c r="T177" s="360"/>
      <c r="U177" s="360"/>
      <c r="V177" s="360"/>
      <c r="W177" s="360"/>
      <c r="X177" s="360"/>
      <c r="Y177" s="360"/>
      <c r="Z177" s="360"/>
      <c r="AA177" s="360"/>
      <c r="AB177" s="360"/>
      <c r="AC177" s="360"/>
      <c r="AD177" s="360"/>
      <c r="AE177" s="360"/>
      <c r="AF177" s="360"/>
      <c r="AG177" s="360"/>
      <c r="AH177" s="360"/>
      <c r="AI177" s="360"/>
      <c r="AJ177" s="360"/>
      <c r="AK177" s="360"/>
    </row>
    <row r="178" spans="1:37">
      <c r="A178" s="360"/>
      <c r="B178" s="360"/>
      <c r="C178" s="360"/>
      <c r="D178" s="360"/>
      <c r="E178" s="360"/>
      <c r="F178" s="360"/>
      <c r="G178" s="360"/>
      <c r="H178" s="360"/>
      <c r="I178" s="360"/>
      <c r="J178" s="360"/>
      <c r="K178" s="360"/>
      <c r="L178" s="360"/>
      <c r="M178" s="360"/>
      <c r="N178" s="360"/>
      <c r="O178" s="360"/>
      <c r="P178" s="360"/>
      <c r="Q178" s="360"/>
      <c r="R178" s="360"/>
      <c r="S178" s="360"/>
      <c r="T178" s="360"/>
      <c r="U178" s="360"/>
      <c r="V178" s="360"/>
      <c r="W178" s="360"/>
      <c r="X178" s="360"/>
      <c r="Y178" s="360"/>
      <c r="Z178" s="360"/>
      <c r="AA178" s="360"/>
      <c r="AB178" s="360"/>
      <c r="AC178" s="360"/>
      <c r="AD178" s="360"/>
      <c r="AE178" s="360"/>
      <c r="AF178" s="360"/>
      <c r="AG178" s="360"/>
      <c r="AH178" s="360"/>
      <c r="AI178" s="360"/>
      <c r="AJ178" s="360"/>
      <c r="AK178" s="360"/>
    </row>
    <row r="179" spans="1:37">
      <c r="A179" s="360"/>
      <c r="B179" s="360"/>
      <c r="C179" s="360"/>
      <c r="D179" s="360"/>
      <c r="E179" s="360"/>
      <c r="F179" s="360"/>
      <c r="G179" s="360"/>
      <c r="H179" s="360"/>
      <c r="I179" s="360"/>
      <c r="J179" s="360"/>
      <c r="K179" s="360"/>
      <c r="L179" s="360"/>
      <c r="M179" s="360"/>
      <c r="N179" s="360"/>
      <c r="O179" s="360"/>
      <c r="P179" s="360"/>
      <c r="Q179" s="360"/>
      <c r="R179" s="360"/>
      <c r="S179" s="360"/>
      <c r="T179" s="360"/>
      <c r="U179" s="360"/>
      <c r="V179" s="360"/>
      <c r="W179" s="360"/>
      <c r="X179" s="360"/>
      <c r="Y179" s="360"/>
      <c r="Z179" s="360"/>
      <c r="AA179" s="360"/>
      <c r="AB179" s="360"/>
      <c r="AC179" s="360"/>
      <c r="AD179" s="360"/>
      <c r="AE179" s="360"/>
      <c r="AF179" s="360"/>
      <c r="AG179" s="360"/>
      <c r="AH179" s="360"/>
      <c r="AI179" s="360"/>
      <c r="AJ179" s="360"/>
      <c r="AK179" s="360"/>
    </row>
    <row r="180" spans="1:37">
      <c r="A180" s="360"/>
      <c r="B180" s="360"/>
      <c r="C180" s="360"/>
      <c r="D180" s="360"/>
      <c r="E180" s="360"/>
      <c r="F180" s="360"/>
      <c r="G180" s="360"/>
      <c r="H180" s="360"/>
      <c r="I180" s="360"/>
      <c r="J180" s="360"/>
      <c r="K180" s="360"/>
      <c r="L180" s="360"/>
      <c r="M180" s="360"/>
      <c r="N180" s="360"/>
      <c r="O180" s="360"/>
      <c r="P180" s="360"/>
      <c r="Q180" s="360"/>
      <c r="R180" s="360"/>
      <c r="S180" s="360"/>
      <c r="T180" s="360"/>
      <c r="U180" s="360"/>
      <c r="V180" s="360"/>
      <c r="W180" s="360"/>
      <c r="X180" s="360"/>
      <c r="Y180" s="360"/>
      <c r="Z180" s="360"/>
      <c r="AA180" s="360"/>
      <c r="AB180" s="360"/>
      <c r="AC180" s="360"/>
      <c r="AD180" s="360"/>
      <c r="AE180" s="360"/>
      <c r="AF180" s="360"/>
      <c r="AG180" s="360"/>
      <c r="AH180" s="360"/>
      <c r="AI180" s="360"/>
      <c r="AJ180" s="360"/>
      <c r="AK180" s="360"/>
    </row>
    <row r="181" spans="1:37">
      <c r="A181" s="360"/>
      <c r="B181" s="360"/>
      <c r="C181" s="360"/>
      <c r="D181" s="360"/>
      <c r="E181" s="360"/>
      <c r="F181" s="360"/>
      <c r="G181" s="360"/>
      <c r="H181" s="360"/>
      <c r="I181" s="360"/>
      <c r="J181" s="360"/>
      <c r="K181" s="360"/>
      <c r="L181" s="360"/>
      <c r="M181" s="360"/>
      <c r="N181" s="360"/>
      <c r="O181" s="360"/>
      <c r="P181" s="360"/>
      <c r="Q181" s="360"/>
      <c r="R181" s="360"/>
      <c r="S181" s="360"/>
      <c r="T181" s="360"/>
      <c r="U181" s="360"/>
      <c r="V181" s="360"/>
      <c r="W181" s="360"/>
      <c r="X181" s="360"/>
      <c r="Y181" s="360"/>
      <c r="Z181" s="360"/>
      <c r="AA181" s="360"/>
      <c r="AB181" s="360"/>
      <c r="AC181" s="360"/>
      <c r="AD181" s="360"/>
      <c r="AE181" s="360"/>
      <c r="AF181" s="360"/>
      <c r="AG181" s="360"/>
      <c r="AH181" s="360"/>
      <c r="AI181" s="360"/>
      <c r="AJ181" s="360"/>
      <c r="AK181" s="360"/>
    </row>
    <row r="182" spans="1:37">
      <c r="A182" s="360"/>
      <c r="B182" s="360"/>
      <c r="C182" s="360"/>
      <c r="D182" s="360"/>
      <c r="E182" s="360"/>
      <c r="F182" s="360"/>
      <c r="G182" s="360"/>
      <c r="H182" s="360"/>
      <c r="I182" s="360"/>
      <c r="J182" s="360"/>
      <c r="K182" s="360"/>
      <c r="L182" s="360"/>
      <c r="M182" s="360"/>
      <c r="N182" s="360"/>
      <c r="O182" s="360"/>
      <c r="P182" s="360"/>
      <c r="Q182" s="360"/>
      <c r="R182" s="360"/>
      <c r="S182" s="360"/>
      <c r="T182" s="360"/>
      <c r="U182" s="360"/>
      <c r="V182" s="360"/>
      <c r="W182" s="360"/>
      <c r="X182" s="360"/>
      <c r="Y182" s="360"/>
      <c r="Z182" s="360"/>
      <c r="AA182" s="360"/>
      <c r="AB182" s="360"/>
      <c r="AC182" s="360"/>
      <c r="AD182" s="360"/>
      <c r="AE182" s="360"/>
      <c r="AF182" s="360"/>
      <c r="AG182" s="360"/>
      <c r="AH182" s="360"/>
      <c r="AI182" s="360"/>
      <c r="AJ182" s="360"/>
      <c r="AK182" s="360"/>
    </row>
    <row r="183" spans="1:37">
      <c r="A183" s="360"/>
      <c r="B183" s="360"/>
      <c r="C183" s="360"/>
      <c r="D183" s="360"/>
      <c r="E183" s="360"/>
      <c r="F183" s="360"/>
      <c r="G183" s="360"/>
      <c r="H183" s="360"/>
      <c r="I183" s="360"/>
      <c r="J183" s="360"/>
      <c r="K183" s="360"/>
      <c r="L183" s="360"/>
      <c r="M183" s="360"/>
      <c r="N183" s="360"/>
      <c r="O183" s="360"/>
      <c r="P183" s="360"/>
      <c r="Q183" s="360"/>
      <c r="R183" s="360"/>
      <c r="S183" s="360"/>
      <c r="T183" s="360"/>
      <c r="U183" s="360"/>
      <c r="V183" s="360"/>
      <c r="W183" s="360"/>
      <c r="X183" s="360"/>
      <c r="Y183" s="360"/>
      <c r="Z183" s="360"/>
      <c r="AA183" s="360"/>
      <c r="AB183" s="360"/>
      <c r="AC183" s="360"/>
      <c r="AD183" s="360"/>
      <c r="AE183" s="360"/>
      <c r="AF183" s="360"/>
      <c r="AG183" s="360"/>
      <c r="AH183" s="360"/>
      <c r="AI183" s="360"/>
      <c r="AJ183" s="360"/>
      <c r="AK183" s="360"/>
    </row>
    <row r="184" spans="1:37">
      <c r="A184" s="360"/>
      <c r="B184" s="360"/>
      <c r="C184" s="360"/>
      <c r="D184" s="360"/>
      <c r="E184" s="360"/>
      <c r="F184" s="360"/>
      <c r="G184" s="360"/>
      <c r="H184" s="360"/>
      <c r="I184" s="360"/>
      <c r="J184" s="360"/>
      <c r="K184" s="360"/>
      <c r="L184" s="360"/>
      <c r="M184" s="360"/>
      <c r="N184" s="360"/>
      <c r="O184" s="360"/>
      <c r="P184" s="360"/>
      <c r="Q184" s="360"/>
      <c r="R184" s="360"/>
      <c r="S184" s="360"/>
      <c r="T184" s="360"/>
      <c r="U184" s="360"/>
      <c r="V184" s="360"/>
      <c r="W184" s="360"/>
      <c r="X184" s="360"/>
      <c r="Y184" s="360"/>
      <c r="Z184" s="360"/>
      <c r="AA184" s="360"/>
      <c r="AB184" s="360"/>
      <c r="AC184" s="360"/>
      <c r="AD184" s="360"/>
      <c r="AE184" s="360"/>
      <c r="AF184" s="360"/>
      <c r="AG184" s="360"/>
      <c r="AH184" s="360"/>
      <c r="AI184" s="360"/>
      <c r="AJ184" s="360"/>
      <c r="AK184" s="360"/>
    </row>
    <row r="185" spans="1:37">
      <c r="A185" s="360"/>
      <c r="B185" s="360"/>
      <c r="C185" s="360"/>
      <c r="D185" s="360"/>
      <c r="E185" s="360"/>
      <c r="F185" s="360"/>
      <c r="G185" s="360"/>
      <c r="H185" s="360"/>
      <c r="I185" s="360"/>
      <c r="J185" s="360"/>
      <c r="K185" s="360"/>
      <c r="L185" s="360"/>
      <c r="M185" s="360"/>
      <c r="N185" s="360"/>
      <c r="O185" s="360"/>
      <c r="P185" s="360"/>
      <c r="Q185" s="360"/>
      <c r="R185" s="360"/>
      <c r="S185" s="360"/>
      <c r="T185" s="360"/>
      <c r="U185" s="360"/>
      <c r="V185" s="360"/>
      <c r="W185" s="360"/>
      <c r="X185" s="360"/>
      <c r="Y185" s="360"/>
      <c r="Z185" s="360"/>
      <c r="AA185" s="360"/>
      <c r="AB185" s="360"/>
      <c r="AC185" s="360"/>
      <c r="AD185" s="360"/>
      <c r="AE185" s="360"/>
      <c r="AF185" s="360"/>
      <c r="AG185" s="360"/>
      <c r="AH185" s="360"/>
      <c r="AI185" s="360"/>
      <c r="AJ185" s="360"/>
      <c r="AK185" s="360"/>
    </row>
    <row r="186" spans="1:37">
      <c r="A186" s="360"/>
      <c r="B186" s="360"/>
      <c r="C186" s="360"/>
      <c r="D186" s="360"/>
      <c r="E186" s="360"/>
      <c r="F186" s="360"/>
      <c r="G186" s="360"/>
      <c r="H186" s="360"/>
      <c r="I186" s="360"/>
      <c r="J186" s="360"/>
      <c r="K186" s="360"/>
      <c r="L186" s="360"/>
      <c r="M186" s="360"/>
      <c r="N186" s="360"/>
      <c r="O186" s="360"/>
      <c r="P186" s="360"/>
      <c r="Q186" s="360"/>
      <c r="R186" s="360"/>
      <c r="S186" s="360"/>
      <c r="T186" s="360"/>
      <c r="U186" s="360"/>
      <c r="V186" s="360"/>
      <c r="W186" s="360"/>
      <c r="X186" s="360"/>
      <c r="Y186" s="360"/>
      <c r="Z186" s="360"/>
      <c r="AA186" s="360"/>
      <c r="AB186" s="360"/>
      <c r="AC186" s="360"/>
      <c r="AD186" s="360"/>
      <c r="AE186" s="360"/>
      <c r="AF186" s="360"/>
      <c r="AG186" s="360"/>
      <c r="AH186" s="360"/>
      <c r="AI186" s="360"/>
      <c r="AJ186" s="360"/>
      <c r="AK186" s="360"/>
    </row>
    <row r="187" spans="1:37">
      <c r="A187" s="360"/>
      <c r="B187" s="360"/>
      <c r="C187" s="360"/>
      <c r="D187" s="360"/>
      <c r="E187" s="360"/>
      <c r="F187" s="360"/>
      <c r="G187" s="360"/>
      <c r="H187" s="360"/>
      <c r="I187" s="360"/>
      <c r="J187" s="360"/>
      <c r="K187" s="360"/>
      <c r="L187" s="360"/>
      <c r="M187" s="360"/>
      <c r="N187" s="360"/>
      <c r="O187" s="360"/>
      <c r="P187" s="360"/>
      <c r="Q187" s="360"/>
      <c r="R187" s="360"/>
      <c r="S187" s="360"/>
      <c r="T187" s="360"/>
      <c r="U187" s="360"/>
      <c r="V187" s="360"/>
      <c r="W187" s="360"/>
      <c r="X187" s="360"/>
      <c r="Y187" s="360"/>
      <c r="Z187" s="360"/>
      <c r="AA187" s="360"/>
      <c r="AB187" s="360"/>
      <c r="AC187" s="360"/>
      <c r="AD187" s="360"/>
      <c r="AE187" s="360"/>
      <c r="AF187" s="360"/>
      <c r="AG187" s="360"/>
      <c r="AH187" s="360"/>
      <c r="AI187" s="360"/>
      <c r="AJ187" s="360"/>
      <c r="AK187" s="360"/>
    </row>
    <row r="188" spans="1:37">
      <c r="A188" s="360"/>
      <c r="B188" s="360"/>
      <c r="C188" s="360"/>
      <c r="D188" s="360"/>
      <c r="E188" s="360"/>
      <c r="F188" s="360"/>
      <c r="G188" s="360"/>
      <c r="H188" s="360"/>
      <c r="I188" s="360"/>
      <c r="J188" s="360"/>
      <c r="K188" s="360"/>
      <c r="L188" s="360"/>
      <c r="M188" s="360"/>
      <c r="N188" s="360"/>
      <c r="O188" s="360"/>
      <c r="P188" s="360"/>
      <c r="Q188" s="360"/>
      <c r="R188" s="360"/>
      <c r="S188" s="360"/>
      <c r="T188" s="360"/>
      <c r="U188" s="360"/>
      <c r="V188" s="360"/>
      <c r="W188" s="360"/>
      <c r="X188" s="360"/>
      <c r="Y188" s="360"/>
      <c r="Z188" s="360"/>
      <c r="AA188" s="360"/>
      <c r="AB188" s="360"/>
      <c r="AC188" s="360"/>
      <c r="AD188" s="360"/>
      <c r="AE188" s="360"/>
      <c r="AF188" s="360"/>
      <c r="AG188" s="360"/>
      <c r="AH188" s="360"/>
      <c r="AI188" s="360"/>
      <c r="AJ188" s="360"/>
      <c r="AK188" s="360"/>
    </row>
    <row r="189" spans="1:37">
      <c r="A189" s="360"/>
      <c r="B189" s="360"/>
      <c r="C189" s="360"/>
      <c r="D189" s="360"/>
      <c r="E189" s="360"/>
      <c r="F189" s="360"/>
      <c r="G189" s="360"/>
      <c r="H189" s="360"/>
      <c r="I189" s="360"/>
      <c r="J189" s="360"/>
      <c r="K189" s="360"/>
      <c r="L189" s="360"/>
      <c r="M189" s="360"/>
      <c r="N189" s="360"/>
      <c r="O189" s="360"/>
      <c r="P189" s="360"/>
      <c r="Q189" s="360"/>
      <c r="R189" s="360"/>
      <c r="S189" s="360"/>
      <c r="T189" s="360"/>
      <c r="U189" s="360"/>
      <c r="V189" s="360"/>
      <c r="W189" s="360"/>
      <c r="X189" s="360"/>
      <c r="Y189" s="360"/>
      <c r="Z189" s="360"/>
      <c r="AA189" s="360"/>
      <c r="AB189" s="360"/>
      <c r="AC189" s="360"/>
      <c r="AD189" s="360"/>
      <c r="AE189" s="360"/>
      <c r="AF189" s="360"/>
      <c r="AG189" s="360"/>
      <c r="AH189" s="360"/>
      <c r="AI189" s="360"/>
      <c r="AJ189" s="360"/>
      <c r="AK189" s="360"/>
    </row>
    <row r="190" spans="1:37">
      <c r="A190" s="360"/>
      <c r="B190" s="360"/>
      <c r="C190" s="360"/>
      <c r="D190" s="360"/>
      <c r="E190" s="360"/>
      <c r="F190" s="360"/>
      <c r="G190" s="360"/>
      <c r="H190" s="360"/>
      <c r="I190" s="360"/>
      <c r="J190" s="360"/>
      <c r="K190" s="360"/>
      <c r="L190" s="360"/>
      <c r="M190" s="360"/>
      <c r="N190" s="360"/>
      <c r="O190" s="360"/>
      <c r="P190" s="360"/>
      <c r="Q190" s="360"/>
      <c r="R190" s="360"/>
      <c r="S190" s="360"/>
      <c r="T190" s="360"/>
      <c r="U190" s="360"/>
      <c r="V190" s="360"/>
      <c r="W190" s="360"/>
      <c r="X190" s="360"/>
      <c r="Y190" s="360"/>
      <c r="Z190" s="360"/>
      <c r="AA190" s="360"/>
      <c r="AB190" s="360"/>
      <c r="AC190" s="360"/>
      <c r="AD190" s="360"/>
      <c r="AE190" s="360"/>
      <c r="AF190" s="360"/>
      <c r="AG190" s="360"/>
      <c r="AH190" s="360"/>
      <c r="AI190" s="360"/>
      <c r="AJ190" s="360"/>
      <c r="AK190" s="360"/>
    </row>
    <row r="191" spans="1:37">
      <c r="A191" s="360"/>
      <c r="B191" s="360"/>
      <c r="C191" s="360"/>
      <c r="D191" s="360"/>
      <c r="E191" s="360"/>
      <c r="F191" s="360"/>
      <c r="G191" s="360"/>
      <c r="H191" s="360"/>
      <c r="I191" s="360"/>
      <c r="J191" s="360"/>
      <c r="K191" s="360"/>
      <c r="L191" s="360"/>
      <c r="M191" s="360"/>
      <c r="N191" s="360"/>
      <c r="O191" s="360"/>
      <c r="P191" s="360"/>
      <c r="Q191" s="360"/>
      <c r="R191" s="360"/>
      <c r="S191" s="360"/>
      <c r="T191" s="360"/>
      <c r="U191" s="360"/>
      <c r="V191" s="360"/>
      <c r="W191" s="360"/>
      <c r="X191" s="360"/>
      <c r="Y191" s="360"/>
      <c r="Z191" s="360"/>
      <c r="AA191" s="360"/>
      <c r="AB191" s="360"/>
      <c r="AC191" s="360"/>
      <c r="AD191" s="360"/>
      <c r="AE191" s="360"/>
      <c r="AF191" s="360"/>
      <c r="AG191" s="360"/>
      <c r="AH191" s="360"/>
      <c r="AI191" s="360"/>
      <c r="AJ191" s="360"/>
      <c r="AK191" s="360"/>
    </row>
    <row r="192" spans="1:37">
      <c r="A192" s="360"/>
      <c r="B192" s="360"/>
      <c r="C192" s="360"/>
      <c r="D192" s="360"/>
      <c r="E192" s="360"/>
      <c r="F192" s="360"/>
      <c r="G192" s="360"/>
      <c r="H192" s="360"/>
      <c r="I192" s="360"/>
      <c r="J192" s="360"/>
      <c r="K192" s="360"/>
      <c r="L192" s="360"/>
      <c r="M192" s="360"/>
      <c r="N192" s="360"/>
      <c r="O192" s="360"/>
      <c r="P192" s="360"/>
      <c r="Q192" s="360"/>
      <c r="R192" s="360"/>
      <c r="S192" s="360"/>
      <c r="T192" s="360"/>
      <c r="U192" s="360"/>
      <c r="V192" s="360"/>
      <c r="W192" s="360"/>
      <c r="X192" s="360"/>
      <c r="Y192" s="360"/>
      <c r="Z192" s="360"/>
      <c r="AA192" s="360"/>
      <c r="AB192" s="360"/>
      <c r="AC192" s="360"/>
      <c r="AD192" s="360"/>
      <c r="AE192" s="360"/>
      <c r="AF192" s="360"/>
      <c r="AG192" s="360"/>
      <c r="AH192" s="360"/>
      <c r="AI192" s="360"/>
      <c r="AJ192" s="360"/>
      <c r="AK192" s="360"/>
    </row>
    <row r="193" spans="1:37">
      <c r="A193" s="360"/>
      <c r="B193" s="360"/>
      <c r="C193" s="360"/>
      <c r="D193" s="360"/>
      <c r="E193" s="360"/>
      <c r="F193" s="360"/>
      <c r="G193" s="360"/>
      <c r="H193" s="360"/>
      <c r="I193" s="360"/>
      <c r="J193" s="360"/>
      <c r="K193" s="360"/>
      <c r="L193" s="360"/>
      <c r="M193" s="360"/>
      <c r="N193" s="360"/>
      <c r="O193" s="360"/>
      <c r="P193" s="360"/>
      <c r="Q193" s="360"/>
      <c r="R193" s="360"/>
      <c r="S193" s="360"/>
      <c r="T193" s="360"/>
      <c r="U193" s="360"/>
      <c r="V193" s="360"/>
      <c r="W193" s="360"/>
      <c r="X193" s="360"/>
      <c r="Y193" s="360"/>
      <c r="Z193" s="360"/>
      <c r="AA193" s="360"/>
      <c r="AB193" s="360"/>
      <c r="AC193" s="360"/>
      <c r="AD193" s="360"/>
      <c r="AE193" s="360"/>
      <c r="AF193" s="360"/>
      <c r="AG193" s="360"/>
      <c r="AH193" s="360"/>
      <c r="AI193" s="360"/>
      <c r="AJ193" s="360"/>
      <c r="AK193" s="360"/>
    </row>
    <row r="194" spans="1:37">
      <c r="A194" s="360"/>
      <c r="B194" s="360"/>
      <c r="C194" s="360"/>
      <c r="D194" s="360"/>
      <c r="E194" s="360"/>
      <c r="F194" s="360"/>
      <c r="G194" s="360"/>
      <c r="H194" s="360"/>
      <c r="I194" s="360"/>
      <c r="J194" s="360"/>
      <c r="K194" s="360"/>
      <c r="L194" s="360"/>
      <c r="M194" s="360"/>
      <c r="N194" s="360"/>
      <c r="O194" s="360"/>
      <c r="P194" s="360"/>
      <c r="Q194" s="360"/>
      <c r="R194" s="360"/>
      <c r="S194" s="360"/>
      <c r="T194" s="360"/>
      <c r="U194" s="360"/>
      <c r="V194" s="360"/>
      <c r="W194" s="360"/>
      <c r="X194" s="360"/>
      <c r="Y194" s="360"/>
      <c r="Z194" s="360"/>
      <c r="AA194" s="360"/>
      <c r="AB194" s="360"/>
      <c r="AC194" s="360"/>
      <c r="AD194" s="360"/>
      <c r="AE194" s="360"/>
      <c r="AF194" s="360"/>
      <c r="AG194" s="360"/>
      <c r="AH194" s="360"/>
      <c r="AI194" s="360"/>
      <c r="AJ194" s="360"/>
      <c r="AK194" s="360"/>
    </row>
    <row r="195" spans="1:37">
      <c r="A195" s="360"/>
      <c r="B195" s="360"/>
      <c r="C195" s="360"/>
      <c r="D195" s="360"/>
      <c r="E195" s="360"/>
      <c r="F195" s="360"/>
      <c r="G195" s="360"/>
      <c r="H195" s="360"/>
      <c r="I195" s="360"/>
      <c r="J195" s="360"/>
      <c r="K195" s="360"/>
      <c r="L195" s="360"/>
      <c r="M195" s="360"/>
      <c r="N195" s="360"/>
      <c r="O195" s="360"/>
      <c r="P195" s="360"/>
      <c r="Q195" s="360"/>
      <c r="R195" s="360"/>
      <c r="S195" s="360"/>
      <c r="T195" s="360"/>
      <c r="U195" s="360"/>
      <c r="V195" s="360"/>
      <c r="W195" s="360"/>
      <c r="X195" s="360"/>
      <c r="Y195" s="360"/>
      <c r="Z195" s="360"/>
      <c r="AA195" s="360"/>
      <c r="AB195" s="360"/>
      <c r="AC195" s="360"/>
      <c r="AD195" s="360"/>
      <c r="AE195" s="360"/>
      <c r="AF195" s="360"/>
      <c r="AG195" s="360"/>
      <c r="AH195" s="360"/>
      <c r="AI195" s="360"/>
      <c r="AJ195" s="360"/>
      <c r="AK195" s="360"/>
    </row>
    <row r="196" spans="1:37">
      <c r="A196" s="360"/>
      <c r="B196" s="360"/>
      <c r="C196" s="360"/>
      <c r="D196" s="360"/>
      <c r="E196" s="360"/>
      <c r="F196" s="360"/>
      <c r="G196" s="360"/>
      <c r="H196" s="360"/>
      <c r="I196" s="360"/>
      <c r="J196" s="360"/>
      <c r="K196" s="360"/>
      <c r="L196" s="360"/>
      <c r="M196" s="360"/>
      <c r="N196" s="360"/>
      <c r="O196" s="360"/>
      <c r="P196" s="360"/>
      <c r="Q196" s="360"/>
      <c r="R196" s="360"/>
      <c r="S196" s="360"/>
      <c r="T196" s="360"/>
      <c r="U196" s="360"/>
      <c r="V196" s="360"/>
      <c r="W196" s="360"/>
      <c r="X196" s="360"/>
      <c r="Y196" s="360"/>
      <c r="Z196" s="360"/>
      <c r="AA196" s="360"/>
      <c r="AB196" s="360"/>
      <c r="AC196" s="360"/>
      <c r="AD196" s="360"/>
      <c r="AE196" s="360"/>
      <c r="AF196" s="360"/>
      <c r="AG196" s="360"/>
      <c r="AH196" s="360"/>
      <c r="AI196" s="360"/>
      <c r="AJ196" s="360"/>
      <c r="AK196" s="360"/>
    </row>
    <row r="197" spans="1:37">
      <c r="A197" s="360"/>
      <c r="B197" s="360"/>
      <c r="C197" s="360"/>
      <c r="D197" s="360"/>
      <c r="E197" s="360"/>
      <c r="F197" s="360"/>
      <c r="G197" s="360"/>
      <c r="H197" s="360"/>
      <c r="I197" s="360"/>
      <c r="J197" s="360"/>
      <c r="K197" s="360"/>
      <c r="L197" s="360"/>
      <c r="M197" s="360"/>
      <c r="N197" s="360"/>
      <c r="O197" s="360"/>
      <c r="P197" s="360"/>
      <c r="Q197" s="360"/>
      <c r="R197" s="360"/>
      <c r="S197" s="360"/>
      <c r="T197" s="360"/>
      <c r="U197" s="360"/>
      <c r="V197" s="360"/>
      <c r="W197" s="360"/>
      <c r="X197" s="360"/>
      <c r="Y197" s="360"/>
      <c r="Z197" s="360"/>
      <c r="AA197" s="360"/>
      <c r="AB197" s="360"/>
      <c r="AC197" s="360"/>
      <c r="AD197" s="360"/>
      <c r="AE197" s="360"/>
      <c r="AF197" s="360"/>
      <c r="AG197" s="360"/>
      <c r="AH197" s="360"/>
      <c r="AI197" s="360"/>
      <c r="AJ197" s="360"/>
      <c r="AK197" s="360"/>
    </row>
    <row r="198" spans="1:37">
      <c r="A198" s="360"/>
      <c r="B198" s="360"/>
      <c r="C198" s="360"/>
      <c r="D198" s="360"/>
      <c r="E198" s="360"/>
      <c r="F198" s="360"/>
      <c r="G198" s="360"/>
      <c r="H198" s="360"/>
      <c r="I198" s="360"/>
      <c r="J198" s="360"/>
      <c r="K198" s="360"/>
      <c r="L198" s="360"/>
      <c r="M198" s="360"/>
      <c r="N198" s="360"/>
      <c r="O198" s="360"/>
      <c r="P198" s="360"/>
      <c r="Q198" s="360"/>
      <c r="R198" s="360"/>
      <c r="S198" s="360"/>
      <c r="T198" s="360"/>
      <c r="U198" s="360"/>
      <c r="V198" s="360"/>
      <c r="W198" s="360"/>
      <c r="X198" s="360"/>
      <c r="Y198" s="360"/>
      <c r="Z198" s="360"/>
      <c r="AA198" s="360"/>
      <c r="AB198" s="360"/>
      <c r="AC198" s="360"/>
      <c r="AD198" s="360"/>
      <c r="AE198" s="360"/>
      <c r="AF198" s="360"/>
      <c r="AG198" s="360"/>
      <c r="AH198" s="360"/>
      <c r="AI198" s="360"/>
      <c r="AJ198" s="360"/>
      <c r="AK198" s="360"/>
    </row>
    <row r="199" spans="1:37">
      <c r="A199" s="360"/>
      <c r="B199" s="360"/>
      <c r="C199" s="360"/>
      <c r="D199" s="360"/>
      <c r="E199" s="360"/>
      <c r="F199" s="360"/>
      <c r="G199" s="360"/>
      <c r="H199" s="360"/>
      <c r="I199" s="360"/>
      <c r="J199" s="360"/>
      <c r="K199" s="360"/>
      <c r="L199" s="360"/>
      <c r="M199" s="360"/>
      <c r="N199" s="360"/>
      <c r="O199" s="360"/>
      <c r="P199" s="360"/>
      <c r="Q199" s="360"/>
      <c r="R199" s="360"/>
      <c r="S199" s="360"/>
      <c r="T199" s="360"/>
      <c r="U199" s="360"/>
      <c r="V199" s="360"/>
      <c r="W199" s="360"/>
      <c r="X199" s="360"/>
      <c r="Y199" s="360"/>
      <c r="Z199" s="360"/>
      <c r="AA199" s="360"/>
      <c r="AB199" s="360"/>
      <c r="AC199" s="360"/>
      <c r="AD199" s="360"/>
      <c r="AE199" s="360"/>
      <c r="AF199" s="360"/>
      <c r="AG199" s="360"/>
      <c r="AH199" s="360"/>
      <c r="AI199" s="360"/>
      <c r="AJ199" s="360"/>
      <c r="AK199" s="360"/>
    </row>
    <row r="200" spans="1:37">
      <c r="A200" s="360"/>
      <c r="B200" s="360"/>
      <c r="C200" s="360"/>
      <c r="D200" s="360"/>
      <c r="E200" s="360"/>
      <c r="F200" s="360"/>
      <c r="G200" s="360"/>
      <c r="H200" s="360"/>
      <c r="I200" s="360"/>
      <c r="J200" s="360"/>
      <c r="K200" s="360"/>
      <c r="L200" s="360"/>
      <c r="M200" s="360"/>
      <c r="N200" s="360"/>
      <c r="O200" s="360"/>
      <c r="P200" s="360"/>
      <c r="Q200" s="360"/>
      <c r="R200" s="360"/>
      <c r="S200" s="360"/>
      <c r="T200" s="360"/>
      <c r="U200" s="360"/>
      <c r="V200" s="360"/>
      <c r="W200" s="360"/>
      <c r="X200" s="360"/>
      <c r="Y200" s="360"/>
      <c r="Z200" s="360"/>
      <c r="AA200" s="360"/>
      <c r="AB200" s="360"/>
      <c r="AC200" s="360"/>
      <c r="AD200" s="360"/>
      <c r="AE200" s="360"/>
      <c r="AF200" s="360"/>
      <c r="AG200" s="360"/>
      <c r="AH200" s="360"/>
      <c r="AI200" s="360"/>
      <c r="AJ200" s="360"/>
      <c r="AK200" s="360"/>
    </row>
  </sheetData>
  <pageMargins left="0.75" right="0.75" top="1" bottom="1" header="0.5" footer="0.5"/>
  <pageSetup scale="28" orientation="landscape" r:id="rId1"/>
  <headerFooter alignWithMargins="0"/>
  <ignoredErrors>
    <ignoredError sqref="L8 O17:O26 Y13 Z35:Z37 AB37 AG11:AG12 G9 G20:G22 G28 G30 G37 G41 G13:G15 G12 G16:G17 G23:G27 G33 G32 G34:G36 G45:G49 J51:K51 J15 K38 L28 L34 M38:N38 M51 O27:O29 O31:O33 O35:O37 O39:O43 Q47 S10 S51 T26:T46 V47 Y7 Y15 Y18:Y23 Y16:Y17 Y24 Y29 Y34 Y35:Y36 Y43:Y44 Y46:Y48 AG15:AG19 AG21 AG23:AG27 AG30:AG32 AG34:AG36 AG38:AG40" numberStoredAsText="1"/>
    <ignoredError sqref="AC15:AC17 AC20:AC24 AC27:AC28 AC32:AC37 AC40:AC48 AJ51 AC30:AC31 AC18:AC19 AC9:AC14" formulaRange="1"/>
    <ignoredError sqref="AL47 AK15"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L93"/>
  <sheetViews>
    <sheetView showGridLines="0" zoomScale="120" zoomScaleNormal="120" workbookViewId="0"/>
  </sheetViews>
  <sheetFormatPr defaultColWidth="13.42578125" defaultRowHeight="9"/>
  <cols>
    <col min="1" max="1" width="17.5703125" style="17" customWidth="1"/>
    <col min="2" max="11" width="9.140625" style="17" customWidth="1"/>
    <col min="12" max="16384" width="13.42578125" style="17"/>
  </cols>
  <sheetData>
    <row r="1" spans="1:12" ht="10.35" customHeight="1">
      <c r="A1" s="1" t="s">
        <v>468</v>
      </c>
      <c r="B1" s="1"/>
      <c r="C1" s="1"/>
      <c r="D1" s="1"/>
      <c r="E1" s="1"/>
      <c r="F1" s="1"/>
      <c r="G1" s="1"/>
      <c r="H1" s="1"/>
      <c r="I1" s="1"/>
      <c r="J1" s="1"/>
    </row>
    <row r="2" spans="1:12" ht="10.35" customHeight="1">
      <c r="A2" s="5" t="s">
        <v>0</v>
      </c>
      <c r="B2" s="6" t="s">
        <v>51</v>
      </c>
      <c r="C2" s="6" t="s">
        <v>52</v>
      </c>
      <c r="D2" s="6" t="s">
        <v>53</v>
      </c>
      <c r="E2" s="6" t="s">
        <v>54</v>
      </c>
      <c r="F2" s="6" t="s">
        <v>55</v>
      </c>
      <c r="G2" s="6" t="s">
        <v>56</v>
      </c>
      <c r="H2" s="6" t="s">
        <v>57</v>
      </c>
      <c r="I2" s="6" t="s">
        <v>58</v>
      </c>
      <c r="J2" s="6" t="s">
        <v>59</v>
      </c>
      <c r="K2" s="6">
        <v>1995</v>
      </c>
    </row>
    <row r="3" spans="1:12" ht="10.35" customHeight="1">
      <c r="A3" s="1"/>
      <c r="B3" s="8"/>
      <c r="C3" s="10"/>
      <c r="D3" s="9"/>
      <c r="E3" s="9"/>
      <c r="F3" s="374" t="s">
        <v>412</v>
      </c>
      <c r="G3" s="9"/>
      <c r="H3" s="9"/>
      <c r="I3" s="9"/>
      <c r="J3" s="9"/>
    </row>
    <row r="4" spans="1:12" ht="1.9" customHeight="1">
      <c r="A4" s="1"/>
      <c r="B4" s="1"/>
      <c r="C4" s="1"/>
      <c r="D4" s="1"/>
      <c r="E4" s="1"/>
      <c r="F4" s="1"/>
      <c r="G4" s="1"/>
      <c r="H4" s="1"/>
      <c r="I4" s="1"/>
      <c r="J4" s="1"/>
    </row>
    <row r="5" spans="1:12" ht="9" customHeight="1">
      <c r="A5" s="1" t="s">
        <v>10</v>
      </c>
      <c r="B5" s="11">
        <v>43.136074360103784</v>
      </c>
      <c r="C5" s="11">
        <v>48.177019576319466</v>
      </c>
      <c r="D5" s="11">
        <v>47.296676489361992</v>
      </c>
      <c r="E5" s="11">
        <v>46.609058722654986</v>
      </c>
      <c r="F5" s="11">
        <v>47.916174929832302</v>
      </c>
      <c r="G5" s="11">
        <v>43.58785902609209</v>
      </c>
      <c r="H5" s="11">
        <v>46.508294078865028</v>
      </c>
      <c r="I5" s="11">
        <v>48.302140665769734</v>
      </c>
      <c r="J5" s="11">
        <v>49.097112546183531</v>
      </c>
      <c r="K5" s="11">
        <v>45.15710646636186</v>
      </c>
      <c r="L5" s="22"/>
    </row>
    <row r="6" spans="1:12" ht="9" customHeight="1">
      <c r="A6" s="1" t="s">
        <v>11</v>
      </c>
      <c r="B6" s="11">
        <v>17.842363431823443</v>
      </c>
      <c r="C6" s="11">
        <v>20.829072755665401</v>
      </c>
      <c r="D6" s="11">
        <v>19.835828351419849</v>
      </c>
      <c r="E6" s="11">
        <v>21.21906305422285</v>
      </c>
      <c r="F6" s="11">
        <v>19.576887772740097</v>
      </c>
      <c r="G6" s="11">
        <v>18.109361703796363</v>
      </c>
      <c r="H6" s="11">
        <v>19.13726742453272</v>
      </c>
      <c r="I6" s="11">
        <v>19.007200954011743</v>
      </c>
      <c r="J6" s="11">
        <v>19.3697161955475</v>
      </c>
      <c r="K6" s="11">
        <v>18.685732947653261</v>
      </c>
      <c r="L6" s="22"/>
    </row>
    <row r="7" spans="1:12" ht="9" customHeight="1">
      <c r="A7" s="1" t="s">
        <v>12</v>
      </c>
      <c r="B7" s="11">
        <v>4.9124022009314094</v>
      </c>
      <c r="C7" s="11">
        <v>5.3819487634282996</v>
      </c>
      <c r="D7" s="11">
        <v>5.7120572375154328</v>
      </c>
      <c r="E7" s="11">
        <v>5.3395866075629685</v>
      </c>
      <c r="F7" s="11">
        <v>5.5010549990264597</v>
      </c>
      <c r="G7" s="11">
        <v>5.1497115765449566</v>
      </c>
      <c r="H7" s="11">
        <v>5.8024748700441631</v>
      </c>
      <c r="I7" s="11">
        <v>5.1199012353228959</v>
      </c>
      <c r="J7" s="11">
        <v>5.3442899223927949</v>
      </c>
      <c r="K7" s="11">
        <v>4.8852057478772046</v>
      </c>
      <c r="L7" s="22"/>
    </row>
    <row r="8" spans="1:12" ht="9" customHeight="1">
      <c r="A8" s="1" t="s">
        <v>13</v>
      </c>
      <c r="B8" s="11">
        <v>1.0179885076487003</v>
      </c>
      <c r="C8" s="11">
        <v>1.0230304818817857</v>
      </c>
      <c r="D8" s="11">
        <v>1.1244503649793143</v>
      </c>
      <c r="E8" s="11">
        <v>1.2815408517956988</v>
      </c>
      <c r="F8" s="11">
        <v>1.1065237748964538</v>
      </c>
      <c r="G8" s="11">
        <v>1.0218020158923742</v>
      </c>
      <c r="H8" s="11">
        <v>1.0366985734210157</v>
      </c>
      <c r="I8" s="11">
        <v>1.0746837797619047</v>
      </c>
      <c r="J8" s="11">
        <v>1.0728173366818357</v>
      </c>
      <c r="K8" s="11">
        <v>1.189623961929644</v>
      </c>
      <c r="L8" s="22"/>
    </row>
    <row r="9" spans="1:12" ht="9" customHeight="1">
      <c r="A9" s="1" t="s">
        <v>14</v>
      </c>
      <c r="B9" s="11">
        <v>18.157267875459087</v>
      </c>
      <c r="C9" s="11">
        <v>19.435475631299159</v>
      </c>
      <c r="D9" s="11">
        <v>19.145255929560076</v>
      </c>
      <c r="E9" s="11">
        <v>17.435138080664686</v>
      </c>
      <c r="F9" s="11">
        <v>20.676486833373733</v>
      </c>
      <c r="G9" s="11">
        <v>18.126796519311235</v>
      </c>
      <c r="H9" s="11">
        <v>18.730593713350132</v>
      </c>
      <c r="I9" s="11">
        <v>21.33032656555773</v>
      </c>
      <c r="J9" s="11">
        <v>21.272259672576901</v>
      </c>
      <c r="K9" s="11">
        <v>18.894780255668568</v>
      </c>
      <c r="L9" s="22"/>
    </row>
    <row r="10" spans="1:12" ht="9" customHeight="1">
      <c r="A10" s="1" t="s">
        <v>15</v>
      </c>
      <c r="B10" s="11">
        <v>0.83009694603447703</v>
      </c>
      <c r="C10" s="11">
        <v>1.2054192416622607</v>
      </c>
      <c r="D10" s="11">
        <v>1.2081930599779063</v>
      </c>
      <c r="E10" s="11">
        <v>1.105707012414592</v>
      </c>
      <c r="F10" s="11">
        <v>0.76117285692146919</v>
      </c>
      <c r="G10" s="11">
        <v>0.79000184308666022</v>
      </c>
      <c r="H10" s="11">
        <v>1.1997662149661126</v>
      </c>
      <c r="I10" s="11">
        <v>1.445144324853229</v>
      </c>
      <c r="J10" s="11">
        <v>1.5346211220000376</v>
      </c>
      <c r="K10" s="11">
        <v>1.2102640664365028</v>
      </c>
      <c r="L10" s="22"/>
    </row>
    <row r="11" spans="1:12" ht="9" customHeight="1">
      <c r="A11" s="1" t="s">
        <v>16</v>
      </c>
      <c r="B11" s="11">
        <v>0.37595539820666385</v>
      </c>
      <c r="C11" s="11">
        <v>0.30207270238256262</v>
      </c>
      <c r="D11" s="11">
        <v>0.27089154590941583</v>
      </c>
      <c r="E11" s="11">
        <v>0.22802311599419287</v>
      </c>
      <c r="F11" s="11">
        <v>0.29404869287408758</v>
      </c>
      <c r="G11" s="11">
        <v>0.39018536746050109</v>
      </c>
      <c r="H11" s="11">
        <v>0.60149328255088885</v>
      </c>
      <c r="I11" s="11">
        <v>0.3248838062622309</v>
      </c>
      <c r="J11" s="11">
        <v>0.50340829698445966</v>
      </c>
      <c r="K11" s="11">
        <v>0.29149948679667814</v>
      </c>
      <c r="L11" s="22"/>
    </row>
    <row r="12" spans="1:12" ht="1.9" customHeight="1">
      <c r="A12" s="1"/>
      <c r="B12" s="11"/>
      <c r="C12" s="11"/>
      <c r="D12" s="11"/>
      <c r="E12" s="11"/>
      <c r="F12" s="11"/>
      <c r="G12" s="11"/>
      <c r="H12" s="11"/>
      <c r="I12" s="11"/>
      <c r="J12" s="11"/>
      <c r="L12" s="22"/>
    </row>
    <row r="13" spans="1:12" ht="9" customHeight="1">
      <c r="A13" s="1" t="s">
        <v>17</v>
      </c>
      <c r="B13" s="11">
        <v>47.61156425760808</v>
      </c>
      <c r="C13" s="11">
        <v>44.8638072752656</v>
      </c>
      <c r="D13" s="11">
        <v>49.424924753612032</v>
      </c>
      <c r="E13" s="11">
        <v>46.211090603463489</v>
      </c>
      <c r="F13" s="11">
        <v>43.22468605559547</v>
      </c>
      <c r="G13" s="11">
        <v>42.918181834964358</v>
      </c>
      <c r="H13" s="11">
        <v>45.393064355122561</v>
      </c>
      <c r="I13" s="11">
        <v>44.380941490909493</v>
      </c>
      <c r="J13" s="11">
        <v>40.939519422625466</v>
      </c>
      <c r="K13" s="11">
        <v>45.698545245100462</v>
      </c>
      <c r="L13" s="22"/>
    </row>
    <row r="14" spans="1:12" ht="9" customHeight="1">
      <c r="A14" s="1" t="s">
        <v>11</v>
      </c>
      <c r="B14" s="11">
        <v>7.1006311418456152</v>
      </c>
      <c r="C14" s="11">
        <v>7.0469831667219998</v>
      </c>
      <c r="D14" s="11">
        <v>7.6993713041783094</v>
      </c>
      <c r="E14" s="11">
        <v>7.936583835694667</v>
      </c>
      <c r="F14" s="11">
        <v>7.8199746482343189</v>
      </c>
      <c r="G14" s="11">
        <v>7.2641770618061461</v>
      </c>
      <c r="H14" s="11">
        <v>7.1206431410799782</v>
      </c>
      <c r="I14" s="11">
        <v>6.9810745627446193</v>
      </c>
      <c r="J14" s="11">
        <v>7.0316055816763896</v>
      </c>
      <c r="K14" s="11">
        <v>7.4555901838200986</v>
      </c>
      <c r="L14" s="22"/>
    </row>
    <row r="15" spans="1:12" ht="9" customHeight="1">
      <c r="A15" s="1" t="s">
        <v>12</v>
      </c>
      <c r="B15" s="11">
        <v>0.33087383780564472</v>
      </c>
      <c r="C15" s="11">
        <v>0.3278943852185211</v>
      </c>
      <c r="D15" s="11">
        <v>0.3249074013906037</v>
      </c>
      <c r="E15" s="11">
        <v>0.32362882501739332</v>
      </c>
      <c r="F15" s="11">
        <v>0.31981808717351656</v>
      </c>
      <c r="G15" s="11">
        <v>0.32225084017301486</v>
      </c>
      <c r="H15" s="11">
        <v>0.36231942622030749</v>
      </c>
      <c r="I15" s="11">
        <v>0.34993540545499019</v>
      </c>
      <c r="J15" s="11">
        <v>0.29330803074076173</v>
      </c>
      <c r="K15" s="11">
        <v>0.26507552486703367</v>
      </c>
      <c r="L15" s="22"/>
    </row>
    <row r="16" spans="1:12" ht="9" customHeight="1">
      <c r="A16" s="1" t="s">
        <v>14</v>
      </c>
      <c r="B16" s="11">
        <v>2.4259030625262308</v>
      </c>
      <c r="C16" s="11">
        <v>3.314229616892638</v>
      </c>
      <c r="D16" s="11">
        <v>2.9398530117826636</v>
      </c>
      <c r="E16" s="11">
        <v>3.3536923797009806</v>
      </c>
      <c r="F16" s="11">
        <v>3.1066963365851512</v>
      </c>
      <c r="G16" s="11">
        <v>3.8955038639261694</v>
      </c>
      <c r="H16" s="11">
        <v>4.1867654798349685</v>
      </c>
      <c r="I16" s="11">
        <v>3.8327936736864374</v>
      </c>
      <c r="J16" s="11">
        <v>3.1658141035125711</v>
      </c>
      <c r="K16" s="11">
        <v>4.9728604466068997</v>
      </c>
      <c r="L16" s="22"/>
    </row>
    <row r="17" spans="1:12" ht="9" customHeight="1">
      <c r="A17" s="1" t="s">
        <v>18</v>
      </c>
      <c r="B17" s="11">
        <v>8.3211744285275664</v>
      </c>
      <c r="C17" s="11">
        <v>8.0245131243398884</v>
      </c>
      <c r="D17" s="11">
        <v>10.849812752937797</v>
      </c>
      <c r="E17" s="11">
        <v>8.8198206189649291</v>
      </c>
      <c r="F17" s="11">
        <v>8.3492550578745064</v>
      </c>
      <c r="G17" s="11">
        <v>8.4829785245489724</v>
      </c>
      <c r="H17" s="11">
        <v>6.8448275206787486</v>
      </c>
      <c r="I17" s="11">
        <v>8.4732167916354584</v>
      </c>
      <c r="J17" s="11">
        <v>8.1442036340889352</v>
      </c>
      <c r="K17" s="11">
        <v>8.8435607095448336</v>
      </c>
      <c r="L17" s="22"/>
    </row>
    <row r="18" spans="1:12" ht="9" customHeight="1">
      <c r="A18" s="1" t="s">
        <v>19</v>
      </c>
      <c r="B18" s="11">
        <v>29.432981786903024</v>
      </c>
      <c r="C18" s="11">
        <v>26.150186982092556</v>
      </c>
      <c r="D18" s="11">
        <v>27.610980283322657</v>
      </c>
      <c r="E18" s="11">
        <v>25.777364944085516</v>
      </c>
      <c r="F18" s="11">
        <v>23.628941925727979</v>
      </c>
      <c r="G18" s="11">
        <v>22.953271544510059</v>
      </c>
      <c r="H18" s="11">
        <v>26.878508787308562</v>
      </c>
      <c r="I18" s="11">
        <v>24.74392105738799</v>
      </c>
      <c r="J18" s="11">
        <v>22.304588072606808</v>
      </c>
      <c r="K18" s="11">
        <v>24.1614583802616</v>
      </c>
      <c r="L18" s="22"/>
    </row>
    <row r="19" spans="1:12" ht="1.9" customHeight="1">
      <c r="A19" s="1"/>
      <c r="B19" s="11"/>
      <c r="C19" s="11"/>
      <c r="D19" s="11"/>
      <c r="E19" s="11"/>
      <c r="F19" s="11"/>
      <c r="G19" s="11"/>
      <c r="H19" s="11"/>
      <c r="I19" s="11"/>
      <c r="J19" s="11"/>
      <c r="L19" s="22"/>
    </row>
    <row r="20" spans="1:12" ht="9" customHeight="1">
      <c r="A20" s="1" t="s">
        <v>20</v>
      </c>
      <c r="B20" s="11">
        <v>25.823287665540551</v>
      </c>
      <c r="C20" s="11">
        <v>25.017709757664615</v>
      </c>
      <c r="D20" s="11">
        <v>24.287714114300407</v>
      </c>
      <c r="E20" s="11">
        <v>24.713150213065308</v>
      </c>
      <c r="F20" s="11">
        <v>24.358558539553325</v>
      </c>
      <c r="G20" s="11">
        <v>25.046512765777187</v>
      </c>
      <c r="H20" s="11">
        <v>27.122301786071983</v>
      </c>
      <c r="I20" s="11">
        <v>26.603217624845627</v>
      </c>
      <c r="J20" s="11">
        <v>27.780997811838134</v>
      </c>
      <c r="K20" s="11">
        <v>27.082604235121867</v>
      </c>
      <c r="L20" s="22"/>
    </row>
    <row r="21" spans="1:12" ht="1.9" customHeight="1">
      <c r="A21" s="1"/>
      <c r="B21" s="11"/>
      <c r="C21" s="11"/>
      <c r="D21" s="11"/>
      <c r="E21" s="11"/>
      <c r="F21" s="11"/>
      <c r="G21" s="11"/>
      <c r="H21" s="11"/>
      <c r="I21" s="11"/>
      <c r="J21" s="11"/>
      <c r="L21" s="22"/>
    </row>
    <row r="22" spans="1:12" ht="9" customHeight="1">
      <c r="A22" s="1" t="s">
        <v>21</v>
      </c>
      <c r="B22" s="11">
        <v>95.870710486203109</v>
      </c>
      <c r="C22" s="11">
        <v>90.814098068296943</v>
      </c>
      <c r="D22" s="11">
        <v>86.317437286728534</v>
      </c>
      <c r="E22" s="11">
        <v>86.044823950097992</v>
      </c>
      <c r="F22" s="11">
        <v>67.053243929479493</v>
      </c>
      <c r="G22" s="11">
        <v>81.945733811808779</v>
      </c>
      <c r="H22" s="11">
        <v>75.995185095963336</v>
      </c>
      <c r="I22" s="11">
        <v>88.188984421067047</v>
      </c>
      <c r="J22" s="11">
        <v>84.758852469107637</v>
      </c>
      <c r="K22" s="11">
        <v>81.288328871128755</v>
      </c>
      <c r="L22" s="22"/>
    </row>
    <row r="23" spans="1:12" ht="9" customHeight="1">
      <c r="A23" s="1" t="s">
        <v>11</v>
      </c>
      <c r="B23" s="11">
        <v>13.4328384257701</v>
      </c>
      <c r="C23" s="11">
        <v>12.813042618737747</v>
      </c>
      <c r="D23" s="11">
        <v>13.900967672158714</v>
      </c>
      <c r="E23" s="11">
        <v>12.167897081773413</v>
      </c>
      <c r="F23" s="11">
        <v>12.371916166946031</v>
      </c>
      <c r="G23" s="11">
        <v>8.4334362269870837</v>
      </c>
      <c r="H23" s="11">
        <v>12.843733563973396</v>
      </c>
      <c r="I23" s="11">
        <v>14.145225487142216</v>
      </c>
      <c r="J23" s="11">
        <v>12.93781009474748</v>
      </c>
      <c r="K23" s="11">
        <v>11.825892200147166</v>
      </c>
      <c r="L23" s="22"/>
    </row>
    <row r="24" spans="1:12" ht="9" customHeight="1">
      <c r="A24" s="1" t="s">
        <v>22</v>
      </c>
      <c r="B24" s="11">
        <v>82.437872060433008</v>
      </c>
      <c r="C24" s="11">
        <v>78.001055449559203</v>
      </c>
      <c r="D24" s="11">
        <v>72.41646961456982</v>
      </c>
      <c r="E24" s="11">
        <v>73.876926868324574</v>
      </c>
      <c r="F24" s="11">
        <v>54.681327762533456</v>
      </c>
      <c r="G24" s="11">
        <v>73.512297584821695</v>
      </c>
      <c r="H24" s="11">
        <v>63.151451531989942</v>
      </c>
      <c r="I24" s="11">
        <v>74.043758933924835</v>
      </c>
      <c r="J24" s="11">
        <v>71.821042374360161</v>
      </c>
      <c r="K24" s="11">
        <v>69.462436670981589</v>
      </c>
      <c r="L24" s="22"/>
    </row>
    <row r="25" spans="1:12" ht="1.9" customHeight="1">
      <c r="A25" s="1"/>
      <c r="B25" s="11"/>
      <c r="C25" s="11"/>
      <c r="D25" s="11"/>
      <c r="E25" s="11"/>
      <c r="F25" s="11"/>
      <c r="G25" s="11"/>
      <c r="H25" s="11"/>
      <c r="I25" s="11"/>
      <c r="J25" s="11"/>
      <c r="L25" s="22"/>
    </row>
    <row r="26" spans="1:12" ht="9" customHeight="1">
      <c r="A26" s="1" t="s">
        <v>23</v>
      </c>
      <c r="B26" s="11">
        <v>14.617891211763695</v>
      </c>
      <c r="C26" s="11">
        <v>17.880691562036269</v>
      </c>
      <c r="D26" s="11">
        <v>12.75393947263499</v>
      </c>
      <c r="E26" s="11">
        <v>16.308905846701471</v>
      </c>
      <c r="F26" s="11">
        <v>19.244430237048437</v>
      </c>
      <c r="G26" s="11">
        <v>14.416960842239824</v>
      </c>
      <c r="H26" s="11">
        <v>12.486308814003838</v>
      </c>
      <c r="I26" s="11">
        <v>14.66722816385991</v>
      </c>
      <c r="J26" s="11">
        <v>16.198097943411451</v>
      </c>
      <c r="K26" s="11">
        <v>15.788140214060451</v>
      </c>
      <c r="L26" s="22"/>
    </row>
    <row r="27" spans="1:12" ht="9" customHeight="1">
      <c r="A27" s="1" t="s">
        <v>11</v>
      </c>
      <c r="B27" s="11">
        <v>6.1325457565160768</v>
      </c>
      <c r="C27" s="11">
        <v>6.3454116070542286</v>
      </c>
      <c r="D27" s="11">
        <v>6.6882544132534916</v>
      </c>
      <c r="E27" s="11">
        <v>6.6039906751575801</v>
      </c>
      <c r="F27" s="11">
        <v>4.5915048319184111</v>
      </c>
      <c r="G27" s="11">
        <v>5.8631274860028846</v>
      </c>
      <c r="H27" s="11">
        <v>5.9244922688396819</v>
      </c>
      <c r="I27" s="11">
        <v>6.1997158969952419</v>
      </c>
      <c r="J27" s="11">
        <v>6.0741040851272015</v>
      </c>
      <c r="K27" s="11">
        <v>5.9998300572140701</v>
      </c>
      <c r="L27" s="22"/>
    </row>
    <row r="28" spans="1:12" ht="9" customHeight="1">
      <c r="A28" s="1" t="s">
        <v>14</v>
      </c>
      <c r="B28" s="11">
        <v>8.485345455247618</v>
      </c>
      <c r="C28" s="11">
        <v>11.535279954982041</v>
      </c>
      <c r="D28" s="11">
        <v>6.0656850593814982</v>
      </c>
      <c r="E28" s="11">
        <v>9.7049151715438899</v>
      </c>
      <c r="F28" s="11">
        <v>14.652925405130025</v>
      </c>
      <c r="G28" s="11">
        <v>8.5538333562369395</v>
      </c>
      <c r="H28" s="11">
        <v>6.5618165451641559</v>
      </c>
      <c r="I28" s="11">
        <v>8.4675122668646683</v>
      </c>
      <c r="J28" s="11">
        <v>10.123993858284249</v>
      </c>
      <c r="K28" s="11">
        <v>9.7883101568463822</v>
      </c>
      <c r="L28" s="22"/>
    </row>
    <row r="29" spans="1:12" ht="1.9" customHeight="1">
      <c r="A29" s="1"/>
      <c r="B29" s="11"/>
      <c r="C29" s="11"/>
      <c r="D29" s="11"/>
      <c r="E29" s="11"/>
      <c r="F29" s="11"/>
      <c r="G29" s="11"/>
      <c r="H29" s="11"/>
      <c r="I29" s="11"/>
      <c r="J29" s="11"/>
      <c r="L29" s="22"/>
    </row>
    <row r="30" spans="1:12" ht="9" customHeight="1">
      <c r="A30" s="1" t="s">
        <v>24</v>
      </c>
      <c r="B30" s="11">
        <v>5.321151287752456</v>
      </c>
      <c r="C30" s="11">
        <v>7.9303224864170119</v>
      </c>
      <c r="D30" s="11">
        <v>5.1918702312808138</v>
      </c>
      <c r="E30" s="11">
        <v>5.1674146839303052</v>
      </c>
      <c r="F30" s="11">
        <v>6.2316166637845409</v>
      </c>
      <c r="G30" s="11">
        <v>6.0817884518336323</v>
      </c>
      <c r="H30" s="11">
        <v>5.7412164215099972</v>
      </c>
      <c r="I30" s="11">
        <v>7.0002719337970323</v>
      </c>
      <c r="J30" s="11">
        <v>7.3946593383072408</v>
      </c>
      <c r="K30" s="11">
        <v>6.0436460507184808</v>
      </c>
      <c r="L30" s="22"/>
    </row>
    <row r="31" spans="1:12" ht="9" customHeight="1">
      <c r="A31" s="1" t="s">
        <v>11</v>
      </c>
      <c r="B31" s="11">
        <v>2.4926347971095053</v>
      </c>
      <c r="C31" s="11">
        <v>2.501256061225682</v>
      </c>
      <c r="D31" s="11">
        <v>2.4927290474142216</v>
      </c>
      <c r="E31" s="11">
        <v>2.408953975924355</v>
      </c>
      <c r="F31" s="11">
        <v>2.6004930446917265</v>
      </c>
      <c r="G31" s="11">
        <v>2.5987705585733072</v>
      </c>
      <c r="H31" s="11">
        <v>2.5275031665797405</v>
      </c>
      <c r="I31" s="11">
        <v>2.6369132634300594</v>
      </c>
      <c r="J31" s="11">
        <v>2.6563302654109591</v>
      </c>
      <c r="K31" s="11">
        <v>2.8370966219150664</v>
      </c>
      <c r="L31" s="22"/>
    </row>
    <row r="32" spans="1:12" ht="9" customHeight="1">
      <c r="A32" s="1" t="s">
        <v>14</v>
      </c>
      <c r="B32" s="11">
        <v>2.8285164906429507</v>
      </c>
      <c r="C32" s="11">
        <v>5.4290664251913299</v>
      </c>
      <c r="D32" s="11">
        <v>2.6991411838665922</v>
      </c>
      <c r="E32" s="11">
        <v>2.7584607080059507</v>
      </c>
      <c r="F32" s="11">
        <v>3.631123619092814</v>
      </c>
      <c r="G32" s="11">
        <v>3.4830178932603251</v>
      </c>
      <c r="H32" s="11">
        <v>3.2137132549302567</v>
      </c>
      <c r="I32" s="11">
        <v>4.3633586703669724</v>
      </c>
      <c r="J32" s="11">
        <v>4.7383290728962821</v>
      </c>
      <c r="K32" s="11">
        <v>3.2065494288034144</v>
      </c>
      <c r="L32" s="22"/>
    </row>
    <row r="33" spans="1:12" ht="1.9" customHeight="1">
      <c r="A33" s="1"/>
      <c r="B33" s="11"/>
      <c r="C33" s="11"/>
      <c r="D33" s="11"/>
      <c r="E33" s="11"/>
      <c r="F33" s="11"/>
      <c r="G33" s="11"/>
      <c r="H33" s="11"/>
      <c r="I33" s="11"/>
      <c r="J33" s="11"/>
      <c r="L33" s="22"/>
    </row>
    <row r="34" spans="1:12" ht="9" customHeight="1">
      <c r="A34" s="1" t="s">
        <v>25</v>
      </c>
      <c r="B34" s="11">
        <v>3.6394571415717314</v>
      </c>
      <c r="C34" s="11">
        <v>4.2499800686518272</v>
      </c>
      <c r="D34" s="11">
        <v>4.082261772052683</v>
      </c>
      <c r="E34" s="11">
        <v>4.2311144814101969</v>
      </c>
      <c r="F34" s="11">
        <v>3.6545210908734465</v>
      </c>
      <c r="G34" s="11">
        <v>3.5611963897088468</v>
      </c>
      <c r="H34" s="11">
        <v>4.3561249173101366</v>
      </c>
      <c r="I34" s="11">
        <v>4.1462230476957576</v>
      </c>
      <c r="J34" s="11">
        <v>4.7410982165801521</v>
      </c>
      <c r="K34" s="11">
        <v>4.9449600979471144</v>
      </c>
      <c r="L34" s="22"/>
    </row>
    <row r="35" spans="1:12" ht="9" customHeight="1">
      <c r="A35" s="1" t="s">
        <v>11</v>
      </c>
      <c r="B35" s="11">
        <v>2.1276868228977923</v>
      </c>
      <c r="C35" s="11">
        <v>2.2895269589005074</v>
      </c>
      <c r="D35" s="11">
        <v>2.3334967824785733</v>
      </c>
      <c r="E35" s="11">
        <v>2.3979170067616771</v>
      </c>
      <c r="F35" s="11">
        <v>1.989777374238876</v>
      </c>
      <c r="G35" s="11">
        <v>2.1406016337873313</v>
      </c>
      <c r="H35" s="11">
        <v>2.9648299504910574</v>
      </c>
      <c r="I35" s="11">
        <v>2.8281421745487103</v>
      </c>
      <c r="J35" s="11">
        <v>3.0811350547113165</v>
      </c>
      <c r="K35" s="11">
        <v>3.1842049143440927</v>
      </c>
      <c r="L35" s="22"/>
    </row>
    <row r="36" spans="1:12" ht="9" customHeight="1">
      <c r="A36" s="1" t="s">
        <v>14</v>
      </c>
      <c r="B36" s="11">
        <v>1.5117703186739389</v>
      </c>
      <c r="C36" s="11">
        <v>1.96045310975132</v>
      </c>
      <c r="D36" s="11">
        <v>1.7487649895741098</v>
      </c>
      <c r="E36" s="11">
        <v>1.83319747464852</v>
      </c>
      <c r="F36" s="11">
        <v>1.6647437166345702</v>
      </c>
      <c r="G36" s="11">
        <v>1.4205947559215155</v>
      </c>
      <c r="H36" s="11">
        <v>1.3912949668190788</v>
      </c>
      <c r="I36" s="11">
        <v>1.318080873147047</v>
      </c>
      <c r="J36" s="11">
        <v>1.6599631618688355</v>
      </c>
      <c r="K36" s="11">
        <v>1.760755183603022</v>
      </c>
      <c r="L36" s="22"/>
    </row>
    <row r="37" spans="1:12" ht="1.9" customHeight="1">
      <c r="A37" s="1"/>
      <c r="B37" s="11"/>
      <c r="C37" s="11"/>
      <c r="D37" s="11"/>
      <c r="E37" s="11"/>
      <c r="F37" s="11"/>
      <c r="G37" s="11"/>
      <c r="H37" s="11"/>
      <c r="I37" s="11"/>
      <c r="J37" s="11"/>
      <c r="L37" s="22"/>
    </row>
    <row r="38" spans="1:12" ht="9" customHeight="1">
      <c r="A38" s="1" t="s">
        <v>467</v>
      </c>
      <c r="B38" s="11">
        <v>10.553244030539712</v>
      </c>
      <c r="C38" s="11">
        <v>10.338957850880316</v>
      </c>
      <c r="D38" s="11">
        <v>11.25362203235121</v>
      </c>
      <c r="E38" s="11">
        <v>10.617410873308096</v>
      </c>
      <c r="F38" s="11">
        <v>9.7640766956881464</v>
      </c>
      <c r="G38" s="11">
        <v>10.878534017465087</v>
      </c>
      <c r="H38" s="11">
        <v>10.782565811682064</v>
      </c>
      <c r="I38" s="11">
        <v>10.204419802804521</v>
      </c>
      <c r="J38" s="11">
        <v>9.9745375177187015</v>
      </c>
      <c r="K38" s="11">
        <v>8.8669543432367277</v>
      </c>
      <c r="L38" s="22"/>
    </row>
    <row r="39" spans="1:12" ht="9" customHeight="1">
      <c r="A39" s="1" t="s">
        <v>11</v>
      </c>
      <c r="B39" s="11">
        <v>5.8366472609712812</v>
      </c>
      <c r="C39" s="11">
        <v>6.0495790843643436</v>
      </c>
      <c r="D39" s="11">
        <v>6.7493194460882941</v>
      </c>
      <c r="E39" s="11">
        <v>5.8552166635670444</v>
      </c>
      <c r="F39" s="11">
        <v>5.5420905457789438</v>
      </c>
      <c r="G39" s="11">
        <v>6.4129732844917422</v>
      </c>
      <c r="H39" s="11">
        <v>5.9951924013448803</v>
      </c>
      <c r="I39" s="11">
        <v>5.8478024281159993</v>
      </c>
      <c r="J39" s="11">
        <v>5.4201370685266665</v>
      </c>
      <c r="K39" s="11">
        <v>5.3261063807421429</v>
      </c>
      <c r="L39" s="22"/>
    </row>
    <row r="40" spans="1:12" ht="9" customHeight="1">
      <c r="A40" s="1" t="s">
        <v>12</v>
      </c>
      <c r="B40" s="11">
        <v>4.2040967695684319</v>
      </c>
      <c r="C40" s="11">
        <v>3.9518787665159727</v>
      </c>
      <c r="D40" s="11">
        <v>4.0918025862629159</v>
      </c>
      <c r="E40" s="11">
        <v>4.2121942097410514</v>
      </c>
      <c r="F40" s="11">
        <v>3.7844861499092031</v>
      </c>
      <c r="G40" s="11">
        <v>3.9780607329733439</v>
      </c>
      <c r="H40" s="11">
        <v>4.259487195366618</v>
      </c>
      <c r="I40" s="11">
        <v>4.0059797731164384</v>
      </c>
      <c r="J40" s="11">
        <v>3.9582349868136988</v>
      </c>
      <c r="K40" s="11">
        <v>2.9869677459488049</v>
      </c>
      <c r="L40" s="22"/>
    </row>
    <row r="41" spans="1:12" ht="9" customHeight="1">
      <c r="A41" s="1" t="s">
        <v>13</v>
      </c>
      <c r="B41" s="11">
        <v>0.51250000000000007</v>
      </c>
      <c r="C41" s="11">
        <v>0.33750000000000002</v>
      </c>
      <c r="D41" s="11">
        <v>0.41250000000000003</v>
      </c>
      <c r="E41" s="11">
        <v>0.55000000000000004</v>
      </c>
      <c r="F41" s="11">
        <v>0.43750000000000006</v>
      </c>
      <c r="G41" s="11">
        <v>0.48750000000000004</v>
      </c>
      <c r="H41" s="11">
        <v>0.5278862149705662</v>
      </c>
      <c r="I41" s="11">
        <v>0.35063760157208401</v>
      </c>
      <c r="J41" s="11">
        <v>0.59616546237833645</v>
      </c>
      <c r="K41" s="11">
        <v>0.55388021654577946</v>
      </c>
      <c r="L41" s="22"/>
    </row>
    <row r="42" spans="1:12" ht="1.9" customHeight="1">
      <c r="A42" s="1"/>
      <c r="B42" s="11"/>
      <c r="C42" s="11"/>
      <c r="D42" s="11"/>
      <c r="E42" s="11"/>
      <c r="F42" s="11"/>
      <c r="G42" s="11"/>
      <c r="H42" s="11"/>
      <c r="I42" s="11"/>
      <c r="J42" s="11"/>
      <c r="L42" s="22"/>
    </row>
    <row r="43" spans="1:12" ht="9" customHeight="1">
      <c r="A43" s="1" t="s">
        <v>26</v>
      </c>
      <c r="B43" s="11">
        <v>6.4113423551599773</v>
      </c>
      <c r="C43" s="11">
        <v>7.3968874625483139</v>
      </c>
      <c r="D43" s="11">
        <v>6.7361426993306903</v>
      </c>
      <c r="E43" s="11">
        <v>6.9787138209354982</v>
      </c>
      <c r="F43" s="11">
        <v>7.1379366523748411</v>
      </c>
      <c r="G43" s="11">
        <v>6.5503966557780764</v>
      </c>
      <c r="H43" s="11">
        <v>6.7979733469578916</v>
      </c>
      <c r="I43" s="11">
        <v>6.7000672700587085</v>
      </c>
      <c r="J43" s="11">
        <v>7.1454294831851044</v>
      </c>
      <c r="K43" s="11">
        <v>6.3065596715498744</v>
      </c>
      <c r="L43" s="22"/>
    </row>
    <row r="44" spans="1:12" ht="9" customHeight="1">
      <c r="A44" s="1" t="s">
        <v>11</v>
      </c>
      <c r="B44" s="11">
        <v>2.9741422095754886</v>
      </c>
      <c r="C44" s="11">
        <v>3.5129784696349313</v>
      </c>
      <c r="D44" s="11">
        <v>3.2169081811683671</v>
      </c>
      <c r="E44" s="11">
        <v>3.2641488946710155</v>
      </c>
      <c r="F44" s="11">
        <v>3.2176317954056879</v>
      </c>
      <c r="G44" s="11">
        <v>3.1434313567862842</v>
      </c>
      <c r="H44" s="11">
        <v>3.1193619681293714</v>
      </c>
      <c r="I44" s="11">
        <v>3.3493647566046962</v>
      </c>
      <c r="J44" s="11">
        <v>3.4395740100832715</v>
      </c>
      <c r="K44" s="11">
        <v>3.3553718391340861</v>
      </c>
      <c r="L44" s="22"/>
    </row>
    <row r="45" spans="1:12" ht="9" customHeight="1">
      <c r="A45" s="1" t="s">
        <v>12</v>
      </c>
      <c r="B45" s="11">
        <v>3.4372001455844887</v>
      </c>
      <c r="C45" s="11">
        <v>3.883908992913383</v>
      </c>
      <c r="D45" s="11">
        <v>3.5192345181623237</v>
      </c>
      <c r="E45" s="11">
        <v>3.7145649262644826</v>
      </c>
      <c r="F45" s="11">
        <v>3.9203048569691532</v>
      </c>
      <c r="G45" s="11">
        <v>3.4069652989917927</v>
      </c>
      <c r="H45" s="11">
        <v>3.6786113788285202</v>
      </c>
      <c r="I45" s="11">
        <v>3.3507025134540118</v>
      </c>
      <c r="J45" s="11">
        <v>3.7058554731018329</v>
      </c>
      <c r="K45" s="11">
        <v>2.9511878324157883</v>
      </c>
      <c r="L45" s="22"/>
    </row>
    <row r="46" spans="1:12" ht="1.9" customHeight="1">
      <c r="A46" s="1"/>
      <c r="B46" s="11"/>
      <c r="C46" s="11"/>
      <c r="D46" s="11"/>
      <c r="E46" s="11"/>
      <c r="F46" s="11"/>
      <c r="G46" s="11"/>
      <c r="H46" s="11"/>
      <c r="I46" s="11"/>
      <c r="J46" s="11"/>
      <c r="L46" s="22"/>
    </row>
    <row r="47" spans="1:12" ht="9" customHeight="1">
      <c r="A47" s="1" t="s">
        <v>27</v>
      </c>
      <c r="B47" s="11">
        <v>1.4797343863308359</v>
      </c>
      <c r="C47" s="11">
        <v>1.9971157076829273</v>
      </c>
      <c r="D47" s="11">
        <v>1.5856759264783766</v>
      </c>
      <c r="E47" s="11">
        <v>1.5808146014237767</v>
      </c>
      <c r="F47" s="11">
        <v>1.5702588844302758</v>
      </c>
      <c r="G47" s="11">
        <v>1.3269141826848267</v>
      </c>
      <c r="H47" s="11">
        <v>1.4550440475096109</v>
      </c>
      <c r="I47" s="11">
        <v>1.5349796051204538</v>
      </c>
      <c r="J47" s="11">
        <v>1.607990119567513</v>
      </c>
      <c r="K47" s="11">
        <v>1.3300338998769465</v>
      </c>
      <c r="L47" s="22"/>
    </row>
    <row r="48" spans="1:12" ht="9" customHeight="1">
      <c r="A48" s="1" t="s">
        <v>11</v>
      </c>
      <c r="B48" s="11">
        <v>0.48867447049877205</v>
      </c>
      <c r="C48" s="11">
        <v>0.71654503220704757</v>
      </c>
      <c r="D48" s="11">
        <v>0.51775153966394716</v>
      </c>
      <c r="E48" s="11">
        <v>0.53823855228792516</v>
      </c>
      <c r="F48" s="11">
        <v>0.39131426194028951</v>
      </c>
      <c r="G48" s="11">
        <v>0.39867211924085011</v>
      </c>
      <c r="H48" s="11">
        <v>0.52917479945612567</v>
      </c>
      <c r="I48" s="11">
        <v>0.42866592061898884</v>
      </c>
      <c r="J48" s="11">
        <v>0.52198491030521288</v>
      </c>
      <c r="K48" s="11">
        <v>0.28703713113313301</v>
      </c>
      <c r="L48" s="22"/>
    </row>
    <row r="49" spans="1:12" ht="9" customHeight="1">
      <c r="A49" s="1" t="s">
        <v>12</v>
      </c>
      <c r="B49" s="11">
        <v>0.19254256082418933</v>
      </c>
      <c r="C49" s="11">
        <v>0.30000610487572477</v>
      </c>
      <c r="D49" s="11">
        <v>0.26260565903191274</v>
      </c>
      <c r="E49" s="11">
        <v>0.24639100979760706</v>
      </c>
      <c r="F49" s="11">
        <v>0.27318367941916394</v>
      </c>
      <c r="G49" s="11">
        <v>0.23823185039502531</v>
      </c>
      <c r="H49" s="11">
        <v>0.3153305554553949</v>
      </c>
      <c r="I49" s="11">
        <v>0.34985629574524929</v>
      </c>
      <c r="J49" s="11">
        <v>0.36922320444514678</v>
      </c>
      <c r="K49" s="11">
        <v>0.33233639421872774</v>
      </c>
      <c r="L49" s="22"/>
    </row>
    <row r="50" spans="1:12" ht="9" customHeight="1">
      <c r="A50" s="1" t="s">
        <v>13</v>
      </c>
      <c r="B50" s="11">
        <v>0.79851735500787457</v>
      </c>
      <c r="C50" s="11">
        <v>0.98056457060015501</v>
      </c>
      <c r="D50" s="11">
        <v>0.80531872778251667</v>
      </c>
      <c r="E50" s="11">
        <v>0.79618503933824436</v>
      </c>
      <c r="F50" s="11">
        <v>0.90576094307082244</v>
      </c>
      <c r="G50" s="11">
        <v>0.69001021304895149</v>
      </c>
      <c r="H50" s="11">
        <v>0.61053869259809024</v>
      </c>
      <c r="I50" s="11">
        <v>0.75645738875621571</v>
      </c>
      <c r="J50" s="11">
        <v>0.71678200481715337</v>
      </c>
      <c r="K50" s="11">
        <v>0.7106603745250859</v>
      </c>
      <c r="L50" s="22"/>
    </row>
    <row r="51" spans="1:12" ht="1.9" customHeight="1">
      <c r="A51" s="1"/>
      <c r="B51" s="11"/>
      <c r="C51" s="11"/>
      <c r="D51" s="11"/>
      <c r="E51" s="11"/>
      <c r="F51" s="11"/>
      <c r="G51" s="11"/>
      <c r="H51" s="11"/>
      <c r="I51" s="11"/>
      <c r="J51" s="11"/>
      <c r="L51" s="22"/>
    </row>
    <row r="52" spans="1:12" ht="9" customHeight="1">
      <c r="A52" s="1" t="s">
        <v>28</v>
      </c>
      <c r="B52" s="11">
        <v>4.0106276724385106</v>
      </c>
      <c r="C52" s="11">
        <v>4.2501084825620667</v>
      </c>
      <c r="D52" s="11">
        <v>4.5032870651903307</v>
      </c>
      <c r="E52" s="11">
        <v>4.4791678494339955</v>
      </c>
      <c r="F52" s="11">
        <v>4.3590092577037751</v>
      </c>
      <c r="G52" s="11">
        <v>4.8104611729912934</v>
      </c>
      <c r="H52" s="11">
        <v>4.7776103358759823</v>
      </c>
      <c r="I52" s="11">
        <v>4.7772759014482062</v>
      </c>
      <c r="J52" s="11">
        <v>5.1633565833162374</v>
      </c>
      <c r="K52" s="11">
        <v>5.3771812632337701</v>
      </c>
      <c r="L52" s="22"/>
    </row>
    <row r="53" spans="1:12" ht="9" customHeight="1">
      <c r="A53" s="1" t="s">
        <v>11</v>
      </c>
      <c r="B53" s="11">
        <v>2.8933559386829888</v>
      </c>
      <c r="C53" s="11">
        <v>3.1156117691636056</v>
      </c>
      <c r="D53" s="11">
        <v>3.3339999428620404</v>
      </c>
      <c r="E53" s="11">
        <v>3.2532970542811168</v>
      </c>
      <c r="F53" s="11">
        <v>3.2405659811259615</v>
      </c>
      <c r="G53" s="11">
        <v>3.5701084725423948</v>
      </c>
      <c r="H53" s="11">
        <v>3.5890944650280314</v>
      </c>
      <c r="I53" s="11">
        <v>3.6152778258478606</v>
      </c>
      <c r="J53" s="11">
        <v>4.0461314611778469</v>
      </c>
      <c r="K53" s="11">
        <v>4.10361760598279</v>
      </c>
      <c r="L53" s="22"/>
    </row>
    <row r="54" spans="1:12" ht="9" customHeight="1">
      <c r="A54" s="1" t="s">
        <v>13</v>
      </c>
      <c r="B54" s="11">
        <v>1.1172717337555216</v>
      </c>
      <c r="C54" s="11">
        <v>1.1344967133984614</v>
      </c>
      <c r="D54" s="11">
        <v>1.1692871223282906</v>
      </c>
      <c r="E54" s="11">
        <v>1.2258707951528787</v>
      </c>
      <c r="F54" s="11">
        <v>1.1184432765778136</v>
      </c>
      <c r="G54" s="11">
        <v>1.2403527004488986</v>
      </c>
      <c r="H54" s="11">
        <v>1.1885158708479511</v>
      </c>
      <c r="I54" s="11">
        <v>1.1619980756003458</v>
      </c>
      <c r="J54" s="11">
        <v>1.1172251221383906</v>
      </c>
      <c r="K54" s="11">
        <v>1.2735636572509803</v>
      </c>
      <c r="L54" s="22"/>
    </row>
    <row r="55" spans="1:12" ht="1.9" customHeight="1">
      <c r="A55" s="1"/>
      <c r="B55" s="11"/>
      <c r="C55" s="11"/>
      <c r="D55" s="11"/>
      <c r="E55" s="11"/>
      <c r="F55" s="11"/>
      <c r="G55" s="11"/>
      <c r="H55" s="11"/>
      <c r="I55" s="11"/>
      <c r="J55" s="11"/>
      <c r="L55" s="22"/>
    </row>
    <row r="56" spans="1:12" ht="9" customHeight="1">
      <c r="A56" s="1" t="s">
        <v>29</v>
      </c>
      <c r="B56" s="11">
        <v>13.749501750256595</v>
      </c>
      <c r="C56" s="11">
        <v>13.217506150660615</v>
      </c>
      <c r="D56" s="11">
        <v>13.235390036241792</v>
      </c>
      <c r="E56" s="11">
        <v>14.155298001299764</v>
      </c>
      <c r="F56" s="11">
        <v>14.704674124637837</v>
      </c>
      <c r="G56" s="11">
        <v>14.719216883697165</v>
      </c>
      <c r="H56" s="11">
        <v>15.177092481599217</v>
      </c>
      <c r="I56" s="11">
        <v>13.793330423909991</v>
      </c>
      <c r="J56" s="11">
        <v>12.606579709213555</v>
      </c>
      <c r="K56" s="11">
        <v>12.351191156899674</v>
      </c>
      <c r="L56" s="22"/>
    </row>
    <row r="57" spans="1:12" ht="9" customHeight="1">
      <c r="A57" s="1" t="s">
        <v>11</v>
      </c>
      <c r="B57" s="11">
        <v>1.7303065435007543</v>
      </c>
      <c r="C57" s="11">
        <v>1.6309451244625295</v>
      </c>
      <c r="D57" s="11">
        <v>1.7561760012407102</v>
      </c>
      <c r="E57" s="11">
        <v>1.962226390988995</v>
      </c>
      <c r="F57" s="11">
        <v>2.0498613850295828</v>
      </c>
      <c r="G57" s="11">
        <v>1.911575930779676</v>
      </c>
      <c r="H57" s="11">
        <v>1.9936418144204582</v>
      </c>
      <c r="I57" s="11">
        <v>2.0384599114741366</v>
      </c>
      <c r="J57" s="11">
        <v>2.018402437449188</v>
      </c>
      <c r="K57" s="11">
        <v>1.9087752098631952</v>
      </c>
      <c r="L57" s="22"/>
    </row>
    <row r="58" spans="1:12" ht="9" customHeight="1">
      <c r="A58" s="1" t="s">
        <v>12</v>
      </c>
      <c r="B58" s="11">
        <v>6.1169519582341234</v>
      </c>
      <c r="C58" s="11">
        <v>5.1724068524612443</v>
      </c>
      <c r="D58" s="11">
        <v>5.0879768553307674</v>
      </c>
      <c r="E58" s="11">
        <v>5.5452467629722868</v>
      </c>
      <c r="F58" s="11">
        <v>5.2043468307705227</v>
      </c>
      <c r="G58" s="11">
        <v>5.2982451887674866</v>
      </c>
      <c r="H58" s="11">
        <v>6.0899358784783981</v>
      </c>
      <c r="I58" s="11">
        <v>5.5582715669011797</v>
      </c>
      <c r="J58" s="11">
        <v>5.3583557495743097</v>
      </c>
      <c r="K58" s="11">
        <v>4.7128128475185243</v>
      </c>
      <c r="L58" s="22"/>
    </row>
    <row r="59" spans="1:12" ht="9" customHeight="1">
      <c r="A59" s="1" t="s">
        <v>14</v>
      </c>
      <c r="B59" s="11">
        <v>5.9022432485217173</v>
      </c>
      <c r="C59" s="11">
        <v>6.4141541737368408</v>
      </c>
      <c r="D59" s="11">
        <v>6.3912371796703145</v>
      </c>
      <c r="E59" s="11">
        <v>6.647824847338482</v>
      </c>
      <c r="F59" s="11">
        <v>7.4504659088377307</v>
      </c>
      <c r="G59" s="11">
        <v>7.5093957641500007</v>
      </c>
      <c r="H59" s="11">
        <v>7.09351478870036</v>
      </c>
      <c r="I59" s="11">
        <v>6.1965989455346744</v>
      </c>
      <c r="J59" s="11">
        <v>5.2298215221900568</v>
      </c>
      <c r="K59" s="11">
        <v>5.7296030995179539</v>
      </c>
      <c r="L59" s="22"/>
    </row>
    <row r="60" spans="1:12" ht="1.9" customHeight="1">
      <c r="A60" s="1"/>
      <c r="B60" s="11"/>
      <c r="C60" s="11"/>
      <c r="D60" s="11"/>
      <c r="E60" s="11"/>
      <c r="F60" s="11"/>
      <c r="G60" s="11"/>
      <c r="H60" s="11"/>
      <c r="I60" s="11"/>
      <c r="J60" s="11"/>
      <c r="L60" s="22"/>
    </row>
    <row r="61" spans="1:12" ht="9" customHeight="1">
      <c r="A61" s="1" t="s">
        <v>30</v>
      </c>
      <c r="B61" s="11">
        <v>1.3929476426487637</v>
      </c>
      <c r="C61" s="11">
        <v>1.2562066965777492</v>
      </c>
      <c r="D61" s="11">
        <v>1.1525783547915256</v>
      </c>
      <c r="E61" s="11">
        <v>1.3375899267064764</v>
      </c>
      <c r="F61" s="11">
        <v>1.2756854944550229</v>
      </c>
      <c r="G61" s="11">
        <v>0.83393937169760257</v>
      </c>
      <c r="H61" s="11">
        <v>1.5862064785154311</v>
      </c>
      <c r="I61" s="11">
        <v>1.2871600727393568</v>
      </c>
      <c r="J61" s="11">
        <v>0.94778552436612584</v>
      </c>
      <c r="K61" s="11">
        <v>0.88705125519145189</v>
      </c>
      <c r="L61" s="22"/>
    </row>
    <row r="62" spans="1:12" ht="9" customHeight="1">
      <c r="A62" s="1" t="s">
        <v>31</v>
      </c>
      <c r="B62" s="11">
        <v>2.3508673662707369</v>
      </c>
      <c r="C62" s="11">
        <v>1.5872108921276136</v>
      </c>
      <c r="D62" s="11">
        <v>1.5638266044586038</v>
      </c>
      <c r="E62" s="11">
        <v>1.0750481051953611</v>
      </c>
      <c r="F62" s="11">
        <v>1.409002273660277</v>
      </c>
      <c r="G62" s="11">
        <v>1.4279931587169867</v>
      </c>
      <c r="H62" s="11">
        <v>2.1602233528305592</v>
      </c>
      <c r="I62" s="11">
        <v>1.3296444880065037</v>
      </c>
      <c r="J62" s="11">
        <v>1.3536589028547403</v>
      </c>
      <c r="K62" s="11">
        <v>1.5765367274616398</v>
      </c>
      <c r="L62" s="22"/>
    </row>
    <row r="63" spans="1:12" ht="1.9" customHeight="1">
      <c r="A63" s="1"/>
      <c r="B63" s="11"/>
      <c r="C63" s="11"/>
      <c r="D63" s="11"/>
      <c r="E63" s="11"/>
      <c r="F63" s="11"/>
      <c r="G63" s="11"/>
      <c r="H63" s="11"/>
      <c r="I63" s="11"/>
      <c r="J63" s="11"/>
      <c r="L63" s="22"/>
    </row>
    <row r="64" spans="1:12" ht="9" customHeight="1">
      <c r="A64" s="1" t="s">
        <v>32</v>
      </c>
      <c r="B64" s="11">
        <v>6.8771231441720833</v>
      </c>
      <c r="C64" s="11">
        <v>7.9875369444175819</v>
      </c>
      <c r="D64" s="11">
        <v>7.8218015675163945</v>
      </c>
      <c r="E64" s="11">
        <v>9.4470203226119338</v>
      </c>
      <c r="F64" s="11">
        <v>9.065234814552861</v>
      </c>
      <c r="G64" s="11">
        <v>9.0906855464561964</v>
      </c>
      <c r="H64" s="11">
        <v>9.725246899564377</v>
      </c>
      <c r="I64" s="11">
        <v>9.3876966217115587</v>
      </c>
      <c r="J64" s="11">
        <v>10.776390271200013</v>
      </c>
      <c r="K64" s="11">
        <v>9.1903687609493527</v>
      </c>
      <c r="L64" s="22"/>
    </row>
    <row r="65" spans="1:12" ht="9" customHeight="1">
      <c r="A65" s="1" t="s">
        <v>33</v>
      </c>
      <c r="B65" s="11">
        <v>2.5909718804409705</v>
      </c>
      <c r="C65" s="11">
        <v>3.3121506107940744</v>
      </c>
      <c r="D65" s="11">
        <v>3.0596315395475808</v>
      </c>
      <c r="E65" s="11">
        <v>2.9249214448611895</v>
      </c>
      <c r="F65" s="11">
        <v>3.0546892255715035</v>
      </c>
      <c r="G65" s="11">
        <v>3.1235500163812757</v>
      </c>
      <c r="H65" s="11">
        <v>3.6596624832681686</v>
      </c>
      <c r="I65" s="11">
        <v>3.4780801507798329</v>
      </c>
      <c r="J65" s="11">
        <v>3.9455051020247272</v>
      </c>
      <c r="K65" s="11">
        <v>3.4791770098386614</v>
      </c>
      <c r="L65" s="22"/>
    </row>
    <row r="66" spans="1:12" ht="9" customHeight="1">
      <c r="A66" s="1" t="s">
        <v>34</v>
      </c>
      <c r="B66" s="11">
        <v>0.4021012637311121</v>
      </c>
      <c r="C66" s="11">
        <v>0.55508633362350712</v>
      </c>
      <c r="D66" s="11">
        <v>0.47207002796881331</v>
      </c>
      <c r="E66" s="11">
        <v>0.64544627980513969</v>
      </c>
      <c r="F66" s="11">
        <v>0.58556722958047169</v>
      </c>
      <c r="G66" s="11">
        <v>0.38806968299385564</v>
      </c>
      <c r="H66" s="11">
        <v>0.51806683021160693</v>
      </c>
      <c r="I66" s="11">
        <v>0.43283131297033683</v>
      </c>
      <c r="J66" s="11">
        <v>0.61893429060961136</v>
      </c>
      <c r="K66" s="11">
        <v>0.18453756738261085</v>
      </c>
      <c r="L66" s="22"/>
    </row>
    <row r="67" spans="1:12" ht="9" customHeight="1">
      <c r="A67" s="1" t="s">
        <v>35</v>
      </c>
      <c r="B67" s="11">
        <v>0.63790000000000013</v>
      </c>
      <c r="C67" s="11">
        <v>0.50380000000000003</v>
      </c>
      <c r="D67" s="11">
        <v>0.50480000000000003</v>
      </c>
      <c r="E67" s="11">
        <v>0.71300000000000008</v>
      </c>
      <c r="F67" s="11">
        <v>0.69140000000000001</v>
      </c>
      <c r="G67" s="11">
        <v>0.66010000000000013</v>
      </c>
      <c r="H67" s="11">
        <v>0.89054797529814222</v>
      </c>
      <c r="I67" s="11">
        <v>0.97619581075393136</v>
      </c>
      <c r="J67" s="11">
        <v>0.98242380865023804</v>
      </c>
      <c r="K67" s="11">
        <v>1.0102965028982989</v>
      </c>
      <c r="L67" s="22"/>
    </row>
    <row r="68" spans="1:12" ht="9" customHeight="1">
      <c r="A68" s="1" t="s">
        <v>36</v>
      </c>
      <c r="B68" s="11">
        <v>0.91000000000000014</v>
      </c>
      <c r="C68" s="11">
        <v>0.78</v>
      </c>
      <c r="D68" s="11">
        <v>0.91000000000000014</v>
      </c>
      <c r="E68" s="11">
        <v>1.8439025979456058</v>
      </c>
      <c r="F68" s="11">
        <v>1.7490283594008846</v>
      </c>
      <c r="G68" s="11">
        <v>1.9726062979200567</v>
      </c>
      <c r="H68" s="11">
        <v>1.9574286416166857</v>
      </c>
      <c r="I68" s="11">
        <v>1.8979620231589207</v>
      </c>
      <c r="J68" s="11">
        <v>2.2175004634671165</v>
      </c>
      <c r="K68" s="11">
        <v>1.918506962199801</v>
      </c>
      <c r="L68" s="22"/>
    </row>
    <row r="69" spans="1:12" ht="9" customHeight="1">
      <c r="A69" s="1" t="s">
        <v>37</v>
      </c>
      <c r="B69" s="11">
        <v>2.3361499999999999</v>
      </c>
      <c r="C69" s="11">
        <v>2.8365</v>
      </c>
      <c r="D69" s="11">
        <v>2.8753000000000002</v>
      </c>
      <c r="E69" s="11">
        <v>3.31975</v>
      </c>
      <c r="F69" s="11">
        <v>2.98455</v>
      </c>
      <c r="G69" s="11">
        <v>2.9463595491610075</v>
      </c>
      <c r="H69" s="11">
        <v>2.6995409691697727</v>
      </c>
      <c r="I69" s="11">
        <v>2.602627324048536</v>
      </c>
      <c r="J69" s="11">
        <v>3.0120266064483197</v>
      </c>
      <c r="K69" s="11">
        <v>2.5978507186299793</v>
      </c>
      <c r="L69" s="22"/>
    </row>
    <row r="70" spans="1:12" ht="1.9" customHeight="1">
      <c r="A70" s="1"/>
      <c r="B70" s="11"/>
      <c r="C70" s="11"/>
      <c r="D70" s="11"/>
      <c r="E70" s="11"/>
      <c r="F70" s="11"/>
      <c r="G70" s="11"/>
      <c r="H70" s="11"/>
      <c r="I70" s="11"/>
      <c r="J70" s="11"/>
      <c r="L70" s="22"/>
    </row>
    <row r="71" spans="1:12" ht="9" customHeight="1">
      <c r="A71" s="1" t="s">
        <v>360</v>
      </c>
      <c r="B71" s="11">
        <v>282.84552475836063</v>
      </c>
      <c r="C71" s="11">
        <v>286.96515898210902</v>
      </c>
      <c r="D71" s="11">
        <v>277.20714840633036</v>
      </c>
      <c r="E71" s="11">
        <v>278.95662200223865</v>
      </c>
      <c r="F71" s="11">
        <v>260.96910964367009</v>
      </c>
      <c r="G71" s="11">
        <v>267.19637411191195</v>
      </c>
      <c r="H71" s="11">
        <v>270.06445822338196</v>
      </c>
      <c r="I71" s="11">
        <v>282.30358153374391</v>
      </c>
      <c r="J71" s="11">
        <v>280.48606585947556</v>
      </c>
      <c r="K71" s="23">
        <v>271.88920825883844</v>
      </c>
      <c r="L71" s="24"/>
    </row>
    <row r="72" spans="1:12" ht="9" customHeight="1">
      <c r="A72" s="1" t="s">
        <v>38</v>
      </c>
      <c r="B72" s="11">
        <v>93.816953711444086</v>
      </c>
      <c r="C72" s="11">
        <v>96.768023908724317</v>
      </c>
      <c r="D72" s="11">
        <v>97.435974940233081</v>
      </c>
      <c r="E72" s="11">
        <v>96.320652948452491</v>
      </c>
      <c r="F72" s="11">
        <v>92.214267846835071</v>
      </c>
      <c r="G72" s="11">
        <v>89.444291775669512</v>
      </c>
      <c r="H72" s="11">
        <v>98.687122586046129</v>
      </c>
      <c r="I72" s="11">
        <v>98.488785445166229</v>
      </c>
      <c r="J72" s="11">
        <v>99.677092981480641</v>
      </c>
      <c r="K72" s="11">
        <v>97.10757306437128</v>
      </c>
      <c r="L72" s="22"/>
    </row>
    <row r="73" spans="1:12" ht="9" customHeight="1">
      <c r="A73" s="1" t="s">
        <v>39</v>
      </c>
      <c r="B73" s="11">
        <v>20.989116379328166</v>
      </c>
      <c r="C73" s="11">
        <v>20.8293368956144</v>
      </c>
      <c r="D73" s="11">
        <v>20.623232640454294</v>
      </c>
      <c r="E73" s="11">
        <v>21.364648547867407</v>
      </c>
      <c r="F73" s="11">
        <v>20.864447327303512</v>
      </c>
      <c r="G73" s="11">
        <v>19.615474542537076</v>
      </c>
      <c r="H73" s="11">
        <v>22.61243261312044</v>
      </c>
      <c r="I73" s="11">
        <v>20.45463817570446</v>
      </c>
      <c r="J73" s="11">
        <v>20.595987182044283</v>
      </c>
      <c r="K73" s="11">
        <v>17.205174915420152</v>
      </c>
      <c r="L73" s="22"/>
    </row>
    <row r="74" spans="1:12" ht="9" customHeight="1">
      <c r="A74" s="1" t="s">
        <v>40</v>
      </c>
      <c r="B74" s="11">
        <v>4.084177596412097</v>
      </c>
      <c r="C74" s="11">
        <v>3.9793917658804023</v>
      </c>
      <c r="D74" s="11">
        <v>4.0163562150901218</v>
      </c>
      <c r="E74" s="11">
        <v>4.5665966862868217</v>
      </c>
      <c r="F74" s="11">
        <v>4.2596279945450899</v>
      </c>
      <c r="G74" s="11">
        <v>4.0997649293902247</v>
      </c>
      <c r="H74" s="11">
        <v>4.2541873271357655</v>
      </c>
      <c r="I74" s="11">
        <v>4.3199726564444818</v>
      </c>
      <c r="J74" s="11">
        <v>4.4854137346659542</v>
      </c>
      <c r="K74" s="11">
        <v>4.7380247131497892</v>
      </c>
      <c r="L74" s="22"/>
    </row>
    <row r="75" spans="1:12" ht="9" customHeight="1">
      <c r="A75" s="1" t="s">
        <v>41</v>
      </c>
      <c r="B75" s="11">
        <v>122.65891851150455</v>
      </c>
      <c r="C75" s="11">
        <v>126.86971436141255</v>
      </c>
      <c r="D75" s="11">
        <v>112.31640696840506</v>
      </c>
      <c r="E75" s="11">
        <v>117.45405812817268</v>
      </c>
      <c r="F75" s="11">
        <v>107.61279794158837</v>
      </c>
      <c r="G75" s="11">
        <v>118.47404603554793</v>
      </c>
      <c r="H75" s="11">
        <v>106.28657892240558</v>
      </c>
      <c r="I75" s="11">
        <v>121.4503919522413</v>
      </c>
      <c r="J75" s="11">
        <v>120.22872422915616</v>
      </c>
      <c r="K75" s="11">
        <v>115.73380220422763</v>
      </c>
      <c r="L75" s="22"/>
    </row>
    <row r="76" spans="1:12" ht="9" customHeight="1">
      <c r="A76" s="1" t="s">
        <v>42</v>
      </c>
      <c r="B76" s="11">
        <v>11.487421374562043</v>
      </c>
      <c r="C76" s="11">
        <v>12.06643236600215</v>
      </c>
      <c r="D76" s="11">
        <v>14.933305812915705</v>
      </c>
      <c r="E76" s="11">
        <v>13.245277631379523</v>
      </c>
      <c r="F76" s="11">
        <v>12.094977914795976</v>
      </c>
      <c r="G76" s="11">
        <v>12.21933991679664</v>
      </c>
      <c r="H76" s="11">
        <v>10.744134704814634</v>
      </c>
      <c r="I76" s="11">
        <v>12.520988440537224</v>
      </c>
      <c r="J76" s="11">
        <v>12.690851362537293</v>
      </c>
      <c r="K76" s="11">
        <v>12.651675494611316</v>
      </c>
      <c r="L76" s="22"/>
    </row>
    <row r="77" spans="1:12" ht="1.9" customHeight="1">
      <c r="A77" s="1"/>
      <c r="B77" s="11"/>
      <c r="C77" s="11"/>
      <c r="D77" s="11"/>
      <c r="E77" s="11"/>
      <c r="F77" s="11"/>
      <c r="G77" s="11"/>
      <c r="H77" s="11"/>
      <c r="I77" s="11"/>
      <c r="J77" s="11"/>
      <c r="L77" s="22"/>
    </row>
    <row r="78" spans="1:12" ht="9" customHeight="1">
      <c r="A78" s="1" t="s">
        <v>361</v>
      </c>
      <c r="B78" s="11">
        <v>2.2535105205984753</v>
      </c>
      <c r="C78" s="11">
        <v>2.2384978900944779</v>
      </c>
      <c r="D78" s="11">
        <v>2.4442279312861088</v>
      </c>
      <c r="E78" s="11">
        <v>2.2686251658245924</v>
      </c>
      <c r="F78" s="11">
        <v>2.4482072017784553</v>
      </c>
      <c r="G78" s="11">
        <v>2.1734264671061183</v>
      </c>
      <c r="H78" s="11">
        <v>2.2964019467867591</v>
      </c>
      <c r="I78" s="11">
        <v>2.3635819077518097</v>
      </c>
      <c r="J78" s="11">
        <v>2.148570817713348</v>
      </c>
      <c r="K78" s="11">
        <v>2.0980800048366302</v>
      </c>
      <c r="L78" s="22"/>
    </row>
    <row r="79" spans="1:12" ht="9" customHeight="1">
      <c r="A79" s="1" t="s">
        <v>43</v>
      </c>
      <c r="B79" s="11">
        <v>0.52807050921483645</v>
      </c>
      <c r="C79" s="11">
        <v>0.58624647001200914</v>
      </c>
      <c r="D79" s="11">
        <v>0.64527828318929104</v>
      </c>
      <c r="E79" s="11">
        <v>0.61784451799452256</v>
      </c>
      <c r="F79" s="11">
        <v>0.7388640978466896</v>
      </c>
      <c r="G79" s="11">
        <v>0.60990796331081132</v>
      </c>
      <c r="H79" s="11">
        <v>0.59123848008763047</v>
      </c>
      <c r="I79" s="11">
        <v>0.59492110330540604</v>
      </c>
      <c r="J79" s="11">
        <v>0.53102234936460291</v>
      </c>
      <c r="K79" s="11">
        <v>0.48129828870019609</v>
      </c>
      <c r="L79" s="22"/>
    </row>
    <row r="80" spans="1:12" ht="9" customHeight="1">
      <c r="A80" s="1" t="s">
        <v>44</v>
      </c>
      <c r="B80" s="11">
        <v>0.53822420011249705</v>
      </c>
      <c r="C80" s="11">
        <v>0.537216619326915</v>
      </c>
      <c r="D80" s="11">
        <v>0.61991808518757385</v>
      </c>
      <c r="E80" s="11">
        <v>0.45591982736079317</v>
      </c>
      <c r="F80" s="11">
        <v>0.46941928601626454</v>
      </c>
      <c r="G80" s="11">
        <v>0.44189105515320437</v>
      </c>
      <c r="H80" s="11">
        <v>0.39208789468808891</v>
      </c>
      <c r="I80" s="11">
        <v>0.52208286885502786</v>
      </c>
      <c r="J80" s="11">
        <v>0.37314244623105136</v>
      </c>
      <c r="K80" s="11">
        <v>0.50733378790130368</v>
      </c>
      <c r="L80" s="22"/>
    </row>
    <row r="81" spans="1:12" ht="9" customHeight="1">
      <c r="A81" s="1" t="s">
        <v>45</v>
      </c>
      <c r="B81" s="11">
        <v>0.48837059405246741</v>
      </c>
      <c r="C81" s="11">
        <v>0.46369830734008288</v>
      </c>
      <c r="D81" s="11">
        <v>0.50090343973684792</v>
      </c>
      <c r="E81" s="11">
        <v>0.45046766536577321</v>
      </c>
      <c r="F81" s="11">
        <v>0.45239146753461645</v>
      </c>
      <c r="G81" s="11">
        <v>0.45219026586304523</v>
      </c>
      <c r="H81" s="11">
        <v>0.46293462461857743</v>
      </c>
      <c r="I81" s="11">
        <v>0.37510450637636417</v>
      </c>
      <c r="J81" s="11">
        <v>0.44208710860990058</v>
      </c>
      <c r="K81" s="11">
        <v>0.38310652013380769</v>
      </c>
      <c r="L81" s="22"/>
    </row>
    <row r="82" spans="1:12" ht="9" customHeight="1">
      <c r="A82" s="1" t="s">
        <v>362</v>
      </c>
      <c r="B82" s="11">
        <v>0.69884521721867454</v>
      </c>
      <c r="C82" s="11">
        <v>0.65133649341547084</v>
      </c>
      <c r="D82" s="11">
        <v>0.67812812317239579</v>
      </c>
      <c r="E82" s="11">
        <v>0.74439315510350323</v>
      </c>
      <c r="F82" s="11">
        <v>0.78753235038088509</v>
      </c>
      <c r="G82" s="11">
        <v>0.6694371827790575</v>
      </c>
      <c r="H82" s="11">
        <v>0.85014094739246227</v>
      </c>
      <c r="I82" s="11">
        <v>0.8714734292150117</v>
      </c>
      <c r="J82" s="11">
        <v>0.80231891350779305</v>
      </c>
      <c r="K82" s="11">
        <v>0.72634140810132286</v>
      </c>
      <c r="L82" s="22"/>
    </row>
    <row r="83" spans="1:12" ht="1.9" customHeight="1">
      <c r="A83" s="1"/>
      <c r="B83" s="11"/>
      <c r="C83" s="11"/>
      <c r="D83" s="11"/>
      <c r="E83" s="11"/>
      <c r="F83" s="11"/>
      <c r="G83" s="11"/>
      <c r="H83" s="11"/>
      <c r="I83" s="11"/>
      <c r="J83" s="11"/>
      <c r="L83" s="22"/>
    </row>
    <row r="84" spans="1:12" ht="9" customHeight="1">
      <c r="A84" s="1" t="s">
        <v>46</v>
      </c>
      <c r="B84" s="11">
        <v>310.04885071518436</v>
      </c>
      <c r="C84" s="11">
        <v>313.86569202228389</v>
      </c>
      <c r="D84" s="11">
        <v>303.69405208260753</v>
      </c>
      <c r="E84" s="11">
        <v>308.12392114983743</v>
      </c>
      <c r="F84" s="11">
        <v>288.18184349537739</v>
      </c>
      <c r="G84" s="11">
        <v>292.97785026875312</v>
      </c>
      <c r="H84" s="11">
        <v>297.91326773904927</v>
      </c>
      <c r="I84" s="11">
        <v>309.54001714267343</v>
      </c>
      <c r="J84" s="11">
        <v>308.27417292128615</v>
      </c>
      <c r="K84" s="11">
        <v>300.33774156259426</v>
      </c>
      <c r="L84" s="22"/>
    </row>
    <row r="85" spans="1:12" ht="9" customHeight="1">
      <c r="A85" s="1" t="s">
        <v>47</v>
      </c>
      <c r="B85" s="11">
        <v>119.44921012729098</v>
      </c>
      <c r="C85" s="11">
        <v>120.87509218540205</v>
      </c>
      <c r="D85" s="11">
        <v>108.34550876269702</v>
      </c>
      <c r="E85" s="11">
        <v>111.75225896213996</v>
      </c>
      <c r="F85" s="11">
        <v>96.183811921185907</v>
      </c>
      <c r="G85" s="11">
        <v>106.00567949559107</v>
      </c>
      <c r="H85" s="11">
        <v>98.578835248787314</v>
      </c>
      <c r="I85" s="11">
        <v>114.00270756641976</v>
      </c>
      <c r="J85" s="11">
        <v>113.09270796740648</v>
      </c>
      <c r="K85" s="11">
        <v>108.0650752338548</v>
      </c>
      <c r="L85" s="22"/>
    </row>
    <row r="86" spans="1:12" ht="9" customHeight="1">
      <c r="A86" s="2" t="s">
        <v>48</v>
      </c>
      <c r="B86" s="12">
        <v>165.64982515166813</v>
      </c>
      <c r="C86" s="12">
        <v>168.32856468680146</v>
      </c>
      <c r="D86" s="12">
        <v>171.30586757491943</v>
      </c>
      <c r="E86" s="12">
        <v>169.47298820592326</v>
      </c>
      <c r="F86" s="12">
        <v>167.23350492426266</v>
      </c>
      <c r="G86" s="12">
        <v>163.36412108342702</v>
      </c>
      <c r="H86" s="12">
        <v>173.78202492138143</v>
      </c>
      <c r="I86" s="12">
        <v>170.66445587507599</v>
      </c>
      <c r="J86" s="12">
        <v>169.54192870978244</v>
      </c>
      <c r="K86" s="12">
        <v>165.92221302982028</v>
      </c>
      <c r="L86" s="22"/>
    </row>
    <row r="87" spans="1:12">
      <c r="A87" s="16" t="s">
        <v>49</v>
      </c>
      <c r="B87" s="523">
        <v>24.94981543622524</v>
      </c>
      <c r="C87" s="523">
        <v>24.662035150080396</v>
      </c>
      <c r="D87" s="523">
        <v>24.042675744991083</v>
      </c>
      <c r="E87" s="523">
        <v>26.89867398177422</v>
      </c>
      <c r="F87" s="523">
        <v>24.76452664992884</v>
      </c>
      <c r="G87" s="523">
        <v>23.608049689735026</v>
      </c>
      <c r="H87" s="523">
        <v>25.55240756888055</v>
      </c>
      <c r="I87" s="523">
        <v>24.872853701177693</v>
      </c>
      <c r="J87" s="523">
        <v>25.63953624409724</v>
      </c>
      <c r="K87" s="523">
        <v>26.350453298919181</v>
      </c>
      <c r="L87" s="22"/>
    </row>
    <row r="88" spans="1:12">
      <c r="B88" s="18"/>
      <c r="C88" s="18"/>
      <c r="D88" s="18"/>
      <c r="E88" s="18"/>
      <c r="F88" s="18"/>
      <c r="G88" s="18"/>
      <c r="H88" s="18"/>
      <c r="K88" s="25" t="s">
        <v>60</v>
      </c>
    </row>
    <row r="89" spans="1:12">
      <c r="B89" s="18"/>
      <c r="C89" s="18"/>
      <c r="D89" s="18"/>
      <c r="E89" s="18"/>
      <c r="F89" s="18"/>
      <c r="G89" s="18"/>
      <c r="H89" s="18"/>
      <c r="I89" s="18"/>
      <c r="J89" s="18"/>
    </row>
    <row r="90" spans="1:12">
      <c r="B90" s="20"/>
      <c r="C90" s="20"/>
      <c r="D90" s="20"/>
      <c r="E90" s="20"/>
      <c r="F90" s="20"/>
      <c r="G90" s="20"/>
      <c r="H90" s="20"/>
      <c r="I90" s="20"/>
      <c r="J90" s="20"/>
      <c r="K90" s="20"/>
    </row>
    <row r="91" spans="1:12">
      <c r="B91" s="18"/>
      <c r="C91" s="18"/>
      <c r="D91" s="18"/>
      <c r="E91" s="18"/>
      <c r="F91" s="18"/>
      <c r="G91" s="18"/>
      <c r="H91" s="18"/>
      <c r="I91" s="18"/>
      <c r="J91" s="18"/>
    </row>
    <row r="93" spans="1:12">
      <c r="B93" s="22"/>
      <c r="C93" s="22"/>
      <c r="D93" s="22"/>
      <c r="E93" s="22"/>
      <c r="F93" s="22"/>
      <c r="G93" s="22"/>
      <c r="H93" s="22"/>
      <c r="I93" s="22"/>
      <c r="J93" s="22"/>
      <c r="K93" s="22"/>
    </row>
  </sheetData>
  <pageMargins left="0.66700000000000004" right="0.66700000000000004" top="0.66700000000000004" bottom="0.72" header="0" footer="0"/>
  <pageSetup firstPageNumber="20" orientation="portrait" useFirstPageNumber="1" r:id="rId1"/>
  <headerFooter alignWithMargins="0"/>
  <ignoredErrors>
    <ignoredError sqref="B2:K2"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L98"/>
  <sheetViews>
    <sheetView showGridLines="0" zoomScale="120" zoomScaleNormal="120" workbookViewId="0"/>
  </sheetViews>
  <sheetFormatPr defaultColWidth="13.42578125" defaultRowHeight="9"/>
  <cols>
    <col min="1" max="1" width="17.5703125" style="17" customWidth="1"/>
    <col min="2" max="11" width="9.140625" style="17" customWidth="1"/>
    <col min="12" max="16384" width="13.42578125" style="17"/>
  </cols>
  <sheetData>
    <row r="1" spans="1:12" ht="10.35" customHeight="1">
      <c r="A1" s="1" t="s">
        <v>468</v>
      </c>
      <c r="B1" s="1"/>
      <c r="C1" s="1"/>
      <c r="D1" s="1"/>
      <c r="E1" s="26"/>
      <c r="F1" s="26"/>
      <c r="G1" s="26"/>
      <c r="H1" s="26"/>
      <c r="I1" s="26"/>
    </row>
    <row r="2" spans="1:12" ht="10.35" customHeight="1">
      <c r="A2" s="5" t="s">
        <v>0</v>
      </c>
      <c r="B2" s="6" t="s">
        <v>61</v>
      </c>
      <c r="C2" s="6" t="s">
        <v>62</v>
      </c>
      <c r="D2" s="6" t="s">
        <v>63</v>
      </c>
      <c r="E2" s="6" t="s">
        <v>64</v>
      </c>
      <c r="F2" s="6" t="s">
        <v>65</v>
      </c>
      <c r="G2" s="6" t="s">
        <v>66</v>
      </c>
      <c r="H2" s="6" t="s">
        <v>67</v>
      </c>
      <c r="I2" s="6">
        <v>2003</v>
      </c>
      <c r="J2" s="27">
        <v>2004</v>
      </c>
      <c r="K2" s="27">
        <v>2005</v>
      </c>
    </row>
    <row r="3" spans="1:12" ht="10.35" customHeight="1">
      <c r="A3" s="1"/>
      <c r="B3" s="10"/>
      <c r="C3" s="9"/>
      <c r="D3" s="9"/>
      <c r="E3" s="28"/>
      <c r="F3" s="374" t="s">
        <v>412</v>
      </c>
      <c r="G3" s="28"/>
      <c r="H3" s="28"/>
      <c r="I3" s="28"/>
    </row>
    <row r="4" spans="1:12" ht="1.9" customHeight="1">
      <c r="A4" s="1"/>
      <c r="B4" s="1"/>
      <c r="C4" s="1"/>
      <c r="D4" s="1"/>
      <c r="E4" s="26"/>
      <c r="F4" s="26"/>
      <c r="G4" s="26"/>
      <c r="H4" s="26"/>
      <c r="I4" s="26"/>
    </row>
    <row r="5" spans="1:12" ht="8.65" customHeight="1">
      <c r="A5" s="1" t="s">
        <v>10</v>
      </c>
      <c r="B5" s="11">
        <v>46.414394311027181</v>
      </c>
      <c r="C5" s="11">
        <v>45.110890290960164</v>
      </c>
      <c r="D5" s="11">
        <v>47.337595258812215</v>
      </c>
      <c r="E5" s="11">
        <v>47.068762111651289</v>
      </c>
      <c r="F5" s="11">
        <v>45.059715305641646</v>
      </c>
      <c r="G5" s="11">
        <v>43.449129595846721</v>
      </c>
      <c r="H5" s="11">
        <v>43.134025240048089</v>
      </c>
      <c r="I5" s="11">
        <v>46.56818624255223</v>
      </c>
      <c r="J5" s="11">
        <v>50.447480145502936</v>
      </c>
      <c r="K5" s="11">
        <v>45.22267078080128</v>
      </c>
      <c r="L5" s="22"/>
    </row>
    <row r="6" spans="1:12" ht="8.65" customHeight="1">
      <c r="A6" s="1" t="s">
        <v>11</v>
      </c>
      <c r="B6" s="11">
        <v>18.670136212244717</v>
      </c>
      <c r="C6" s="11">
        <v>18.085112044205339</v>
      </c>
      <c r="D6" s="11">
        <v>18.983517100522427</v>
      </c>
      <c r="E6" s="11">
        <v>18.499987255139228</v>
      </c>
      <c r="F6" s="11">
        <v>17.460350690120535</v>
      </c>
      <c r="G6" s="11">
        <v>15.606546378789929</v>
      </c>
      <c r="H6" s="23">
        <v>16.004253416997152</v>
      </c>
      <c r="I6" s="11">
        <v>16.90571998421996</v>
      </c>
      <c r="J6" s="11">
        <v>18.794614119566383</v>
      </c>
      <c r="K6" s="11">
        <v>16.655049996093187</v>
      </c>
      <c r="L6" s="22"/>
    </row>
    <row r="7" spans="1:12" ht="8.65" customHeight="1">
      <c r="A7" s="1" t="s">
        <v>12</v>
      </c>
      <c r="B7" s="11">
        <v>4.9077718066841012</v>
      </c>
      <c r="C7" s="11">
        <v>5.5991622198894868</v>
      </c>
      <c r="D7" s="11">
        <v>4.3682651324085748</v>
      </c>
      <c r="E7" s="11">
        <v>4.8399123724090307</v>
      </c>
      <c r="F7" s="11">
        <v>4.3588449527836319</v>
      </c>
      <c r="G7" s="11">
        <v>4.568943458530768</v>
      </c>
      <c r="H7" s="11">
        <v>4.0071154526018233</v>
      </c>
      <c r="I7" s="11">
        <v>4.5000751004759225</v>
      </c>
      <c r="J7" s="11">
        <v>4.5322980589414712</v>
      </c>
      <c r="K7" s="11">
        <v>4.1891122437878563</v>
      </c>
      <c r="L7" s="22"/>
    </row>
    <row r="8" spans="1:12" ht="8.65" customHeight="1">
      <c r="A8" s="1" t="s">
        <v>13</v>
      </c>
      <c r="B8" s="11">
        <v>1.0392961076419753</v>
      </c>
      <c r="C8" s="11">
        <v>1.3486006016513825</v>
      </c>
      <c r="D8" s="11">
        <v>0.93841950399327456</v>
      </c>
      <c r="E8" s="11">
        <v>0.93055397376762916</v>
      </c>
      <c r="F8" s="11">
        <v>0.77146035223398035</v>
      </c>
      <c r="G8" s="11">
        <v>0.90977330629915298</v>
      </c>
      <c r="H8" s="11">
        <v>0.68960118406994653</v>
      </c>
      <c r="I8" s="11">
        <v>1.0321584672775599</v>
      </c>
      <c r="J8" s="11">
        <v>0.69225810854936498</v>
      </c>
      <c r="K8" s="11">
        <v>0.84897672779060573</v>
      </c>
      <c r="L8" s="22"/>
    </row>
    <row r="9" spans="1:12" ht="8.65" customHeight="1">
      <c r="A9" s="1" t="s">
        <v>14</v>
      </c>
      <c r="B9" s="11">
        <v>20.334743527797553</v>
      </c>
      <c r="C9" s="11">
        <v>18.474711688463163</v>
      </c>
      <c r="D9" s="11">
        <v>21.524227360835884</v>
      </c>
      <c r="E9" s="11">
        <v>21.363779668014352</v>
      </c>
      <c r="F9" s="11">
        <v>21.369884845401138</v>
      </c>
      <c r="G9" s="11">
        <v>21.286237087829058</v>
      </c>
      <c r="H9" s="11">
        <v>21.454374696505912</v>
      </c>
      <c r="I9" s="11">
        <v>23.130804677706834</v>
      </c>
      <c r="J9" s="11">
        <v>25.282179506618004</v>
      </c>
      <c r="K9" s="11">
        <v>22.260599144105001</v>
      </c>
      <c r="L9" s="22"/>
    </row>
    <row r="10" spans="1:12" ht="8.65" customHeight="1">
      <c r="A10" s="1" t="s">
        <v>15</v>
      </c>
      <c r="B10" s="11">
        <v>1.2363483463103193</v>
      </c>
      <c r="C10" s="11">
        <v>0.94758634766507754</v>
      </c>
      <c r="D10" s="11">
        <v>1.1805251954602773</v>
      </c>
      <c r="E10" s="11">
        <v>0.98680376971698669</v>
      </c>
      <c r="F10" s="11">
        <v>0.77232229334473812</v>
      </c>
      <c r="G10" s="11">
        <v>0.83180280204622536</v>
      </c>
      <c r="H10" s="11">
        <v>0.80425239529754156</v>
      </c>
      <c r="I10" s="11">
        <v>0.63973288238766635</v>
      </c>
      <c r="J10" s="11">
        <v>0.69854237039916212</v>
      </c>
      <c r="K10" s="11">
        <v>0.72735072826661318</v>
      </c>
      <c r="L10" s="22"/>
    </row>
    <row r="11" spans="1:12" ht="8.65" customHeight="1">
      <c r="A11" s="1" t="s">
        <v>16</v>
      </c>
      <c r="B11" s="11">
        <v>0.22609831034851599</v>
      </c>
      <c r="C11" s="11">
        <v>0.65571738908571353</v>
      </c>
      <c r="D11" s="11">
        <v>0.34264096559178525</v>
      </c>
      <c r="E11" s="11">
        <v>0.4477250726040658</v>
      </c>
      <c r="F11" s="11">
        <v>0.3268521717576322</v>
      </c>
      <c r="G11" s="11">
        <v>0.24582656235158876</v>
      </c>
      <c r="H11" s="11">
        <v>0.1744280945757142</v>
      </c>
      <c r="I11" s="11">
        <v>0.35969513048428547</v>
      </c>
      <c r="J11" s="11">
        <v>0.44758798142855738</v>
      </c>
      <c r="K11" s="11">
        <v>0.54158194075801125</v>
      </c>
      <c r="L11" s="22"/>
    </row>
    <row r="12" spans="1:12" ht="1.9" customHeight="1">
      <c r="A12" s="1"/>
      <c r="B12" s="11"/>
      <c r="C12" s="11"/>
      <c r="D12" s="11"/>
      <c r="E12" s="26"/>
      <c r="F12" s="26"/>
      <c r="G12" s="26"/>
      <c r="H12" s="26"/>
      <c r="I12" s="26"/>
      <c r="L12" s="22"/>
    </row>
    <row r="13" spans="1:12" ht="8.65" customHeight="1">
      <c r="A13" s="1" t="s">
        <v>17</v>
      </c>
      <c r="B13" s="11">
        <v>43.088471252096632</v>
      </c>
      <c r="C13" s="11">
        <v>52.016494111062933</v>
      </c>
      <c r="D13" s="11">
        <v>44.488510044125221</v>
      </c>
      <c r="E13" s="11">
        <v>45.694596237935329</v>
      </c>
      <c r="F13" s="11">
        <v>49.738472128470747</v>
      </c>
      <c r="G13" s="11">
        <v>44.859724146323217</v>
      </c>
      <c r="H13" s="11">
        <v>50.657379413585879</v>
      </c>
      <c r="I13" s="11">
        <v>46.635468973686031</v>
      </c>
      <c r="J13" s="11">
        <v>47.390905351221456</v>
      </c>
      <c r="K13" s="11">
        <v>56.104997097237202</v>
      </c>
      <c r="L13" s="22"/>
    </row>
    <row r="14" spans="1:12" ht="8.65" customHeight="1">
      <c r="A14" s="1" t="s">
        <v>11</v>
      </c>
      <c r="B14" s="11">
        <v>6.7256796780773156</v>
      </c>
      <c r="C14" s="11">
        <v>7.7627717272448935</v>
      </c>
      <c r="D14" s="11">
        <v>7.1702450441361902</v>
      </c>
      <c r="E14" s="11">
        <v>7.9652892666989343</v>
      </c>
      <c r="F14" s="11">
        <v>7.4417997301933942</v>
      </c>
      <c r="G14" s="11">
        <v>7.3774051810336552</v>
      </c>
      <c r="H14" s="11">
        <v>8.4162130002046407</v>
      </c>
      <c r="I14" s="11">
        <v>7.6572896530427315</v>
      </c>
      <c r="J14" s="11">
        <v>7.7966838104731409</v>
      </c>
      <c r="K14" s="11">
        <v>8.5972628200097088</v>
      </c>
      <c r="L14" s="22"/>
    </row>
    <row r="15" spans="1:12" ht="8.65" customHeight="1">
      <c r="A15" s="1" t="s">
        <v>12</v>
      </c>
      <c r="B15" s="11">
        <v>0.26889425754552398</v>
      </c>
      <c r="C15" s="11">
        <v>0.32438605315721181</v>
      </c>
      <c r="D15" s="11">
        <v>0.26235088719149702</v>
      </c>
      <c r="E15" s="11">
        <v>0.25074150411423041</v>
      </c>
      <c r="F15" s="11">
        <v>0.22645368753739645</v>
      </c>
      <c r="G15" s="11">
        <v>0.20379574609163661</v>
      </c>
      <c r="H15" s="11">
        <v>0.21663217233084026</v>
      </c>
      <c r="I15" s="11">
        <v>0.18854772861765604</v>
      </c>
      <c r="J15" s="11">
        <v>0.17700839280022856</v>
      </c>
      <c r="K15" s="11">
        <v>0.18910083698140456</v>
      </c>
      <c r="L15" s="22"/>
    </row>
    <row r="16" spans="1:12" ht="8.65" customHeight="1">
      <c r="A16" s="1" t="s">
        <v>14</v>
      </c>
      <c r="B16" s="11">
        <v>4.1599458225875274</v>
      </c>
      <c r="C16" s="11">
        <v>4.4345092316942623</v>
      </c>
      <c r="D16" s="11">
        <v>3.0015363519414398</v>
      </c>
      <c r="E16" s="11">
        <v>4.7867200584644483</v>
      </c>
      <c r="F16" s="11">
        <v>3.7358657676558189</v>
      </c>
      <c r="G16" s="11">
        <v>3.622395473589989</v>
      </c>
      <c r="H16" s="11">
        <v>4.0296475986041997</v>
      </c>
      <c r="I16" s="11">
        <v>4.4188942105607625</v>
      </c>
      <c r="J16" s="11">
        <v>4.2087227806786052</v>
      </c>
      <c r="K16" s="11">
        <v>5.6107951188383458</v>
      </c>
      <c r="L16" s="22"/>
    </row>
    <row r="17" spans="1:12" ht="8.65" customHeight="1">
      <c r="A17" s="1" t="s">
        <v>18</v>
      </c>
      <c r="B17" s="11">
        <v>7.0165052538358026</v>
      </c>
      <c r="C17" s="11">
        <v>6.9353188754994317</v>
      </c>
      <c r="D17" s="11">
        <v>8.1330114601911276</v>
      </c>
      <c r="E17" s="11">
        <v>6.9605378666722135</v>
      </c>
      <c r="F17" s="11">
        <v>7.0913270070786139</v>
      </c>
      <c r="G17" s="11">
        <v>6.4765556326948097</v>
      </c>
      <c r="H17" s="11">
        <v>7.0116384518519075</v>
      </c>
      <c r="I17" s="11">
        <v>6.5517055790935199</v>
      </c>
      <c r="J17" s="11">
        <v>6.3543378600307969</v>
      </c>
      <c r="K17" s="11">
        <v>6.9610756779192959</v>
      </c>
      <c r="L17" s="22"/>
    </row>
    <row r="18" spans="1:12" ht="8.65" customHeight="1">
      <c r="A18" s="1" t="s">
        <v>19</v>
      </c>
      <c r="B18" s="11">
        <v>24.917446240050463</v>
      </c>
      <c r="C18" s="11">
        <v>32.559508223467134</v>
      </c>
      <c r="D18" s="11">
        <v>25.921366300664967</v>
      </c>
      <c r="E18" s="11">
        <v>25.731307541985498</v>
      </c>
      <c r="F18" s="11">
        <v>31.243025936005523</v>
      </c>
      <c r="G18" s="11">
        <v>27.179572112913124</v>
      </c>
      <c r="H18" s="11">
        <v>30.983248190594292</v>
      </c>
      <c r="I18" s="11">
        <v>27.819031802371359</v>
      </c>
      <c r="J18" s="11">
        <v>28.854152507238684</v>
      </c>
      <c r="K18" s="11">
        <v>34.746762643488445</v>
      </c>
      <c r="L18" s="22"/>
    </row>
    <row r="19" spans="1:12" ht="1.9" customHeight="1">
      <c r="A19" s="1"/>
      <c r="B19" s="11"/>
      <c r="C19" s="11"/>
      <c r="D19" s="11"/>
      <c r="E19" s="1"/>
      <c r="F19" s="26"/>
      <c r="G19" s="26"/>
      <c r="H19" s="26"/>
      <c r="I19" s="26"/>
      <c r="L19" s="22"/>
    </row>
    <row r="20" spans="1:12" ht="8.65" customHeight="1">
      <c r="A20" s="1" t="s">
        <v>20</v>
      </c>
      <c r="B20" s="11">
        <v>27.603473608627844</v>
      </c>
      <c r="C20" s="11">
        <v>27.158777206168658</v>
      </c>
      <c r="D20" s="11">
        <v>28.01227205853462</v>
      </c>
      <c r="E20" s="11">
        <v>30.702080210842556</v>
      </c>
      <c r="F20" s="11">
        <v>28.446304371342464</v>
      </c>
      <c r="G20" s="11">
        <v>26.631159100698468</v>
      </c>
      <c r="H20" s="11">
        <v>26.776819665324719</v>
      </c>
      <c r="I20" s="11">
        <v>26.173429396711231</v>
      </c>
      <c r="J20" s="11">
        <v>25.780420361127749</v>
      </c>
      <c r="K20" s="11">
        <v>25.179691526204582</v>
      </c>
      <c r="L20" s="22"/>
    </row>
    <row r="21" spans="1:12" ht="1.9" customHeight="1">
      <c r="A21" s="1"/>
      <c r="B21" s="11"/>
      <c r="C21" s="11"/>
      <c r="D21" s="11"/>
      <c r="E21" s="1"/>
      <c r="F21" s="26"/>
      <c r="G21" s="26"/>
      <c r="H21" s="26"/>
      <c r="I21" s="26"/>
      <c r="L21" s="22"/>
    </row>
    <row r="22" spans="1:12" ht="8.65" customHeight="1">
      <c r="A22" s="1" t="s">
        <v>21</v>
      </c>
      <c r="B22" s="11">
        <v>90.58133274429791</v>
      </c>
      <c r="C22" s="11">
        <v>88.635231613663336</v>
      </c>
      <c r="D22" s="11">
        <v>97.062029282643763</v>
      </c>
      <c r="E22" s="11">
        <v>85.387576278464479</v>
      </c>
      <c r="F22" s="11">
        <v>90.961767794568189</v>
      </c>
      <c r="G22" s="11">
        <v>87.118274759847665</v>
      </c>
      <c r="H22" s="11">
        <v>84.265450845593605</v>
      </c>
      <c r="I22" s="11">
        <v>83.10244936665714</v>
      </c>
      <c r="J22" s="11">
        <v>83.987245533094864</v>
      </c>
      <c r="K22" s="11">
        <v>80.595899431982218</v>
      </c>
      <c r="L22" s="22"/>
    </row>
    <row r="23" spans="1:12" ht="8.65" customHeight="1">
      <c r="A23" s="1" t="s">
        <v>11</v>
      </c>
      <c r="B23" s="11">
        <v>12.580559214798596</v>
      </c>
      <c r="C23" s="11">
        <v>13.913571103843731</v>
      </c>
      <c r="D23" s="23">
        <v>14.611603341124459</v>
      </c>
      <c r="E23" s="11">
        <v>8.3765524675436325</v>
      </c>
      <c r="F23" s="11">
        <v>11.737480361253487</v>
      </c>
      <c r="G23" s="11">
        <v>11.880633303779296</v>
      </c>
      <c r="H23" s="11">
        <v>11.744268018454308</v>
      </c>
      <c r="I23" s="11">
        <v>11.895816325798689</v>
      </c>
      <c r="J23" s="11">
        <v>10.803085470499475</v>
      </c>
      <c r="K23" s="11">
        <v>11.428656457125609</v>
      </c>
      <c r="L23" s="22"/>
    </row>
    <row r="24" spans="1:12" ht="8.65" customHeight="1">
      <c r="A24" s="1" t="s">
        <v>22</v>
      </c>
      <c r="B24" s="11">
        <v>78.000773529499313</v>
      </c>
      <c r="C24" s="11">
        <v>74.7216605098196</v>
      </c>
      <c r="D24" s="23">
        <v>82.450425941519299</v>
      </c>
      <c r="E24" s="11">
        <v>77.011023810920847</v>
      </c>
      <c r="F24" s="11">
        <v>79.2242874333147</v>
      </c>
      <c r="G24" s="11">
        <v>75.237641456068374</v>
      </c>
      <c r="H24" s="11">
        <v>72.521182827139299</v>
      </c>
      <c r="I24" s="11">
        <v>71.206633040858449</v>
      </c>
      <c r="J24" s="11">
        <v>73.184160062595396</v>
      </c>
      <c r="K24" s="11">
        <v>69.167242974856606</v>
      </c>
      <c r="L24" s="22"/>
    </row>
    <row r="25" spans="1:12" ht="3.75" customHeight="1">
      <c r="A25" s="1"/>
      <c r="B25" s="11"/>
      <c r="C25" s="11"/>
      <c r="D25" s="11"/>
      <c r="E25" s="1"/>
      <c r="F25" s="26"/>
      <c r="G25" s="26"/>
      <c r="H25" s="26"/>
      <c r="I25" s="26"/>
      <c r="L25" s="22"/>
    </row>
    <row r="26" spans="1:12" ht="8.65" customHeight="1">
      <c r="A26" s="1" t="s">
        <v>23</v>
      </c>
      <c r="B26" s="11">
        <v>15.094763610542241</v>
      </c>
      <c r="C26" s="11">
        <v>15.177186892550202</v>
      </c>
      <c r="D26" s="11">
        <v>15.620063082662204</v>
      </c>
      <c r="E26" s="11">
        <v>14.64572889336414</v>
      </c>
      <c r="F26" s="11">
        <v>13.216655894908591</v>
      </c>
      <c r="G26" s="11">
        <v>13.222136660325567</v>
      </c>
      <c r="H26" s="11">
        <v>11.63278189152577</v>
      </c>
      <c r="I26" s="11">
        <v>10.071509815700573</v>
      </c>
      <c r="J26" s="11">
        <v>10.11324292060543</v>
      </c>
      <c r="K26" s="11">
        <v>6.264413141288526</v>
      </c>
      <c r="L26" s="22"/>
    </row>
    <row r="27" spans="1:12" ht="8.65" customHeight="1">
      <c r="A27" s="1" t="s">
        <v>11</v>
      </c>
      <c r="B27" s="11">
        <v>5.8469161145843049</v>
      </c>
      <c r="C27" s="11">
        <v>6.1807016055561892</v>
      </c>
      <c r="D27" s="11">
        <v>5.936385572030499</v>
      </c>
      <c r="E27" s="11">
        <v>5.7500990812466224</v>
      </c>
      <c r="F27" s="11">
        <v>5.0873487415295262</v>
      </c>
      <c r="G27" s="11">
        <v>4.8458463757740073</v>
      </c>
      <c r="H27" s="11">
        <v>4.6279820376797369</v>
      </c>
      <c r="I27" s="11">
        <v>4.0984421370251782</v>
      </c>
      <c r="J27" s="11">
        <v>4.140898692157406</v>
      </c>
      <c r="K27" s="11">
        <v>2.6492955358846291</v>
      </c>
      <c r="L27" s="22"/>
    </row>
    <row r="28" spans="1:12" ht="8.65" customHeight="1">
      <c r="A28" s="1" t="s">
        <v>14</v>
      </c>
      <c r="B28" s="11">
        <v>9.2478474959579362</v>
      </c>
      <c r="C28" s="11">
        <v>8.9964852869940124</v>
      </c>
      <c r="D28" s="11">
        <v>9.6836775106317052</v>
      </c>
      <c r="E28" s="11">
        <v>8.8956298121175177</v>
      </c>
      <c r="F28" s="11">
        <v>8.1293071533790648</v>
      </c>
      <c r="G28" s="11">
        <v>8.3762902845515601</v>
      </c>
      <c r="H28" s="11">
        <v>7.0047998538460341</v>
      </c>
      <c r="I28" s="11">
        <v>5.9730676786753936</v>
      </c>
      <c r="J28" s="11">
        <v>5.9723442284480228</v>
      </c>
      <c r="K28" s="11">
        <v>3.6151176054038969</v>
      </c>
      <c r="L28" s="22"/>
    </row>
    <row r="29" spans="1:12" ht="1.9" customHeight="1">
      <c r="A29" s="1"/>
      <c r="B29" s="11"/>
      <c r="C29" s="11"/>
      <c r="D29" s="11"/>
      <c r="E29" s="1"/>
      <c r="F29" s="26"/>
      <c r="G29" s="26"/>
      <c r="H29" s="26"/>
      <c r="I29" s="26"/>
      <c r="L29" s="22"/>
    </row>
    <row r="30" spans="1:12" ht="8.65" customHeight="1">
      <c r="A30" s="1" t="s">
        <v>24</v>
      </c>
      <c r="B30" s="11">
        <v>6.8804923168797227</v>
      </c>
      <c r="C30" s="11">
        <v>6.9545705718111099</v>
      </c>
      <c r="D30" s="11">
        <v>6.7756511466853286</v>
      </c>
      <c r="E30" s="11">
        <v>5.6243549234372168</v>
      </c>
      <c r="F30" s="11">
        <v>6.3470680684471272</v>
      </c>
      <c r="G30" s="11">
        <v>8.2080164291257933</v>
      </c>
      <c r="H30" s="11">
        <v>6.6332964863957136</v>
      </c>
      <c r="I30" s="11">
        <v>8.6818807331082262</v>
      </c>
      <c r="J30" s="11">
        <v>6.48704834381269</v>
      </c>
      <c r="K30" s="11">
        <v>7.194379994024362</v>
      </c>
      <c r="L30" s="22"/>
    </row>
    <row r="31" spans="1:12" ht="8.65" customHeight="1">
      <c r="A31" s="1" t="s">
        <v>11</v>
      </c>
      <c r="B31" s="11">
        <v>2.8602034151348312</v>
      </c>
      <c r="C31" s="11">
        <v>2.7585542986341895</v>
      </c>
      <c r="D31" s="11">
        <v>2.4631646473924387</v>
      </c>
      <c r="E31" s="11">
        <v>2.612161480814267</v>
      </c>
      <c r="F31" s="11">
        <v>2.441200634929674</v>
      </c>
      <c r="G31" s="11">
        <v>2.9654493703485243</v>
      </c>
      <c r="H31" s="11">
        <v>3.3354700209799892</v>
      </c>
      <c r="I31" s="11">
        <v>3.3269787614728656</v>
      </c>
      <c r="J31" s="11">
        <v>3.1234499015698209</v>
      </c>
      <c r="K31" s="11">
        <v>2.9458935447589765</v>
      </c>
      <c r="L31" s="22"/>
    </row>
    <row r="32" spans="1:12" ht="8.65" customHeight="1">
      <c r="A32" s="1" t="s">
        <v>14</v>
      </c>
      <c r="B32" s="11">
        <v>4.0202889017448911</v>
      </c>
      <c r="C32" s="11">
        <v>4.1960162731769204</v>
      </c>
      <c r="D32" s="11">
        <v>4.3124864992928895</v>
      </c>
      <c r="E32" s="11">
        <v>3.0121934426229502</v>
      </c>
      <c r="F32" s="11">
        <v>3.9058674335174537</v>
      </c>
      <c r="G32" s="11">
        <v>5.2425670587772695</v>
      </c>
      <c r="H32" s="11">
        <v>3.2978264654157243</v>
      </c>
      <c r="I32" s="11">
        <v>5.3549019716353596</v>
      </c>
      <c r="J32" s="11">
        <v>3.3635984422428691</v>
      </c>
      <c r="K32" s="11">
        <v>4.2484864492653855</v>
      </c>
      <c r="L32" s="22"/>
    </row>
    <row r="33" spans="1:12" ht="1.9" customHeight="1">
      <c r="A33" s="1"/>
      <c r="B33" s="11"/>
      <c r="C33" s="11"/>
      <c r="D33" s="11"/>
      <c r="E33" s="26"/>
      <c r="F33" s="26"/>
      <c r="G33" s="26"/>
      <c r="H33" s="26"/>
      <c r="I33" s="26"/>
      <c r="L33" s="22"/>
    </row>
    <row r="34" spans="1:12" ht="9.6" customHeight="1">
      <c r="A34" s="1" t="s">
        <v>25</v>
      </c>
      <c r="B34" s="11">
        <v>4.8307117326175195</v>
      </c>
      <c r="C34" s="11">
        <v>6.1738177733070803</v>
      </c>
      <c r="D34" s="11">
        <v>5.2889024726974787</v>
      </c>
      <c r="E34" s="11">
        <v>5.0657671320507536</v>
      </c>
      <c r="F34" s="11">
        <v>6.3865779760258494</v>
      </c>
      <c r="G34" s="11">
        <v>6.0046770217749055</v>
      </c>
      <c r="H34" s="11">
        <v>5.3316687127943343</v>
      </c>
      <c r="I34" s="11">
        <v>5.9752783154158386</v>
      </c>
      <c r="J34" s="11">
        <v>6.2503156975981984</v>
      </c>
      <c r="K34" s="11">
        <v>6.0948910515801371</v>
      </c>
      <c r="L34" s="22"/>
    </row>
    <row r="35" spans="1:12" ht="8.65" customHeight="1">
      <c r="A35" s="1" t="s">
        <v>11</v>
      </c>
      <c r="B35" s="11">
        <v>3.3044211529614853</v>
      </c>
      <c r="C35" s="11">
        <v>3.6856199680592292</v>
      </c>
      <c r="D35" s="11">
        <v>3.5818444818891679</v>
      </c>
      <c r="E35" s="11">
        <v>3.648343034498871</v>
      </c>
      <c r="F35" s="11">
        <v>4.2705631081294868</v>
      </c>
      <c r="G35" s="11">
        <v>4.2341699172152403</v>
      </c>
      <c r="H35" s="11">
        <v>3.6658164739469798</v>
      </c>
      <c r="I35" s="11">
        <v>4.5018530450351228</v>
      </c>
      <c r="J35" s="11">
        <v>4.6277923281910578</v>
      </c>
      <c r="K35" s="11">
        <v>4.6046685314999287</v>
      </c>
      <c r="L35" s="22"/>
    </row>
    <row r="36" spans="1:12" ht="8.65" customHeight="1">
      <c r="A36" s="1" t="s">
        <v>14</v>
      </c>
      <c r="B36" s="11">
        <v>1.5262905796560342</v>
      </c>
      <c r="C36" s="11">
        <v>2.4881978052478515</v>
      </c>
      <c r="D36" s="11">
        <v>1.7070579908083106</v>
      </c>
      <c r="E36" s="11">
        <v>1.4174240975518826</v>
      </c>
      <c r="F36" s="11">
        <v>2.1160148678963626</v>
      </c>
      <c r="G36" s="11">
        <v>1.7705071045596652</v>
      </c>
      <c r="H36" s="11">
        <v>1.665852238847354</v>
      </c>
      <c r="I36" s="11">
        <v>1.473425270380716</v>
      </c>
      <c r="J36" s="11">
        <v>1.6225233694071401</v>
      </c>
      <c r="K36" s="11">
        <v>1.4902225200802084</v>
      </c>
      <c r="L36" s="22"/>
    </row>
    <row r="37" spans="1:12" ht="1.9" customHeight="1">
      <c r="A37" s="1"/>
      <c r="B37" s="11"/>
      <c r="C37" s="11"/>
      <c r="D37" s="11"/>
      <c r="E37" s="26"/>
      <c r="F37" s="26"/>
      <c r="G37" s="26"/>
      <c r="H37" s="26"/>
      <c r="I37" s="26"/>
      <c r="L37" s="22"/>
    </row>
    <row r="38" spans="1:12" ht="9.6" customHeight="1">
      <c r="A38" s="1" t="s">
        <v>467</v>
      </c>
      <c r="B38" s="11">
        <v>8.6239806158049106</v>
      </c>
      <c r="C38" s="11">
        <v>10.040440531582124</v>
      </c>
      <c r="D38" s="11">
        <v>8.6533310143302611</v>
      </c>
      <c r="E38" s="11">
        <v>9.4333423684808118</v>
      </c>
      <c r="F38" s="11">
        <v>9.8968273165790048</v>
      </c>
      <c r="G38" s="11">
        <v>9.4086640360869591</v>
      </c>
      <c r="H38" s="11">
        <v>9.7482960901428282</v>
      </c>
      <c r="I38" s="11">
        <v>9.294172317921447</v>
      </c>
      <c r="J38" s="11">
        <v>9.4310413416594798</v>
      </c>
      <c r="K38" s="11">
        <v>8.8824335278466648</v>
      </c>
      <c r="L38" s="22"/>
    </row>
    <row r="39" spans="1:12" ht="8.65" customHeight="1">
      <c r="A39" s="1" t="s">
        <v>11</v>
      </c>
      <c r="B39" s="11">
        <v>4.3783067703211689</v>
      </c>
      <c r="C39" s="11">
        <v>5.5134549231144101</v>
      </c>
      <c r="D39" s="11">
        <v>4.6945459798688933</v>
      </c>
      <c r="E39" s="11">
        <v>5.2861880084586659</v>
      </c>
      <c r="F39" s="11">
        <v>5.3029333106110457</v>
      </c>
      <c r="G39" s="11">
        <v>5.1578432179544595</v>
      </c>
      <c r="H39" s="11">
        <v>5.2271007422027909</v>
      </c>
      <c r="I39" s="11">
        <v>5.171844491077243</v>
      </c>
      <c r="J39" s="11">
        <v>5.1459308158193675</v>
      </c>
      <c r="K39" s="11">
        <v>4.8261370542645379</v>
      </c>
      <c r="L39" s="22"/>
    </row>
    <row r="40" spans="1:12" ht="8.65" customHeight="1">
      <c r="A40" s="1" t="s">
        <v>12</v>
      </c>
      <c r="B40" s="11">
        <v>3.7492361958928555</v>
      </c>
      <c r="C40" s="11">
        <v>4.0578208604878343</v>
      </c>
      <c r="D40" s="11">
        <v>3.4607826427670703</v>
      </c>
      <c r="E40" s="11">
        <v>3.582011458867187</v>
      </c>
      <c r="F40" s="11">
        <v>3.8344952429073174</v>
      </c>
      <c r="G40" s="11">
        <v>3.5061545585636056</v>
      </c>
      <c r="H40" s="11">
        <v>3.84355135241338</v>
      </c>
      <c r="I40" s="11">
        <v>3.3427552894549306</v>
      </c>
      <c r="J40" s="11">
        <v>3.5653481815446937</v>
      </c>
      <c r="K40" s="11">
        <v>3.3399903508150897</v>
      </c>
      <c r="L40" s="22"/>
    </row>
    <row r="41" spans="1:12" ht="8.65" customHeight="1">
      <c r="A41" s="1" t="s">
        <v>13</v>
      </c>
      <c r="B41" s="11">
        <v>0.49643764959088632</v>
      </c>
      <c r="C41" s="11">
        <v>0.4691647479798795</v>
      </c>
      <c r="D41" s="11">
        <v>0.49800239169429794</v>
      </c>
      <c r="E41" s="11">
        <v>0.56514290115495935</v>
      </c>
      <c r="F41" s="11">
        <v>0.75939876306064158</v>
      </c>
      <c r="G41" s="11">
        <v>0.74466625956889232</v>
      </c>
      <c r="H41" s="11">
        <v>0.677643995526656</v>
      </c>
      <c r="I41" s="11">
        <v>0.77957253738927379</v>
      </c>
      <c r="J41" s="11">
        <v>0.71976234429541808</v>
      </c>
      <c r="K41" s="11">
        <v>0.71630612276703653</v>
      </c>
      <c r="L41" s="22"/>
    </row>
    <row r="42" spans="1:12" ht="1.9" customHeight="1">
      <c r="A42" s="1"/>
      <c r="B42" s="11"/>
      <c r="C42" s="11"/>
      <c r="D42" s="11"/>
      <c r="E42" s="26"/>
      <c r="F42" s="26"/>
      <c r="G42" s="26"/>
      <c r="H42" s="26"/>
      <c r="I42" s="26"/>
      <c r="L42" s="22"/>
    </row>
    <row r="43" spans="1:12" ht="9.6" customHeight="1">
      <c r="A43" s="1" t="s">
        <v>26</v>
      </c>
      <c r="B43" s="11">
        <v>5.8617517639725438</v>
      </c>
      <c r="C43" s="11">
        <v>6.8240315502485807</v>
      </c>
      <c r="D43" s="11">
        <v>6.7088960003602951</v>
      </c>
      <c r="E43" s="11">
        <v>6.9028576426456354</v>
      </c>
      <c r="F43" s="11">
        <v>6.2140076358443572</v>
      </c>
      <c r="G43" s="11">
        <v>6.2322377337427053</v>
      </c>
      <c r="H43" s="11">
        <v>5.6542331911097312</v>
      </c>
      <c r="I43" s="11">
        <v>5.7331846068691359</v>
      </c>
      <c r="J43" s="11">
        <v>5.4597364313745818</v>
      </c>
      <c r="K43" s="11">
        <v>5.1960000296593396</v>
      </c>
      <c r="L43" s="22"/>
    </row>
    <row r="44" spans="1:12" ht="8.65" customHeight="1">
      <c r="A44" s="1" t="s">
        <v>11</v>
      </c>
      <c r="B44" s="11">
        <v>3.0525189859878066</v>
      </c>
      <c r="C44" s="11">
        <v>3.3912362040560429</v>
      </c>
      <c r="D44" s="11">
        <v>3.4333156043956041</v>
      </c>
      <c r="E44" s="11">
        <v>3.5310682798530837</v>
      </c>
      <c r="F44" s="11">
        <v>3.3949556044936835</v>
      </c>
      <c r="G44" s="11">
        <v>3.250268236878894</v>
      </c>
      <c r="H44" s="11">
        <v>3.0624133181742774</v>
      </c>
      <c r="I44" s="11">
        <v>3.0795811683890335</v>
      </c>
      <c r="J44" s="11">
        <v>2.9559229665141289</v>
      </c>
      <c r="K44" s="11">
        <v>2.9125857350333813</v>
      </c>
      <c r="L44" s="22"/>
    </row>
    <row r="45" spans="1:12" ht="8.65" customHeight="1">
      <c r="A45" s="1" t="s">
        <v>12</v>
      </c>
      <c r="B45" s="11">
        <v>2.8092327779847373</v>
      </c>
      <c r="C45" s="11">
        <v>3.4327953461925382</v>
      </c>
      <c r="D45" s="11">
        <v>3.275580395964691</v>
      </c>
      <c r="E45" s="11">
        <v>3.3717893627925517</v>
      </c>
      <c r="F45" s="11">
        <v>2.8190520313506737</v>
      </c>
      <c r="G45" s="11">
        <v>2.9819694968638113</v>
      </c>
      <c r="H45" s="11">
        <v>2.5918198729354538</v>
      </c>
      <c r="I45" s="11">
        <v>2.6536034384801028</v>
      </c>
      <c r="J45" s="11">
        <v>2.5038134648604524</v>
      </c>
      <c r="K45" s="11">
        <v>2.2834142946259579</v>
      </c>
      <c r="L45" s="22"/>
    </row>
    <row r="46" spans="1:12" ht="1.9" customHeight="1">
      <c r="A46" s="1"/>
      <c r="B46" s="11"/>
      <c r="C46" s="11"/>
      <c r="D46" s="11"/>
      <c r="E46" s="26"/>
      <c r="F46" s="26"/>
      <c r="G46" s="26"/>
      <c r="H46" s="26"/>
      <c r="I46" s="26"/>
      <c r="L46" s="22"/>
    </row>
    <row r="47" spans="1:12" ht="8.65" customHeight="1">
      <c r="A47" s="1" t="s">
        <v>27</v>
      </c>
      <c r="B47" s="11">
        <v>1.2954055460188858</v>
      </c>
      <c r="C47" s="11">
        <v>1.5392963498739873</v>
      </c>
      <c r="D47" s="11">
        <v>1.6607132311350408</v>
      </c>
      <c r="E47" s="11">
        <v>1.461168227471775</v>
      </c>
      <c r="F47" s="11">
        <v>1.4753610620875266</v>
      </c>
      <c r="G47" s="11">
        <v>1.6235745064445015</v>
      </c>
      <c r="H47" s="11">
        <v>1.2189889253505175</v>
      </c>
      <c r="I47" s="11">
        <v>1.7373228596050696</v>
      </c>
      <c r="J47" s="11">
        <v>1.7844655830305727</v>
      </c>
      <c r="K47" s="11">
        <v>1.6941868322001372</v>
      </c>
      <c r="L47" s="22"/>
    </row>
    <row r="48" spans="1:12" ht="8.65" customHeight="1">
      <c r="A48" s="1" t="s">
        <v>11</v>
      </c>
      <c r="B48" s="11">
        <v>0.40322128873241292</v>
      </c>
      <c r="C48" s="11">
        <v>0.59740663068272215</v>
      </c>
      <c r="D48" s="11">
        <v>0.51759987053478418</v>
      </c>
      <c r="E48" s="11">
        <v>0.62559878262186819</v>
      </c>
      <c r="F48" s="11">
        <v>0.59565590961646542</v>
      </c>
      <c r="G48" s="11">
        <v>0.77416686831418147</v>
      </c>
      <c r="H48" s="11">
        <v>0.69794929506414927</v>
      </c>
      <c r="I48" s="11">
        <v>0.91835958716720001</v>
      </c>
      <c r="J48" s="11">
        <v>0.99018435242179947</v>
      </c>
      <c r="K48" s="11">
        <v>0.86801258505288215</v>
      </c>
      <c r="L48" s="22"/>
    </row>
    <row r="49" spans="1:12" ht="8.65" customHeight="1">
      <c r="A49" s="1" t="s">
        <v>12</v>
      </c>
      <c r="B49" s="11">
        <v>0.23971844286266444</v>
      </c>
      <c r="C49" s="11">
        <v>0.32626586490391662</v>
      </c>
      <c r="D49" s="11">
        <v>0.29434008234836773</v>
      </c>
      <c r="E49" s="11">
        <v>0.31419826015670194</v>
      </c>
      <c r="F49" s="11">
        <v>0.28547873942036828</v>
      </c>
      <c r="G49" s="11">
        <v>0.28320159961739072</v>
      </c>
      <c r="H49" s="11">
        <v>3.5196454175373829E-2</v>
      </c>
      <c r="I49" s="11">
        <v>0.22049628258532072</v>
      </c>
      <c r="J49" s="11">
        <v>0.15829578562016228</v>
      </c>
      <c r="K49" s="11">
        <v>0.19127158690326868</v>
      </c>
      <c r="L49" s="22"/>
    </row>
    <row r="50" spans="1:12" ht="8.65" customHeight="1">
      <c r="A50" s="1" t="s">
        <v>13</v>
      </c>
      <c r="B50" s="11">
        <v>0.65246581442380847</v>
      </c>
      <c r="C50" s="11">
        <v>0.61562385428734845</v>
      </c>
      <c r="D50" s="11">
        <v>0.84877327825188897</v>
      </c>
      <c r="E50" s="11">
        <v>0.52137118469320498</v>
      </c>
      <c r="F50" s="11">
        <v>0.5942264130506929</v>
      </c>
      <c r="G50" s="11">
        <v>0.56620603851292917</v>
      </c>
      <c r="H50" s="11">
        <v>0.48584317611099448</v>
      </c>
      <c r="I50" s="11">
        <v>0.59846698985254909</v>
      </c>
      <c r="J50" s="11">
        <v>0.63598544498861087</v>
      </c>
      <c r="K50" s="11">
        <v>0.63490266024398645</v>
      </c>
      <c r="L50" s="22"/>
    </row>
    <row r="51" spans="1:12" ht="1.9" customHeight="1">
      <c r="A51" s="1"/>
      <c r="B51" s="11"/>
      <c r="C51" s="11"/>
      <c r="D51" s="11"/>
      <c r="E51" s="26"/>
      <c r="F51" s="26"/>
      <c r="G51" s="26"/>
      <c r="H51" s="26"/>
      <c r="I51" s="26"/>
      <c r="L51" s="22"/>
    </row>
    <row r="52" spans="1:12" ht="8.65" customHeight="1">
      <c r="A52" s="1" t="s">
        <v>28</v>
      </c>
      <c r="B52" s="11">
        <v>5.5845525724993976</v>
      </c>
      <c r="C52" s="11">
        <v>5.1862266274619078</v>
      </c>
      <c r="D52" s="11">
        <v>5.1675283651319974</v>
      </c>
      <c r="E52" s="11">
        <v>5.774431299651793</v>
      </c>
      <c r="F52" s="11">
        <v>6.2557584302788714</v>
      </c>
      <c r="G52" s="11">
        <v>5.8429976708517586</v>
      </c>
      <c r="H52" s="11">
        <v>6.0794141906019767</v>
      </c>
      <c r="I52" s="11">
        <v>6.9495429504941892</v>
      </c>
      <c r="J52" s="11">
        <v>6.962277276722121</v>
      </c>
      <c r="K52" s="11">
        <v>7.7228329805192555</v>
      </c>
      <c r="L52" s="22"/>
    </row>
    <row r="53" spans="1:12" ht="8.65" customHeight="1">
      <c r="A53" s="1" t="s">
        <v>11</v>
      </c>
      <c r="B53" s="11">
        <v>4.3188823125591407</v>
      </c>
      <c r="C53" s="11">
        <v>4.098714602061917</v>
      </c>
      <c r="D53" s="11">
        <v>3.9175807649797987</v>
      </c>
      <c r="E53" s="11">
        <v>4.570150005015333</v>
      </c>
      <c r="F53" s="11">
        <v>4.8621954210891944</v>
      </c>
      <c r="G53" s="11">
        <v>4.2139119969425156</v>
      </c>
      <c r="H53" s="11">
        <v>4.648770570022192</v>
      </c>
      <c r="I53" s="11">
        <v>5.2882757805822704</v>
      </c>
      <c r="J53" s="11">
        <v>5.4735492187887216</v>
      </c>
      <c r="K53" s="11">
        <v>5.8277044161974105</v>
      </c>
      <c r="L53" s="22"/>
    </row>
    <row r="54" spans="1:12" ht="8.65" customHeight="1">
      <c r="A54" s="1" t="s">
        <v>13</v>
      </c>
      <c r="B54" s="11">
        <v>1.2656702599402565</v>
      </c>
      <c r="C54" s="11">
        <v>1.0875120253999913</v>
      </c>
      <c r="D54" s="11">
        <v>1.2499476001521987</v>
      </c>
      <c r="E54" s="11">
        <v>1.2042812946364601</v>
      </c>
      <c r="F54" s="11">
        <v>1.3935630091896767</v>
      </c>
      <c r="G54" s="11">
        <v>1.6290856739092432</v>
      </c>
      <c r="H54" s="11">
        <v>1.430643620579785</v>
      </c>
      <c r="I54" s="11">
        <v>1.661267169911919</v>
      </c>
      <c r="J54" s="11">
        <v>1.4887280579333997</v>
      </c>
      <c r="K54" s="11">
        <v>1.8951285643218454</v>
      </c>
      <c r="L54" s="22"/>
    </row>
    <row r="55" spans="1:12" ht="1.9" customHeight="1">
      <c r="A55" s="1"/>
      <c r="B55" s="11"/>
      <c r="C55" s="11"/>
      <c r="D55" s="11"/>
      <c r="E55" s="26"/>
      <c r="F55" s="26"/>
      <c r="G55" s="26"/>
      <c r="H55" s="26"/>
      <c r="I55" s="26"/>
      <c r="L55" s="22"/>
    </row>
    <row r="56" spans="1:12" ht="8.65" customHeight="1">
      <c r="A56" s="1" t="s">
        <v>29</v>
      </c>
      <c r="B56" s="11">
        <v>12.330647433921214</v>
      </c>
      <c r="C56" s="11">
        <v>12.148697808293068</v>
      </c>
      <c r="D56" s="11">
        <v>10.931933809027933</v>
      </c>
      <c r="E56" s="11">
        <v>13.065783633096739</v>
      </c>
      <c r="F56" s="11">
        <v>12.558559221516015</v>
      </c>
      <c r="G56" s="11">
        <v>12.178247320773831</v>
      </c>
      <c r="H56" s="11">
        <v>13.132531862426777</v>
      </c>
      <c r="I56" s="11">
        <v>14.161381015804697</v>
      </c>
      <c r="J56" s="11">
        <v>12.905557080354153</v>
      </c>
      <c r="K56" s="11">
        <v>13.514266814117036</v>
      </c>
      <c r="L56" s="22"/>
    </row>
    <row r="57" spans="1:12" ht="8.65" customHeight="1">
      <c r="A57" s="1" t="s">
        <v>11</v>
      </c>
      <c r="B57" s="11">
        <v>1.8961908826094214</v>
      </c>
      <c r="C57" s="11">
        <v>2.3418586575547375</v>
      </c>
      <c r="D57" s="11">
        <v>2.7529379790183186</v>
      </c>
      <c r="E57" s="11">
        <v>3.032241140773221</v>
      </c>
      <c r="F57" s="11">
        <v>3.2209244188224595</v>
      </c>
      <c r="G57" s="11">
        <v>3.1617446765676904</v>
      </c>
      <c r="H57" s="11">
        <v>3.8188493189308623</v>
      </c>
      <c r="I57" s="11">
        <v>4.3932615911345243</v>
      </c>
      <c r="J57" s="11">
        <v>4.4306865101324382</v>
      </c>
      <c r="K57" s="11">
        <v>4.9036902311483663</v>
      </c>
      <c r="L57" s="22"/>
    </row>
    <row r="58" spans="1:12" ht="8.65" customHeight="1">
      <c r="A58" s="1" t="s">
        <v>12</v>
      </c>
      <c r="B58" s="11">
        <v>4.7220606851225808</v>
      </c>
      <c r="C58" s="11">
        <v>4.641618220676297</v>
      </c>
      <c r="D58" s="11">
        <v>3.8768269981348524</v>
      </c>
      <c r="E58" s="11">
        <v>5.1634001464375228</v>
      </c>
      <c r="F58" s="11">
        <v>4.7880153810182664</v>
      </c>
      <c r="G58" s="11">
        <v>4.3619566727729682</v>
      </c>
      <c r="H58" s="11">
        <v>4.5142507616921144</v>
      </c>
      <c r="I58" s="11">
        <v>4.7384568641292963</v>
      </c>
      <c r="J58" s="11">
        <v>4.4574927856795057</v>
      </c>
      <c r="K58" s="11">
        <v>4.7596294815005846</v>
      </c>
      <c r="L58" s="22"/>
    </row>
    <row r="59" spans="1:12" ht="8.65" customHeight="1">
      <c r="A59" s="1" t="s">
        <v>14</v>
      </c>
      <c r="B59" s="11">
        <v>5.7123958661892127</v>
      </c>
      <c r="C59" s="11">
        <v>5.1652209300620342</v>
      </c>
      <c r="D59" s="11">
        <v>4.3021688318747628</v>
      </c>
      <c r="E59" s="11">
        <v>4.870142345885994</v>
      </c>
      <c r="F59" s="11">
        <v>4.5496194216752901</v>
      </c>
      <c r="G59" s="11">
        <v>4.6545459714331718</v>
      </c>
      <c r="H59" s="11">
        <v>4.7994317818038006</v>
      </c>
      <c r="I59" s="11">
        <v>5.0296625605408751</v>
      </c>
      <c r="J59" s="11">
        <v>4.0173777845422078</v>
      </c>
      <c r="K59" s="11">
        <v>3.8509471014680843</v>
      </c>
      <c r="L59" s="22"/>
    </row>
    <row r="60" spans="1:12" ht="1.9" customHeight="1">
      <c r="A60" s="1"/>
      <c r="B60" s="11"/>
      <c r="C60" s="11"/>
      <c r="D60" s="11"/>
      <c r="E60" s="26"/>
      <c r="F60" s="26"/>
      <c r="G60" s="26"/>
      <c r="H60" s="26"/>
      <c r="I60" s="26"/>
      <c r="L60" s="22"/>
    </row>
    <row r="61" spans="1:12" ht="8.65" customHeight="1">
      <c r="A61" s="1" t="s">
        <v>30</v>
      </c>
      <c r="B61" s="11">
        <v>1.5473909755395019</v>
      </c>
      <c r="C61" s="11">
        <v>1.1499519836092316</v>
      </c>
      <c r="D61" s="11">
        <v>1.046960279126997</v>
      </c>
      <c r="E61" s="11">
        <v>1.3728564230423761</v>
      </c>
      <c r="F61" s="11">
        <v>0.89190534319159498</v>
      </c>
      <c r="G61" s="11">
        <v>1.4794164179122034</v>
      </c>
      <c r="H61" s="11">
        <v>1.3116655348998758</v>
      </c>
      <c r="I61" s="11">
        <v>1.3958626498807225</v>
      </c>
      <c r="J61" s="11">
        <v>1.2839224707099945</v>
      </c>
      <c r="K61" s="11">
        <v>1.4692572651237512</v>
      </c>
      <c r="L61" s="22"/>
    </row>
    <row r="62" spans="1:12" ht="8.65" customHeight="1">
      <c r="A62" s="1" t="s">
        <v>31</v>
      </c>
      <c r="B62" s="11">
        <v>1.5842034639018026</v>
      </c>
      <c r="C62" s="11">
        <v>1.731767860701926</v>
      </c>
      <c r="D62" s="11">
        <v>1.5202019244547618</v>
      </c>
      <c r="E62" s="11">
        <v>1.9210064194050767</v>
      </c>
      <c r="F62" s="11">
        <v>2.2321239413745975</v>
      </c>
      <c r="G62" s="11">
        <v>2.4466685454736132</v>
      </c>
      <c r="H62" s="11">
        <v>2.4316861529369782</v>
      </c>
      <c r="I62" s="11">
        <v>2.6700861643003022</v>
      </c>
      <c r="J62" s="11">
        <v>3.1678758170164136</v>
      </c>
      <c r="K62" s="11">
        <v>3.4618746131321401</v>
      </c>
      <c r="L62" s="22"/>
    </row>
    <row r="63" spans="1:12" ht="1.9" customHeight="1">
      <c r="A63" s="1"/>
      <c r="B63" s="11"/>
      <c r="C63" s="11"/>
      <c r="D63" s="11"/>
      <c r="E63" s="26"/>
      <c r="F63" s="26"/>
      <c r="G63" s="26"/>
      <c r="H63" s="26"/>
      <c r="I63" s="26"/>
      <c r="L63" s="22"/>
    </row>
    <row r="64" spans="1:12" ht="8.65" customHeight="1">
      <c r="A64" s="1" t="s">
        <v>32</v>
      </c>
      <c r="B64" s="11">
        <v>10.127113212439273</v>
      </c>
      <c r="C64" s="11">
        <v>10.625187707535396</v>
      </c>
      <c r="D64" s="11">
        <v>10.485256081860346</v>
      </c>
      <c r="E64" s="11">
        <v>10.493108467027408</v>
      </c>
      <c r="F64" s="11">
        <v>10.684023825752059</v>
      </c>
      <c r="G64" s="11">
        <v>10.632461441792753</v>
      </c>
      <c r="H64" s="11">
        <v>10.867993845516825</v>
      </c>
      <c r="I64" s="11">
        <v>11.608201187266587</v>
      </c>
      <c r="J64" s="11">
        <v>11.154581998953191</v>
      </c>
      <c r="K64" s="11">
        <v>11.200490492278854</v>
      </c>
      <c r="L64" s="22"/>
    </row>
    <row r="65" spans="1:12" ht="9.6" customHeight="1">
      <c r="A65" s="1" t="s">
        <v>33</v>
      </c>
      <c r="B65" s="11">
        <v>4.25398238129661</v>
      </c>
      <c r="C65" s="11">
        <v>4.4983174918780851</v>
      </c>
      <c r="D65" s="11">
        <v>4.2257764245780018</v>
      </c>
      <c r="E65" s="11">
        <v>4.6298843858655729</v>
      </c>
      <c r="F65" s="11">
        <v>4.7926709967558283</v>
      </c>
      <c r="G65" s="11">
        <v>4.9578855107694046</v>
      </c>
      <c r="H65" s="11">
        <v>5.0408464008959859</v>
      </c>
      <c r="I65" s="11">
        <v>5.3116655081760564</v>
      </c>
      <c r="J65" s="11">
        <v>5.4673692955930209</v>
      </c>
      <c r="K65" s="11">
        <v>5.1388776882978044</v>
      </c>
      <c r="L65" s="22"/>
    </row>
    <row r="66" spans="1:12" ht="9.6" customHeight="1">
      <c r="A66" s="1" t="s">
        <v>34</v>
      </c>
      <c r="B66" s="11">
        <v>0.19251676057771849</v>
      </c>
      <c r="C66" s="11">
        <v>0.40366492320859593</v>
      </c>
      <c r="D66" s="11">
        <v>0.34563563461442359</v>
      </c>
      <c r="E66" s="11">
        <v>0.27647480891163811</v>
      </c>
      <c r="F66" s="11">
        <v>0.26406765172437818</v>
      </c>
      <c r="G66" s="11">
        <v>0.24869654918874104</v>
      </c>
      <c r="H66" s="11">
        <v>0.23511544131871875</v>
      </c>
      <c r="I66" s="11">
        <v>0.22417192628312532</v>
      </c>
      <c r="J66" s="11">
        <v>0.23344944424098896</v>
      </c>
      <c r="K66" s="11">
        <v>0.17404920879533234</v>
      </c>
      <c r="L66" s="22"/>
    </row>
    <row r="67" spans="1:12" ht="9.6" customHeight="1">
      <c r="A67" s="1" t="s">
        <v>35</v>
      </c>
      <c r="B67" s="11">
        <v>0.8255946708283437</v>
      </c>
      <c r="C67" s="11">
        <v>0.85083236871507884</v>
      </c>
      <c r="D67" s="11">
        <v>0.94022193566731005</v>
      </c>
      <c r="E67" s="11">
        <v>0.93999497178930502</v>
      </c>
      <c r="F67" s="11">
        <v>0.93634029711060729</v>
      </c>
      <c r="G67" s="11">
        <v>1.0480543553088224</v>
      </c>
      <c r="H67" s="11">
        <v>0.7793237426398012</v>
      </c>
      <c r="I67" s="11">
        <v>0.95795999118874831</v>
      </c>
      <c r="J67" s="11">
        <v>0.79433163247470029</v>
      </c>
      <c r="K67" s="11">
        <v>1.0861249106476323</v>
      </c>
      <c r="L67" s="22"/>
    </row>
    <row r="68" spans="1:12" ht="9.6" customHeight="1">
      <c r="A68" s="1" t="s">
        <v>36</v>
      </c>
      <c r="B68" s="11">
        <v>1.9937212133722326</v>
      </c>
      <c r="C68" s="11">
        <v>2.1751111629211848</v>
      </c>
      <c r="D68" s="11">
        <v>2.2092954943459215</v>
      </c>
      <c r="E68" s="11">
        <v>2.4512477335282825</v>
      </c>
      <c r="F68" s="11">
        <v>2.1306561556747585</v>
      </c>
      <c r="G68" s="11">
        <v>1.8865984689400672</v>
      </c>
      <c r="H68" s="11">
        <v>2.2408561750840796</v>
      </c>
      <c r="I68" s="11">
        <v>2.4642785626866459</v>
      </c>
      <c r="J68" s="11">
        <v>2.4537633865399808</v>
      </c>
      <c r="K68" s="11">
        <v>2.4532725074510493</v>
      </c>
      <c r="L68" s="22"/>
    </row>
    <row r="69" spans="1:12" ht="9.6" customHeight="1">
      <c r="A69" s="1" t="s">
        <v>37</v>
      </c>
      <c r="B69" s="11">
        <v>2.8612981863643689</v>
      </c>
      <c r="C69" s="11">
        <v>2.6972617608124514</v>
      </c>
      <c r="D69" s="11">
        <v>2.7643265926546876</v>
      </c>
      <c r="E69" s="11">
        <v>2.1955065669326084</v>
      </c>
      <c r="F69" s="11">
        <v>2.5602887244864849</v>
      </c>
      <c r="G69" s="11">
        <v>2.4912265575857182</v>
      </c>
      <c r="H69" s="11">
        <v>2.5718520855782385</v>
      </c>
      <c r="I69" s="11">
        <v>2.6501251989320118</v>
      </c>
      <c r="J69" s="11">
        <v>2.2056682401044982</v>
      </c>
      <c r="K69" s="11">
        <v>2.3481661770870352</v>
      </c>
      <c r="L69" s="22"/>
    </row>
    <row r="70" spans="1:12" ht="1.9" customHeight="1">
      <c r="A70" s="1"/>
      <c r="B70" s="11"/>
      <c r="C70" s="11"/>
      <c r="D70" s="11"/>
      <c r="E70" s="26"/>
      <c r="F70" s="26"/>
      <c r="G70" s="26"/>
      <c r="H70" s="26"/>
      <c r="I70" s="26"/>
      <c r="L70" s="22"/>
    </row>
    <row r="71" spans="1:12" ht="9.6" customHeight="1">
      <c r="A71" s="1" t="s">
        <v>413</v>
      </c>
      <c r="B71" s="11">
        <v>281.44868516018659</v>
      </c>
      <c r="C71" s="11">
        <v>290.47256887882975</v>
      </c>
      <c r="D71" s="11">
        <v>290.7598440515884</v>
      </c>
      <c r="E71" s="11">
        <v>284.61342026856732</v>
      </c>
      <c r="F71" s="11">
        <v>290.36512831602863</v>
      </c>
      <c r="G71" s="11">
        <v>279.33738538702067</v>
      </c>
      <c r="H71" s="11">
        <v>278.8762320482536</v>
      </c>
      <c r="I71" s="11">
        <v>280.75795659597338</v>
      </c>
      <c r="J71" s="11">
        <v>282.60611635278383</v>
      </c>
      <c r="K71" s="11">
        <v>279.79828557799544</v>
      </c>
      <c r="L71" s="22"/>
    </row>
    <row r="72" spans="1:12" ht="8.65" customHeight="1">
      <c r="A72" s="1" t="s">
        <v>38</v>
      </c>
      <c r="B72" s="11">
        <v>97.478695481837448</v>
      </c>
      <c r="C72" s="11">
        <v>101.71786432376209</v>
      </c>
      <c r="D72" s="11">
        <v>101.82099079345996</v>
      </c>
      <c r="E72" s="11">
        <v>101.15064981877691</v>
      </c>
      <c r="F72" s="11">
        <v>101.28650724026186</v>
      </c>
      <c r="G72" s="11">
        <v>97.503698680539884</v>
      </c>
      <c r="H72" s="11">
        <v>99.498438431814762</v>
      </c>
      <c r="I72" s="11">
        <v>101.39260359413238</v>
      </c>
      <c r="J72" s="11">
        <v>102.6984636598709</v>
      </c>
      <c r="K72" s="11">
        <v>99.99940073470313</v>
      </c>
      <c r="L72" s="22"/>
    </row>
    <row r="73" spans="1:12" ht="8.65" customHeight="1">
      <c r="A73" s="1" t="s">
        <v>39</v>
      </c>
      <c r="B73" s="11">
        <v>18.436821902209683</v>
      </c>
      <c r="C73" s="11">
        <v>19.935665472125109</v>
      </c>
      <c r="D73" s="11">
        <v>16.930742052556475</v>
      </c>
      <c r="E73" s="11">
        <v>19.171384336731236</v>
      </c>
      <c r="F73" s="11">
        <v>17.468313029933629</v>
      </c>
      <c r="G73" s="11">
        <v>17.634134499541126</v>
      </c>
      <c r="H73" s="11">
        <v>16.755347042367582</v>
      </c>
      <c r="I73" s="11">
        <v>17.26396927990708</v>
      </c>
      <c r="J73" s="11">
        <v>16.911628584397498</v>
      </c>
      <c r="K73" s="11">
        <v>16.595825268533247</v>
      </c>
      <c r="L73" s="22"/>
    </row>
    <row r="74" spans="1:12" ht="8.65" customHeight="1">
      <c r="A74" s="1" t="s">
        <v>40</v>
      </c>
      <c r="B74" s="11">
        <v>4.2794645024252702</v>
      </c>
      <c r="C74" s="11">
        <v>4.3717335980336802</v>
      </c>
      <c r="D74" s="11">
        <v>4.4753647097589706</v>
      </c>
      <c r="E74" s="11">
        <v>4.1613443260415579</v>
      </c>
      <c r="F74" s="11">
        <v>4.454988834645599</v>
      </c>
      <c r="G74" s="11">
        <v>4.8977856335990406</v>
      </c>
      <c r="H74" s="11">
        <v>4.063055718927183</v>
      </c>
      <c r="I74" s="11">
        <v>5.02942515562005</v>
      </c>
      <c r="J74" s="11">
        <v>4.3310655882414935</v>
      </c>
      <c r="K74" s="11">
        <v>5.1814389857711056</v>
      </c>
      <c r="L74" s="22"/>
    </row>
    <row r="75" spans="1:12" ht="8.65" customHeight="1">
      <c r="A75" s="1" t="s">
        <v>41</v>
      </c>
      <c r="B75" s="11">
        <v>124.99600693680472</v>
      </c>
      <c r="C75" s="11">
        <v>120.65191288837903</v>
      </c>
      <c r="D75" s="11">
        <v>129.1908759812502</v>
      </c>
      <c r="E75" s="11">
        <v>123.80816096910627</v>
      </c>
      <c r="F75" s="11">
        <v>125.16150307851458</v>
      </c>
      <c r="G75" s="11">
        <v>122.07678290574916</v>
      </c>
      <c r="H75" s="11">
        <v>117.0139716372464</v>
      </c>
      <c r="I75" s="11">
        <v>119.05166797304503</v>
      </c>
      <c r="J75" s="11">
        <v>120.10466956107221</v>
      </c>
      <c r="K75" s="11">
        <v>112.69668342146856</v>
      </c>
      <c r="L75" s="22"/>
    </row>
    <row r="76" spans="1:12" ht="8.65" customHeight="1">
      <c r="A76" s="1" t="s">
        <v>42</v>
      </c>
      <c r="B76" s="11">
        <v>11.11415178651049</v>
      </c>
      <c r="C76" s="11">
        <v>10.580166983976961</v>
      </c>
      <c r="D76" s="11">
        <v>12.077863248306091</v>
      </c>
      <c r="E76" s="11">
        <v>10.142848203321808</v>
      </c>
      <c r="F76" s="11">
        <v>10.423938024909837</v>
      </c>
      <c r="G76" s="11">
        <v>9.7995849923267535</v>
      </c>
      <c r="H76" s="11">
        <v>10.387742932727686</v>
      </c>
      <c r="I76" s="11">
        <v>9.8415636604131986</v>
      </c>
      <c r="J76" s="11">
        <v>9.258548470534457</v>
      </c>
      <c r="K76" s="11">
        <v>10.036592583272945</v>
      </c>
      <c r="L76" s="22"/>
    </row>
    <row r="77" spans="1:12" ht="1.9" customHeight="1">
      <c r="A77" s="1"/>
      <c r="B77" s="11"/>
      <c r="C77" s="11"/>
      <c r="D77" s="11"/>
      <c r="E77" s="26"/>
      <c r="F77" s="26"/>
      <c r="G77" s="26"/>
      <c r="H77" s="26"/>
      <c r="I77" s="26"/>
      <c r="L77" s="22"/>
    </row>
    <row r="78" spans="1:12" ht="9.6" customHeight="1">
      <c r="A78" s="1" t="s">
        <v>361</v>
      </c>
      <c r="B78" s="11">
        <v>2.1022831937597131</v>
      </c>
      <c r="C78" s="11">
        <v>2.2238170887093553</v>
      </c>
      <c r="D78" s="11">
        <v>2.2861447644539856</v>
      </c>
      <c r="E78" s="11">
        <v>2.8074343672390496</v>
      </c>
      <c r="F78" s="11">
        <v>2.5844052259198613</v>
      </c>
      <c r="G78" s="11">
        <v>2.8545145934910794</v>
      </c>
      <c r="H78" s="11">
        <v>3.3184137191537477</v>
      </c>
      <c r="I78" s="11">
        <v>3.4904273830343295</v>
      </c>
      <c r="J78" s="11">
        <v>3.4996251970778145</v>
      </c>
      <c r="K78" s="11">
        <v>2.6644061794918414</v>
      </c>
      <c r="L78" s="22"/>
    </row>
    <row r="79" spans="1:12" ht="8.65" customHeight="1">
      <c r="A79" s="1" t="s">
        <v>43</v>
      </c>
      <c r="B79" s="11">
        <v>0.58111536915251849</v>
      </c>
      <c r="C79" s="11">
        <v>0.56406428873434522</v>
      </c>
      <c r="D79" s="11">
        <v>0.59560094649612672</v>
      </c>
      <c r="E79" s="11">
        <v>0.97957124238369098</v>
      </c>
      <c r="F79" s="11">
        <v>0.81947961457169261</v>
      </c>
      <c r="G79" s="11">
        <v>0.84428325273244087</v>
      </c>
      <c r="H79" s="11">
        <v>1.0946601305017121</v>
      </c>
      <c r="I79" s="11">
        <v>1.1471269103327955</v>
      </c>
      <c r="J79" s="11">
        <v>0.91320487795623573</v>
      </c>
      <c r="K79" s="11">
        <v>0.6206346441964723</v>
      </c>
      <c r="L79" s="22"/>
    </row>
    <row r="80" spans="1:12" ht="8.65" customHeight="1">
      <c r="A80" s="1" t="s">
        <v>44</v>
      </c>
      <c r="B80" s="11">
        <v>0.48289936525554616</v>
      </c>
      <c r="C80" s="11">
        <v>0.45034007680594368</v>
      </c>
      <c r="D80" s="11">
        <v>0.47147541645999003</v>
      </c>
      <c r="E80" s="11">
        <v>0.40364533707055272</v>
      </c>
      <c r="F80" s="11">
        <v>0.4675250593992929</v>
      </c>
      <c r="G80" s="11">
        <v>0.44938959267567335</v>
      </c>
      <c r="H80" s="11">
        <v>0.47346980013149231</v>
      </c>
      <c r="I80" s="11">
        <v>0.45533720350538309</v>
      </c>
      <c r="J80" s="11">
        <v>0.49208781083870612</v>
      </c>
      <c r="K80" s="11">
        <v>0.44373100185799558</v>
      </c>
      <c r="L80" s="22"/>
    </row>
    <row r="81" spans="1:12" ht="8.65" customHeight="1">
      <c r="A81" s="1" t="s">
        <v>45</v>
      </c>
      <c r="B81" s="11">
        <v>0.32321110625619454</v>
      </c>
      <c r="C81" s="11">
        <v>0.36243132759828672</v>
      </c>
      <c r="D81" s="11">
        <v>0.37626177077962547</v>
      </c>
      <c r="E81" s="11">
        <v>0.50538668368502082</v>
      </c>
      <c r="F81" s="11">
        <v>0.43832828115212774</v>
      </c>
      <c r="G81" s="11">
        <v>0.41739707707584772</v>
      </c>
      <c r="H81" s="11">
        <v>0.52440370121794411</v>
      </c>
      <c r="I81" s="11">
        <v>0.50282688721007707</v>
      </c>
      <c r="J81" s="11">
        <v>0.5253881648353379</v>
      </c>
      <c r="K81" s="11">
        <v>0.41679516214050844</v>
      </c>
      <c r="L81" s="22"/>
    </row>
    <row r="82" spans="1:12" ht="9.6" customHeight="1">
      <c r="A82" s="1" t="s">
        <v>362</v>
      </c>
      <c r="B82" s="11">
        <v>0.71505735309545404</v>
      </c>
      <c r="C82" s="11">
        <v>0.84698139557077956</v>
      </c>
      <c r="D82" s="11">
        <v>0.84280663071824347</v>
      </c>
      <c r="E82" s="11">
        <v>0.91883110409978541</v>
      </c>
      <c r="F82" s="11">
        <v>0.85907227079674808</v>
      </c>
      <c r="G82" s="11">
        <v>1.1434446710071176</v>
      </c>
      <c r="H82" s="11">
        <v>1.225880087302599</v>
      </c>
      <c r="I82" s="11">
        <v>1.385136381986074</v>
      </c>
      <c r="J82" s="11">
        <v>1.5689443434475348</v>
      </c>
      <c r="K82" s="11">
        <v>1.1832453712968654</v>
      </c>
      <c r="L82" s="22"/>
    </row>
    <row r="83" spans="1:12" ht="1.9" customHeight="1">
      <c r="A83" s="1"/>
      <c r="B83" s="11"/>
      <c r="C83" s="11"/>
      <c r="D83" s="11"/>
      <c r="E83" s="26"/>
      <c r="F83" s="26"/>
      <c r="G83" s="26"/>
      <c r="H83" s="26"/>
      <c r="I83" s="26"/>
      <c r="L83" s="22"/>
    </row>
    <row r="84" spans="1:12" ht="8.65" customHeight="1">
      <c r="A84" s="1" t="s">
        <v>46</v>
      </c>
      <c r="B84" s="11">
        <v>312.80809699779223</v>
      </c>
      <c r="C84" s="11">
        <v>321.48260768003252</v>
      </c>
      <c r="D84" s="11">
        <v>321.04263948695848</v>
      </c>
      <c r="E84" s="11">
        <v>317.097877998201</v>
      </c>
      <c r="F84" s="11">
        <v>320.74912057251362</v>
      </c>
      <c r="G84" s="11">
        <v>310.84844921494027</v>
      </c>
      <c r="H84" s="11">
        <v>310.07399150608222</v>
      </c>
      <c r="I84" s="11">
        <v>311.32340894104311</v>
      </c>
      <c r="J84" s="11">
        <v>311.48666358953761</v>
      </c>
      <c r="K84" s="11">
        <v>308.01535572051921</v>
      </c>
      <c r="L84" s="22"/>
    </row>
    <row r="85" spans="1:12" ht="8.65" customHeight="1">
      <c r="A85" s="1" t="s">
        <v>47</v>
      </c>
      <c r="B85" s="11">
        <v>117.3873004043374</v>
      </c>
      <c r="C85" s="11">
        <v>116.94080685133171</v>
      </c>
      <c r="D85" s="11">
        <v>124.74664598468877</v>
      </c>
      <c r="E85" s="11">
        <v>110.72342722731659</v>
      </c>
      <c r="F85" s="11">
        <v>116.91206973394975</v>
      </c>
      <c r="G85" s="11">
        <v>114.55310487107394</v>
      </c>
      <c r="H85" s="11">
        <v>107.86319793630942</v>
      </c>
      <c r="I85" s="11">
        <v>107.83111823088178</v>
      </c>
      <c r="J85" s="11">
        <v>106.83785249511118</v>
      </c>
      <c r="K85" s="11">
        <v>100.14958361887524</v>
      </c>
      <c r="L85" s="22"/>
    </row>
    <row r="86" spans="1:12" ht="8.65" customHeight="1">
      <c r="A86" s="2" t="s">
        <v>48</v>
      </c>
      <c r="B86" s="12">
        <v>166.16366794960891</v>
      </c>
      <c r="C86" s="12">
        <v>175.75557911620737</v>
      </c>
      <c r="D86" s="12">
        <v>168.29934283135361</v>
      </c>
      <c r="E86" s="12">
        <v>176.6974274084898</v>
      </c>
      <c r="F86" s="12">
        <v>176.03746380799871</v>
      </c>
      <c r="G86" s="12">
        <v>167.63879510943781</v>
      </c>
      <c r="H86" s="12">
        <v>174.33144783109793</v>
      </c>
      <c r="I86" s="12">
        <v>176.41726574812594</v>
      </c>
      <c r="J86" s="12">
        <v>179.2678890547505</v>
      </c>
      <c r="K86" s="12">
        <v>182.31310813861202</v>
      </c>
      <c r="L86" s="22"/>
    </row>
    <row r="87" spans="1:12" ht="10.35" customHeight="1">
      <c r="A87" s="16" t="s">
        <v>49</v>
      </c>
      <c r="B87" s="16">
        <v>29.257128643845931</v>
      </c>
      <c r="C87" s="16">
        <v>28.786221712493408</v>
      </c>
      <c r="D87" s="16">
        <v>27.996650670916107</v>
      </c>
      <c r="E87" s="16">
        <v>29.677023362394596</v>
      </c>
      <c r="F87" s="16">
        <v>27.799587030565156</v>
      </c>
      <c r="G87" s="16">
        <v>28.65654923442851</v>
      </c>
      <c r="H87" s="16">
        <v>27.879345738674871</v>
      </c>
      <c r="I87" s="16">
        <v>27.075024962035407</v>
      </c>
      <c r="J87" s="16">
        <v>25.380922039675948</v>
      </c>
      <c r="K87" s="16">
        <v>25.552663963031961</v>
      </c>
      <c r="L87" s="22"/>
    </row>
    <row r="88" spans="1:12" ht="10.35" customHeight="1">
      <c r="A88" s="29"/>
      <c r="B88" s="30"/>
      <c r="C88" s="31"/>
      <c r="D88" s="31"/>
      <c r="H88" s="25"/>
      <c r="K88" s="19" t="s">
        <v>60</v>
      </c>
    </row>
    <row r="89" spans="1:12" ht="10.35" customHeight="1">
      <c r="A89" s="1"/>
      <c r="B89" s="30"/>
      <c r="C89" s="31"/>
      <c r="D89" s="31"/>
    </row>
    <row r="90" spans="1:12" ht="10.35" customHeight="1">
      <c r="A90" s="1"/>
      <c r="B90" s="30"/>
      <c r="C90" s="30"/>
      <c r="D90" s="30"/>
      <c r="E90" s="30"/>
      <c r="F90" s="30"/>
      <c r="G90" s="30"/>
      <c r="H90" s="30"/>
      <c r="I90" s="30"/>
      <c r="J90" s="30"/>
      <c r="K90" s="30"/>
    </row>
    <row r="91" spans="1:12" ht="10.35" customHeight="1">
      <c r="B91" s="30"/>
      <c r="C91" s="30"/>
      <c r="D91" s="30"/>
      <c r="E91" s="30"/>
      <c r="F91" s="30"/>
      <c r="G91" s="30"/>
      <c r="H91" s="30"/>
      <c r="I91" s="30"/>
    </row>
    <row r="92" spans="1:12" ht="10.35" customHeight="1">
      <c r="A92" s="1"/>
      <c r="B92" s="30"/>
      <c r="C92" s="30"/>
      <c r="D92" s="30"/>
      <c r="E92" s="18"/>
      <c r="F92" s="18"/>
      <c r="G92" s="18"/>
      <c r="H92" s="18"/>
      <c r="I92" s="18"/>
      <c r="J92" s="18"/>
      <c r="K92" s="18"/>
    </row>
    <row r="93" spans="1:12" ht="10.35" customHeight="1">
      <c r="A93" s="1"/>
      <c r="B93" s="30"/>
      <c r="C93" s="31"/>
      <c r="D93" s="31"/>
    </row>
    <row r="94" spans="1:12">
      <c r="A94" s="31"/>
      <c r="B94" s="31"/>
      <c r="C94" s="31"/>
      <c r="D94" s="31"/>
    </row>
    <row r="95" spans="1:12">
      <c r="A95" s="30"/>
      <c r="B95" s="30"/>
      <c r="C95" s="30"/>
      <c r="D95" s="30"/>
      <c r="E95" s="30"/>
      <c r="F95" s="30"/>
      <c r="G95" s="30"/>
      <c r="H95" s="30"/>
    </row>
    <row r="96" spans="1:12">
      <c r="B96" s="18"/>
      <c r="C96" s="18"/>
      <c r="D96" s="18"/>
      <c r="E96" s="18"/>
      <c r="F96" s="18"/>
      <c r="G96" s="18"/>
      <c r="H96" s="18"/>
      <c r="I96" s="18"/>
    </row>
    <row r="97" spans="2:8">
      <c r="B97" s="18"/>
      <c r="C97" s="18"/>
      <c r="D97" s="18"/>
      <c r="E97" s="18"/>
      <c r="F97" s="18"/>
      <c r="G97" s="18"/>
      <c r="H97" s="18"/>
    </row>
    <row r="98" spans="2:8">
      <c r="B98" s="20"/>
      <c r="C98" s="20"/>
      <c r="D98" s="20"/>
      <c r="E98" s="20"/>
      <c r="F98" s="20"/>
      <c r="G98" s="20"/>
      <c r="H98" s="20"/>
    </row>
  </sheetData>
  <pageMargins left="0.66700000000000004" right="0.66700000000000004" top="0.66700000000000004" bottom="0.72" header="0" footer="0"/>
  <pageSetup firstPageNumber="21" orientation="portrait" useFirstPageNumber="1" r:id="rId1"/>
  <headerFooter alignWithMargins="0"/>
  <ignoredErrors>
    <ignoredError sqref="B2:K2"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L100"/>
  <sheetViews>
    <sheetView showGridLines="0" zoomScale="120" zoomScaleNormal="120" workbookViewId="0"/>
  </sheetViews>
  <sheetFormatPr defaultColWidth="13.42578125" defaultRowHeight="9"/>
  <cols>
    <col min="1" max="1" width="22" style="17" customWidth="1"/>
    <col min="2" max="11" width="9.140625" style="17" customWidth="1"/>
    <col min="12" max="16384" width="13.42578125" style="17"/>
  </cols>
  <sheetData>
    <row r="1" spans="1:12" ht="10.35" customHeight="1">
      <c r="A1" s="1" t="s">
        <v>468</v>
      </c>
      <c r="B1" s="1"/>
      <c r="C1" s="1"/>
      <c r="D1" s="1"/>
      <c r="E1" s="1"/>
      <c r="F1" s="1"/>
      <c r="G1" s="1"/>
      <c r="H1" s="1"/>
      <c r="I1" s="1"/>
      <c r="J1" s="1"/>
      <c r="K1" s="1"/>
    </row>
    <row r="2" spans="1:12" ht="10.35" customHeight="1">
      <c r="A2" s="5" t="s">
        <v>0</v>
      </c>
      <c r="B2" s="27">
        <v>2006</v>
      </c>
      <c r="C2" s="27">
        <v>2007</v>
      </c>
      <c r="D2" s="27">
        <v>2008</v>
      </c>
      <c r="E2" s="27">
        <v>2009</v>
      </c>
      <c r="F2" s="27">
        <v>2010</v>
      </c>
      <c r="G2" s="27">
        <v>2011</v>
      </c>
      <c r="H2" s="27">
        <v>2012</v>
      </c>
      <c r="I2" s="27">
        <v>2013</v>
      </c>
      <c r="J2" s="27">
        <v>2014</v>
      </c>
      <c r="K2" s="27">
        <v>2015</v>
      </c>
    </row>
    <row r="3" spans="1:12" ht="10.35" customHeight="1">
      <c r="A3" s="1"/>
      <c r="E3" s="8" t="s">
        <v>412</v>
      </c>
    </row>
    <row r="4" spans="1:12" ht="3" customHeight="1">
      <c r="A4" s="1"/>
      <c r="F4" s="32"/>
    </row>
    <row r="5" spans="1:12" ht="8.65" customHeight="1">
      <c r="A5" s="1" t="s">
        <v>10</v>
      </c>
      <c r="B5" s="11">
        <v>50.717122358601024</v>
      </c>
      <c r="C5" s="11">
        <v>49.79991773750298</v>
      </c>
      <c r="D5" s="11">
        <v>47.900679779510497</v>
      </c>
      <c r="E5" s="11">
        <v>47.28220409087799</v>
      </c>
      <c r="F5" s="33">
        <v>47.632753352438776</v>
      </c>
      <c r="G5" s="33">
        <v>42.565569424613045</v>
      </c>
      <c r="H5" s="33">
        <v>43.478828904570861</v>
      </c>
      <c r="I5" s="33">
        <v>45.848117926587967</v>
      </c>
      <c r="J5" s="33">
        <v>45.846020722756712</v>
      </c>
      <c r="K5" s="33">
        <v>46.520707146495965</v>
      </c>
      <c r="L5" s="34"/>
    </row>
    <row r="6" spans="1:12" ht="8.65" customHeight="1">
      <c r="A6" s="1" t="s">
        <v>11</v>
      </c>
      <c r="B6" s="11">
        <v>17.729557370507443</v>
      </c>
      <c r="C6" s="11">
        <v>16.389611712032405</v>
      </c>
      <c r="D6" s="11">
        <v>15.878453057546858</v>
      </c>
      <c r="E6" s="11">
        <v>16.197446211623113</v>
      </c>
      <c r="F6" s="33">
        <v>15.309255152799331</v>
      </c>
      <c r="G6" s="33">
        <v>15.469038382249176</v>
      </c>
      <c r="H6" s="33">
        <v>16.04591894528706</v>
      </c>
      <c r="I6" s="33">
        <v>17.427702336659934</v>
      </c>
      <c r="J6" s="33">
        <v>18.714855648311428</v>
      </c>
      <c r="K6" s="33">
        <v>17.477567601260816</v>
      </c>
      <c r="L6" s="34"/>
    </row>
    <row r="7" spans="1:12" ht="8.65" customHeight="1">
      <c r="A7" s="1" t="s">
        <v>12</v>
      </c>
      <c r="B7" s="23">
        <v>4.2064012538376474</v>
      </c>
      <c r="C7" s="23">
        <v>3.9581333931963081</v>
      </c>
      <c r="D7" s="23">
        <v>4.6073036209123126</v>
      </c>
      <c r="E7" s="23">
        <v>4.1765157541449289</v>
      </c>
      <c r="F7" s="23">
        <v>3.9826209883777501</v>
      </c>
      <c r="G7" s="528">
        <v>4.174604530408728</v>
      </c>
      <c r="H7" s="528">
        <v>3.1555096572675883</v>
      </c>
      <c r="I7" s="528">
        <v>4.8189593280768399</v>
      </c>
      <c r="J7" s="528">
        <v>4.3276397836975358</v>
      </c>
      <c r="K7" s="528">
        <v>4.2991995948243984</v>
      </c>
      <c r="L7" s="34"/>
    </row>
    <row r="8" spans="1:12" ht="8.65" customHeight="1">
      <c r="A8" s="1" t="s">
        <v>13</v>
      </c>
      <c r="B8" s="11">
        <v>0.84934023391027669</v>
      </c>
      <c r="C8" s="11">
        <v>0.88871252362004838</v>
      </c>
      <c r="D8" s="11">
        <v>0.70894141415596823</v>
      </c>
      <c r="E8" s="11">
        <v>0.75103632619056226</v>
      </c>
      <c r="F8" s="33">
        <v>0.56968323282001221</v>
      </c>
      <c r="G8" s="33">
        <v>0.68993363380288064</v>
      </c>
      <c r="H8" s="33">
        <v>0.30497156202600234</v>
      </c>
      <c r="I8" s="33">
        <v>0.81910946911818328</v>
      </c>
      <c r="J8" s="33">
        <v>0.75453492034333491</v>
      </c>
      <c r="K8" s="33">
        <v>0.67448724230187773</v>
      </c>
      <c r="L8" s="34"/>
    </row>
    <row r="9" spans="1:12" ht="8.65" customHeight="1">
      <c r="A9" s="1" t="s">
        <v>14</v>
      </c>
      <c r="B9" s="11">
        <v>26.367701574772077</v>
      </c>
      <c r="C9" s="11">
        <v>27.138434456235593</v>
      </c>
      <c r="D9" s="11">
        <v>25.046297098735121</v>
      </c>
      <c r="E9" s="11">
        <v>24.921159671453012</v>
      </c>
      <c r="F9" s="33">
        <v>26.408888132645799</v>
      </c>
      <c r="G9" s="33">
        <v>20.642675740018269</v>
      </c>
      <c r="H9" s="33">
        <v>22.526648982843881</v>
      </c>
      <c r="I9" s="33">
        <v>21.322211046905977</v>
      </c>
      <c r="J9" s="33">
        <v>20.576790325092592</v>
      </c>
      <c r="K9" s="33">
        <v>22.556148137486431</v>
      </c>
      <c r="L9" s="34"/>
    </row>
    <row r="10" spans="1:12" ht="8.65" customHeight="1">
      <c r="A10" s="1" t="s">
        <v>15</v>
      </c>
      <c r="B10" s="11">
        <v>0.96659947655369993</v>
      </c>
      <c r="C10" s="11">
        <v>0.90378470318535464</v>
      </c>
      <c r="D10" s="11">
        <v>0.87622948525343991</v>
      </c>
      <c r="E10" s="11">
        <v>0.6072278535384712</v>
      </c>
      <c r="F10" s="33">
        <v>0.65228143032637809</v>
      </c>
      <c r="G10" s="33">
        <v>0.60024976272053077</v>
      </c>
      <c r="H10" s="33">
        <v>0.87229188502791311</v>
      </c>
      <c r="I10" s="33">
        <v>0.64045377039511597</v>
      </c>
      <c r="J10" s="33">
        <v>0.70051838133367927</v>
      </c>
      <c r="K10" s="33">
        <v>0.68655249593205836</v>
      </c>
      <c r="L10" s="34"/>
    </row>
    <row r="11" spans="1:12" ht="8.65" customHeight="1">
      <c r="A11" s="1" t="s">
        <v>16</v>
      </c>
      <c r="B11" s="11">
        <v>0.59752244901988205</v>
      </c>
      <c r="C11" s="11">
        <v>0.52124094923327646</v>
      </c>
      <c r="D11" s="11">
        <v>0.78345510290679499</v>
      </c>
      <c r="E11" s="11">
        <v>0.62881827392790179</v>
      </c>
      <c r="F11" s="33">
        <v>0.7100244154695019</v>
      </c>
      <c r="G11" s="33">
        <v>0.98906737541346579</v>
      </c>
      <c r="H11" s="33">
        <v>0.57348787211841223</v>
      </c>
      <c r="I11" s="33">
        <v>0.81968197543192212</v>
      </c>
      <c r="J11" s="33">
        <v>0.77168166397814164</v>
      </c>
      <c r="K11" s="33">
        <v>0.82675207469038581</v>
      </c>
      <c r="L11" s="34"/>
    </row>
    <row r="12" spans="1:12" ht="1.9" customHeight="1">
      <c r="A12" s="1"/>
      <c r="F12" s="527"/>
      <c r="G12" s="35"/>
      <c r="H12" s="18"/>
      <c r="I12" s="18"/>
      <c r="K12" s="22"/>
    </row>
    <row r="13" spans="1:12" ht="8.65" customHeight="1">
      <c r="A13" s="1" t="s">
        <v>17</v>
      </c>
      <c r="B13" s="11">
        <v>49.380129049843617</v>
      </c>
      <c r="C13" s="11">
        <v>51.771041039603816</v>
      </c>
      <c r="D13" s="11">
        <v>50.194291546465024</v>
      </c>
      <c r="E13" s="11">
        <v>52.734363677021946</v>
      </c>
      <c r="F13" s="33">
        <v>51.837608948308521</v>
      </c>
      <c r="G13" s="33">
        <v>51.87450779208298</v>
      </c>
      <c r="H13" s="33">
        <v>55.564101919039878</v>
      </c>
      <c r="I13" s="33">
        <v>58.527093175255445</v>
      </c>
      <c r="J13" s="33">
        <v>54.530824267198795</v>
      </c>
      <c r="K13" s="33">
        <v>52.56736737266165</v>
      </c>
    </row>
    <row r="14" spans="1:12" ht="8.65" customHeight="1">
      <c r="A14" s="1" t="s">
        <v>11</v>
      </c>
      <c r="B14" s="36">
        <v>7.5923475818960169</v>
      </c>
      <c r="C14" s="36">
        <v>8.0141603802191135</v>
      </c>
      <c r="D14" s="36">
        <v>8.2617608049260181</v>
      </c>
      <c r="E14" s="36">
        <v>7.6617663050700404</v>
      </c>
      <c r="F14" s="37">
        <v>7.93755714589647</v>
      </c>
      <c r="G14" s="37">
        <v>7.3595200450503251</v>
      </c>
      <c r="H14" s="37">
        <v>7.5851214225528203</v>
      </c>
      <c r="I14" s="37">
        <v>7.7602902763005499</v>
      </c>
      <c r="J14" s="37">
        <v>7.6738932039997776</v>
      </c>
      <c r="K14" s="37">
        <v>7.8706438428681214</v>
      </c>
    </row>
    <row r="15" spans="1:12" ht="8.65" customHeight="1">
      <c r="A15" s="1" t="s">
        <v>12</v>
      </c>
      <c r="B15" s="11">
        <v>0.14111789337165986</v>
      </c>
      <c r="C15" s="11">
        <v>0.14015618190991508</v>
      </c>
      <c r="D15" s="11">
        <v>0.16595016698452333</v>
      </c>
      <c r="E15" s="11">
        <v>0.13082164821468198</v>
      </c>
      <c r="F15" s="33">
        <v>0.16153016972149919</v>
      </c>
      <c r="G15" s="33">
        <v>0.16028747847447819</v>
      </c>
      <c r="H15" s="33">
        <v>0.12808019815627741</v>
      </c>
      <c r="I15" s="33">
        <v>0.13922948006236099</v>
      </c>
      <c r="J15" s="33">
        <v>0.13238206458289864</v>
      </c>
      <c r="K15" s="33">
        <v>0.13751731940715117</v>
      </c>
    </row>
    <row r="16" spans="1:12" ht="8.65" customHeight="1">
      <c r="A16" s="1" t="s">
        <v>14</v>
      </c>
      <c r="B16" s="11">
        <v>4.8572332305977852</v>
      </c>
      <c r="C16" s="11">
        <v>6.1597329050536782</v>
      </c>
      <c r="D16" s="11">
        <v>4.965947230170106</v>
      </c>
      <c r="E16" s="11">
        <v>4.1509357001554967</v>
      </c>
      <c r="F16" s="33">
        <v>4.0830007911845145</v>
      </c>
      <c r="G16" s="33">
        <v>4.6460838959730015</v>
      </c>
      <c r="H16" s="33">
        <v>3.7242133545982092</v>
      </c>
      <c r="I16" s="33">
        <v>4.7524129466387066</v>
      </c>
      <c r="J16" s="33">
        <v>4.8026688344636908</v>
      </c>
      <c r="K16" s="33">
        <v>4.0428543986566465</v>
      </c>
    </row>
    <row r="17" spans="1:11" ht="8.65" customHeight="1">
      <c r="A17" s="1" t="s">
        <v>18</v>
      </c>
      <c r="B17" s="11">
        <v>7.4297088641715394</v>
      </c>
      <c r="C17" s="11">
        <v>6.8045649397393886</v>
      </c>
      <c r="D17" s="11">
        <v>6.8508167777364246</v>
      </c>
      <c r="E17" s="11">
        <v>6.2698874732603267</v>
      </c>
      <c r="F17" s="33">
        <v>6.2378072402020406</v>
      </c>
      <c r="G17" s="33">
        <v>6.5936423027503057</v>
      </c>
      <c r="H17" s="33">
        <v>5.982641659430957</v>
      </c>
      <c r="I17" s="33">
        <v>6.7101266443478336</v>
      </c>
      <c r="J17" s="33">
        <v>6.5721533052846715</v>
      </c>
      <c r="K17" s="33">
        <v>7.0085856596233187</v>
      </c>
    </row>
    <row r="18" spans="1:11" ht="8.65" customHeight="1">
      <c r="A18" s="1" t="s">
        <v>19</v>
      </c>
      <c r="B18" s="11">
        <v>29.359721479806616</v>
      </c>
      <c r="C18" s="11">
        <v>30.652426632681724</v>
      </c>
      <c r="D18" s="11">
        <v>29.94981656664795</v>
      </c>
      <c r="E18" s="11">
        <v>34.520952550321404</v>
      </c>
      <c r="F18" s="33">
        <v>33.417713601303994</v>
      </c>
      <c r="G18" s="33">
        <v>33.114974069834872</v>
      </c>
      <c r="H18" s="33">
        <v>38.144045284301612</v>
      </c>
      <c r="I18" s="33">
        <v>39.165033827905994</v>
      </c>
      <c r="J18" s="33">
        <v>35.349726858867754</v>
      </c>
      <c r="K18" s="33">
        <v>33.507766152106413</v>
      </c>
    </row>
    <row r="19" spans="1:11" ht="1.9" customHeight="1">
      <c r="A19" s="1"/>
      <c r="F19" s="527"/>
      <c r="G19" s="35"/>
      <c r="H19" s="18"/>
      <c r="I19" s="18"/>
      <c r="J19" s="22"/>
      <c r="K19" s="22"/>
    </row>
    <row r="20" spans="1:11" ht="8.65" customHeight="1">
      <c r="A20" s="1" t="s">
        <v>20</v>
      </c>
      <c r="B20" s="11">
        <v>25.105983603272051</v>
      </c>
      <c r="C20" s="11">
        <v>25.950798067649568</v>
      </c>
      <c r="D20" s="11">
        <v>25.035664444738483</v>
      </c>
      <c r="E20" s="11">
        <v>22.010589130229452</v>
      </c>
      <c r="F20" s="33">
        <v>25.613541576279779</v>
      </c>
      <c r="G20" s="33">
        <v>25.544922848745923</v>
      </c>
      <c r="H20" s="33">
        <v>26.899020761644387</v>
      </c>
      <c r="I20" s="33">
        <v>27.986865654915384</v>
      </c>
      <c r="J20" s="33">
        <v>27.855229984114089</v>
      </c>
      <c r="K20" s="33">
        <v>27.922227808612043</v>
      </c>
    </row>
    <row r="21" spans="1:11" ht="1.9" customHeight="1">
      <c r="A21" s="1"/>
      <c r="F21" s="527"/>
      <c r="G21" s="38"/>
      <c r="H21" s="18"/>
      <c r="I21" s="18"/>
      <c r="J21" s="22"/>
      <c r="K21" s="22"/>
    </row>
    <row r="22" spans="1:11" ht="8.65" customHeight="1">
      <c r="A22" s="1" t="s">
        <v>21</v>
      </c>
      <c r="B22" s="11">
        <v>73.049594948725911</v>
      </c>
      <c r="C22" s="11">
        <v>65.461296329637108</v>
      </c>
      <c r="D22" s="11">
        <v>62.570576258083165</v>
      </c>
      <c r="E22" s="11">
        <v>63.538920685591464</v>
      </c>
      <c r="F22" s="33">
        <v>61.355917379532187</v>
      </c>
      <c r="G22" s="33">
        <v>63.133820788015484</v>
      </c>
      <c r="H22" s="33">
        <v>54.281412487287476</v>
      </c>
      <c r="I22" s="33">
        <v>56.044923550923876</v>
      </c>
      <c r="J22" s="33">
        <v>53.741399101009968</v>
      </c>
      <c r="K22" s="33">
        <v>51.548044522808816</v>
      </c>
    </row>
    <row r="23" spans="1:11" ht="8.65" customHeight="1">
      <c r="A23" s="1" t="s">
        <v>11</v>
      </c>
      <c r="B23" s="36">
        <v>10.243935907665454</v>
      </c>
      <c r="C23" s="36">
        <v>7.4604311097143006</v>
      </c>
      <c r="D23" s="36">
        <v>9.9282790040245779</v>
      </c>
      <c r="E23" s="36">
        <v>9.0590101608184845</v>
      </c>
      <c r="F23" s="36">
        <v>9.683060980914739</v>
      </c>
      <c r="G23" s="36">
        <v>9.9662267686063899</v>
      </c>
      <c r="H23" s="36">
        <v>10.469904630517682</v>
      </c>
      <c r="I23" s="36">
        <v>10.389169487151072</v>
      </c>
      <c r="J23" s="36">
        <v>9.3812346904733968</v>
      </c>
      <c r="K23" s="36">
        <v>8.673377491294092</v>
      </c>
    </row>
    <row r="24" spans="1:11" ht="10.5" customHeight="1">
      <c r="A24" s="1" t="s">
        <v>22</v>
      </c>
      <c r="B24" s="11">
        <v>62.805659041060451</v>
      </c>
      <c r="C24" s="11">
        <v>58.000865219922808</v>
      </c>
      <c r="D24" s="11">
        <v>52.642297254058583</v>
      </c>
      <c r="E24" s="11">
        <v>54.479910524772976</v>
      </c>
      <c r="F24" s="11">
        <v>51.672856398617448</v>
      </c>
      <c r="G24" s="11">
        <v>53.167594019409094</v>
      </c>
      <c r="H24" s="11">
        <v>43.811507856769794</v>
      </c>
      <c r="I24" s="11">
        <v>45.655754063772804</v>
      </c>
      <c r="J24" s="11">
        <v>44.360164410536569</v>
      </c>
      <c r="K24" s="11">
        <v>42.874667031514726</v>
      </c>
    </row>
    <row r="25" spans="1:11" ht="1.9" customHeight="1">
      <c r="A25" s="1"/>
      <c r="F25" s="527"/>
      <c r="G25" s="35"/>
      <c r="H25" s="18"/>
      <c r="I25" s="18"/>
      <c r="J25" s="22"/>
      <c r="K25" s="22"/>
    </row>
    <row r="26" spans="1:11" ht="8.65" customHeight="1">
      <c r="A26" s="1" t="s">
        <v>23</v>
      </c>
      <c r="B26" s="11">
        <v>5.4703093051588443</v>
      </c>
      <c r="C26" s="11">
        <v>7.1520704442324927</v>
      </c>
      <c r="D26" s="11">
        <v>7.389277896744991</v>
      </c>
      <c r="E26" s="11">
        <v>6.601743029239989</v>
      </c>
      <c r="F26" s="33">
        <v>5.9775916616169233</v>
      </c>
      <c r="G26" s="33">
        <v>6.2510131268886617</v>
      </c>
      <c r="H26" s="33">
        <v>5.0719953135614748</v>
      </c>
      <c r="I26" s="33">
        <v>5.7124771037784789</v>
      </c>
      <c r="J26" s="33">
        <v>5.1480387674756134</v>
      </c>
      <c r="K26" s="33">
        <v>4.4659686705940755</v>
      </c>
    </row>
    <row r="27" spans="1:11" ht="8.65" customHeight="1">
      <c r="A27" s="1" t="s">
        <v>11</v>
      </c>
      <c r="B27" s="37">
        <v>2.3069424966000871</v>
      </c>
      <c r="C27" s="37">
        <v>2.8369170064041458</v>
      </c>
      <c r="D27" s="37">
        <v>3.1561000234891208</v>
      </c>
      <c r="E27" s="37">
        <v>2.7952344601084333</v>
      </c>
      <c r="F27" s="37">
        <v>2.7634373911548589</v>
      </c>
      <c r="G27" s="37">
        <v>2.7171270596033228</v>
      </c>
      <c r="H27" s="37">
        <v>2.3739312622724955</v>
      </c>
      <c r="I27" s="37">
        <v>2.6391119324805903</v>
      </c>
      <c r="J27" s="37">
        <v>2.4017164452870365</v>
      </c>
      <c r="K27" s="37">
        <v>2.2371240070631737</v>
      </c>
    </row>
    <row r="28" spans="1:11" ht="8.65" customHeight="1">
      <c r="A28" s="1" t="s">
        <v>14</v>
      </c>
      <c r="B28" s="11">
        <v>3.1633668085587576</v>
      </c>
      <c r="C28" s="11">
        <v>4.3151534378283465</v>
      </c>
      <c r="D28" s="11">
        <v>4.2331778732558698</v>
      </c>
      <c r="E28" s="11">
        <v>3.8065085691315552</v>
      </c>
      <c r="F28" s="11">
        <v>3.2141542704620645</v>
      </c>
      <c r="G28" s="11">
        <v>3.5338860672853385</v>
      </c>
      <c r="H28" s="11">
        <v>2.6980640512889797</v>
      </c>
      <c r="I28" s="11">
        <v>3.0733651712978891</v>
      </c>
      <c r="J28" s="11">
        <v>2.7463223221885773</v>
      </c>
      <c r="K28" s="11">
        <v>2.2288446635309018</v>
      </c>
    </row>
    <row r="29" spans="1:11" ht="1.9" customHeight="1">
      <c r="A29" s="1"/>
      <c r="F29" s="527"/>
      <c r="G29" s="35"/>
      <c r="H29" s="18"/>
      <c r="I29" s="18"/>
      <c r="J29" s="22"/>
      <c r="K29" s="530"/>
    </row>
    <row r="30" spans="1:11" ht="8.65" customHeight="1">
      <c r="A30" s="1" t="s">
        <v>24</v>
      </c>
      <c r="B30" s="11">
        <v>7.9210180747362049</v>
      </c>
      <c r="C30" s="11">
        <v>6.4235066411043729</v>
      </c>
      <c r="D30" s="11">
        <v>5.168567248232196</v>
      </c>
      <c r="E30" s="11">
        <v>7.3493669672644675</v>
      </c>
      <c r="F30" s="33">
        <v>6.7420808961498402</v>
      </c>
      <c r="G30" s="33">
        <v>8.5967101974424622</v>
      </c>
      <c r="H30" s="33">
        <v>7.9300855963009997</v>
      </c>
      <c r="I30" s="33">
        <v>8.0360762075648804</v>
      </c>
      <c r="J30" s="33">
        <v>7.1620614203158723</v>
      </c>
      <c r="K30" s="33">
        <v>8.8368440175579188</v>
      </c>
    </row>
    <row r="31" spans="1:11" ht="8.65" customHeight="1">
      <c r="A31" s="1" t="s">
        <v>11</v>
      </c>
      <c r="B31" s="11">
        <v>4.1472301349012417</v>
      </c>
      <c r="C31" s="11">
        <v>2.8076177095353616</v>
      </c>
      <c r="D31" s="11">
        <v>1.9667991367261435</v>
      </c>
      <c r="E31" s="11">
        <v>3.1220053307669886</v>
      </c>
      <c r="F31" s="11">
        <v>2.7888866420490248</v>
      </c>
      <c r="G31" s="11">
        <v>3.4671775825578797</v>
      </c>
      <c r="H31" s="11">
        <v>3.9479532353217004</v>
      </c>
      <c r="I31" s="11">
        <v>3.4845000854823818</v>
      </c>
      <c r="J31" s="11">
        <v>3.4260567106079134</v>
      </c>
      <c r="K31" s="11">
        <v>3.6004273855202196</v>
      </c>
    </row>
    <row r="32" spans="1:11" ht="8.65" customHeight="1">
      <c r="A32" s="1" t="s">
        <v>14</v>
      </c>
      <c r="B32" s="11">
        <v>3.7737879398349632</v>
      </c>
      <c r="C32" s="11">
        <v>3.6158889315690113</v>
      </c>
      <c r="D32" s="11">
        <v>3.2017681115060523</v>
      </c>
      <c r="E32" s="11">
        <v>4.2273616364974789</v>
      </c>
      <c r="F32" s="11">
        <v>3.9531942541008149</v>
      </c>
      <c r="G32" s="11">
        <v>5.1295326148845817</v>
      </c>
      <c r="H32" s="11">
        <v>3.9821323609792993</v>
      </c>
      <c r="I32" s="11">
        <v>4.5515761220824986</v>
      </c>
      <c r="J32" s="11">
        <v>3.7360047097079585</v>
      </c>
      <c r="K32" s="11">
        <v>5.2364166320376997</v>
      </c>
    </row>
    <row r="33" spans="1:11" ht="1.9" customHeight="1">
      <c r="A33" s="1"/>
      <c r="F33" s="32"/>
      <c r="G33" s="35"/>
      <c r="H33" s="18"/>
      <c r="I33" s="18"/>
      <c r="J33" s="22"/>
      <c r="K33" s="22"/>
    </row>
    <row r="34" spans="1:11" ht="10.5" customHeight="1">
      <c r="A34" s="1" t="s">
        <v>25</v>
      </c>
      <c r="B34" s="11">
        <v>6.8976871473034</v>
      </c>
      <c r="C34" s="11">
        <v>6.3901668963157245</v>
      </c>
      <c r="D34" s="11">
        <v>7.6046293857725704</v>
      </c>
      <c r="E34" s="11">
        <v>7.5812949193894141</v>
      </c>
      <c r="F34" s="33">
        <v>8.3121536329221701</v>
      </c>
      <c r="G34" s="33">
        <v>8.8196549125310426</v>
      </c>
      <c r="H34" s="33">
        <v>8.9639071631418989</v>
      </c>
      <c r="I34" s="33">
        <v>9.3926498159089462</v>
      </c>
      <c r="J34" s="33">
        <v>9.9310392491358268</v>
      </c>
      <c r="K34" s="33">
        <v>10.727739218384595</v>
      </c>
    </row>
    <row r="35" spans="1:11" ht="8.65" customHeight="1">
      <c r="A35" s="1" t="s">
        <v>11</v>
      </c>
      <c r="B35" s="33">
        <v>4.9467436718818769</v>
      </c>
      <c r="C35" s="33">
        <v>4.8375640849314641</v>
      </c>
      <c r="D35" s="33">
        <v>5.5656198696947943</v>
      </c>
      <c r="E35" s="33">
        <v>5.7142689490075069</v>
      </c>
      <c r="F35" s="33">
        <v>6.3498092664941455</v>
      </c>
      <c r="G35" s="33">
        <v>6.6557464303185796</v>
      </c>
      <c r="H35" s="33">
        <v>6.7460928000117937</v>
      </c>
      <c r="I35" s="33">
        <v>7.4578975569056905</v>
      </c>
      <c r="J35" s="33">
        <v>8.0742126029063321</v>
      </c>
      <c r="K35" s="33">
        <v>8.2428365981834588</v>
      </c>
    </row>
    <row r="36" spans="1:11" ht="8.65" customHeight="1">
      <c r="A36" s="1" t="s">
        <v>14</v>
      </c>
      <c r="B36" s="11">
        <v>1.9509434754215234</v>
      </c>
      <c r="C36" s="11">
        <v>1.55260281138426</v>
      </c>
      <c r="D36" s="11">
        <v>2.0390095160777766</v>
      </c>
      <c r="E36" s="11">
        <v>1.8670259703819074</v>
      </c>
      <c r="F36" s="33">
        <v>1.9623443664280251</v>
      </c>
      <c r="G36" s="33">
        <v>2.163908482212463</v>
      </c>
      <c r="H36" s="33">
        <v>2.2178143631301053</v>
      </c>
      <c r="I36" s="33">
        <v>1.9347522590032558</v>
      </c>
      <c r="J36" s="33">
        <v>1.8568266462294951</v>
      </c>
      <c r="K36" s="33">
        <v>2.4849026202011375</v>
      </c>
    </row>
    <row r="37" spans="1:11" ht="1.9" customHeight="1">
      <c r="A37" s="1"/>
      <c r="F37" s="527"/>
      <c r="G37" s="35"/>
      <c r="H37" s="18"/>
      <c r="I37" s="18"/>
      <c r="J37" s="22"/>
      <c r="K37" s="22"/>
    </row>
    <row r="38" spans="1:11" ht="10.5" customHeight="1">
      <c r="A38" s="1" t="s">
        <v>467</v>
      </c>
      <c r="B38" s="11">
        <v>8.0700419266820411</v>
      </c>
      <c r="C38" s="11">
        <v>8.8812000440579961</v>
      </c>
      <c r="D38" s="11">
        <v>8.7879783564240181</v>
      </c>
      <c r="E38" s="11">
        <v>8.3901319492365687</v>
      </c>
      <c r="F38" s="33">
        <v>8.4141265317680602</v>
      </c>
      <c r="G38" s="33">
        <v>7.6952038114970245</v>
      </c>
      <c r="H38" s="33">
        <v>7.1243252993901462</v>
      </c>
      <c r="I38" s="33">
        <v>6.3703885059364875</v>
      </c>
      <c r="J38" s="33">
        <v>6.3676900823139206</v>
      </c>
      <c r="K38" s="33">
        <v>6.1871714215581655</v>
      </c>
    </row>
    <row r="39" spans="1:11" ht="8.65" customHeight="1">
      <c r="A39" s="1" t="s">
        <v>11</v>
      </c>
      <c r="B39" s="11">
        <v>4.5812418517883984</v>
      </c>
      <c r="C39" s="11">
        <v>4.4624572965389717</v>
      </c>
      <c r="D39" s="11">
        <v>5.0809044755417343</v>
      </c>
      <c r="E39" s="11">
        <v>4.4113549354177453</v>
      </c>
      <c r="F39" s="33">
        <v>4.7271481136115732</v>
      </c>
      <c r="G39" s="33">
        <v>4.4670257730546679</v>
      </c>
      <c r="H39" s="33">
        <v>3.8631958388595864</v>
      </c>
      <c r="I39" s="33">
        <v>3.0165048896161819</v>
      </c>
      <c r="J39" s="33">
        <v>3.1519136760761159</v>
      </c>
      <c r="K39" s="33">
        <v>2.9101057429714086</v>
      </c>
    </row>
    <row r="40" spans="1:11" ht="8.65" customHeight="1">
      <c r="A40" s="1" t="s">
        <v>12</v>
      </c>
      <c r="B40" s="11">
        <v>2.8919188308160702</v>
      </c>
      <c r="C40" s="11">
        <v>3.5330216196039861</v>
      </c>
      <c r="D40" s="11">
        <v>2.9783283701828132</v>
      </c>
      <c r="E40" s="11">
        <v>3.2823877552473326</v>
      </c>
      <c r="F40" s="33">
        <v>3.0291767075416076</v>
      </c>
      <c r="G40" s="33">
        <v>2.6234727997078711</v>
      </c>
      <c r="H40" s="33">
        <v>2.6247612678740544</v>
      </c>
      <c r="I40" s="33">
        <v>2.7390397633073182</v>
      </c>
      <c r="J40" s="33">
        <v>2.564260033899795</v>
      </c>
      <c r="K40" s="33">
        <v>2.7061663384499242</v>
      </c>
    </row>
    <row r="41" spans="1:11" ht="8.65" customHeight="1">
      <c r="A41" s="1" t="s">
        <v>13</v>
      </c>
      <c r="B41" s="11">
        <v>0.59688124407757193</v>
      </c>
      <c r="C41" s="11">
        <v>0.88572112791503943</v>
      </c>
      <c r="D41" s="11">
        <v>0.72874551069947002</v>
      </c>
      <c r="E41" s="11">
        <v>0.69638925857149214</v>
      </c>
      <c r="F41" s="33">
        <v>0.6578017106148798</v>
      </c>
      <c r="G41" s="33">
        <v>0.60470523873448567</v>
      </c>
      <c r="H41" s="33">
        <v>0.63636819265650557</v>
      </c>
      <c r="I41" s="33">
        <v>0.61484385301298661</v>
      </c>
      <c r="J41" s="33">
        <v>0.65151637233801007</v>
      </c>
      <c r="K41" s="33">
        <v>0.57089934013683352</v>
      </c>
    </row>
    <row r="42" spans="1:11" ht="1.9" customHeight="1">
      <c r="A42" s="1"/>
      <c r="F42" s="527"/>
      <c r="G42" s="35"/>
      <c r="H42" s="18"/>
      <c r="I42" s="18"/>
      <c r="J42" s="22"/>
    </row>
    <row r="43" spans="1:11" ht="10.5" customHeight="1">
      <c r="A43" s="1" t="s">
        <v>26</v>
      </c>
      <c r="B43" s="11">
        <v>5.5710300902091561</v>
      </c>
      <c r="C43" s="11">
        <v>4.9666176143349352</v>
      </c>
      <c r="D43" s="11">
        <v>5.350004204172266</v>
      </c>
      <c r="E43" s="11">
        <v>5.6278979488427119</v>
      </c>
      <c r="F43" s="33">
        <v>4.8559809499129098</v>
      </c>
      <c r="G43" s="33">
        <v>5.3715425489991855</v>
      </c>
      <c r="H43" s="33">
        <v>4.8037046987425995</v>
      </c>
      <c r="I43" s="33">
        <v>4.8531850628959692</v>
      </c>
      <c r="J43" s="33">
        <v>4.8200407904608982</v>
      </c>
      <c r="K43" s="33">
        <v>4.6619479072710774</v>
      </c>
    </row>
    <row r="44" spans="1:11" ht="8.65" customHeight="1">
      <c r="A44" s="1" t="s">
        <v>11</v>
      </c>
      <c r="B44" s="11">
        <v>3.1874268062031521</v>
      </c>
      <c r="C44" s="11">
        <v>2.6788725218242382</v>
      </c>
      <c r="D44" s="11">
        <v>3.1084558942813585</v>
      </c>
      <c r="E44" s="11">
        <v>3.1873054743222213</v>
      </c>
      <c r="F44" s="33">
        <v>2.9090772969963634</v>
      </c>
      <c r="G44" s="33">
        <v>3.2157853727375687</v>
      </c>
      <c r="H44" s="33">
        <v>2.7649622954098683</v>
      </c>
      <c r="I44" s="33">
        <v>2.8394301637086428</v>
      </c>
      <c r="J44" s="33">
        <v>2.8514871448642074</v>
      </c>
      <c r="K44" s="33">
        <v>2.6657110527649417</v>
      </c>
    </row>
    <row r="45" spans="1:11" ht="8.65" customHeight="1">
      <c r="A45" s="1" t="s">
        <v>12</v>
      </c>
      <c r="B45" s="11">
        <v>2.3836032840060035</v>
      </c>
      <c r="C45" s="11">
        <v>2.287745092510697</v>
      </c>
      <c r="D45" s="11">
        <v>2.2415483098909075</v>
      </c>
      <c r="E45" s="33">
        <v>2.440592474520491</v>
      </c>
      <c r="F45" s="33">
        <v>1.9469036529165464</v>
      </c>
      <c r="G45" s="33">
        <v>2.1557571762616172</v>
      </c>
      <c r="H45" s="33">
        <v>2.0387424033327317</v>
      </c>
      <c r="I45" s="33">
        <v>2.0137548991873264</v>
      </c>
      <c r="J45" s="33">
        <v>1.9685536455966908</v>
      </c>
      <c r="K45" s="33">
        <v>1.9962368545061357</v>
      </c>
    </row>
    <row r="46" spans="1:11" ht="1.9" customHeight="1">
      <c r="A46" s="1"/>
      <c r="F46" s="527"/>
      <c r="G46" s="35"/>
      <c r="H46" s="18"/>
      <c r="I46" s="18"/>
      <c r="J46" s="22"/>
    </row>
    <row r="47" spans="1:11" ht="8.65" customHeight="1">
      <c r="A47" s="1" t="s">
        <v>27</v>
      </c>
      <c r="B47" s="11">
        <v>1.9656982849911164</v>
      </c>
      <c r="C47" s="11">
        <v>2.1338628317445192</v>
      </c>
      <c r="D47" s="11">
        <v>2.173294649392842</v>
      </c>
      <c r="E47" s="11">
        <v>2.5330418719419225</v>
      </c>
      <c r="F47" s="33">
        <v>2.1483134871154954</v>
      </c>
      <c r="G47" s="33">
        <v>2.1361251565886206</v>
      </c>
      <c r="H47" s="33">
        <v>2.2569058287381663</v>
      </c>
      <c r="I47" s="33">
        <v>1.5590339941848268</v>
      </c>
      <c r="J47" s="33">
        <v>2.062235371847879</v>
      </c>
      <c r="K47" s="33">
        <v>2.1342756087090451</v>
      </c>
    </row>
    <row r="48" spans="1:11" ht="8.65" customHeight="1">
      <c r="A48" s="1" t="s">
        <v>11</v>
      </c>
      <c r="B48" s="11">
        <v>1.0646338457067084</v>
      </c>
      <c r="C48" s="11">
        <v>1.2170121530907163</v>
      </c>
      <c r="D48" s="11">
        <v>1.3108839634816085</v>
      </c>
      <c r="E48" s="11">
        <v>1.5620785157254693</v>
      </c>
      <c r="F48" s="33">
        <v>1.306178079671021</v>
      </c>
      <c r="G48" s="33">
        <v>1.3031148829872428</v>
      </c>
      <c r="H48" s="33">
        <v>1.5035232049608891</v>
      </c>
      <c r="I48" s="33">
        <v>0.98704515795038261</v>
      </c>
      <c r="J48" s="33">
        <v>1.1727121704876053</v>
      </c>
      <c r="K48" s="33">
        <v>1.1471761905223143</v>
      </c>
    </row>
    <row r="49" spans="1:11" ht="8.65" customHeight="1">
      <c r="A49" s="1" t="s">
        <v>12</v>
      </c>
      <c r="B49" s="11">
        <v>0.14591924880290191</v>
      </c>
      <c r="C49" s="11">
        <v>0.1332869143496177</v>
      </c>
      <c r="D49" s="11">
        <v>0.14219519445075232</v>
      </c>
      <c r="E49" s="11">
        <v>0.16538215570399523</v>
      </c>
      <c r="F49" s="33">
        <v>8.1888745578975436E-2</v>
      </c>
      <c r="G49" s="33">
        <v>9.5906117105570204E-2</v>
      </c>
      <c r="H49" s="33">
        <v>1.3572065717882657E-2</v>
      </c>
      <c r="I49" s="33">
        <v>7.7034066231263312E-2</v>
      </c>
      <c r="J49" s="33">
        <v>4.8595731824831227E-2</v>
      </c>
      <c r="K49" s="33">
        <v>7.1585915940346176E-2</v>
      </c>
    </row>
    <row r="50" spans="1:11" ht="8.65" customHeight="1">
      <c r="A50" s="1" t="s">
        <v>13</v>
      </c>
      <c r="B50" s="11">
        <v>0.75514519048150608</v>
      </c>
      <c r="C50" s="11">
        <v>0.78356376430418528</v>
      </c>
      <c r="D50" s="11">
        <v>0.72021549146048125</v>
      </c>
      <c r="E50" s="11">
        <v>0.80558120051245796</v>
      </c>
      <c r="F50" s="33">
        <v>0.76024666186549905</v>
      </c>
      <c r="G50" s="33">
        <v>0.73710415649580774</v>
      </c>
      <c r="H50" s="33">
        <v>0.73981055805939444</v>
      </c>
      <c r="I50" s="33">
        <v>0.49495477000318094</v>
      </c>
      <c r="J50" s="33">
        <v>0.84092746953544251</v>
      </c>
      <c r="K50" s="33">
        <v>0.91551350224638461</v>
      </c>
    </row>
    <row r="51" spans="1:11" ht="1.9" customHeight="1">
      <c r="A51" s="1"/>
      <c r="F51" s="527"/>
      <c r="G51" s="35"/>
      <c r="H51" s="18"/>
      <c r="I51" s="18"/>
      <c r="J51" s="22"/>
    </row>
    <row r="52" spans="1:11" ht="8.65" customHeight="1">
      <c r="A52" s="1" t="s">
        <v>28</v>
      </c>
      <c r="B52" s="11">
        <v>8.0079712478259513</v>
      </c>
      <c r="C52" s="11">
        <v>7.953845948594104</v>
      </c>
      <c r="D52" s="11">
        <v>8.2238381059498664</v>
      </c>
      <c r="E52" s="11">
        <v>8.7109561239524371</v>
      </c>
      <c r="F52" s="33">
        <v>9.1568687401753692</v>
      </c>
      <c r="G52" s="33">
        <v>9.008273612965807</v>
      </c>
      <c r="H52" s="33">
        <v>9.8093029776482599</v>
      </c>
      <c r="I52" s="33">
        <v>9.751035848273192</v>
      </c>
      <c r="J52" s="33">
        <v>9.8751743669842433</v>
      </c>
      <c r="K52" s="33">
        <v>9.6418578094267726</v>
      </c>
    </row>
    <row r="53" spans="1:11" ht="8.65" customHeight="1">
      <c r="A53" s="1" t="s">
        <v>11</v>
      </c>
      <c r="B53" s="11">
        <v>6.1380184121300019</v>
      </c>
      <c r="C53" s="11">
        <v>6.2604050264685807</v>
      </c>
      <c r="D53" s="11">
        <v>6.4466373458694788</v>
      </c>
      <c r="E53" s="11">
        <v>7.1667417806551441</v>
      </c>
      <c r="F53" s="33">
        <v>7.2257324813595964</v>
      </c>
      <c r="G53" s="33">
        <v>7.360193910039194</v>
      </c>
      <c r="H53" s="33">
        <v>7.9718070562988252</v>
      </c>
      <c r="I53" s="33">
        <v>8.005933639527461</v>
      </c>
      <c r="J53" s="33">
        <v>7.960141826944561</v>
      </c>
      <c r="K53" s="33">
        <v>7.7208326981370536</v>
      </c>
    </row>
    <row r="54" spans="1:11" ht="8.65" customHeight="1">
      <c r="A54" s="1" t="s">
        <v>13</v>
      </c>
      <c r="B54" s="11">
        <v>1.8699528356959501</v>
      </c>
      <c r="C54" s="11">
        <v>1.6934409221255238</v>
      </c>
      <c r="D54" s="11">
        <v>1.7772007600803867</v>
      </c>
      <c r="E54" s="11">
        <v>1.5442143432972932</v>
      </c>
      <c r="F54" s="33">
        <v>1.9311362588157723</v>
      </c>
      <c r="G54" s="33">
        <v>1.6480797029266134</v>
      </c>
      <c r="H54" s="33">
        <v>1.8374959213494344</v>
      </c>
      <c r="I54" s="33">
        <v>1.7451022087457306</v>
      </c>
      <c r="J54" s="33">
        <v>1.9150325400396824</v>
      </c>
      <c r="K54" s="33">
        <v>1.9210251112897188</v>
      </c>
    </row>
    <row r="55" spans="1:11" ht="1.9" customHeight="1">
      <c r="A55" s="1"/>
      <c r="F55" s="527"/>
      <c r="G55" s="35"/>
      <c r="H55" s="18"/>
      <c r="I55" s="18"/>
    </row>
    <row r="56" spans="1:11" ht="8.65" customHeight="1">
      <c r="A56" s="1" t="s">
        <v>29</v>
      </c>
      <c r="B56" s="11">
        <v>13.981978632745554</v>
      </c>
      <c r="C56" s="11">
        <v>12.603442015392801</v>
      </c>
      <c r="D56" s="11">
        <v>13.459647775322736</v>
      </c>
      <c r="E56" s="11">
        <v>13.283117617107516</v>
      </c>
      <c r="F56" s="33">
        <v>12.763182452475869</v>
      </c>
      <c r="G56" s="33">
        <v>13.134247747170422</v>
      </c>
      <c r="H56" s="33">
        <v>13.551378457362123</v>
      </c>
      <c r="I56" s="33">
        <v>13.908428063660718</v>
      </c>
      <c r="J56" s="33">
        <v>14.042416842933864</v>
      </c>
      <c r="K56" s="33">
        <v>13.902022256590048</v>
      </c>
    </row>
    <row r="57" spans="1:11" ht="8.65" customHeight="1">
      <c r="A57" s="1" t="s">
        <v>11</v>
      </c>
      <c r="B57" s="11">
        <v>5.2019974158502036</v>
      </c>
      <c r="C57" s="11">
        <v>5.018784100737343</v>
      </c>
      <c r="D57" s="11">
        <v>5.0746802795575663</v>
      </c>
      <c r="E57" s="11">
        <v>5.0866468399304674</v>
      </c>
      <c r="F57" s="33">
        <v>5.6972736421992218</v>
      </c>
      <c r="G57" s="33">
        <v>5.7183612648528594</v>
      </c>
      <c r="H57" s="33">
        <v>6.4213461635273097</v>
      </c>
      <c r="I57" s="33">
        <v>6.7408534773452704</v>
      </c>
      <c r="J57" s="33">
        <v>7.1916905378673386</v>
      </c>
      <c r="K57" s="33">
        <v>6.983007069891066</v>
      </c>
    </row>
    <row r="58" spans="1:11" ht="8.65" customHeight="1">
      <c r="A58" s="1" t="s">
        <v>12</v>
      </c>
      <c r="B58" s="11">
        <v>4.7818127976540463</v>
      </c>
      <c r="C58" s="11">
        <v>4.345679146707889</v>
      </c>
      <c r="D58" s="11">
        <v>4.3584382149283574</v>
      </c>
      <c r="E58" s="11">
        <v>4.1481138136263187</v>
      </c>
      <c r="F58" s="33">
        <v>3.8510268539500094</v>
      </c>
      <c r="G58" s="33">
        <v>3.9698153185162659</v>
      </c>
      <c r="H58" s="33">
        <v>3.9477120855463563</v>
      </c>
      <c r="I58" s="33">
        <v>4.0324776521630454</v>
      </c>
      <c r="J58" s="33">
        <v>3.6989003513034517</v>
      </c>
      <c r="K58" s="33">
        <v>3.9041219076339622</v>
      </c>
    </row>
    <row r="59" spans="1:11" ht="8.65" customHeight="1">
      <c r="A59" s="1" t="s">
        <v>14</v>
      </c>
      <c r="B59" s="11">
        <v>3.9981684192413049</v>
      </c>
      <c r="C59" s="11">
        <v>3.238978767947569</v>
      </c>
      <c r="D59" s="11">
        <v>4.0265292808368107</v>
      </c>
      <c r="E59" s="11">
        <v>4.048356963550729</v>
      </c>
      <c r="F59" s="33">
        <v>3.214881956326638</v>
      </c>
      <c r="G59" s="33">
        <v>3.446071163801296</v>
      </c>
      <c r="H59" s="33">
        <v>3.1823202082884579</v>
      </c>
      <c r="I59" s="33">
        <v>3.1350969341524015</v>
      </c>
      <c r="J59" s="33">
        <v>3.1518259537630744</v>
      </c>
      <c r="K59" s="33">
        <v>3.0148932790650189</v>
      </c>
    </row>
    <row r="60" spans="1:11" ht="1.9" customHeight="1">
      <c r="A60" s="1"/>
      <c r="F60" s="527"/>
      <c r="G60" s="35"/>
      <c r="H60" s="18"/>
      <c r="I60" s="18"/>
    </row>
    <row r="61" spans="1:11" ht="8.65" customHeight="1">
      <c r="A61" s="1" t="s">
        <v>30</v>
      </c>
      <c r="B61" s="11">
        <v>0.80619359752093311</v>
      </c>
      <c r="C61" s="11">
        <v>1.4413909632289033</v>
      </c>
      <c r="D61" s="11">
        <v>0.9653155129626978</v>
      </c>
      <c r="E61" s="11">
        <v>0.94956742846442443</v>
      </c>
      <c r="F61" s="33">
        <v>1.7265895866141878</v>
      </c>
      <c r="G61" s="33">
        <v>0.85918002323856446</v>
      </c>
      <c r="H61" s="33">
        <v>1.2157708121523085</v>
      </c>
      <c r="I61" s="33">
        <v>1.2205988221066491</v>
      </c>
      <c r="J61" s="33">
        <v>0.87764717013071492</v>
      </c>
      <c r="K61" s="33">
        <v>1.1476968520913264</v>
      </c>
    </row>
    <row r="62" spans="1:11" ht="8.65" customHeight="1">
      <c r="A62" s="1" t="s">
        <v>31</v>
      </c>
      <c r="B62" s="11">
        <v>3.5007732896391537</v>
      </c>
      <c r="C62" s="11">
        <v>3.4994803521539</v>
      </c>
      <c r="D62" s="11">
        <v>3.8326162424344519</v>
      </c>
      <c r="E62" s="11">
        <v>4.2514069557795775</v>
      </c>
      <c r="F62" s="33">
        <v>4.00025311963768</v>
      </c>
      <c r="G62" s="33">
        <v>5.1032134989471691</v>
      </c>
      <c r="H62" s="33">
        <v>5.6176998326564531</v>
      </c>
      <c r="I62" s="33">
        <v>6.1132783002164865</v>
      </c>
      <c r="J62" s="33">
        <v>6.9778146896842506</v>
      </c>
      <c r="K62" s="33">
        <v>7.1915474275343509</v>
      </c>
    </row>
    <row r="63" spans="1:11" ht="1.9" customHeight="1">
      <c r="A63" s="1"/>
      <c r="F63" s="527"/>
      <c r="G63" s="38"/>
      <c r="H63" s="18"/>
      <c r="I63" s="18"/>
      <c r="J63" s="22"/>
    </row>
    <row r="64" spans="1:11" ht="8.85" customHeight="1">
      <c r="A64" s="1" t="s">
        <v>32</v>
      </c>
      <c r="B64" s="11">
        <v>11.503207858189517</v>
      </c>
      <c r="C64" s="11">
        <v>11.612298815886586</v>
      </c>
      <c r="D64" s="11">
        <v>11.773830325179716</v>
      </c>
      <c r="E64" s="11">
        <v>11.750733302326541</v>
      </c>
      <c r="F64" s="33">
        <v>12.358219793341084</v>
      </c>
      <c r="G64" s="33">
        <v>12.957770507308942</v>
      </c>
      <c r="H64" s="33">
        <v>12.670560901539472</v>
      </c>
      <c r="I64" s="33">
        <v>13.843654447521654</v>
      </c>
      <c r="J64" s="33">
        <v>13.559405288078153</v>
      </c>
      <c r="K64" s="33">
        <v>14.769299392748</v>
      </c>
    </row>
    <row r="65" spans="1:11" ht="9.75" customHeight="1">
      <c r="A65" s="1" t="s">
        <v>33</v>
      </c>
      <c r="B65" s="11">
        <v>5.6111376865062965</v>
      </c>
      <c r="C65" s="11">
        <v>5.6553107814050154</v>
      </c>
      <c r="D65" s="11">
        <v>5.6618883280947649</v>
      </c>
      <c r="E65" s="11">
        <v>5.8990555203893447</v>
      </c>
      <c r="F65" s="33">
        <v>6.1884192413359784</v>
      </c>
      <c r="G65" s="33">
        <v>6.8158541315574563</v>
      </c>
      <c r="H65" s="33">
        <v>6.448084845879329</v>
      </c>
      <c r="I65" s="33">
        <v>6.9752823822045196</v>
      </c>
      <c r="J65" s="33">
        <v>7.1755936699452958</v>
      </c>
      <c r="K65" s="33">
        <v>7.8178906365162399</v>
      </c>
    </row>
    <row r="66" spans="1:11" ht="9.75" customHeight="1">
      <c r="A66" s="1" t="s">
        <v>34</v>
      </c>
      <c r="B66" s="11">
        <v>0.12254005838227899</v>
      </c>
      <c r="C66" s="11">
        <v>0.17600589545048972</v>
      </c>
      <c r="D66" s="11">
        <v>0.15912224952670245</v>
      </c>
      <c r="E66" s="11">
        <v>0.16446712474908029</v>
      </c>
      <c r="F66" s="33">
        <v>0.13954614015581965</v>
      </c>
      <c r="G66" s="33">
        <v>0.12249870834632948</v>
      </c>
      <c r="H66" s="33">
        <v>0.11666561421993868</v>
      </c>
      <c r="I66" s="33">
        <v>0.11129388473948677</v>
      </c>
      <c r="J66" s="33">
        <v>0.12301506215594246</v>
      </c>
      <c r="K66" s="33">
        <v>7.8429434665392678E-2</v>
      </c>
    </row>
    <row r="67" spans="1:11" ht="9.75" customHeight="1">
      <c r="A67" s="1" t="s">
        <v>35</v>
      </c>
      <c r="B67" s="11">
        <v>0.95253577042058357</v>
      </c>
      <c r="C67" s="11">
        <v>1.0125973496586582</v>
      </c>
      <c r="D67" s="11">
        <v>0.96371477226767188</v>
      </c>
      <c r="E67" s="11">
        <v>1.0741246286030961</v>
      </c>
      <c r="F67" s="33">
        <v>1.1808650299957979</v>
      </c>
      <c r="G67" s="33">
        <v>1.034278136863626</v>
      </c>
      <c r="H67" s="33">
        <v>1.0499450617887518</v>
      </c>
      <c r="I67" s="33">
        <v>1.1431617038252451</v>
      </c>
      <c r="J67" s="33">
        <v>1.3960429911692305</v>
      </c>
      <c r="K67" s="33">
        <v>1.5311343899254919</v>
      </c>
    </row>
    <row r="68" spans="1:11" ht="9.75" customHeight="1">
      <c r="A68" s="1" t="s">
        <v>36</v>
      </c>
      <c r="B68" s="11">
        <v>2.7360838445500466</v>
      </c>
      <c r="C68" s="11">
        <v>2.6531394387963787</v>
      </c>
      <c r="D68" s="11">
        <v>2.8975536638141861</v>
      </c>
      <c r="E68" s="11">
        <v>2.5977272827172215</v>
      </c>
      <c r="F68" s="33">
        <v>2.5145167859579889</v>
      </c>
      <c r="G68" s="33">
        <v>2.6884955786794671</v>
      </c>
      <c r="H68" s="33">
        <v>2.8428187908470197</v>
      </c>
      <c r="I68" s="33">
        <v>3.0875426068023324</v>
      </c>
      <c r="J68" s="33">
        <v>2.8674252527726107</v>
      </c>
      <c r="K68" s="33">
        <v>2.9036356459055348</v>
      </c>
    </row>
    <row r="69" spans="1:11" ht="9.75" customHeight="1">
      <c r="A69" s="1" t="s">
        <v>37</v>
      </c>
      <c r="B69" s="11">
        <v>2.0809104983303111</v>
      </c>
      <c r="C69" s="11">
        <v>2.1152453505760436</v>
      </c>
      <c r="D69" s="11">
        <v>2.0915513114763913</v>
      </c>
      <c r="E69" s="11">
        <v>2.0153587458677991</v>
      </c>
      <c r="F69" s="33">
        <v>2.3348725958954994</v>
      </c>
      <c r="G69" s="33">
        <v>2.2966439518620625</v>
      </c>
      <c r="H69" s="33">
        <v>2.2130465888044326</v>
      </c>
      <c r="I69" s="33">
        <v>2.5263738699500706</v>
      </c>
      <c r="J69" s="33">
        <v>1.9973283120350742</v>
      </c>
      <c r="K69" s="33">
        <v>2.438209285735339</v>
      </c>
    </row>
    <row r="70" spans="1:11" ht="1.9" customHeight="1">
      <c r="A70" s="1"/>
      <c r="F70" s="527"/>
      <c r="G70" s="35"/>
      <c r="H70" s="18"/>
      <c r="I70" s="18"/>
      <c r="J70" s="22"/>
    </row>
    <row r="71" spans="1:11" ht="9" customHeight="1">
      <c r="A71" s="1" t="s">
        <v>360</v>
      </c>
      <c r="B71" s="11">
        <v>271.94873941544449</v>
      </c>
      <c r="C71" s="11">
        <v>266.0409357414398</v>
      </c>
      <c r="D71" s="11">
        <v>260.43021173138555</v>
      </c>
      <c r="E71" s="11">
        <v>262.59533569726642</v>
      </c>
      <c r="F71" s="33">
        <v>262.89518210828885</v>
      </c>
      <c r="G71" s="33">
        <v>263.05175599703534</v>
      </c>
      <c r="H71" s="33">
        <v>259.2390009537765</v>
      </c>
      <c r="I71" s="33">
        <v>269.16780647973098</v>
      </c>
      <c r="J71" s="33">
        <v>262.7970381144408</v>
      </c>
      <c r="K71" s="33">
        <v>262.22471743304385</v>
      </c>
    </row>
    <row r="72" spans="1:11" ht="8.65" customHeight="1">
      <c r="A72" s="1" t="s">
        <v>38</v>
      </c>
      <c r="B72" s="11">
        <v>101.35797007454809</v>
      </c>
      <c r="C72" s="11">
        <v>97.089422302705117</v>
      </c>
      <c r="D72" s="11">
        <v>100.30874287040697</v>
      </c>
      <c r="E72" s="11">
        <v>98.124910569843991</v>
      </c>
      <c r="F72" s="33">
        <v>102.49963013039978</v>
      </c>
      <c r="G72" s="33">
        <v>105.16330795130777</v>
      </c>
      <c r="H72" s="33">
        <v>108.6585622952002</v>
      </c>
      <c r="I72" s="33">
        <v>111.82386534046455</v>
      </c>
      <c r="J72" s="33">
        <v>114.00855300156937</v>
      </c>
      <c r="K72" s="33">
        <v>112.4604755531393</v>
      </c>
    </row>
    <row r="73" spans="1:11" ht="8.65" customHeight="1">
      <c r="A73" s="1" t="s">
        <v>39</v>
      </c>
      <c r="B73" s="11">
        <v>15.47950696439154</v>
      </c>
      <c r="C73" s="11">
        <v>16.015419206957805</v>
      </c>
      <c r="D73" s="11">
        <v>15.618201639839068</v>
      </c>
      <c r="E73" s="11">
        <v>15.457848154671254</v>
      </c>
      <c r="F73" s="33">
        <v>14.919282844856397</v>
      </c>
      <c r="G73" s="33">
        <v>14.161522152059426</v>
      </c>
      <c r="H73" s="33">
        <v>13.240814104267137</v>
      </c>
      <c r="I73" s="33">
        <v>15.152387895874289</v>
      </c>
      <c r="J73" s="33">
        <v>13.740993843191861</v>
      </c>
      <c r="K73" s="33">
        <v>14.340954217518638</v>
      </c>
    </row>
    <row r="74" spans="1:11" ht="8.65" customHeight="1">
      <c r="A74" s="1" t="s">
        <v>40</v>
      </c>
      <c r="B74" s="11">
        <v>5.0238552745858884</v>
      </c>
      <c r="C74" s="11">
        <v>5.2640356876234549</v>
      </c>
      <c r="D74" s="11">
        <v>4.8988179486639778</v>
      </c>
      <c r="E74" s="11">
        <v>4.8713457571749013</v>
      </c>
      <c r="F74" s="33">
        <v>5.0997328941119608</v>
      </c>
      <c r="G74" s="33">
        <v>4.7141008688234134</v>
      </c>
      <c r="H74" s="33">
        <v>4.5685912958800889</v>
      </c>
      <c r="I74" s="33">
        <v>4.817172004705327</v>
      </c>
      <c r="J74" s="33">
        <v>5.5580542934257009</v>
      </c>
      <c r="K74" s="33">
        <v>5.6130595859003067</v>
      </c>
    </row>
    <row r="75" spans="1:11" ht="8.65" customHeight="1">
      <c r="A75" s="1" t="s">
        <v>41</v>
      </c>
      <c r="B75" s="11">
        <v>109.65294433403693</v>
      </c>
      <c r="C75" s="11">
        <v>106.67479596873766</v>
      </c>
      <c r="D75" s="11">
        <v>99.052580028454514</v>
      </c>
      <c r="E75" s="11">
        <v>100.09898631866037</v>
      </c>
      <c r="F75" s="33">
        <v>97.023836955723297</v>
      </c>
      <c r="G75" s="33">
        <v>95.418247562263502</v>
      </c>
      <c r="H75" s="33">
        <v>84.985519968745734</v>
      </c>
      <c r="I75" s="33">
        <v>87.512711150655875</v>
      </c>
      <c r="J75" s="33">
        <v>84.098028454754555</v>
      </c>
      <c r="K75" s="33">
        <v>85.342362408398117</v>
      </c>
    </row>
    <row r="76" spans="1:11" ht="8.65" customHeight="1">
      <c r="A76" s="1" t="s">
        <v>42</v>
      </c>
      <c r="B76" s="11">
        <v>10.477218839055551</v>
      </c>
      <c r="C76" s="11">
        <v>9.8235949935007874</v>
      </c>
      <c r="D76" s="11">
        <v>9.8185975744662564</v>
      </c>
      <c r="E76" s="11">
        <v>8.8924740726665963</v>
      </c>
      <c r="F76" s="33">
        <v>9.224961266423918</v>
      </c>
      <c r="G76" s="33">
        <v>9.4905360173329001</v>
      </c>
      <c r="H76" s="33">
        <v>9.067980133263303</v>
      </c>
      <c r="I76" s="33">
        <v>9.8769542846930207</v>
      </c>
      <c r="J76" s="33">
        <v>9.2699999986534252</v>
      </c>
      <c r="K76" s="33">
        <v>10.133347441290717</v>
      </c>
    </row>
    <row r="77" spans="1:11" ht="1.9" customHeight="1">
      <c r="A77" s="1"/>
      <c r="B77" s="39"/>
      <c r="C77" s="39"/>
      <c r="D77" s="39"/>
      <c r="E77" s="39"/>
      <c r="F77" s="532"/>
      <c r="G77" s="38"/>
      <c r="H77" s="18"/>
      <c r="I77" s="18"/>
    </row>
    <row r="78" spans="1:11" ht="9.6" customHeight="1">
      <c r="A78" s="1" t="s">
        <v>361</v>
      </c>
      <c r="B78" s="11">
        <v>3.3297870157412333</v>
      </c>
      <c r="C78" s="11">
        <v>3.5751487253360419</v>
      </c>
      <c r="D78" s="11">
        <v>3.5581881321063129</v>
      </c>
      <c r="E78" s="11">
        <v>3.7442414080344735</v>
      </c>
      <c r="F78" s="33">
        <v>3.8510230280525413</v>
      </c>
      <c r="G78" s="33">
        <v>3.7931051228398514</v>
      </c>
      <c r="H78" s="33">
        <v>4.1780744165228008</v>
      </c>
      <c r="I78" s="33">
        <v>4.0026082232613795</v>
      </c>
      <c r="J78" s="33">
        <v>4.0679106562174843</v>
      </c>
      <c r="K78" s="33">
        <v>4.0634569676871788</v>
      </c>
    </row>
    <row r="79" spans="1:11" ht="8.65" customHeight="1">
      <c r="A79" s="1" t="s">
        <v>43</v>
      </c>
      <c r="B79" s="11">
        <v>1.0145449287160211</v>
      </c>
      <c r="C79" s="11">
        <v>1.2091075462381666</v>
      </c>
      <c r="D79" s="11">
        <v>1.3834862565009343</v>
      </c>
      <c r="E79" s="11">
        <v>1.3956059893049602</v>
      </c>
      <c r="F79" s="33">
        <v>1.6078814371799652</v>
      </c>
      <c r="G79" s="33">
        <v>1.8099475280640918</v>
      </c>
      <c r="H79" s="33">
        <v>2.0019274918812919</v>
      </c>
      <c r="I79" s="33">
        <v>1.9321921964139275</v>
      </c>
      <c r="J79" s="33">
        <v>1.7135695211373692</v>
      </c>
      <c r="K79" s="33">
        <v>1.8030458648539938</v>
      </c>
    </row>
    <row r="80" spans="1:11" ht="8.65" customHeight="1">
      <c r="A80" s="1" t="s">
        <v>44</v>
      </c>
      <c r="B80" s="11">
        <v>0.44349279837113714</v>
      </c>
      <c r="C80" s="11">
        <v>0.44125464160727701</v>
      </c>
      <c r="D80" s="11">
        <v>0.49190988391614804</v>
      </c>
      <c r="E80" s="11">
        <v>0.4757353134316496</v>
      </c>
      <c r="F80" s="33">
        <v>0.52979188079536454</v>
      </c>
      <c r="G80" s="33">
        <v>0.36440553019226318</v>
      </c>
      <c r="H80" s="33">
        <v>0.42738439699259845</v>
      </c>
      <c r="I80" s="33">
        <v>0.35241017738942548</v>
      </c>
      <c r="J80" s="33">
        <v>0.48779230713518124</v>
      </c>
      <c r="K80" s="528">
        <v>0.42605896884474176</v>
      </c>
    </row>
    <row r="81" spans="1:11" ht="8.65" customHeight="1">
      <c r="A81" s="1" t="s">
        <v>45</v>
      </c>
      <c r="B81" s="11">
        <v>0.53755836526195189</v>
      </c>
      <c r="C81" s="11">
        <v>0.47252337299247399</v>
      </c>
      <c r="D81" s="11">
        <v>0.4728016699183919</v>
      </c>
      <c r="E81" s="11">
        <v>0.55087565804940486</v>
      </c>
      <c r="F81" s="33">
        <v>0.448830658624287</v>
      </c>
      <c r="G81" s="33">
        <v>0.41969717382529703</v>
      </c>
      <c r="H81" s="33">
        <v>0.46756842022100431</v>
      </c>
      <c r="I81" s="33">
        <v>0.46553929913130321</v>
      </c>
      <c r="J81" s="33">
        <v>0.40965854576214772</v>
      </c>
      <c r="K81" s="528">
        <v>0.39451315908944129</v>
      </c>
    </row>
    <row r="82" spans="1:11" ht="9.6" customHeight="1">
      <c r="A82" s="1" t="s">
        <v>362</v>
      </c>
      <c r="B82" s="11">
        <v>1.3341909233921232</v>
      </c>
      <c r="C82" s="11">
        <v>1.4522631644981243</v>
      </c>
      <c r="D82" s="11">
        <v>1.2099903217708388</v>
      </c>
      <c r="E82" s="11">
        <v>1.322024447248459</v>
      </c>
      <c r="F82" s="33">
        <v>1.2645190514529239</v>
      </c>
      <c r="G82" s="33">
        <v>1.1990548907581995</v>
      </c>
      <c r="H82" s="33">
        <v>1.2811941074279065</v>
      </c>
      <c r="I82" s="33">
        <v>1.2524665503267229</v>
      </c>
      <c r="J82" s="33">
        <v>1.456890282182786</v>
      </c>
      <c r="K82" s="528">
        <v>1.4398389748990028</v>
      </c>
    </row>
    <row r="83" spans="1:11" ht="1.9" customHeight="1">
      <c r="A83" s="1"/>
      <c r="F83" s="32"/>
      <c r="G83" s="38"/>
      <c r="H83" s="18"/>
      <c r="I83" s="18"/>
    </row>
    <row r="84" spans="1:11" ht="8.65" customHeight="1">
      <c r="A84" s="1" t="s">
        <v>46</v>
      </c>
      <c r="B84" s="11">
        <v>302.1303660385114</v>
      </c>
      <c r="C84" s="11">
        <v>296.05320828649769</v>
      </c>
      <c r="D84" s="11">
        <v>290.64187458622774</v>
      </c>
      <c r="E84" s="11">
        <v>292.47063157793411</v>
      </c>
      <c r="F84" s="11">
        <v>293.23775920393012</v>
      </c>
      <c r="G84" s="11">
        <v>291.51246893699272</v>
      </c>
      <c r="H84" s="11">
        <v>286.87242029257703</v>
      </c>
      <c r="I84" s="11">
        <v>298.15219333778657</v>
      </c>
      <c r="J84" s="11">
        <v>289.65677793782243</v>
      </c>
      <c r="K84" s="11">
        <v>290.29125359483197</v>
      </c>
    </row>
    <row r="85" spans="1:11" ht="8.65" customHeight="1">
      <c r="A85" s="1" t="s">
        <v>47</v>
      </c>
      <c r="B85" s="11">
        <v>93.338609475924372</v>
      </c>
      <c r="C85" s="11">
        <v>85.427040311289687</v>
      </c>
      <c r="D85" s="11">
        <v>82.733050788832912</v>
      </c>
      <c r="E85" s="11">
        <v>85.071325601485341</v>
      </c>
      <c r="F85" s="33">
        <v>82.387743570221133</v>
      </c>
      <c r="G85" s="33">
        <v>86.801199024877661</v>
      </c>
      <c r="H85" s="33">
        <v>76.247400560291851</v>
      </c>
      <c r="I85" s="33">
        <v>79.18612667817618</v>
      </c>
      <c r="J85" s="33">
        <v>75.982538537937273</v>
      </c>
      <c r="K85" s="33">
        <v>75.57859642934541</v>
      </c>
    </row>
    <row r="86" spans="1:11" ht="8.65" customHeight="1">
      <c r="A86" s="2" t="s">
        <v>48</v>
      </c>
      <c r="B86" s="12">
        <v>181.9399169552614</v>
      </c>
      <c r="C86" s="12">
        <v>184.18904415548616</v>
      </c>
      <c r="D86" s="12">
        <v>181.25534907465894</v>
      </c>
      <c r="E86" s="12">
        <v>181.26825150381555</v>
      </c>
      <c r="F86" s="12">
        <v>184.3584615661203</v>
      </c>
      <c r="G86" s="12">
        <v>180.04366209499753</v>
      </c>
      <c r="H86" s="12">
        <v>187.16967481000742</v>
      </c>
      <c r="I86" s="12">
        <v>193.98428802481618</v>
      </c>
      <c r="J86" s="12">
        <v>190.88241023272099</v>
      </c>
      <c r="K86" s="12">
        <v>190.70957797138564</v>
      </c>
    </row>
    <row r="87" spans="1:11" ht="8.85" customHeight="1">
      <c r="A87" s="16" t="s">
        <v>49</v>
      </c>
      <c r="B87" s="534">
        <v>26.851839607325619</v>
      </c>
      <c r="C87" s="534">
        <v>26.437123819721851</v>
      </c>
      <c r="D87" s="534">
        <v>26.653474722735904</v>
      </c>
      <c r="E87" s="534">
        <v>26.13105447263322</v>
      </c>
      <c r="F87" s="534">
        <v>26.491554067588698</v>
      </c>
      <c r="G87" s="534">
        <v>24.667607817117528</v>
      </c>
      <c r="H87" s="534">
        <v>23.455344922277749</v>
      </c>
      <c r="I87" s="534">
        <v>24.981778634794196</v>
      </c>
      <c r="J87" s="534">
        <v>22.791829167164163</v>
      </c>
      <c r="K87" s="534">
        <v>24.003079194100938</v>
      </c>
    </row>
    <row r="88" spans="1:11" ht="11.1" customHeight="1">
      <c r="B88"/>
      <c r="C88"/>
      <c r="D88"/>
      <c r="E88"/>
      <c r="F88"/>
      <c r="G88"/>
      <c r="H88"/>
      <c r="I88"/>
      <c r="J88"/>
      <c r="K88" s="19" t="s">
        <v>60</v>
      </c>
    </row>
    <row r="89" spans="1:11" ht="11.25" customHeight="1">
      <c r="A89" s="40"/>
      <c r="B89"/>
      <c r="C89"/>
      <c r="D89"/>
      <c r="E89"/>
      <c r="F89"/>
      <c r="G89"/>
      <c r="H89"/>
      <c r="I89"/>
      <c r="J89"/>
      <c r="K89"/>
    </row>
    <row r="90" spans="1:11" ht="11.25" customHeight="1">
      <c r="A90" s="29"/>
      <c r="B90"/>
      <c r="C90"/>
      <c r="D90" s="18"/>
      <c r="E90" s="18"/>
      <c r="F90"/>
      <c r="G90"/>
      <c r="H90"/>
      <c r="I90"/>
      <c r="J90"/>
      <c r="K90"/>
    </row>
    <row r="91" spans="1:11" ht="11.25" customHeight="1">
      <c r="A91" s="1"/>
      <c r="B91"/>
      <c r="C91"/>
      <c r="D91"/>
      <c r="E91"/>
      <c r="F91"/>
      <c r="G91"/>
      <c r="H91"/>
      <c r="I91"/>
      <c r="J91"/>
      <c r="K91"/>
    </row>
    <row r="92" spans="1:11" ht="11.25" customHeight="1">
      <c r="A92" s="40"/>
      <c r="B92"/>
      <c r="C92"/>
      <c r="D92"/>
      <c r="E92"/>
      <c r="F92"/>
      <c r="G92"/>
      <c r="H92"/>
      <c r="I92"/>
      <c r="J92"/>
      <c r="K92"/>
    </row>
    <row r="93" spans="1:11" ht="11.25" customHeight="1">
      <c r="A93" s="40"/>
      <c r="B93"/>
      <c r="C93"/>
      <c r="D93"/>
      <c r="E93"/>
      <c r="F93"/>
      <c r="G93"/>
      <c r="H93"/>
      <c r="I93"/>
      <c r="J93"/>
      <c r="K93"/>
    </row>
    <row r="94" spans="1:11" ht="11.1" customHeight="1">
      <c r="A94" s="1"/>
      <c r="B94"/>
      <c r="C94"/>
      <c r="D94"/>
      <c r="E94"/>
      <c r="F94"/>
      <c r="G94"/>
      <c r="H94"/>
      <c r="I94"/>
      <c r="J94"/>
      <c r="K94"/>
    </row>
    <row r="95" spans="1:11" ht="11.1" customHeight="1">
      <c r="A95" s="1"/>
      <c r="B95" s="41"/>
      <c r="C95" s="41"/>
      <c r="D95"/>
      <c r="E95"/>
      <c r="F95"/>
      <c r="G95"/>
      <c r="H95"/>
      <c r="I95"/>
      <c r="J95"/>
      <c r="K95"/>
    </row>
    <row r="96" spans="1:11" ht="11.1" customHeight="1">
      <c r="B96" s="39"/>
      <c r="C96" s="39"/>
      <c r="D96" s="39"/>
      <c r="E96" s="39"/>
      <c r="F96" s="39"/>
      <c r="G96" s="39"/>
      <c r="H96" s="39"/>
      <c r="I96"/>
      <c r="J96"/>
      <c r="K96"/>
    </row>
    <row r="97" spans="2:11" ht="15">
      <c r="B97" s="39"/>
      <c r="C97" s="39"/>
      <c r="D97" s="39"/>
      <c r="E97" s="39"/>
      <c r="F97" s="39"/>
      <c r="G97" s="39"/>
      <c r="H97" s="39"/>
      <c r="I97"/>
      <c r="J97"/>
      <c r="K97"/>
    </row>
    <row r="98" spans="2:11">
      <c r="B98" s="39"/>
      <c r="C98" s="39"/>
      <c r="D98" s="39"/>
      <c r="E98" s="39"/>
      <c r="F98" s="39"/>
      <c r="G98" s="39"/>
      <c r="H98" s="39"/>
      <c r="I98" s="39"/>
      <c r="J98" s="39"/>
      <c r="K98" s="39"/>
    </row>
    <row r="99" spans="2:11">
      <c r="B99" s="18"/>
      <c r="C99" s="18"/>
      <c r="D99" s="18"/>
      <c r="E99" s="18"/>
      <c r="F99" s="18"/>
      <c r="G99" s="18"/>
      <c r="H99" s="18"/>
      <c r="I99" s="18"/>
      <c r="J99" s="18"/>
      <c r="K99" s="18"/>
    </row>
    <row r="100" spans="2:11">
      <c r="B100" s="39"/>
      <c r="C100" s="39"/>
      <c r="D100" s="39"/>
      <c r="E100" s="39"/>
      <c r="F100" s="39"/>
    </row>
  </sheetData>
  <pageMargins left="0.66700000000000004" right="0.66700000000000004" top="0.66700000000000004" bottom="0.72" header="0" footer="0"/>
  <pageSetup scale="91" firstPageNumber="22" orientation="portrait" useFirstPageNumber="1"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E98"/>
  <sheetViews>
    <sheetView showGridLines="0" zoomScale="120" zoomScaleNormal="120" workbookViewId="0">
      <selection activeCell="A93" sqref="A93"/>
    </sheetView>
  </sheetViews>
  <sheetFormatPr defaultColWidth="13.42578125" defaultRowHeight="9"/>
  <cols>
    <col min="1" max="1" width="22" style="17" customWidth="1"/>
    <col min="2" max="4" width="20.7109375" style="17" customWidth="1"/>
    <col min="5" max="16384" width="13.42578125" style="17"/>
  </cols>
  <sheetData>
    <row r="1" spans="1:5" ht="10.35" customHeight="1">
      <c r="A1" s="1" t="s">
        <v>468</v>
      </c>
      <c r="B1" s="525"/>
      <c r="C1" s="525"/>
      <c r="D1" s="525"/>
    </row>
    <row r="2" spans="1:5" ht="10.35" customHeight="1">
      <c r="A2" s="5" t="s">
        <v>0</v>
      </c>
      <c r="B2" s="526">
        <v>2016</v>
      </c>
      <c r="C2" s="526">
        <v>2017</v>
      </c>
      <c r="D2" s="526">
        <v>2018</v>
      </c>
    </row>
    <row r="3" spans="1:5" ht="10.35" customHeight="1">
      <c r="A3" s="1"/>
      <c r="B3" s="527"/>
      <c r="C3" s="8" t="s">
        <v>412</v>
      </c>
    </row>
    <row r="4" spans="1:5" ht="3" customHeight="1">
      <c r="A4" s="1"/>
      <c r="B4" s="527"/>
    </row>
    <row r="5" spans="1:5" ht="8.65" customHeight="1">
      <c r="A5" s="1" t="s">
        <v>10</v>
      </c>
      <c r="B5" s="33">
        <v>48.84637504729772</v>
      </c>
      <c r="C5" s="33">
        <v>47.545255252830913</v>
      </c>
      <c r="D5" s="33">
        <v>45.122079074391166</v>
      </c>
      <c r="E5" s="34"/>
    </row>
    <row r="6" spans="1:5" ht="8.65" customHeight="1">
      <c r="A6" s="1" t="s">
        <v>11</v>
      </c>
      <c r="B6" s="33">
        <v>19.152678789015063</v>
      </c>
      <c r="C6" s="33">
        <v>18.059311055693247</v>
      </c>
      <c r="D6" s="33">
        <v>16.913179492304238</v>
      </c>
      <c r="E6" s="34"/>
    </row>
    <row r="7" spans="1:5" ht="8.65" customHeight="1">
      <c r="A7" s="1" t="s">
        <v>12</v>
      </c>
      <c r="B7" s="528">
        <v>4.5620831628999277</v>
      </c>
      <c r="C7" s="528">
        <v>4.4498176082558585</v>
      </c>
      <c r="D7" s="528">
        <v>4.0327087831810458</v>
      </c>
      <c r="E7" s="34"/>
    </row>
    <row r="8" spans="1:5" ht="8.65" customHeight="1">
      <c r="A8" s="1" t="s">
        <v>13</v>
      </c>
      <c r="B8" s="33">
        <v>0.43780789627971456</v>
      </c>
      <c r="C8" s="33">
        <v>0.39197702876666907</v>
      </c>
      <c r="D8" s="33">
        <v>0.54250850584048893</v>
      </c>
      <c r="E8" s="34"/>
    </row>
    <row r="9" spans="1:5" ht="8.65" customHeight="1">
      <c r="A9" s="1" t="s">
        <v>14</v>
      </c>
      <c r="B9" s="33">
        <v>22.658787584911124</v>
      </c>
      <c r="C9" s="33">
        <v>22.238932194613753</v>
      </c>
      <c r="D9" s="33">
        <v>21.975082137389805</v>
      </c>
      <c r="E9" s="34"/>
    </row>
    <row r="10" spans="1:5" ht="8.65" customHeight="1">
      <c r="A10" s="1" t="s">
        <v>15</v>
      </c>
      <c r="B10" s="33">
        <v>1.2000843828493402</v>
      </c>
      <c r="C10" s="33">
        <v>1.3494819411857522</v>
      </c>
      <c r="D10" s="33">
        <v>0.88990316869414587</v>
      </c>
      <c r="E10" s="34"/>
    </row>
    <row r="11" spans="1:5" ht="8.65" customHeight="1">
      <c r="A11" s="1" t="s">
        <v>16</v>
      </c>
      <c r="B11" s="33">
        <v>0.83493323134255371</v>
      </c>
      <c r="C11" s="33">
        <v>1.0557354243156389</v>
      </c>
      <c r="D11" s="33">
        <v>0.76869698698143574</v>
      </c>
      <c r="E11" s="34"/>
    </row>
    <row r="12" spans="1:5" ht="1.9" customHeight="1">
      <c r="A12" s="1"/>
      <c r="B12" s="529"/>
    </row>
    <row r="13" spans="1:5" ht="8.65" customHeight="1">
      <c r="A13" s="1" t="s">
        <v>17</v>
      </c>
      <c r="B13" s="33">
        <v>54.500724111379611</v>
      </c>
      <c r="C13" s="33">
        <v>54.973285766601684</v>
      </c>
      <c r="D13" s="33">
        <v>47.246584625026316</v>
      </c>
    </row>
    <row r="14" spans="1:5" ht="8.65" customHeight="1">
      <c r="A14" s="1" t="s">
        <v>11</v>
      </c>
      <c r="B14" s="37">
        <v>8.087741869963347</v>
      </c>
      <c r="C14" s="37">
        <v>8.2266031589798754</v>
      </c>
      <c r="D14" s="37">
        <v>8.057847362179194</v>
      </c>
    </row>
    <row r="15" spans="1:5" ht="8.65" customHeight="1">
      <c r="A15" s="1" t="s">
        <v>12</v>
      </c>
      <c r="B15" s="33">
        <v>0.12028550575465162</v>
      </c>
      <c r="C15" s="33">
        <v>9.9599005926391024E-2</v>
      </c>
      <c r="D15" s="33">
        <v>0.11724416518097668</v>
      </c>
    </row>
    <row r="16" spans="1:5" ht="8.65" customHeight="1">
      <c r="A16" s="1" t="s">
        <v>14</v>
      </c>
      <c r="B16" s="33">
        <v>3.8189368695529771</v>
      </c>
      <c r="C16" s="33">
        <v>3.4534479832307339</v>
      </c>
      <c r="D16" s="33">
        <v>3.9303956918860208</v>
      </c>
    </row>
    <row r="17" spans="1:4" ht="8.65" customHeight="1">
      <c r="A17" s="1" t="s">
        <v>18</v>
      </c>
      <c r="B17" s="33">
        <v>6.1477349549389722</v>
      </c>
      <c r="C17" s="33">
        <v>5.8556440627009874</v>
      </c>
      <c r="D17" s="536" t="s">
        <v>469</v>
      </c>
    </row>
    <row r="18" spans="1:4" ht="8.65" customHeight="1">
      <c r="A18" s="1" t="s">
        <v>19</v>
      </c>
      <c r="B18" s="33">
        <v>36.326024911169668</v>
      </c>
      <c r="C18" s="33">
        <v>37.337991555763693</v>
      </c>
      <c r="D18" s="33">
        <v>35.141097405780123</v>
      </c>
    </row>
    <row r="19" spans="1:4" ht="1.9" customHeight="1">
      <c r="A19" s="1"/>
      <c r="B19" s="529"/>
      <c r="C19" s="22"/>
      <c r="D19" s="22"/>
    </row>
    <row r="20" spans="1:4" ht="8.65" customHeight="1">
      <c r="A20" s="1" t="s">
        <v>20</v>
      </c>
      <c r="B20" s="33">
        <v>27.430988922150213</v>
      </c>
      <c r="C20" s="33">
        <v>28.591168235434573</v>
      </c>
      <c r="D20" s="33">
        <v>28.217926910564774</v>
      </c>
    </row>
    <row r="21" spans="1:4" ht="1.9" customHeight="1">
      <c r="A21" s="1"/>
      <c r="B21" s="529"/>
      <c r="C21" s="22"/>
      <c r="D21" s="22"/>
    </row>
    <row r="22" spans="1:4" ht="8.65" customHeight="1">
      <c r="A22" s="1" t="s">
        <v>21</v>
      </c>
      <c r="B22" s="33">
        <v>51.38156582154889</v>
      </c>
      <c r="C22" s="33">
        <v>47.349700824531681</v>
      </c>
      <c r="D22" s="33">
        <v>48.447004989634237</v>
      </c>
    </row>
    <row r="23" spans="1:4" ht="8.65" customHeight="1">
      <c r="A23" s="1" t="s">
        <v>11</v>
      </c>
      <c r="B23" s="37">
        <v>9.1756434655557211</v>
      </c>
      <c r="C23" s="37">
        <v>8.0310612588262149</v>
      </c>
      <c r="D23" s="37">
        <v>8.1893338660168542</v>
      </c>
    </row>
    <row r="24" spans="1:4" ht="10.5" customHeight="1">
      <c r="A24" s="1" t="s">
        <v>22</v>
      </c>
      <c r="B24" s="11">
        <v>42.205922355993167</v>
      </c>
      <c r="C24" s="11">
        <v>39.318639565705467</v>
      </c>
      <c r="D24" s="11">
        <v>40.257671123617385</v>
      </c>
    </row>
    <row r="25" spans="1:4" ht="1.9" customHeight="1">
      <c r="A25" s="1"/>
      <c r="B25" s="529"/>
    </row>
    <row r="26" spans="1:4" ht="8.65" customHeight="1">
      <c r="A26" s="1" t="s">
        <v>23</v>
      </c>
      <c r="B26" s="33">
        <v>3.8486275732334869</v>
      </c>
      <c r="C26" s="33">
        <v>3.6050074158683287</v>
      </c>
      <c r="D26" s="33">
        <v>2.9885067340786229</v>
      </c>
    </row>
    <row r="27" spans="1:4" ht="8.65" customHeight="1">
      <c r="A27" s="1" t="s">
        <v>11</v>
      </c>
      <c r="B27" s="37">
        <v>1.9743207976258041</v>
      </c>
      <c r="C27" s="37">
        <v>1.9161653796635101</v>
      </c>
      <c r="D27" s="37">
        <v>1.5570327011534026</v>
      </c>
    </row>
    <row r="28" spans="1:4" ht="8.65" customHeight="1">
      <c r="A28" s="1" t="s">
        <v>14</v>
      </c>
      <c r="B28" s="11">
        <v>1.8743067756076828</v>
      </c>
      <c r="C28" s="11">
        <v>1.6888420362048187</v>
      </c>
      <c r="D28" s="11">
        <v>1.43147403292522</v>
      </c>
    </row>
    <row r="29" spans="1:4" ht="1.9" customHeight="1">
      <c r="A29" s="1"/>
      <c r="B29" s="531"/>
    </row>
    <row r="30" spans="1:4" ht="8.65" customHeight="1">
      <c r="A30" s="1" t="s">
        <v>24</v>
      </c>
      <c r="B30" s="33">
        <v>9.1989051303019185</v>
      </c>
      <c r="C30" s="33">
        <v>9.7793839711794508</v>
      </c>
      <c r="D30" s="33">
        <v>9.368997440074569</v>
      </c>
    </row>
    <row r="31" spans="1:4" ht="8.65" customHeight="1">
      <c r="A31" s="1" t="s">
        <v>11</v>
      </c>
      <c r="B31" s="33">
        <v>4.1512408983704194</v>
      </c>
      <c r="C31" s="33">
        <v>4.2622910812456904</v>
      </c>
      <c r="D31" s="33">
        <v>4.2279078230841005</v>
      </c>
    </row>
    <row r="32" spans="1:4" ht="8.65" customHeight="1">
      <c r="A32" s="1" t="s">
        <v>14</v>
      </c>
      <c r="B32" s="33">
        <v>5.047664231931499</v>
      </c>
      <c r="C32" s="33">
        <v>5.5170928899337603</v>
      </c>
      <c r="D32" s="33">
        <v>5.1410896169904685</v>
      </c>
    </row>
    <row r="33" spans="1:4" ht="1.9" customHeight="1">
      <c r="A33" s="1"/>
      <c r="B33" s="529"/>
    </row>
    <row r="34" spans="1:4" ht="10.5" customHeight="1">
      <c r="A34" s="1" t="s">
        <v>25</v>
      </c>
      <c r="B34" s="33">
        <v>11.592793444933058</v>
      </c>
      <c r="C34" s="33">
        <v>12.686556114347567</v>
      </c>
      <c r="D34" s="33">
        <v>12.204971621682342</v>
      </c>
    </row>
    <row r="35" spans="1:4" ht="8.65" customHeight="1">
      <c r="A35" s="1" t="s">
        <v>11</v>
      </c>
      <c r="B35" s="33">
        <v>8.7670558533557568</v>
      </c>
      <c r="C35" s="33">
        <v>9.6133527790052629</v>
      </c>
      <c r="D35" s="33">
        <v>9.9774172832314818</v>
      </c>
    </row>
    <row r="36" spans="1:4" ht="8.65" customHeight="1">
      <c r="A36" s="1" t="s">
        <v>14</v>
      </c>
      <c r="B36" s="33">
        <v>2.8257375915773015</v>
      </c>
      <c r="C36" s="33">
        <v>3.0732033353423049</v>
      </c>
      <c r="D36" s="33">
        <v>2.2275543384508598</v>
      </c>
    </row>
    <row r="37" spans="1:4" ht="1.9" customHeight="1">
      <c r="A37" s="1"/>
      <c r="B37" s="529"/>
    </row>
    <row r="38" spans="1:4" ht="10.5" customHeight="1">
      <c r="A38" s="1" t="s">
        <v>467</v>
      </c>
      <c r="B38" s="33">
        <v>5.8097528286676408</v>
      </c>
      <c r="C38" s="33">
        <v>5.3473337319659073</v>
      </c>
      <c r="D38" s="33">
        <v>4.567032136424328</v>
      </c>
    </row>
    <row r="39" spans="1:4" ht="8.65" customHeight="1">
      <c r="A39" s="1" t="s">
        <v>11</v>
      </c>
      <c r="B39" s="33">
        <v>2.7323952454271843</v>
      </c>
      <c r="C39" s="33">
        <v>2.6623814333124223</v>
      </c>
      <c r="D39" s="33">
        <v>2.1985592749776082</v>
      </c>
    </row>
    <row r="40" spans="1:4" ht="8.65" customHeight="1">
      <c r="A40" s="1" t="s">
        <v>12</v>
      </c>
      <c r="B40" s="33">
        <v>2.4860212170444509</v>
      </c>
      <c r="C40" s="33">
        <v>2.2808132720560872</v>
      </c>
      <c r="D40" s="33">
        <v>1.8554547565710122</v>
      </c>
    </row>
    <row r="41" spans="1:4" ht="8.65" customHeight="1">
      <c r="A41" s="1" t="s">
        <v>13</v>
      </c>
      <c r="B41" s="33">
        <v>0.59133636619600483</v>
      </c>
      <c r="C41" s="33">
        <v>0.40413902659739831</v>
      </c>
      <c r="D41" s="33">
        <v>0.51301810487570776</v>
      </c>
    </row>
    <row r="42" spans="1:4" ht="1.9" customHeight="1">
      <c r="A42" s="1"/>
      <c r="B42" s="527"/>
    </row>
    <row r="43" spans="1:4" ht="10.5" customHeight="1">
      <c r="A43" s="1" t="s">
        <v>26</v>
      </c>
      <c r="B43" s="33">
        <v>4.3474242422083389</v>
      </c>
      <c r="C43" s="33">
        <v>4.3560661534852443</v>
      </c>
      <c r="D43" s="33">
        <v>4.5653559895166254</v>
      </c>
    </row>
    <row r="44" spans="1:4" ht="8.65" customHeight="1">
      <c r="A44" s="1" t="s">
        <v>11</v>
      </c>
      <c r="B44" s="33">
        <v>2.7599957528516459</v>
      </c>
      <c r="C44" s="33">
        <v>2.6930341792565669</v>
      </c>
      <c r="D44" s="33">
        <v>2.9222762651696472</v>
      </c>
    </row>
    <row r="45" spans="1:4" ht="8.65" customHeight="1">
      <c r="A45" s="1" t="s">
        <v>12</v>
      </c>
      <c r="B45" s="33">
        <v>1.5874284893566926</v>
      </c>
      <c r="C45" s="33">
        <v>1.663031974228677</v>
      </c>
      <c r="D45" s="33">
        <v>1.6430797243469779</v>
      </c>
    </row>
    <row r="46" spans="1:4" ht="1.9" customHeight="1">
      <c r="A46" s="1"/>
      <c r="B46" s="527"/>
    </row>
    <row r="47" spans="1:4" ht="8.65" customHeight="1">
      <c r="A47" s="1" t="s">
        <v>27</v>
      </c>
      <c r="B47" s="33">
        <v>2.1307385244889083</v>
      </c>
      <c r="C47" s="33">
        <v>2.3354514346655662</v>
      </c>
      <c r="D47" s="33">
        <v>2.0923714840281264</v>
      </c>
    </row>
    <row r="48" spans="1:4" ht="8.65" customHeight="1">
      <c r="A48" s="1" t="s">
        <v>11</v>
      </c>
      <c r="B48" s="33">
        <v>1.1689667770936876</v>
      </c>
      <c r="C48" s="33">
        <v>1.4693007264656694</v>
      </c>
      <c r="D48" s="33">
        <v>1.2848681030256117</v>
      </c>
    </row>
    <row r="49" spans="1:4" ht="8.65" customHeight="1">
      <c r="A49" s="1" t="s">
        <v>12</v>
      </c>
      <c r="B49" s="33">
        <v>7.3071118179486846E-2</v>
      </c>
      <c r="C49" s="33">
        <v>4.0189666974126688E-2</v>
      </c>
      <c r="D49" s="33">
        <v>7.946562438533171E-2</v>
      </c>
    </row>
    <row r="50" spans="1:4" ht="8.65" customHeight="1">
      <c r="A50" s="1" t="s">
        <v>13</v>
      </c>
      <c r="B50" s="33">
        <v>0.88870062921573401</v>
      </c>
      <c r="C50" s="33">
        <v>0.82596104122577008</v>
      </c>
      <c r="D50" s="33">
        <v>0.72803775661718295</v>
      </c>
    </row>
    <row r="51" spans="1:4" ht="1.9" customHeight="1">
      <c r="A51" s="1"/>
      <c r="B51" s="527"/>
    </row>
    <row r="52" spans="1:4" ht="8.65" customHeight="1">
      <c r="A52" s="1" t="s">
        <v>28</v>
      </c>
      <c r="B52" s="33">
        <v>9.1651756127551458</v>
      </c>
      <c r="C52" s="33">
        <v>8.5583707256599961</v>
      </c>
      <c r="D52" s="33">
        <v>8.9401694767776885</v>
      </c>
    </row>
    <row r="53" spans="1:4" ht="8.65" customHeight="1">
      <c r="A53" s="1" t="s">
        <v>11</v>
      </c>
      <c r="B53" s="33">
        <v>7.3924112309613568</v>
      </c>
      <c r="C53" s="33">
        <v>6.8043692045783581</v>
      </c>
      <c r="D53" s="33">
        <v>7.1416423212894502</v>
      </c>
    </row>
    <row r="54" spans="1:4" ht="8.65" customHeight="1">
      <c r="A54" s="1" t="s">
        <v>13</v>
      </c>
      <c r="B54" s="33">
        <v>1.7727643817937893</v>
      </c>
      <c r="C54" s="33">
        <v>1.7540015210816373</v>
      </c>
      <c r="D54" s="33">
        <v>1.7985271554882383</v>
      </c>
    </row>
    <row r="55" spans="1:4" ht="1.9" customHeight="1">
      <c r="A55" s="1"/>
      <c r="B55" s="527"/>
    </row>
    <row r="56" spans="1:4" ht="8.65" customHeight="1">
      <c r="A56" s="1" t="s">
        <v>29</v>
      </c>
      <c r="B56" s="33">
        <v>14.103943489510266</v>
      </c>
      <c r="C56" s="33">
        <v>14.392025197057995</v>
      </c>
      <c r="D56" s="33">
        <v>13.14336365468132</v>
      </c>
    </row>
    <row r="57" spans="1:4" ht="8.65" customHeight="1">
      <c r="A57" s="1" t="s">
        <v>11</v>
      </c>
      <c r="B57" s="33">
        <v>7.2764779374245698</v>
      </c>
      <c r="C57" s="33">
        <v>7.7514109356711254</v>
      </c>
      <c r="D57" s="33">
        <v>7.7994532483422496</v>
      </c>
    </row>
    <row r="58" spans="1:4" ht="8.65" customHeight="1">
      <c r="A58" s="1" t="s">
        <v>12</v>
      </c>
      <c r="B58" s="33">
        <v>3.7111456674784384</v>
      </c>
      <c r="C58" s="33">
        <v>3.6239944851689478</v>
      </c>
      <c r="D58" s="33">
        <v>3.4234829165744327</v>
      </c>
    </row>
    <row r="59" spans="1:4" ht="8.65" customHeight="1">
      <c r="A59" s="1" t="s">
        <v>14</v>
      </c>
      <c r="B59" s="33">
        <v>3.1163198846072571</v>
      </c>
      <c r="C59" s="33">
        <v>3.0166197762179228</v>
      </c>
      <c r="D59" s="33">
        <v>1.9204274897646383</v>
      </c>
    </row>
    <row r="60" spans="1:4" ht="1.9" customHeight="1">
      <c r="A60" s="1"/>
      <c r="B60" s="527"/>
    </row>
    <row r="61" spans="1:4" ht="8.65" customHeight="1">
      <c r="A61" s="1" t="s">
        <v>30</v>
      </c>
      <c r="B61" s="33">
        <v>1.0253877714856172</v>
      </c>
      <c r="C61" s="33">
        <v>1.1666833596410331</v>
      </c>
      <c r="D61" s="33">
        <v>0.79901334381927569</v>
      </c>
    </row>
    <row r="62" spans="1:4" ht="8.65" customHeight="1">
      <c r="A62" s="1" t="s">
        <v>31</v>
      </c>
      <c r="B62" s="33">
        <v>6.8637813780924208</v>
      </c>
      <c r="C62" s="33">
        <v>8.008363214747078</v>
      </c>
      <c r="D62" s="33">
        <v>8.0348522135854079</v>
      </c>
    </row>
    <row r="63" spans="1:4" ht="1.9" customHeight="1">
      <c r="A63" s="1"/>
      <c r="B63" s="527"/>
    </row>
    <row r="64" spans="1:4" ht="8.85" customHeight="1">
      <c r="A64" s="1" t="s">
        <v>32</v>
      </c>
      <c r="B64" s="33">
        <v>15.270275851753752</v>
      </c>
      <c r="C64" s="33">
        <v>15.052529665403686</v>
      </c>
      <c r="D64" s="33">
        <v>15.119679672333046</v>
      </c>
    </row>
    <row r="65" spans="1:4" ht="9.75" customHeight="1">
      <c r="A65" s="1" t="s">
        <v>33</v>
      </c>
      <c r="B65" s="33">
        <v>8.4415278935986624</v>
      </c>
      <c r="C65" s="33">
        <v>8.6581616974265163</v>
      </c>
      <c r="D65" s="33">
        <v>8.6203305161934303</v>
      </c>
    </row>
    <row r="66" spans="1:4" ht="9.75" customHeight="1">
      <c r="A66" s="1" t="s">
        <v>34</v>
      </c>
      <c r="B66" s="33">
        <v>9.5894301904461479E-2</v>
      </c>
      <c r="C66" s="33">
        <v>6.268483909704918E-2</v>
      </c>
      <c r="D66" s="33">
        <v>4.5348827271200987E-2</v>
      </c>
    </row>
    <row r="67" spans="1:4" ht="9.75" customHeight="1">
      <c r="A67" s="1" t="s">
        <v>35</v>
      </c>
      <c r="B67" s="33">
        <v>1.3088274792279746</v>
      </c>
      <c r="C67" s="33">
        <v>1.3666301382857966</v>
      </c>
      <c r="D67" s="33">
        <v>1.3289868275756545</v>
      </c>
    </row>
    <row r="68" spans="1:4" ht="9.75" customHeight="1">
      <c r="A68" s="1" t="s">
        <v>36</v>
      </c>
      <c r="B68" s="33">
        <v>3.108312303541418</v>
      </c>
      <c r="C68" s="33">
        <v>2.7405584069995528</v>
      </c>
      <c r="D68" s="33">
        <v>3.0110151606499933</v>
      </c>
    </row>
    <row r="69" spans="1:4" ht="9.75" customHeight="1">
      <c r="A69" s="1" t="s">
        <v>37</v>
      </c>
      <c r="B69" s="33">
        <v>2.3157138734812364</v>
      </c>
      <c r="C69" s="33">
        <v>2.2244945835947734</v>
      </c>
      <c r="D69" s="33">
        <v>2.1139983406427652</v>
      </c>
    </row>
    <row r="70" spans="1:4" ht="1.9" customHeight="1">
      <c r="A70" s="1"/>
      <c r="B70" s="32"/>
    </row>
    <row r="71" spans="1:4" ht="9" customHeight="1">
      <c r="A71" s="1" t="s">
        <v>360</v>
      </c>
      <c r="B71" s="33">
        <v>265.51645974980698</v>
      </c>
      <c r="C71" s="33">
        <v>263.74718106342073</v>
      </c>
      <c r="D71" s="33">
        <v>250.85790936661783</v>
      </c>
    </row>
    <row r="72" spans="1:4" ht="8.65" customHeight="1">
      <c r="A72" s="1" t="s">
        <v>38</v>
      </c>
      <c r="B72" s="33">
        <v>115.37522681148586</v>
      </c>
      <c r="C72" s="33">
        <v>116.74697434030614</v>
      </c>
      <c r="D72" s="33">
        <v>115.14262738111746</v>
      </c>
    </row>
    <row r="73" spans="1:4" ht="8.65" customHeight="1">
      <c r="A73" s="1" t="s">
        <v>39</v>
      </c>
      <c r="B73" s="33">
        <v>13.661317234103727</v>
      </c>
      <c r="C73" s="33">
        <v>13.38681421134817</v>
      </c>
      <c r="D73" s="33">
        <v>11.995798141330255</v>
      </c>
    </row>
    <row r="74" spans="1:4" ht="8.65" customHeight="1">
      <c r="A74" s="1" t="s">
        <v>40</v>
      </c>
      <c r="B74" s="33">
        <v>4.9994367527132173</v>
      </c>
      <c r="C74" s="33">
        <v>4.7427087559572714</v>
      </c>
      <c r="D74" s="33">
        <v>4.9110783503972728</v>
      </c>
    </row>
    <row r="75" spans="1:4" ht="8.65" customHeight="1">
      <c r="A75" s="1" t="s">
        <v>41</v>
      </c>
      <c r="B75" s="33">
        <v>84.655987597722444</v>
      </c>
      <c r="C75" s="33">
        <v>81.047336188248309</v>
      </c>
      <c r="D75" s="33">
        <v>79.894709591674385</v>
      </c>
    </row>
    <row r="76" spans="1:4" ht="8.65" customHeight="1">
      <c r="A76" s="1" t="s">
        <v>42</v>
      </c>
      <c r="B76" s="33">
        <v>9.6635332112695487</v>
      </c>
      <c r="C76" s="33">
        <v>9.4296205874815122</v>
      </c>
      <c r="D76" s="33">
        <v>3.0039015093369112</v>
      </c>
    </row>
    <row r="77" spans="1:4" ht="1.9" customHeight="1">
      <c r="A77" s="1"/>
      <c r="B77" s="527"/>
    </row>
    <row r="78" spans="1:4" ht="9.6" customHeight="1">
      <c r="A78" s="1" t="s">
        <v>361</v>
      </c>
      <c r="B78" s="33">
        <v>4.7661590095700319</v>
      </c>
      <c r="C78" s="33">
        <v>5.0066540602012095</v>
      </c>
      <c r="D78" s="33">
        <v>5.1069776239528037</v>
      </c>
    </row>
    <row r="79" spans="1:4" ht="8.65" customHeight="1">
      <c r="A79" s="1" t="s">
        <v>43</v>
      </c>
      <c r="B79" s="33">
        <v>2.0666226402672558</v>
      </c>
      <c r="C79" s="33">
        <v>2.279449070440287</v>
      </c>
      <c r="D79" s="33">
        <v>2.2570450066571932</v>
      </c>
    </row>
    <row r="80" spans="1:4" ht="8.65" customHeight="1">
      <c r="A80" s="1" t="s">
        <v>44</v>
      </c>
      <c r="B80" s="528">
        <v>0.44125307458307705</v>
      </c>
      <c r="C80" s="528">
        <v>0.47263370903105989</v>
      </c>
      <c r="D80" s="528">
        <v>0.53176077388380416</v>
      </c>
    </row>
    <row r="81" spans="1:4" ht="8.65" customHeight="1">
      <c r="A81" s="1" t="s">
        <v>45</v>
      </c>
      <c r="B81" s="528">
        <v>0.56604217496399956</v>
      </c>
      <c r="C81" s="528">
        <v>0.49948962153321375</v>
      </c>
      <c r="D81" s="528">
        <v>0.53953859854119079</v>
      </c>
    </row>
    <row r="82" spans="1:4" ht="9.6" customHeight="1">
      <c r="A82" s="1" t="s">
        <v>362</v>
      </c>
      <c r="B82" s="528">
        <v>1.692241119755699</v>
      </c>
      <c r="C82" s="528">
        <v>1.7550816591966489</v>
      </c>
      <c r="D82" s="528">
        <v>1.7786332448706161</v>
      </c>
    </row>
    <row r="83" spans="1:4" ht="1.9" customHeight="1">
      <c r="A83" s="1"/>
      <c r="B83" s="527"/>
    </row>
    <row r="84" spans="1:4" ht="8.65" customHeight="1">
      <c r="A84" s="1" t="s">
        <v>46</v>
      </c>
      <c r="B84" s="33">
        <v>296.76837970344297</v>
      </c>
      <c r="C84" s="33">
        <v>294.38659252364243</v>
      </c>
      <c r="D84" s="33">
        <v>281.1591476352412</v>
      </c>
    </row>
    <row r="85" spans="1:4" ht="8.65" customHeight="1">
      <c r="A85" s="1" t="s">
        <v>47</v>
      </c>
      <c r="B85" s="33">
        <v>76.02189197001735</v>
      </c>
      <c r="C85" s="33">
        <v>73.420648325927033</v>
      </c>
      <c r="D85" s="33">
        <v>73.009480785469776</v>
      </c>
    </row>
    <row r="86" spans="1:4" ht="8.65" customHeight="1">
      <c r="A86" s="2" t="s">
        <v>48</v>
      </c>
      <c r="B86" s="533">
        <v>194.26072678935964</v>
      </c>
      <c r="C86" s="533">
        <v>195.33318679769491</v>
      </c>
      <c r="D86" s="533">
        <v>182.95540620510087</v>
      </c>
    </row>
    <row r="87" spans="1:4" ht="8.85" customHeight="1">
      <c r="A87" s="16" t="s">
        <v>49</v>
      </c>
      <c r="B87" s="535">
        <v>26.485760944065998</v>
      </c>
      <c r="C87" s="535">
        <v>25.632757400020505</v>
      </c>
      <c r="D87" s="535">
        <v>25.194260644670557</v>
      </c>
    </row>
    <row r="88" spans="1:4" ht="11.1" customHeight="1">
      <c r="A88" s="17" t="s">
        <v>470</v>
      </c>
    </row>
    <row r="89" spans="1:4" ht="11.25" customHeight="1">
      <c r="A89" s="40" t="s">
        <v>471</v>
      </c>
    </row>
    <row r="90" spans="1:4" ht="11.25" customHeight="1">
      <c r="A90" s="29" t="s">
        <v>474</v>
      </c>
    </row>
    <row r="91" spans="1:4" ht="11.25" customHeight="1">
      <c r="A91" s="1" t="s">
        <v>68</v>
      </c>
    </row>
    <row r="92" spans="1:4" ht="11.25" customHeight="1">
      <c r="A92" s="40" t="s">
        <v>475</v>
      </c>
    </row>
    <row r="93" spans="1:4" ht="11.25" customHeight="1">
      <c r="A93" s="40" t="s">
        <v>69</v>
      </c>
    </row>
    <row r="94" spans="1:4" ht="11.1" customHeight="1">
      <c r="A94" s="1" t="s">
        <v>70</v>
      </c>
    </row>
    <row r="95" spans="1:4" ht="11.1" customHeight="1">
      <c r="A95" s="1" t="s">
        <v>71</v>
      </c>
    </row>
    <row r="96" spans="1:4" ht="11.1" customHeight="1">
      <c r="A96" s="17" t="s">
        <v>72</v>
      </c>
    </row>
    <row r="98" spans="2:4">
      <c r="B98" s="39"/>
      <c r="C98" s="39"/>
      <c r="D98" s="39"/>
    </row>
  </sheetData>
  <pageMargins left="0.66700000000000004" right="0.66700000000000004" top="0.66700000000000004" bottom="0.72" header="0" footer="0"/>
  <pageSetup scale="83" firstPageNumber="22" orientation="portrait" useFirstPageNumber="1"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75"/>
  <sheetViews>
    <sheetView showGridLines="0" zoomScaleNormal="100" workbookViewId="0">
      <pane xSplit="1" ySplit="6" topLeftCell="B32" activePane="bottomRight" state="frozen"/>
      <selection pane="topRight" activeCell="B1" sqref="B1"/>
      <selection pane="bottomLeft" activeCell="A7" sqref="A7"/>
      <selection pane="bottomRight" activeCell="N39" sqref="N39"/>
    </sheetView>
  </sheetViews>
  <sheetFormatPr defaultColWidth="9.140625" defaultRowHeight="12"/>
  <cols>
    <col min="1" max="1" width="13.42578125" style="44" customWidth="1"/>
    <col min="2" max="6" width="17.5703125" style="44" customWidth="1"/>
    <col min="7" max="7" width="9.85546875" style="44" bestFit="1" customWidth="1"/>
    <col min="8" max="10" width="9.140625" style="44"/>
    <col min="11" max="11" width="13.5703125" style="44" bestFit="1" customWidth="1"/>
    <col min="12" max="16384" width="9.140625" style="44"/>
  </cols>
  <sheetData>
    <row r="1" spans="1:7" ht="12" customHeight="1">
      <c r="A1" s="42" t="s">
        <v>73</v>
      </c>
      <c r="B1" s="43"/>
      <c r="C1" s="43"/>
      <c r="D1" s="43"/>
      <c r="E1" s="43"/>
      <c r="F1" s="43"/>
    </row>
    <row r="2" spans="1:7" ht="6.95" customHeight="1">
      <c r="A2" s="45"/>
      <c r="B2" s="46"/>
      <c r="C2" s="46"/>
      <c r="D2" s="46"/>
      <c r="E2" s="46"/>
      <c r="F2" s="46"/>
    </row>
    <row r="3" spans="1:7" ht="10.15" customHeight="1">
      <c r="C3" s="47" t="s">
        <v>74</v>
      </c>
      <c r="D3" s="47" t="s">
        <v>75</v>
      </c>
    </row>
    <row r="4" spans="1:7">
      <c r="A4" s="48" t="s">
        <v>76</v>
      </c>
      <c r="B4" s="49" t="s">
        <v>77</v>
      </c>
      <c r="C4" s="49" t="s">
        <v>78</v>
      </c>
      <c r="D4" s="49" t="s">
        <v>79</v>
      </c>
      <c r="E4" s="49" t="s">
        <v>80</v>
      </c>
      <c r="F4" s="49" t="s">
        <v>81</v>
      </c>
      <c r="G4" s="50"/>
    </row>
    <row r="5" spans="1:7" ht="5.0999999999999996" customHeight="1">
      <c r="A5" s="51"/>
      <c r="B5" s="52"/>
      <c r="C5" s="52"/>
      <c r="D5" s="52"/>
      <c r="E5" s="52"/>
      <c r="F5" s="52"/>
      <c r="G5" s="50"/>
    </row>
    <row r="6" spans="1:7" ht="10.15" customHeight="1">
      <c r="A6" s="53"/>
      <c r="B6" s="54" t="s">
        <v>82</v>
      </c>
      <c r="C6" s="55"/>
      <c r="D6" s="56"/>
      <c r="E6" s="55"/>
      <c r="F6" s="55"/>
    </row>
    <row r="7" spans="1:7" ht="4.9000000000000004" customHeight="1">
      <c r="A7" s="53"/>
      <c r="B7" s="53"/>
      <c r="C7" s="53"/>
      <c r="D7" s="53"/>
      <c r="E7" s="53"/>
      <c r="F7" s="53"/>
    </row>
    <row r="8" spans="1:7" ht="10.15" customHeight="1">
      <c r="A8" s="57">
        <v>1980</v>
      </c>
      <c r="B8" s="58">
        <v>1143.0999999999999</v>
      </c>
      <c r="C8" s="58">
        <v>1629.7</v>
      </c>
      <c r="D8" s="58">
        <v>284.3</v>
      </c>
      <c r="E8" s="58">
        <v>563.1</v>
      </c>
      <c r="F8" s="58">
        <v>3620.2</v>
      </c>
    </row>
    <row r="9" spans="1:7" ht="10.15" customHeight="1">
      <c r="A9" s="57">
        <v>1981</v>
      </c>
      <c r="B9" s="58">
        <v>1129.9000000000001</v>
      </c>
      <c r="C9" s="58">
        <v>1612.1</v>
      </c>
      <c r="D9" s="58">
        <v>292</v>
      </c>
      <c r="E9" s="58">
        <v>559.29999999999995</v>
      </c>
      <c r="F9" s="58">
        <v>3593.3</v>
      </c>
    </row>
    <row r="10" spans="1:7" ht="10.15" customHeight="1">
      <c r="A10" s="57">
        <v>1982</v>
      </c>
      <c r="B10" s="58">
        <v>1124.3</v>
      </c>
      <c r="C10" s="58">
        <v>1640.3</v>
      </c>
      <c r="D10" s="58">
        <v>241</v>
      </c>
      <c r="E10" s="58">
        <v>579.1</v>
      </c>
      <c r="F10" s="58">
        <v>3584.7</v>
      </c>
    </row>
    <row r="11" spans="1:7" ht="10.15" customHeight="1">
      <c r="A11" s="57">
        <v>1983</v>
      </c>
      <c r="B11" s="58">
        <v>1091.5999999999999</v>
      </c>
      <c r="C11" s="58">
        <v>1674.4</v>
      </c>
      <c r="D11" s="58">
        <v>250.3</v>
      </c>
      <c r="E11" s="58">
        <v>599</v>
      </c>
      <c r="F11" s="58">
        <v>3615.3</v>
      </c>
    </row>
    <row r="12" spans="1:7" ht="10.15" customHeight="1">
      <c r="A12" s="57">
        <v>1984</v>
      </c>
      <c r="B12" s="58">
        <v>1007.9</v>
      </c>
      <c r="C12" s="58">
        <v>1703.8</v>
      </c>
      <c r="D12" s="58">
        <v>253</v>
      </c>
      <c r="E12" s="58">
        <v>623.79999999999995</v>
      </c>
      <c r="F12" s="58">
        <v>3588.5</v>
      </c>
    </row>
    <row r="13" spans="1:7" ht="10.15" customHeight="1">
      <c r="A13" s="57">
        <v>1985</v>
      </c>
      <c r="B13" s="58">
        <v>899.3</v>
      </c>
      <c r="C13" s="58">
        <v>1725</v>
      </c>
      <c r="D13" s="58">
        <v>256.39999999999998</v>
      </c>
      <c r="E13" s="58">
        <v>657.1</v>
      </c>
      <c r="F13" s="58">
        <v>3537.8</v>
      </c>
    </row>
    <row r="14" spans="1:7" ht="3" customHeight="1">
      <c r="A14" s="57"/>
      <c r="B14" s="58"/>
      <c r="C14" s="58"/>
      <c r="D14" s="58"/>
      <c r="E14" s="58"/>
      <c r="F14" s="58"/>
    </row>
    <row r="15" spans="1:7" ht="10.15" customHeight="1">
      <c r="A15" s="57">
        <v>1986</v>
      </c>
      <c r="B15" s="58">
        <v>818.9</v>
      </c>
      <c r="C15" s="58">
        <v>1727.7</v>
      </c>
      <c r="D15" s="58">
        <v>260.2</v>
      </c>
      <c r="E15" s="58">
        <v>669.5</v>
      </c>
      <c r="F15" s="58">
        <v>3476.3</v>
      </c>
    </row>
    <row r="16" spans="1:7" ht="10.15" customHeight="1">
      <c r="A16" s="57">
        <v>1987</v>
      </c>
      <c r="B16" s="58">
        <v>826.2</v>
      </c>
      <c r="C16" s="58">
        <v>1739.1</v>
      </c>
      <c r="D16" s="58">
        <v>263.2</v>
      </c>
      <c r="E16" s="58">
        <v>675.4</v>
      </c>
      <c r="F16" s="58">
        <v>3503.9</v>
      </c>
    </row>
    <row r="17" spans="1:7" ht="10.15" customHeight="1">
      <c r="A17" s="57">
        <v>1988</v>
      </c>
      <c r="B17" s="58">
        <v>832.9</v>
      </c>
      <c r="C17" s="58">
        <v>1730.4</v>
      </c>
      <c r="D17" s="58">
        <v>264.60000000000002</v>
      </c>
      <c r="E17" s="58">
        <v>686.3</v>
      </c>
      <c r="F17" s="58">
        <v>3514.2</v>
      </c>
    </row>
    <row r="18" spans="1:7" ht="10.15" customHeight="1">
      <c r="A18" s="57">
        <v>1989</v>
      </c>
      <c r="B18" s="58">
        <v>847.5</v>
      </c>
      <c r="C18" s="58">
        <v>1714.1</v>
      </c>
      <c r="D18" s="58">
        <v>258.7</v>
      </c>
      <c r="E18" s="58">
        <v>686.6</v>
      </c>
      <c r="F18" s="58">
        <v>3506.9</v>
      </c>
    </row>
    <row r="19" spans="1:7" ht="10.15" customHeight="1">
      <c r="A19" s="57">
        <v>1990</v>
      </c>
      <c r="B19" s="58">
        <v>851.8</v>
      </c>
      <c r="C19" s="58">
        <v>1709.5</v>
      </c>
      <c r="D19" s="58">
        <v>252</v>
      </c>
      <c r="E19" s="58">
        <v>691.4</v>
      </c>
      <c r="F19" s="58">
        <v>3504.7</v>
      </c>
    </row>
    <row r="20" spans="1:7" ht="10.15" customHeight="1">
      <c r="A20" s="57">
        <v>1991</v>
      </c>
      <c r="B20" s="59">
        <v>849.9</v>
      </c>
      <c r="C20" s="58">
        <v>1701.8</v>
      </c>
      <c r="D20" s="58">
        <v>247.3</v>
      </c>
      <c r="E20" s="58">
        <v>687.4</v>
      </c>
      <c r="F20" s="58">
        <v>3486.4</v>
      </c>
    </row>
    <row r="21" spans="1:7" ht="3" customHeight="1">
      <c r="A21" s="57"/>
      <c r="B21" s="59"/>
      <c r="C21" s="58"/>
      <c r="D21" s="58"/>
      <c r="E21" s="58"/>
      <c r="F21" s="58"/>
    </row>
    <row r="22" spans="1:7" ht="10.15" customHeight="1">
      <c r="A22" s="57">
        <v>1992</v>
      </c>
      <c r="B22" s="59">
        <v>886.1</v>
      </c>
      <c r="C22" s="58">
        <v>1721.2</v>
      </c>
      <c r="D22" s="58">
        <f>81.5+0.9+51.7+29.2+5.3+14.4+0.8+7.3+30.1+2.4+26.2+49.5</f>
        <v>299.30000000000007</v>
      </c>
      <c r="E22" s="58">
        <f>401+27+17.5+56.5+178</f>
        <v>680</v>
      </c>
      <c r="F22" s="58">
        <v>3586.6</v>
      </c>
      <c r="G22" s="60"/>
    </row>
    <row r="23" spans="1:7" ht="10.15" customHeight="1">
      <c r="A23" s="57">
        <v>1993</v>
      </c>
      <c r="B23" s="58">
        <v>946.7</v>
      </c>
      <c r="C23" s="58">
        <v>1738.2</v>
      </c>
      <c r="D23" s="58">
        <v>290.89999999999998</v>
      </c>
      <c r="E23" s="58">
        <v>700.5</v>
      </c>
      <c r="F23" s="58">
        <v>3676.3</v>
      </c>
      <c r="G23" s="60"/>
    </row>
    <row r="24" spans="1:7" ht="10.15" customHeight="1">
      <c r="A24" s="57">
        <v>1994</v>
      </c>
      <c r="B24" s="58">
        <v>977.8</v>
      </c>
      <c r="C24" s="58">
        <v>1756.6</v>
      </c>
      <c r="D24" s="58">
        <v>288.10000000000002</v>
      </c>
      <c r="E24" s="58">
        <v>725.6</v>
      </c>
      <c r="F24" s="58">
        <v>3748.1</v>
      </c>
      <c r="G24" s="60"/>
    </row>
    <row r="25" spans="1:7" ht="10.15" customHeight="1">
      <c r="A25" s="57">
        <v>1995</v>
      </c>
      <c r="B25" s="59">
        <v>1054</v>
      </c>
      <c r="C25" s="58">
        <v>1762.8</v>
      </c>
      <c r="D25" s="59">
        <v>289.10000000000002</v>
      </c>
      <c r="E25" s="59">
        <v>718.6</v>
      </c>
      <c r="F25" s="61">
        <v>3824.5</v>
      </c>
      <c r="G25" s="60"/>
    </row>
    <row r="26" spans="1:7" ht="10.15" customHeight="1">
      <c r="A26" s="51">
        <v>1996</v>
      </c>
      <c r="B26" s="61">
        <v>1104.5</v>
      </c>
      <c r="C26" s="58">
        <v>1796.1</v>
      </c>
      <c r="D26" s="61">
        <v>287.8</v>
      </c>
      <c r="E26" s="61">
        <v>732.1</v>
      </c>
      <c r="F26" s="61">
        <v>3920.5</v>
      </c>
      <c r="G26" s="60"/>
    </row>
    <row r="27" spans="1:7" ht="10.15" customHeight="1">
      <c r="A27" s="51">
        <v>1997</v>
      </c>
      <c r="B27" s="61">
        <v>1152.5</v>
      </c>
      <c r="C27" s="61">
        <v>1810.94</v>
      </c>
      <c r="D27" s="61">
        <v>292.2</v>
      </c>
      <c r="E27" s="61">
        <v>748.6</v>
      </c>
      <c r="F27" s="61">
        <v>4004.24</v>
      </c>
      <c r="G27" s="60"/>
    </row>
    <row r="28" spans="1:7" ht="3" customHeight="1">
      <c r="A28" s="51"/>
      <c r="B28" s="61"/>
      <c r="C28" s="61"/>
      <c r="D28" s="61"/>
      <c r="E28" s="61"/>
      <c r="F28" s="61"/>
      <c r="G28" s="60"/>
    </row>
    <row r="29" spans="1:7" ht="10.15" customHeight="1">
      <c r="A29" s="51">
        <v>1998</v>
      </c>
      <c r="B29" s="61">
        <v>1125.5</v>
      </c>
      <c r="C29" s="61">
        <v>1833.32</v>
      </c>
      <c r="D29" s="61">
        <v>295.8</v>
      </c>
      <c r="E29" s="61">
        <v>774.73</v>
      </c>
      <c r="F29" s="61">
        <v>4029.4</v>
      </c>
      <c r="G29" s="60"/>
    </row>
    <row r="30" spans="1:7" ht="10.15" customHeight="1">
      <c r="A30" s="51">
        <v>1999</v>
      </c>
      <c r="B30" s="61">
        <v>1114.3</v>
      </c>
      <c r="C30" s="61">
        <v>1866.16</v>
      </c>
      <c r="D30" s="61">
        <v>297.99</v>
      </c>
      <c r="E30" s="61">
        <v>801.1</v>
      </c>
      <c r="F30" s="61">
        <v>4079.55</v>
      </c>
      <c r="G30" s="60"/>
    </row>
    <row r="31" spans="1:7" ht="10.15" customHeight="1">
      <c r="A31" s="45" t="s">
        <v>65</v>
      </c>
      <c r="B31" s="61">
        <v>1094.8</v>
      </c>
      <c r="C31" s="61">
        <v>1888.99</v>
      </c>
      <c r="D31" s="61">
        <v>300.18</v>
      </c>
      <c r="E31" s="61">
        <v>830.95</v>
      </c>
      <c r="F31" s="61">
        <f t="shared" ref="F31:F50" si="0">SUM(B31:E31)</f>
        <v>4114.92</v>
      </c>
      <c r="G31" s="60"/>
    </row>
    <row r="32" spans="1:7" ht="10.15" customHeight="1">
      <c r="A32" s="45" t="s">
        <v>66</v>
      </c>
      <c r="B32" s="61">
        <v>1086.9000000000001</v>
      </c>
      <c r="C32" s="61">
        <v>1843.85</v>
      </c>
      <c r="D32" s="61">
        <v>293.77999999999997</v>
      </c>
      <c r="E32" s="61">
        <v>858.8</v>
      </c>
      <c r="F32" s="61">
        <f t="shared" si="0"/>
        <v>4083.33</v>
      </c>
      <c r="G32" s="60"/>
    </row>
    <row r="33" spans="1:11" ht="10.15" customHeight="1">
      <c r="A33" s="45" t="s">
        <v>67</v>
      </c>
      <c r="B33" s="61">
        <v>1053.9000000000001</v>
      </c>
      <c r="C33" s="61">
        <f>394.8+17.34+72.73+37.7+949.95+36.5+146.35+64.115+36+74+4.01</f>
        <v>1833.4949999999999</v>
      </c>
      <c r="D33" s="61">
        <f>65.65+1.33+6.5+41.85+1.11+0.07+1.2+11.7+2.4+39.4+4.8+13.5+0.55+4.5+36+1.72+19.11+47.6</f>
        <v>298.99000000000007</v>
      </c>
      <c r="E33" s="61">
        <v>885</v>
      </c>
      <c r="F33" s="61">
        <f t="shared" si="0"/>
        <v>4071.3850000000002</v>
      </c>
      <c r="G33" s="60"/>
    </row>
    <row r="34" spans="1:11" ht="10.15" customHeight="1">
      <c r="A34" s="45" t="s">
        <v>83</v>
      </c>
      <c r="B34" s="61">
        <v>1044.4000000000001</v>
      </c>
      <c r="C34" s="61">
        <f>388.65+16.54+74.99+36.97+953.31+35.5+144.17+64.15+35+72+3.91</f>
        <v>1825.1900000000003</v>
      </c>
      <c r="D34" s="61">
        <f>66.9+1.35+6.4+42.07+1+0.07+1.1+11.2+3+39.3+5.2+13+0.53+4.5+36+1.565+16+48.4</f>
        <v>297.58499999999998</v>
      </c>
      <c r="E34" s="61">
        <v>896.8</v>
      </c>
      <c r="F34" s="61">
        <f t="shared" si="0"/>
        <v>4063.9750000000004</v>
      </c>
      <c r="G34" s="60"/>
    </row>
    <row r="35" spans="1:11" ht="3" customHeight="1">
      <c r="A35" s="45"/>
      <c r="B35" s="61"/>
      <c r="C35" s="61"/>
      <c r="D35" s="61"/>
      <c r="E35" s="61"/>
      <c r="F35" s="61"/>
      <c r="G35" s="60"/>
    </row>
    <row r="36" spans="1:11" ht="10.15" customHeight="1">
      <c r="A36" s="45" t="s">
        <v>84</v>
      </c>
      <c r="B36" s="61">
        <v>995.9</v>
      </c>
      <c r="C36" s="61">
        <f>381.86+14.84+77.275+36.85+936.6+35+143.07+63.15+33.5+70+3.66</f>
        <v>1795.8050000000003</v>
      </c>
      <c r="D36" s="61">
        <f>68.67+1+6.3+44.85+1.05+0.06+1.1+10.9+4.1+39+5.5+12.6+0.525+4.5+32+1.265+13+51.5</f>
        <v>297.91999999999996</v>
      </c>
      <c r="E36" s="61">
        <v>923.2</v>
      </c>
      <c r="F36" s="61">
        <f t="shared" si="0"/>
        <v>4012.8250000000007</v>
      </c>
      <c r="G36" s="60"/>
    </row>
    <row r="37" spans="1:11" ht="10.15" customHeight="1">
      <c r="A37" s="45">
        <v>2005</v>
      </c>
      <c r="B37" s="61">
        <v>954.2</v>
      </c>
      <c r="C37" s="61">
        <f>369.06+13.94+78.79+36.15+938.55+35.4+135.78+60.54+32+67+3.38</f>
        <v>1770.5900000000001</v>
      </c>
      <c r="D37" s="61">
        <f>67.7+0.98+6.5+48.98+0.71+0.06+1.3+11.4+4.2+38.6+5.7+12+0.62+4.5+32+1.48+14+52.46</f>
        <v>303.18999999999994</v>
      </c>
      <c r="E37" s="61">
        <v>956.3</v>
      </c>
      <c r="F37" s="61">
        <f t="shared" si="0"/>
        <v>3984.2799999999997</v>
      </c>
      <c r="G37" s="60"/>
    </row>
    <row r="38" spans="1:11" ht="10.15" customHeight="1">
      <c r="A38" s="45">
        <v>2006</v>
      </c>
      <c r="B38" s="61">
        <v>886.8</v>
      </c>
      <c r="C38" s="61">
        <f>359.99+13.05+80.6+35.55+940.6+34.4+129.13+59.84+31+65+3.38</f>
        <v>1752.5400000000002</v>
      </c>
      <c r="D38" s="61">
        <f>71.83+1.1+6.9+54.44+0.71+0.06+1.5+11.5+3.6+38.5+5.5+10.3+0.365+4.2+31+1.53+12.6+53.46</f>
        <v>309.09499999999997</v>
      </c>
      <c r="E38" s="61">
        <v>981.2</v>
      </c>
      <c r="F38" s="61">
        <f t="shared" si="0"/>
        <v>3929.6350000000002</v>
      </c>
      <c r="G38" s="60"/>
    </row>
    <row r="39" spans="1:11" ht="10.15" customHeight="1">
      <c r="A39" s="45">
        <v>2007</v>
      </c>
      <c r="B39" s="61">
        <v>866.2</v>
      </c>
      <c r="C39" s="61">
        <v>1729.65</v>
      </c>
      <c r="D39" s="61">
        <v>292.08</v>
      </c>
      <c r="E39" s="61">
        <v>1016.6</v>
      </c>
      <c r="F39" s="61">
        <f t="shared" si="0"/>
        <v>3904.53</v>
      </c>
      <c r="G39" s="60"/>
    </row>
    <row r="40" spans="1:11" ht="10.15" customHeight="1">
      <c r="A40" s="45">
        <v>2008</v>
      </c>
      <c r="B40" s="61">
        <v>850.9</v>
      </c>
      <c r="C40" s="62">
        <v>1731.46</v>
      </c>
      <c r="D40" s="62">
        <v>303.42</v>
      </c>
      <c r="E40" s="62">
        <v>1101.3</v>
      </c>
      <c r="F40" s="61">
        <f t="shared" si="0"/>
        <v>3987.08</v>
      </c>
      <c r="G40" s="60"/>
      <c r="K40" s="63"/>
    </row>
    <row r="41" spans="1:11" ht="10.15" customHeight="1">
      <c r="A41" s="45">
        <v>2009</v>
      </c>
      <c r="B41" s="61">
        <v>844.8</v>
      </c>
      <c r="C41" s="62">
        <v>1739.67</v>
      </c>
      <c r="D41" s="62">
        <v>306.27999999999997</v>
      </c>
      <c r="E41" s="62">
        <v>1159.7</v>
      </c>
      <c r="F41" s="61">
        <f t="shared" si="0"/>
        <v>4050.45</v>
      </c>
      <c r="G41" s="60"/>
      <c r="K41" s="63"/>
    </row>
    <row r="42" spans="1:11" ht="10.15" customHeight="1">
      <c r="A42" s="45">
        <v>2010</v>
      </c>
      <c r="B42" s="61">
        <v>825.2</v>
      </c>
      <c r="C42" s="62">
        <v>1750.3</v>
      </c>
      <c r="D42" s="62">
        <v>309.995</v>
      </c>
      <c r="E42" s="62">
        <v>1206</v>
      </c>
      <c r="F42" s="61">
        <f t="shared" si="0"/>
        <v>4091.4949999999999</v>
      </c>
      <c r="G42" s="486"/>
      <c r="I42" s="489"/>
      <c r="K42" s="63"/>
    </row>
    <row r="43" spans="1:11" ht="10.15" customHeight="1">
      <c r="A43" s="45">
        <v>2011</v>
      </c>
      <c r="B43" s="61">
        <v>809.2</v>
      </c>
      <c r="C43" s="62">
        <v>1744.24</v>
      </c>
      <c r="D43" s="62">
        <v>315.51</v>
      </c>
      <c r="E43" s="62">
        <v>1261.5</v>
      </c>
      <c r="F43" s="61">
        <v>4115.95</v>
      </c>
      <c r="G43" s="487"/>
      <c r="H43" s="64"/>
      <c r="I43" s="489"/>
      <c r="J43" s="64"/>
      <c r="K43" s="63"/>
    </row>
    <row r="44" spans="1:11" ht="10.15" customHeight="1">
      <c r="A44" s="45" t="s">
        <v>85</v>
      </c>
      <c r="B44" s="61">
        <v>801.8</v>
      </c>
      <c r="C44" s="62">
        <v>1734.6</v>
      </c>
      <c r="D44" s="62">
        <v>260.70999999999998</v>
      </c>
      <c r="E44" s="62">
        <v>1316</v>
      </c>
      <c r="F44" s="61">
        <f t="shared" si="0"/>
        <v>4113.1099999999997</v>
      </c>
      <c r="G44" s="486"/>
      <c r="I44" s="489"/>
      <c r="K44" s="63"/>
    </row>
    <row r="45" spans="1:11" ht="10.15" customHeight="1">
      <c r="A45" s="45" t="s">
        <v>86</v>
      </c>
      <c r="B45" s="61">
        <v>791.2</v>
      </c>
      <c r="C45" s="61">
        <v>1757.98</v>
      </c>
      <c r="D45" s="61">
        <v>347.95</v>
      </c>
      <c r="E45" s="61">
        <v>1409</v>
      </c>
      <c r="F45" s="61">
        <f t="shared" si="0"/>
        <v>4306.13</v>
      </c>
      <c r="G45" s="486"/>
      <c r="I45" s="489"/>
      <c r="K45" s="63"/>
    </row>
    <row r="46" spans="1:11" ht="10.15" customHeight="1">
      <c r="A46" s="45">
        <v>2014</v>
      </c>
      <c r="B46" s="61">
        <v>777.7</v>
      </c>
      <c r="C46" s="61">
        <v>1742.29</v>
      </c>
      <c r="D46" s="61">
        <v>368.95499999999998</v>
      </c>
      <c r="E46" s="61">
        <v>1487</v>
      </c>
      <c r="F46" s="61">
        <f t="shared" si="0"/>
        <v>4375.9449999999997</v>
      </c>
      <c r="G46" s="486"/>
      <c r="I46" s="489"/>
      <c r="K46" s="63"/>
    </row>
    <row r="47" spans="1:11" ht="10.15" customHeight="1">
      <c r="A47" s="45">
        <v>2015</v>
      </c>
      <c r="B47" s="61">
        <v>764.9</v>
      </c>
      <c r="C47" s="61">
        <v>1729.23</v>
      </c>
      <c r="D47" s="61">
        <v>371.15</v>
      </c>
      <c r="E47" s="61">
        <v>1533</v>
      </c>
      <c r="F47" s="61">
        <f t="shared" si="0"/>
        <v>4398.2800000000007</v>
      </c>
      <c r="G47" s="486"/>
      <c r="I47" s="489"/>
      <c r="K47" s="63"/>
    </row>
    <row r="48" spans="1:11" ht="10.15" customHeight="1">
      <c r="A48" s="45">
        <v>2016</v>
      </c>
      <c r="B48" s="61">
        <v>737.8</v>
      </c>
      <c r="C48" s="61">
        <v>1693.97</v>
      </c>
      <c r="D48" s="61">
        <v>367.46</v>
      </c>
      <c r="E48" s="61">
        <v>1971.2</v>
      </c>
      <c r="F48" s="61">
        <f t="shared" si="0"/>
        <v>4770.43</v>
      </c>
      <c r="G48" s="486"/>
      <c r="I48" s="489"/>
      <c r="K48" s="63"/>
    </row>
    <row r="49" spans="1:11" ht="10.15" customHeight="1">
      <c r="A49" s="45">
        <v>2017</v>
      </c>
      <c r="B49" s="61">
        <v>709.8</v>
      </c>
      <c r="C49" s="61">
        <v>1680.25</v>
      </c>
      <c r="D49" s="61">
        <v>351.68</v>
      </c>
      <c r="E49" s="61">
        <v>2076.8000000000002</v>
      </c>
      <c r="F49" s="61">
        <f t="shared" si="0"/>
        <v>4818.5300000000007</v>
      </c>
      <c r="G49" s="486"/>
      <c r="I49" s="489"/>
      <c r="K49" s="63"/>
    </row>
    <row r="50" spans="1:11" ht="10.15" customHeight="1">
      <c r="A50" s="65">
        <v>2018</v>
      </c>
      <c r="B50" s="66">
        <v>697.9</v>
      </c>
      <c r="C50" s="66">
        <v>1551.8</v>
      </c>
      <c r="D50" s="66">
        <v>329.46</v>
      </c>
      <c r="E50" s="66">
        <v>2174.8000000000002</v>
      </c>
      <c r="F50" s="66">
        <f t="shared" si="0"/>
        <v>4753.96</v>
      </c>
      <c r="G50" s="486"/>
      <c r="K50" s="63"/>
    </row>
    <row r="51" spans="1:11">
      <c r="A51" s="67" t="s">
        <v>430</v>
      </c>
      <c r="B51" s="53"/>
      <c r="C51" s="53"/>
      <c r="D51" s="53"/>
      <c r="E51" s="53"/>
      <c r="F51" s="53"/>
    </row>
    <row r="52" spans="1:11">
      <c r="A52" s="67" t="s">
        <v>87</v>
      </c>
      <c r="B52" s="53"/>
      <c r="C52" s="53"/>
      <c r="D52" s="53"/>
      <c r="E52" s="53"/>
      <c r="F52" s="53"/>
      <c r="G52" s="60"/>
    </row>
    <row r="53" spans="1:11">
      <c r="A53" s="68" t="s">
        <v>88</v>
      </c>
      <c r="B53" s="53"/>
      <c r="C53" s="53"/>
      <c r="D53" s="53"/>
      <c r="E53" s="53"/>
      <c r="F53" s="53"/>
    </row>
    <row r="54" spans="1:11">
      <c r="A54" s="69" t="s">
        <v>89</v>
      </c>
      <c r="B54" s="53"/>
      <c r="C54" s="53"/>
      <c r="D54" s="53"/>
      <c r="E54" s="53"/>
      <c r="F54" s="53"/>
    </row>
    <row r="55" spans="1:11">
      <c r="A55" s="68" t="s">
        <v>90</v>
      </c>
      <c r="B55" s="53"/>
      <c r="C55" s="53"/>
      <c r="D55" s="53"/>
      <c r="E55" s="53"/>
      <c r="F55" s="53"/>
    </row>
    <row r="56" spans="1:11">
      <c r="B56" s="60"/>
      <c r="C56" s="70"/>
      <c r="D56" s="60"/>
      <c r="E56" s="60"/>
      <c r="F56" s="60"/>
    </row>
    <row r="57" spans="1:11">
      <c r="B57" s="60"/>
      <c r="C57" s="70"/>
      <c r="D57" s="60"/>
      <c r="E57" s="60"/>
      <c r="F57" s="60"/>
    </row>
    <row r="58" spans="1:11" ht="15">
      <c r="A58"/>
      <c r="B58"/>
      <c r="C58"/>
      <c r="D58"/>
      <c r="E58"/>
    </row>
    <row r="59" spans="1:11" ht="15">
      <c r="A59"/>
      <c r="B59"/>
      <c r="C59"/>
      <c r="D59"/>
      <c r="E59"/>
    </row>
    <row r="60" spans="1:11" ht="15">
      <c r="A60"/>
      <c r="B60"/>
      <c r="C60"/>
      <c r="D60"/>
      <c r="E60"/>
    </row>
    <row r="61" spans="1:11" ht="15">
      <c r="A61"/>
      <c r="B61"/>
      <c r="C61"/>
      <c r="D61"/>
      <c r="E61"/>
    </row>
    <row r="62" spans="1:11" ht="15">
      <c r="A62"/>
      <c r="B62"/>
      <c r="C62"/>
      <c r="D62"/>
      <c r="E62"/>
    </row>
    <row r="63" spans="1:11" ht="15">
      <c r="A63"/>
      <c r="B63"/>
      <c r="C63"/>
      <c r="D63"/>
      <c r="E63"/>
    </row>
    <row r="64" spans="1:11" ht="15">
      <c r="A64"/>
      <c r="B64"/>
      <c r="C64"/>
      <c r="D64"/>
      <c r="E64"/>
    </row>
    <row r="65" spans="1:6" ht="15">
      <c r="A65"/>
      <c r="B65"/>
      <c r="C65"/>
      <c r="D65"/>
      <c r="E65"/>
    </row>
    <row r="66" spans="1:6" ht="15">
      <c r="A66"/>
      <c r="B66"/>
      <c r="C66"/>
      <c r="D66"/>
      <c r="E66"/>
    </row>
    <row r="67" spans="1:6" ht="15">
      <c r="A67"/>
      <c r="B67"/>
      <c r="C67"/>
      <c r="D67"/>
      <c r="E67"/>
    </row>
    <row r="74" spans="1:6">
      <c r="F74" s="64"/>
    </row>
    <row r="75" spans="1:6">
      <c r="F75" s="64"/>
    </row>
  </sheetData>
  <pageMargins left="0.66700000000000004" right="0.66700000000000004" top="0.66700000000000004" bottom="0.72" header="0" footer="0"/>
  <pageSetup scale="90" firstPageNumber="23" orientation="portrait" useFirstPageNumber="1" r:id="rId1"/>
  <headerFooter alignWithMargins="0"/>
  <ignoredErrors>
    <ignoredError sqref="F39:F50" formulaRange="1"/>
    <ignoredError sqref="A31:A36 A44:A46"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AF58"/>
  <sheetViews>
    <sheetView showGridLines="0" tabSelected="1" zoomScaleNormal="100" workbookViewId="0">
      <pane xSplit="1" ySplit="6" topLeftCell="B7" activePane="bottomRight" state="frozen"/>
      <selection pane="topRight" activeCell="B1" sqref="B1"/>
      <selection pane="bottomLeft" activeCell="A7" sqref="A7"/>
      <selection pane="bottomRight" activeCell="J47" sqref="J47"/>
    </sheetView>
  </sheetViews>
  <sheetFormatPr defaultColWidth="9.7109375" defaultRowHeight="12"/>
  <cols>
    <col min="1" max="1" width="7.5703125" style="44" customWidth="1"/>
    <col min="2" max="3" width="10.5703125" style="44" customWidth="1"/>
    <col min="4" max="5" width="11.5703125" style="44" customWidth="1"/>
    <col min="6" max="6" width="1.7109375" style="44" customWidth="1"/>
    <col min="7" max="7" width="11.5703125" style="44" customWidth="1"/>
    <col min="8" max="9" width="12.7109375" style="44" customWidth="1"/>
    <col min="10" max="10" width="11.5703125" style="44" customWidth="1"/>
    <col min="11" max="11" width="17.28515625" style="44" bestFit="1" customWidth="1"/>
    <col min="12" max="12" width="12.140625" style="44" bestFit="1" customWidth="1"/>
    <col min="13" max="13" width="9.7109375" style="44"/>
    <col min="14" max="14" width="11" style="44" bestFit="1" customWidth="1"/>
    <col min="15" max="16384" width="9.7109375" style="44"/>
  </cols>
  <sheetData>
    <row r="1" spans="1:32" ht="10.5" customHeight="1">
      <c r="A1" s="42" t="s">
        <v>91</v>
      </c>
      <c r="B1" s="71"/>
      <c r="C1" s="71"/>
      <c r="D1" s="71"/>
      <c r="E1" s="71"/>
      <c r="F1" s="71"/>
      <c r="G1" s="71"/>
      <c r="H1" s="71"/>
      <c r="I1" s="71"/>
      <c r="J1" s="71"/>
    </row>
    <row r="2" spans="1:32" ht="5.0999999999999996" customHeight="1">
      <c r="A2" s="45"/>
      <c r="B2" s="46"/>
      <c r="C2" s="46"/>
      <c r="D2" s="46"/>
      <c r="E2" s="46"/>
      <c r="F2" s="46"/>
      <c r="G2" s="46"/>
      <c r="H2" s="46"/>
      <c r="I2" s="46"/>
      <c r="J2" s="46"/>
    </row>
    <row r="3" spans="1:32" ht="10.5" customHeight="1">
      <c r="A3" s="53"/>
      <c r="B3" s="72" t="s">
        <v>92</v>
      </c>
      <c r="C3" s="73"/>
      <c r="D3" s="73"/>
      <c r="E3" s="72"/>
      <c r="F3" s="46"/>
      <c r="G3" s="72" t="s">
        <v>93</v>
      </c>
      <c r="H3" s="73"/>
      <c r="I3" s="73"/>
      <c r="J3" s="72"/>
    </row>
    <row r="4" spans="1:32" ht="5.0999999999999996" customHeight="1">
      <c r="A4" s="53"/>
      <c r="B4" s="74"/>
      <c r="C4" s="75"/>
      <c r="D4" s="75"/>
      <c r="E4" s="74"/>
      <c r="F4" s="46"/>
      <c r="G4" s="74"/>
      <c r="H4" s="75"/>
      <c r="I4" s="75"/>
      <c r="J4" s="74"/>
    </row>
    <row r="5" spans="1:32" ht="12" customHeight="1">
      <c r="A5" s="76" t="s">
        <v>76</v>
      </c>
      <c r="B5" s="77" t="s">
        <v>77</v>
      </c>
      <c r="C5" s="77" t="s">
        <v>94</v>
      </c>
      <c r="D5" s="78" t="s">
        <v>95</v>
      </c>
      <c r="E5" s="77" t="s">
        <v>96</v>
      </c>
      <c r="F5" s="49"/>
      <c r="G5" s="77" t="s">
        <v>77</v>
      </c>
      <c r="H5" s="77" t="s">
        <v>94</v>
      </c>
      <c r="I5" s="78" t="s">
        <v>97</v>
      </c>
      <c r="J5" s="77" t="s">
        <v>96</v>
      </c>
    </row>
    <row r="6" spans="1:32" ht="5.0999999999999996" customHeight="1">
      <c r="A6" s="51"/>
      <c r="B6" s="52"/>
      <c r="C6" s="52"/>
      <c r="D6" s="79"/>
      <c r="E6" s="52"/>
      <c r="F6" s="52"/>
      <c r="G6" s="52"/>
      <c r="H6" s="52"/>
      <c r="I6" s="52"/>
      <c r="J6" s="52"/>
    </row>
    <row r="7" spans="1:32" s="84" customFormat="1" ht="10.5" customHeight="1">
      <c r="A7" s="80"/>
      <c r="B7" s="54" t="s">
        <v>401</v>
      </c>
      <c r="C7" s="81"/>
      <c r="D7" s="81"/>
      <c r="E7" s="82"/>
      <c r="F7" s="80"/>
      <c r="G7" s="54" t="s">
        <v>402</v>
      </c>
      <c r="H7" s="81"/>
      <c r="I7" s="81"/>
      <c r="J7" s="82"/>
      <c r="K7" s="83"/>
      <c r="L7" s="83"/>
      <c r="M7" s="83"/>
      <c r="N7" s="83"/>
      <c r="O7" s="83"/>
      <c r="P7" s="83"/>
      <c r="Q7" s="83"/>
      <c r="R7" s="83"/>
      <c r="S7" s="83"/>
      <c r="T7" s="83"/>
      <c r="U7" s="83"/>
      <c r="V7" s="83"/>
      <c r="W7" s="83"/>
      <c r="X7" s="83"/>
      <c r="Y7" s="83"/>
    </row>
    <row r="8" spans="1:32" ht="3" customHeight="1">
      <c r="A8" s="53"/>
      <c r="B8" s="53"/>
      <c r="C8" s="53"/>
      <c r="D8" s="53"/>
      <c r="E8" s="53"/>
      <c r="F8" s="53"/>
      <c r="G8" s="53"/>
      <c r="H8" s="53"/>
      <c r="I8" s="53"/>
      <c r="J8" s="53"/>
      <c r="K8" s="50"/>
      <c r="L8" s="50"/>
      <c r="M8" s="50"/>
      <c r="N8" s="50"/>
      <c r="O8" s="50"/>
      <c r="P8" s="50"/>
      <c r="Q8" s="50"/>
      <c r="R8" s="50"/>
      <c r="S8" s="50"/>
      <c r="T8" s="50"/>
      <c r="U8" s="50"/>
      <c r="V8" s="50"/>
      <c r="W8" s="50"/>
      <c r="X8" s="50"/>
      <c r="Y8" s="50"/>
      <c r="Z8" s="50"/>
      <c r="AA8" s="50"/>
      <c r="AB8" s="50"/>
      <c r="AC8" s="50"/>
      <c r="AD8" s="50"/>
      <c r="AE8" s="50"/>
      <c r="AF8" s="50"/>
    </row>
    <row r="9" spans="1:32" ht="10.15" customHeight="1">
      <c r="A9" s="57">
        <v>1980</v>
      </c>
      <c r="B9" s="85">
        <v>16484</v>
      </c>
      <c r="C9" s="85">
        <f>15153+351</f>
        <v>15504</v>
      </c>
      <c r="D9" s="86">
        <v>599</v>
      </c>
      <c r="E9" s="85">
        <f t="shared" ref="E9:E28" si="0">B9+C9+D9</f>
        <v>32587</v>
      </c>
      <c r="F9" s="87"/>
      <c r="G9" s="88">
        <v>1905483</v>
      </c>
      <c r="H9" s="88">
        <f>3491419+288776</f>
        <v>3780195</v>
      </c>
      <c r="I9" s="88">
        <v>898060</v>
      </c>
      <c r="J9" s="88">
        <f t="shared" ref="J9:J28" si="1">G9+H9+I9</f>
        <v>6583738</v>
      </c>
    </row>
    <row r="10" spans="1:32" ht="10.15" customHeight="1">
      <c r="A10" s="57">
        <v>1981</v>
      </c>
      <c r="B10" s="85">
        <v>15105</v>
      </c>
      <c r="C10" s="85">
        <f>12961+371</f>
        <v>13332</v>
      </c>
      <c r="D10" s="86">
        <v>767.7</v>
      </c>
      <c r="E10" s="85">
        <f t="shared" si="0"/>
        <v>29204.7</v>
      </c>
      <c r="F10" s="87"/>
      <c r="G10" s="88">
        <v>1866685</v>
      </c>
      <c r="H10" s="88">
        <f>3586740+311147</f>
        <v>3897887</v>
      </c>
      <c r="I10" s="88">
        <v>770275</v>
      </c>
      <c r="J10" s="88">
        <f t="shared" si="1"/>
        <v>6534847</v>
      </c>
    </row>
    <row r="11" spans="1:32" ht="10.15" customHeight="1">
      <c r="A11" s="57">
        <v>1982</v>
      </c>
      <c r="B11" s="85">
        <v>12139</v>
      </c>
      <c r="C11" s="85">
        <f>14216+442</f>
        <v>14658</v>
      </c>
      <c r="D11" s="86">
        <v>686</v>
      </c>
      <c r="E11" s="85">
        <f t="shared" si="0"/>
        <v>27483</v>
      </c>
      <c r="F11" s="87"/>
      <c r="G11" s="88">
        <v>1616603</v>
      </c>
      <c r="H11" s="88">
        <f>3445555+424592</f>
        <v>3870147</v>
      </c>
      <c r="I11" s="88">
        <v>802790</v>
      </c>
      <c r="J11" s="88">
        <f t="shared" si="1"/>
        <v>6289540</v>
      </c>
    </row>
    <row r="12" spans="1:32" ht="10.15" customHeight="1">
      <c r="A12" s="57">
        <v>1983</v>
      </c>
      <c r="B12" s="85">
        <v>13682</v>
      </c>
      <c r="C12" s="85">
        <f>13721+447</f>
        <v>14168</v>
      </c>
      <c r="D12" s="86">
        <v>574</v>
      </c>
      <c r="E12" s="85">
        <f t="shared" si="0"/>
        <v>28424</v>
      </c>
      <c r="F12" s="87"/>
      <c r="G12" s="88">
        <v>1743421</v>
      </c>
      <c r="H12" s="88">
        <f>3188836+407188</f>
        <v>3596024</v>
      </c>
      <c r="I12" s="88">
        <v>581606</v>
      </c>
      <c r="J12" s="88">
        <f t="shared" si="1"/>
        <v>5921051</v>
      </c>
    </row>
    <row r="13" spans="1:32" ht="10.15" customHeight="1">
      <c r="A13" s="57">
        <v>1984</v>
      </c>
      <c r="B13" s="85">
        <v>10832</v>
      </c>
      <c r="C13" s="85">
        <f>13806+495</f>
        <v>14301</v>
      </c>
      <c r="D13" s="86">
        <v>860.3</v>
      </c>
      <c r="E13" s="85">
        <f t="shared" si="0"/>
        <v>25993.3</v>
      </c>
      <c r="F13" s="87"/>
      <c r="G13" s="88">
        <v>1755300</v>
      </c>
      <c r="H13" s="88">
        <f>3281650+413251</f>
        <v>3694901</v>
      </c>
      <c r="I13" s="88">
        <v>842447</v>
      </c>
      <c r="J13" s="88">
        <f t="shared" si="1"/>
        <v>6292648</v>
      </c>
    </row>
    <row r="14" spans="1:32" ht="10.15" customHeight="1">
      <c r="A14" s="57">
        <v>1985</v>
      </c>
      <c r="B14" s="85">
        <v>10525</v>
      </c>
      <c r="C14" s="85">
        <f>13682+509</f>
        <v>14191</v>
      </c>
      <c r="D14" s="86">
        <v>776</v>
      </c>
      <c r="E14" s="85">
        <f t="shared" si="0"/>
        <v>25492</v>
      </c>
      <c r="F14" s="87"/>
      <c r="G14" s="88">
        <v>2080250</v>
      </c>
      <c r="H14" s="88">
        <f>3380152+450819</f>
        <v>3830971</v>
      </c>
      <c r="I14" s="88">
        <v>786005</v>
      </c>
      <c r="J14" s="88">
        <f t="shared" si="1"/>
        <v>6697226</v>
      </c>
    </row>
    <row r="15" spans="1:32" ht="10.15" customHeight="1">
      <c r="A15" s="57">
        <v>1986</v>
      </c>
      <c r="B15" s="85">
        <v>11058</v>
      </c>
      <c r="C15" s="85">
        <f>13365+509</f>
        <v>13874</v>
      </c>
      <c r="D15" s="86">
        <v>592.29999999999995</v>
      </c>
      <c r="E15" s="85">
        <f t="shared" si="0"/>
        <v>25524.3</v>
      </c>
      <c r="F15" s="87"/>
      <c r="G15" s="88">
        <v>1768496</v>
      </c>
      <c r="H15" s="88">
        <f>3699956+503641</f>
        <v>4203597</v>
      </c>
      <c r="I15" s="88">
        <v>982672</v>
      </c>
      <c r="J15" s="88">
        <f t="shared" si="1"/>
        <v>6954765</v>
      </c>
    </row>
    <row r="16" spans="1:32" ht="10.15" customHeight="1">
      <c r="A16" s="57">
        <v>1987</v>
      </c>
      <c r="B16" s="85">
        <v>11994</v>
      </c>
      <c r="C16" s="85">
        <v>16012</v>
      </c>
      <c r="D16" s="86">
        <v>956.9</v>
      </c>
      <c r="E16" s="85">
        <f t="shared" si="0"/>
        <v>28962.9</v>
      </c>
      <c r="F16" s="87"/>
      <c r="G16" s="88">
        <v>2053493</v>
      </c>
      <c r="H16" s="88">
        <v>4420956</v>
      </c>
      <c r="I16" s="88">
        <v>1132274</v>
      </c>
      <c r="J16" s="88">
        <f t="shared" si="1"/>
        <v>7606723</v>
      </c>
    </row>
    <row r="17" spans="1:11" ht="10.15" customHeight="1">
      <c r="A17" s="57">
        <v>1988</v>
      </c>
      <c r="B17" s="85">
        <v>12761</v>
      </c>
      <c r="C17" s="85">
        <v>15911</v>
      </c>
      <c r="D17" s="86">
        <v>901.3</v>
      </c>
      <c r="E17" s="85">
        <f t="shared" si="0"/>
        <v>29573.3</v>
      </c>
      <c r="F17" s="87"/>
      <c r="G17" s="88">
        <v>2618574</v>
      </c>
      <c r="H17" s="88">
        <v>5102962</v>
      </c>
      <c r="I17" s="88">
        <v>1129143</v>
      </c>
      <c r="J17" s="88">
        <f t="shared" si="1"/>
        <v>8850679</v>
      </c>
    </row>
    <row r="18" spans="1:11" ht="10.15" customHeight="1">
      <c r="A18" s="57">
        <v>1989</v>
      </c>
      <c r="B18" s="85">
        <v>13186</v>
      </c>
      <c r="C18" s="85">
        <v>16345</v>
      </c>
      <c r="D18" s="86">
        <v>806.8</v>
      </c>
      <c r="E18" s="85">
        <f t="shared" si="0"/>
        <v>30337.8</v>
      </c>
      <c r="F18" s="87"/>
      <c r="G18" s="88">
        <v>2663248</v>
      </c>
      <c r="H18" s="88">
        <v>5279382</v>
      </c>
      <c r="I18" s="88">
        <v>1024179</v>
      </c>
      <c r="J18" s="88">
        <f t="shared" si="1"/>
        <v>8966809</v>
      </c>
    </row>
    <row r="19" spans="1:11" ht="10.15" customHeight="1">
      <c r="A19" s="57">
        <v>1990</v>
      </c>
      <c r="B19" s="85">
        <v>10860</v>
      </c>
      <c r="C19" s="85">
        <v>15640</v>
      </c>
      <c r="D19" s="86">
        <v>955.9</v>
      </c>
      <c r="E19" s="85">
        <f t="shared" si="0"/>
        <v>27455.9</v>
      </c>
      <c r="F19" s="87"/>
      <c r="G19" s="88">
        <v>2242862</v>
      </c>
      <c r="H19" s="88">
        <v>5525279</v>
      </c>
      <c r="I19" s="88">
        <v>1262071</v>
      </c>
      <c r="J19" s="88">
        <f t="shared" si="1"/>
        <v>9030212</v>
      </c>
    </row>
    <row r="20" spans="1:11" ht="10.15" customHeight="1">
      <c r="A20" s="57">
        <v>1991</v>
      </c>
      <c r="B20" s="85">
        <v>11285</v>
      </c>
      <c r="C20" s="85">
        <v>15740</v>
      </c>
      <c r="D20" s="86">
        <v>883.1</v>
      </c>
      <c r="E20" s="85">
        <f t="shared" si="0"/>
        <v>27908.1</v>
      </c>
      <c r="F20" s="87"/>
      <c r="G20" s="88">
        <v>2414933</v>
      </c>
      <c r="H20" s="88">
        <v>6021210</v>
      </c>
      <c r="I20" s="88">
        <v>1297662</v>
      </c>
      <c r="J20" s="88">
        <f t="shared" si="1"/>
        <v>9733805</v>
      </c>
    </row>
    <row r="21" spans="1:11" ht="10.15" customHeight="1">
      <c r="A21" s="57">
        <v>1992</v>
      </c>
      <c r="B21" s="85">
        <v>12452</v>
      </c>
      <c r="C21" s="85">
        <v>17124</v>
      </c>
      <c r="D21" s="86">
        <v>865.6</v>
      </c>
      <c r="E21" s="85">
        <f t="shared" si="0"/>
        <v>30441.599999999999</v>
      </c>
      <c r="F21" s="87"/>
      <c r="G21" s="88">
        <v>2401351</v>
      </c>
      <c r="H21" s="88">
        <v>6036615</v>
      </c>
      <c r="I21" s="88">
        <v>1417286</v>
      </c>
      <c r="J21" s="88">
        <f t="shared" si="1"/>
        <v>9855252</v>
      </c>
    </row>
    <row r="22" spans="1:11" ht="10.15" customHeight="1">
      <c r="A22" s="57">
        <v>1993</v>
      </c>
      <c r="B22" s="85">
        <v>15274</v>
      </c>
      <c r="C22" s="85">
        <v>16554</v>
      </c>
      <c r="D22" s="86">
        <v>984.8</v>
      </c>
      <c r="E22" s="85">
        <f t="shared" si="0"/>
        <v>32812.800000000003</v>
      </c>
      <c r="F22" s="87"/>
      <c r="G22" s="88">
        <v>2151173</v>
      </c>
      <c r="H22" s="88">
        <v>6130121</v>
      </c>
      <c r="I22" s="88">
        <v>1727468</v>
      </c>
      <c r="J22" s="88">
        <f t="shared" si="1"/>
        <v>10008762</v>
      </c>
      <c r="K22" s="89"/>
    </row>
    <row r="23" spans="1:11" ht="10.15" customHeight="1">
      <c r="A23" s="57">
        <v>1994</v>
      </c>
      <c r="B23" s="85">
        <v>14561</v>
      </c>
      <c r="C23" s="85">
        <v>17339</v>
      </c>
      <c r="D23" s="86">
        <v>1027.8</v>
      </c>
      <c r="E23" s="85">
        <f t="shared" si="0"/>
        <v>32927.800000000003</v>
      </c>
      <c r="F23" s="87"/>
      <c r="G23" s="88">
        <v>2268330</v>
      </c>
      <c r="H23" s="88">
        <v>6268533</v>
      </c>
      <c r="I23" s="88">
        <v>1584235</v>
      </c>
      <c r="J23" s="88">
        <f t="shared" si="1"/>
        <v>10121098</v>
      </c>
    </row>
    <row r="24" spans="1:11" ht="10.15" customHeight="1">
      <c r="A24" s="51">
        <v>1995</v>
      </c>
      <c r="B24" s="90">
        <v>15799</v>
      </c>
      <c r="C24" s="90">
        <v>16348</v>
      </c>
      <c r="D24" s="91">
        <v>810.8</v>
      </c>
      <c r="E24" s="85">
        <f t="shared" si="0"/>
        <v>32957.800000000003</v>
      </c>
      <c r="F24" s="92"/>
      <c r="G24" s="93">
        <v>2328915</v>
      </c>
      <c r="H24" s="93">
        <v>6815962</v>
      </c>
      <c r="I24" s="93">
        <v>1714547</v>
      </c>
      <c r="J24" s="88">
        <f t="shared" si="1"/>
        <v>10859424</v>
      </c>
    </row>
    <row r="25" spans="1:11" ht="10.15" customHeight="1">
      <c r="A25" s="51">
        <v>1996</v>
      </c>
      <c r="B25" s="90">
        <v>15712</v>
      </c>
      <c r="C25" s="90">
        <v>16103</v>
      </c>
      <c r="D25" s="91">
        <v>825</v>
      </c>
      <c r="E25" s="85">
        <f t="shared" si="0"/>
        <v>32640</v>
      </c>
      <c r="F25" s="92"/>
      <c r="G25" s="93">
        <v>2517394</v>
      </c>
      <c r="H25" s="93">
        <v>7265788</v>
      </c>
      <c r="I25" s="93">
        <v>1663574</v>
      </c>
      <c r="J25" s="88">
        <f t="shared" si="1"/>
        <v>11446756</v>
      </c>
    </row>
    <row r="26" spans="1:11" ht="10.15" customHeight="1">
      <c r="A26" s="51">
        <v>1997</v>
      </c>
      <c r="B26" s="90">
        <v>17270</v>
      </c>
      <c r="C26" s="90">
        <v>18400.2</v>
      </c>
      <c r="D26" s="91">
        <v>1209.7</v>
      </c>
      <c r="E26" s="85">
        <f t="shared" si="0"/>
        <v>36879.899999999994</v>
      </c>
      <c r="F26" s="92"/>
      <c r="G26" s="93">
        <v>2582767</v>
      </c>
      <c r="H26" s="93">
        <v>8189821</v>
      </c>
      <c r="I26" s="93">
        <v>2093697</v>
      </c>
      <c r="J26" s="88">
        <f t="shared" si="1"/>
        <v>12866285</v>
      </c>
    </row>
    <row r="27" spans="1:11" ht="10.15" customHeight="1">
      <c r="A27" s="51">
        <v>1998</v>
      </c>
      <c r="B27" s="90">
        <v>17770</v>
      </c>
      <c r="C27" s="90">
        <v>16551.7</v>
      </c>
      <c r="D27" s="91">
        <v>907.8</v>
      </c>
      <c r="E27" s="85">
        <f t="shared" si="0"/>
        <v>35229.5</v>
      </c>
      <c r="F27" s="92"/>
      <c r="G27" s="93">
        <v>2600066</v>
      </c>
      <c r="H27" s="93">
        <v>7251032</v>
      </c>
      <c r="I27" s="93">
        <v>1365349</v>
      </c>
      <c r="J27" s="88">
        <f t="shared" si="1"/>
        <v>11216447</v>
      </c>
    </row>
    <row r="28" spans="1:11" ht="10.15" customHeight="1">
      <c r="A28" s="51">
        <v>1999</v>
      </c>
      <c r="B28" s="90">
        <v>13633</v>
      </c>
      <c r="C28" s="90">
        <v>17346.7</v>
      </c>
      <c r="D28" s="91">
        <v>1287.7</v>
      </c>
      <c r="E28" s="90">
        <f t="shared" si="0"/>
        <v>32267.4</v>
      </c>
      <c r="F28" s="92"/>
      <c r="G28" s="93">
        <v>2431179</v>
      </c>
      <c r="H28" s="93">
        <v>8077404</v>
      </c>
      <c r="I28" s="93">
        <v>1505926</v>
      </c>
      <c r="J28" s="93">
        <f t="shared" si="1"/>
        <v>12014509</v>
      </c>
    </row>
    <row r="29" spans="1:11" ht="10.15" customHeight="1">
      <c r="A29" s="45" t="s">
        <v>65</v>
      </c>
      <c r="B29" s="90">
        <v>17276</v>
      </c>
      <c r="C29" s="90">
        <v>18853.599999999999</v>
      </c>
      <c r="D29" s="91">
        <v>1086.3</v>
      </c>
      <c r="E29" s="90">
        <f t="shared" ref="E29:E47" si="2">SUM(B29:D29)</f>
        <v>37215.9</v>
      </c>
      <c r="F29" s="92"/>
      <c r="G29" s="93">
        <v>2513174</v>
      </c>
      <c r="H29" s="93">
        <v>7883036</v>
      </c>
      <c r="I29" s="93">
        <v>1496584</v>
      </c>
      <c r="J29" s="93">
        <f t="shared" ref="J29:J47" si="3">SUM(G29:I29)</f>
        <v>11892794</v>
      </c>
    </row>
    <row r="30" spans="1:11" ht="10.15" customHeight="1">
      <c r="A30" s="45" t="s">
        <v>66</v>
      </c>
      <c r="B30" s="90">
        <v>16216</v>
      </c>
      <c r="C30" s="90">
        <v>16739.7</v>
      </c>
      <c r="D30" s="91">
        <v>1303.8</v>
      </c>
      <c r="E30" s="90">
        <f t="shared" si="2"/>
        <v>34259.5</v>
      </c>
      <c r="F30" s="92"/>
      <c r="G30" s="93">
        <v>2319917</v>
      </c>
      <c r="H30" s="93">
        <v>7918636</v>
      </c>
      <c r="I30" s="93">
        <v>1513063</v>
      </c>
      <c r="J30" s="93">
        <f t="shared" si="3"/>
        <v>11751616</v>
      </c>
    </row>
    <row r="31" spans="1:11" ht="10.15" customHeight="1">
      <c r="A31" s="45" t="s">
        <v>67</v>
      </c>
      <c r="B31" s="90">
        <v>16194</v>
      </c>
      <c r="C31" s="90">
        <v>17122.099999999999</v>
      </c>
      <c r="D31" s="91">
        <v>1447.9</v>
      </c>
      <c r="E31" s="90">
        <f t="shared" si="2"/>
        <v>34764</v>
      </c>
      <c r="F31" s="92"/>
      <c r="G31" s="93">
        <v>2610559</v>
      </c>
      <c r="H31" s="93">
        <v>8137640</v>
      </c>
      <c r="I31" s="93">
        <v>2078670</v>
      </c>
      <c r="J31" s="93">
        <f t="shared" si="3"/>
        <v>12826869</v>
      </c>
    </row>
    <row r="32" spans="1:11" ht="10.15" customHeight="1">
      <c r="A32" s="45" t="s">
        <v>83</v>
      </c>
      <c r="B32" s="90">
        <v>15180</v>
      </c>
      <c r="C32" s="90">
        <v>16847.900000000001</v>
      </c>
      <c r="D32" s="91">
        <v>1457.7</v>
      </c>
      <c r="E32" s="90">
        <f t="shared" si="2"/>
        <v>33485.599999999999</v>
      </c>
      <c r="F32" s="92"/>
      <c r="G32" s="93">
        <v>2259976</v>
      </c>
      <c r="H32" s="93">
        <v>8434610</v>
      </c>
      <c r="I32" s="93">
        <v>2472480</v>
      </c>
      <c r="J32" s="93">
        <f t="shared" si="3"/>
        <v>13167066</v>
      </c>
    </row>
    <row r="33" spans="1:14" ht="10.15" customHeight="1">
      <c r="A33" s="45" t="s">
        <v>84</v>
      </c>
      <c r="B33" s="90">
        <v>16360</v>
      </c>
      <c r="C33" s="90">
        <v>16822.599999999999</v>
      </c>
      <c r="D33" s="91">
        <v>1523.6</v>
      </c>
      <c r="E33" s="90">
        <f t="shared" si="2"/>
        <v>34706.199999999997</v>
      </c>
      <c r="F33" s="92"/>
      <c r="G33" s="93">
        <v>2485052</v>
      </c>
      <c r="H33" s="93">
        <v>8553060</v>
      </c>
      <c r="I33" s="93">
        <v>3527904</v>
      </c>
      <c r="J33" s="93">
        <f t="shared" si="3"/>
        <v>14566016</v>
      </c>
      <c r="K33" s="94"/>
    </row>
    <row r="34" spans="1:14" ht="10.15" customHeight="1">
      <c r="A34" s="45">
        <v>2005</v>
      </c>
      <c r="B34" s="90">
        <v>11573</v>
      </c>
      <c r="C34" s="90">
        <v>18272.2</v>
      </c>
      <c r="D34" s="91">
        <v>1466.6</v>
      </c>
      <c r="E34" s="90">
        <f t="shared" si="2"/>
        <v>31311.8</v>
      </c>
      <c r="F34" s="92"/>
      <c r="G34" s="93">
        <v>2303425</v>
      </c>
      <c r="H34" s="93">
        <v>9805757</v>
      </c>
      <c r="I34" s="93">
        <v>4175893</v>
      </c>
      <c r="J34" s="93">
        <f t="shared" si="3"/>
        <v>16285075</v>
      </c>
      <c r="K34" s="94"/>
    </row>
    <row r="35" spans="1:14" ht="10.15" customHeight="1">
      <c r="A35" s="45">
        <v>2006</v>
      </c>
      <c r="B35" s="90">
        <v>11744</v>
      </c>
      <c r="C35" s="90">
        <v>16815.7</v>
      </c>
      <c r="D35" s="91">
        <v>1598</v>
      </c>
      <c r="E35" s="90">
        <f t="shared" si="2"/>
        <v>30157.7</v>
      </c>
      <c r="F35" s="92"/>
      <c r="G35" s="93">
        <v>2738361</v>
      </c>
      <c r="H35" s="93">
        <v>10510417</v>
      </c>
      <c r="I35" s="93">
        <v>3680383</v>
      </c>
      <c r="J35" s="93">
        <f t="shared" si="3"/>
        <v>16929161</v>
      </c>
      <c r="K35" s="94"/>
    </row>
    <row r="36" spans="1:14" ht="10.15" customHeight="1">
      <c r="A36" s="45">
        <v>2007</v>
      </c>
      <c r="B36" s="90">
        <v>10467</v>
      </c>
      <c r="C36" s="90">
        <v>17047.5</v>
      </c>
      <c r="D36" s="91">
        <v>2000.1</v>
      </c>
      <c r="E36" s="90">
        <f t="shared" si="2"/>
        <v>29514.6</v>
      </c>
      <c r="F36" s="92"/>
      <c r="G36" s="93">
        <v>3147755</v>
      </c>
      <c r="H36" s="93">
        <v>11436449</v>
      </c>
      <c r="I36" s="93">
        <v>4273279</v>
      </c>
      <c r="J36" s="93">
        <f t="shared" si="3"/>
        <v>18857483</v>
      </c>
      <c r="K36" s="94"/>
    </row>
    <row r="37" spans="1:14" ht="10.15" customHeight="1">
      <c r="A37" s="45">
        <v>2008</v>
      </c>
      <c r="B37" s="90">
        <v>12838</v>
      </c>
      <c r="C37" s="95">
        <v>17558.3</v>
      </c>
      <c r="D37" s="91">
        <v>2144.3000000000002</v>
      </c>
      <c r="E37" s="90">
        <f t="shared" si="2"/>
        <v>32540.6</v>
      </c>
      <c r="F37" s="92"/>
      <c r="G37" s="93">
        <v>3240263</v>
      </c>
      <c r="H37" s="96">
        <v>11547473</v>
      </c>
      <c r="I37" s="96">
        <v>3828207</v>
      </c>
      <c r="J37" s="93">
        <f t="shared" si="3"/>
        <v>18615943</v>
      </c>
      <c r="K37" s="94"/>
    </row>
    <row r="38" spans="1:14" ht="10.15" customHeight="1">
      <c r="A38" s="97">
        <v>2009</v>
      </c>
      <c r="B38" s="95">
        <v>11839</v>
      </c>
      <c r="C38" s="95">
        <v>18020.8</v>
      </c>
      <c r="D38" s="98">
        <v>2014.4</v>
      </c>
      <c r="E38" s="90">
        <f t="shared" si="2"/>
        <v>31874.2</v>
      </c>
      <c r="F38" s="50"/>
      <c r="G38" s="96">
        <v>2741963</v>
      </c>
      <c r="H38" s="96">
        <v>12232459</v>
      </c>
      <c r="I38" s="96">
        <v>4172838</v>
      </c>
      <c r="J38" s="93">
        <f t="shared" si="3"/>
        <v>19147260</v>
      </c>
      <c r="K38" s="94"/>
    </row>
    <row r="39" spans="1:14" ht="10.15" customHeight="1">
      <c r="A39" s="97">
        <v>2010</v>
      </c>
      <c r="B39" s="95">
        <v>11000</v>
      </c>
      <c r="C39" s="501">
        <v>17835.3</v>
      </c>
      <c r="D39" s="505">
        <v>2373.6999999999998</v>
      </c>
      <c r="E39" s="507">
        <f t="shared" si="2"/>
        <v>31209</v>
      </c>
      <c r="F39" s="509"/>
      <c r="G39" s="503">
        <v>2965231</v>
      </c>
      <c r="H39" s="503">
        <v>12751568</v>
      </c>
      <c r="I39" s="96">
        <v>5862688</v>
      </c>
      <c r="J39" s="93">
        <f t="shared" si="3"/>
        <v>21579487</v>
      </c>
      <c r="K39" s="492"/>
      <c r="L39" s="486"/>
      <c r="M39" s="488"/>
    </row>
    <row r="40" spans="1:14" ht="10.15" customHeight="1">
      <c r="A40" s="97">
        <v>2011</v>
      </c>
      <c r="B40" s="99">
        <v>11798</v>
      </c>
      <c r="C40" s="501">
        <v>18111.2</v>
      </c>
      <c r="D40" s="505">
        <v>2583.9</v>
      </c>
      <c r="E40" s="507">
        <f t="shared" si="2"/>
        <v>32493.100000000002</v>
      </c>
      <c r="F40" s="509"/>
      <c r="G40" s="510">
        <v>3240896</v>
      </c>
      <c r="H40" s="503">
        <v>13886156</v>
      </c>
      <c r="I40" s="96">
        <v>7007694</v>
      </c>
      <c r="J40" s="93">
        <f t="shared" si="3"/>
        <v>24134746</v>
      </c>
      <c r="K40" s="492"/>
      <c r="L40" s="490"/>
      <c r="M40" s="488"/>
      <c r="N40" s="100"/>
    </row>
    <row r="41" spans="1:14" ht="12.95" customHeight="1">
      <c r="A41" s="97" t="s">
        <v>98</v>
      </c>
      <c r="B41" s="95">
        <v>11681</v>
      </c>
      <c r="C41" s="501">
        <v>17634.7</v>
      </c>
      <c r="D41" s="505">
        <v>2636.4</v>
      </c>
      <c r="E41" s="507">
        <f t="shared" si="2"/>
        <v>31952.100000000002</v>
      </c>
      <c r="F41" s="509"/>
      <c r="G41" s="503">
        <v>3712817</v>
      </c>
      <c r="H41" s="503">
        <v>15611441</v>
      </c>
      <c r="I41" s="96">
        <v>8337036</v>
      </c>
      <c r="J41" s="93">
        <f t="shared" si="3"/>
        <v>27661294</v>
      </c>
      <c r="K41" s="492"/>
      <c r="L41" s="486"/>
      <c r="M41" s="488"/>
    </row>
    <row r="42" spans="1:14" ht="10.15" customHeight="1">
      <c r="A42" s="97">
        <v>2013</v>
      </c>
      <c r="B42" s="95">
        <v>11111</v>
      </c>
      <c r="C42" s="501">
        <v>19433.3</v>
      </c>
      <c r="D42" s="505">
        <v>2658.5</v>
      </c>
      <c r="E42" s="507">
        <f t="shared" si="2"/>
        <v>33202.800000000003</v>
      </c>
      <c r="F42" s="509"/>
      <c r="G42" s="503">
        <v>3169544</v>
      </c>
      <c r="H42" s="503">
        <v>16220440</v>
      </c>
      <c r="I42" s="96">
        <v>10462270</v>
      </c>
      <c r="J42" s="93">
        <f t="shared" si="3"/>
        <v>29852254</v>
      </c>
      <c r="K42" s="492"/>
      <c r="L42" s="486"/>
      <c r="M42" s="488"/>
    </row>
    <row r="43" spans="1:14" ht="10.15" customHeight="1">
      <c r="A43" s="97">
        <v>2014</v>
      </c>
      <c r="B43" s="95">
        <v>9411</v>
      </c>
      <c r="C43" s="501">
        <v>19151.3</v>
      </c>
      <c r="D43" s="505">
        <v>2567.1</v>
      </c>
      <c r="E43" s="507">
        <f t="shared" si="2"/>
        <v>31129.399999999998</v>
      </c>
      <c r="F43" s="509"/>
      <c r="G43" s="503">
        <v>3704444</v>
      </c>
      <c r="H43" s="503">
        <v>16410049</v>
      </c>
      <c r="I43" s="96">
        <v>11816331</v>
      </c>
      <c r="J43" s="93">
        <f t="shared" si="3"/>
        <v>31930824</v>
      </c>
      <c r="K43" s="492"/>
      <c r="L43" s="486"/>
      <c r="M43" s="488"/>
    </row>
    <row r="44" spans="1:14" ht="10.15" customHeight="1">
      <c r="A44" s="97">
        <v>2015</v>
      </c>
      <c r="B44" s="95">
        <v>9060</v>
      </c>
      <c r="C44" s="501">
        <v>18333.599999999999</v>
      </c>
      <c r="D44" s="505">
        <v>2552.1</v>
      </c>
      <c r="E44" s="507">
        <f t="shared" si="2"/>
        <v>29945.699999999997</v>
      </c>
      <c r="F44" s="509"/>
      <c r="G44" s="503">
        <v>3353750</v>
      </c>
      <c r="H44" s="503">
        <v>16602493</v>
      </c>
      <c r="I44" s="96">
        <v>8461676</v>
      </c>
      <c r="J44" s="93">
        <f t="shared" si="3"/>
        <v>28417919</v>
      </c>
      <c r="K44" s="492"/>
      <c r="L44" s="486"/>
      <c r="M44" s="488"/>
    </row>
    <row r="45" spans="1:14" ht="10.15" customHeight="1">
      <c r="A45" s="97">
        <v>2016</v>
      </c>
      <c r="B45" s="95">
        <v>8748</v>
      </c>
      <c r="C45" s="501">
        <v>18597.815999999999</v>
      </c>
      <c r="D45" s="505">
        <v>3110.2</v>
      </c>
      <c r="E45" s="507">
        <f t="shared" si="2"/>
        <v>30456.016</v>
      </c>
      <c r="F45" s="50"/>
      <c r="G45" s="96">
        <v>3435675</v>
      </c>
      <c r="H45" s="503">
        <v>17571574</v>
      </c>
      <c r="I45" s="96">
        <v>8690836</v>
      </c>
      <c r="J45" s="93">
        <f t="shared" si="3"/>
        <v>29698085</v>
      </c>
      <c r="K45" s="492"/>
      <c r="L45" s="486"/>
      <c r="M45" s="488"/>
    </row>
    <row r="46" spans="1:14" ht="10.15" customHeight="1">
      <c r="A46" s="97">
        <v>2017</v>
      </c>
      <c r="B46" s="95">
        <v>7697</v>
      </c>
      <c r="C46" s="501">
        <v>18312.899000000001</v>
      </c>
      <c r="D46" s="505">
        <v>2984.9</v>
      </c>
      <c r="E46" s="507">
        <f t="shared" si="2"/>
        <v>28994.799000000003</v>
      </c>
      <c r="F46" s="50"/>
      <c r="G46" s="96">
        <v>3532125</v>
      </c>
      <c r="H46" s="503">
        <v>18032949</v>
      </c>
      <c r="I46" s="96">
        <v>9023875</v>
      </c>
      <c r="J46" s="93">
        <f t="shared" si="3"/>
        <v>30588949</v>
      </c>
      <c r="K46" s="492"/>
      <c r="L46" s="486"/>
      <c r="M46" s="488"/>
    </row>
    <row r="47" spans="1:14" ht="12.95" customHeight="1">
      <c r="A47" s="101" t="s">
        <v>454</v>
      </c>
      <c r="B47" s="102">
        <v>6076</v>
      </c>
      <c r="C47" s="502">
        <v>17617.867999999999</v>
      </c>
      <c r="D47" s="506">
        <v>3199.6</v>
      </c>
      <c r="E47" s="508">
        <f t="shared" si="2"/>
        <v>26893.467999999997</v>
      </c>
      <c r="F47" s="103"/>
      <c r="G47" s="104">
        <v>3330152</v>
      </c>
      <c r="H47" s="504">
        <v>16466042</v>
      </c>
      <c r="I47" s="104">
        <v>9521528</v>
      </c>
      <c r="J47" s="105">
        <f t="shared" si="3"/>
        <v>29317722</v>
      </c>
      <c r="K47" s="94"/>
      <c r="M47" s="100"/>
    </row>
    <row r="48" spans="1:14" s="106" customFormat="1">
      <c r="A48" s="69" t="s">
        <v>99</v>
      </c>
      <c r="M48" s="100"/>
    </row>
    <row r="49" spans="1:11" s="106" customFormat="1">
      <c r="A49" s="69" t="s">
        <v>100</v>
      </c>
      <c r="K49" s="107"/>
    </row>
    <row r="50" spans="1:11" s="106" customFormat="1">
      <c r="A50" s="69" t="s">
        <v>455</v>
      </c>
      <c r="K50" s="107"/>
    </row>
    <row r="51" spans="1:11" s="106" customFormat="1">
      <c r="A51" s="68" t="s">
        <v>101</v>
      </c>
    </row>
    <row r="52" spans="1:11">
      <c r="A52" s="97"/>
      <c r="B52" s="95"/>
      <c r="C52" s="95"/>
      <c r="D52" s="98"/>
      <c r="G52" s="96"/>
      <c r="H52" s="96"/>
      <c r="I52" s="96"/>
      <c r="J52" s="93"/>
    </row>
    <row r="53" spans="1:11">
      <c r="A53" s="380"/>
      <c r="B53" s="380"/>
      <c r="C53" s="380"/>
      <c r="D53" s="380"/>
      <c r="E53" s="468"/>
      <c r="F53" s="380"/>
      <c r="G53" s="380"/>
      <c r="H53" s="380"/>
      <c r="I53" s="380"/>
      <c r="J53" s="380"/>
    </row>
    <row r="54" spans="1:11">
      <c r="A54" s="491"/>
      <c r="B54" s="380"/>
      <c r="C54" s="380"/>
      <c r="D54" s="380"/>
      <c r="E54" s="380"/>
      <c r="F54" s="380"/>
      <c r="G54" s="380"/>
      <c r="H54" s="380"/>
      <c r="I54" s="380"/>
      <c r="J54" s="380"/>
    </row>
    <row r="55" spans="1:11">
      <c r="A55" s="380"/>
      <c r="B55" s="380"/>
      <c r="C55" s="380"/>
      <c r="D55" s="380"/>
      <c r="E55" s="380"/>
      <c r="F55" s="380"/>
      <c r="G55" s="380"/>
      <c r="H55" s="380"/>
      <c r="I55" s="380"/>
      <c r="J55" s="380"/>
    </row>
    <row r="56" spans="1:11">
      <c r="A56" s="380"/>
      <c r="B56" s="380"/>
      <c r="C56" s="380"/>
      <c r="D56" s="380"/>
      <c r="E56" s="380"/>
      <c r="F56" s="380"/>
      <c r="G56" s="380"/>
      <c r="H56" s="380"/>
      <c r="I56" s="380"/>
      <c r="J56" s="380"/>
    </row>
    <row r="57" spans="1:11">
      <c r="A57" s="380"/>
      <c r="B57" s="380"/>
      <c r="C57" s="380"/>
      <c r="D57" s="380"/>
      <c r="E57" s="380"/>
      <c r="F57" s="380"/>
      <c r="G57" s="380"/>
      <c r="H57" s="380"/>
      <c r="I57" s="380"/>
      <c r="J57" s="380"/>
    </row>
    <row r="58" spans="1:11">
      <c r="A58" s="380"/>
      <c r="B58" s="380"/>
      <c r="C58" s="380"/>
      <c r="D58" s="380"/>
      <c r="E58" s="380"/>
      <c r="F58" s="380"/>
      <c r="G58" s="380"/>
      <c r="H58" s="380"/>
      <c r="I58" s="380"/>
      <c r="J58" s="380"/>
    </row>
  </sheetData>
  <pageMargins left="0.66700000000000004" right="0.66700000000000004" top="0.66700000000000004" bottom="0.72" header="0" footer="0"/>
  <pageSetup scale="89" firstPageNumber="24" orientation="portrait" useFirstPageNumber="1" r:id="rId1"/>
  <headerFooter alignWithMargins="0"/>
  <colBreaks count="1" manualBreakCount="1">
    <brk id="10" max="1048575" man="1"/>
  </colBreaks>
  <ignoredErrors>
    <ignoredError sqref="A29:A32 A33" numberStoredAsText="1"/>
    <ignoredError sqref="E34:E43 E46:E47 E44:E45" formulaRange="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X96"/>
  <sheetViews>
    <sheetView showGridLines="0" topLeftCell="A56" zoomScaleNormal="100" workbookViewId="0">
      <selection activeCell="O99" sqref="O99"/>
    </sheetView>
  </sheetViews>
  <sheetFormatPr defaultColWidth="9.7109375" defaultRowHeight="12"/>
  <cols>
    <col min="1" max="15" width="9.140625" style="160" customWidth="1"/>
    <col min="16" max="16384" width="9.7109375" style="160"/>
  </cols>
  <sheetData>
    <row r="1" spans="1:15" s="111" customFormat="1" ht="10.15" customHeight="1">
      <c r="A1" s="108" t="s">
        <v>102</v>
      </c>
      <c r="B1" s="109"/>
      <c r="C1" s="109"/>
      <c r="D1" s="109"/>
      <c r="E1" s="109"/>
      <c r="F1" s="110"/>
      <c r="G1" s="110"/>
      <c r="H1" s="109"/>
      <c r="I1" s="109"/>
      <c r="J1" s="109"/>
      <c r="K1" s="110"/>
      <c r="L1" s="109"/>
      <c r="M1" s="109"/>
      <c r="N1" s="109"/>
      <c r="O1" s="109"/>
    </row>
    <row r="2" spans="1:15" s="111" customFormat="1" ht="3.95" customHeight="1">
      <c r="A2" s="112"/>
      <c r="B2" s="113"/>
      <c r="C2" s="113"/>
      <c r="D2" s="113"/>
      <c r="E2" s="113"/>
      <c r="F2" s="113"/>
      <c r="G2" s="113"/>
      <c r="H2" s="113"/>
      <c r="I2" s="113"/>
      <c r="J2" s="113"/>
      <c r="K2" s="113"/>
      <c r="L2" s="113"/>
      <c r="M2" s="113"/>
      <c r="N2" s="113"/>
      <c r="O2" s="113"/>
    </row>
    <row r="3" spans="1:15" s="111" customFormat="1" ht="10.15" customHeight="1">
      <c r="B3" s="114"/>
      <c r="C3" s="114"/>
      <c r="D3" s="114"/>
      <c r="E3" s="114"/>
      <c r="F3" s="115" t="s">
        <v>103</v>
      </c>
      <c r="G3" s="115"/>
      <c r="I3" s="114"/>
      <c r="J3" s="114"/>
    </row>
    <row r="4" spans="1:15" s="111" customFormat="1" ht="10.15" customHeight="1">
      <c r="B4" s="114"/>
      <c r="C4" s="114"/>
      <c r="D4" s="114"/>
      <c r="E4" s="114"/>
      <c r="F4" s="116"/>
      <c r="G4" s="116"/>
      <c r="H4" s="117" t="s">
        <v>104</v>
      </c>
      <c r="I4" s="114"/>
      <c r="J4" s="114"/>
      <c r="K4" s="118"/>
      <c r="L4" s="117" t="s">
        <v>105</v>
      </c>
      <c r="M4" s="117" t="s">
        <v>106</v>
      </c>
      <c r="N4" s="117"/>
    </row>
    <row r="5" spans="1:15" s="111" customFormat="1" ht="12.95" customHeight="1">
      <c r="A5" s="119" t="s">
        <v>107</v>
      </c>
      <c r="B5" s="120" t="s">
        <v>108</v>
      </c>
      <c r="C5" s="120" t="s">
        <v>109</v>
      </c>
      <c r="D5" s="120" t="s">
        <v>110</v>
      </c>
      <c r="E5" s="120" t="s">
        <v>111</v>
      </c>
      <c r="F5" s="120" t="s">
        <v>112</v>
      </c>
      <c r="G5" s="120" t="s">
        <v>113</v>
      </c>
      <c r="H5" s="120" t="s">
        <v>114</v>
      </c>
      <c r="I5" s="120" t="s">
        <v>115</v>
      </c>
      <c r="J5" s="120" t="s">
        <v>116</v>
      </c>
      <c r="K5" s="120" t="s">
        <v>117</v>
      </c>
      <c r="L5" s="120" t="s">
        <v>118</v>
      </c>
      <c r="M5" s="120" t="s">
        <v>119</v>
      </c>
      <c r="N5" s="120" t="s">
        <v>120</v>
      </c>
      <c r="O5" s="120" t="s">
        <v>121</v>
      </c>
    </row>
    <row r="6" spans="1:15" s="111" customFormat="1" ht="3.95" customHeight="1">
      <c r="A6" s="119"/>
      <c r="B6" s="118"/>
      <c r="C6" s="118"/>
      <c r="D6" s="118"/>
      <c r="E6" s="118"/>
      <c r="F6" s="118"/>
      <c r="G6" s="118"/>
      <c r="H6" s="118"/>
      <c r="I6" s="118"/>
      <c r="J6" s="118"/>
      <c r="K6" s="118"/>
      <c r="L6" s="118"/>
      <c r="M6" s="118"/>
      <c r="N6" s="118"/>
      <c r="O6" s="118"/>
    </row>
    <row r="7" spans="1:15" s="111" customFormat="1" ht="10.15" customHeight="1">
      <c r="A7" s="114"/>
      <c r="B7" s="121" t="s">
        <v>403</v>
      </c>
      <c r="C7" s="122"/>
      <c r="D7" s="122"/>
      <c r="E7" s="122"/>
      <c r="F7" s="122"/>
      <c r="G7" s="123"/>
      <c r="H7" s="122"/>
      <c r="I7" s="122"/>
      <c r="J7" s="122"/>
      <c r="K7" s="122"/>
      <c r="L7" s="122"/>
      <c r="M7" s="122"/>
      <c r="N7" s="122"/>
      <c r="O7" s="122"/>
    </row>
    <row r="8" spans="1:15" s="111" customFormat="1" ht="3" customHeight="1">
      <c r="A8" s="114"/>
      <c r="B8" s="114"/>
      <c r="C8" s="114"/>
      <c r="D8" s="114"/>
      <c r="E8" s="114"/>
      <c r="F8" s="114"/>
      <c r="G8" s="114"/>
      <c r="H8" s="114"/>
      <c r="I8" s="114"/>
      <c r="J8" s="114"/>
      <c r="K8" s="114"/>
      <c r="L8" s="114"/>
      <c r="M8" s="114"/>
      <c r="N8" s="114"/>
      <c r="O8" s="114"/>
    </row>
    <row r="9" spans="1:15" s="111" customFormat="1" ht="10.15" customHeight="1">
      <c r="A9" s="119" t="s">
        <v>4</v>
      </c>
      <c r="B9" s="124">
        <v>412.2</v>
      </c>
      <c r="C9" s="124">
        <v>194.2</v>
      </c>
      <c r="D9" s="124">
        <v>81</v>
      </c>
      <c r="E9" s="124">
        <v>698.6</v>
      </c>
      <c r="F9" s="124">
        <v>47</v>
      </c>
      <c r="G9" s="124">
        <v>42</v>
      </c>
      <c r="H9" s="125">
        <v>111.5</v>
      </c>
      <c r="I9" s="124">
        <v>24.8</v>
      </c>
      <c r="J9" s="125">
        <v>14.3</v>
      </c>
      <c r="K9" s="124">
        <v>806</v>
      </c>
      <c r="L9" s="125">
        <v>26.9</v>
      </c>
      <c r="M9" s="125">
        <v>199.9</v>
      </c>
      <c r="N9" s="125">
        <v>75.2</v>
      </c>
      <c r="O9" s="124">
        <v>4.7</v>
      </c>
    </row>
    <row r="10" spans="1:15" s="111" customFormat="1" ht="10.15" customHeight="1">
      <c r="A10" s="119" t="s">
        <v>5</v>
      </c>
      <c r="B10" s="124">
        <v>414.9</v>
      </c>
      <c r="C10" s="124">
        <v>188.3</v>
      </c>
      <c r="D10" s="124">
        <v>76.099999999999994</v>
      </c>
      <c r="E10" s="124">
        <v>694.4</v>
      </c>
      <c r="F10" s="124">
        <v>45.9</v>
      </c>
      <c r="G10" s="124">
        <v>40.799999999999997</v>
      </c>
      <c r="H10" s="125">
        <v>107.4</v>
      </c>
      <c r="I10" s="124">
        <v>23.3</v>
      </c>
      <c r="J10" s="125">
        <v>14.8</v>
      </c>
      <c r="K10" s="124">
        <v>794.6</v>
      </c>
      <c r="L10" s="125">
        <v>26.6</v>
      </c>
      <c r="M10" s="125">
        <v>197</v>
      </c>
      <c r="N10" s="125">
        <v>76.900000000000006</v>
      </c>
      <c r="O10" s="124">
        <v>5.3</v>
      </c>
    </row>
    <row r="11" spans="1:15" s="111" customFormat="1" ht="10.15" customHeight="1">
      <c r="A11" s="119" t="s">
        <v>6</v>
      </c>
      <c r="B11" s="124">
        <v>418.3</v>
      </c>
      <c r="C11" s="124">
        <v>188.6</v>
      </c>
      <c r="D11" s="124">
        <v>74.400000000000006</v>
      </c>
      <c r="E11" s="124">
        <v>719.45</v>
      </c>
      <c r="F11" s="124">
        <v>44.8</v>
      </c>
      <c r="G11" s="124">
        <v>40.299999999999997</v>
      </c>
      <c r="H11" s="125">
        <f>32.9+66.6+10.1</f>
        <v>109.6</v>
      </c>
      <c r="I11" s="124">
        <v>22.54</v>
      </c>
      <c r="J11" s="125">
        <v>14.7</v>
      </c>
      <c r="K11" s="124">
        <v>777.7</v>
      </c>
      <c r="L11" s="125">
        <v>32.4</v>
      </c>
      <c r="M11" s="125">
        <v>199.1</v>
      </c>
      <c r="N11" s="125">
        <v>75.8</v>
      </c>
      <c r="O11" s="124">
        <v>6.4</v>
      </c>
    </row>
    <row r="12" spans="1:15" s="111" customFormat="1" ht="10.15" customHeight="1">
      <c r="A12" s="119" t="s">
        <v>7</v>
      </c>
      <c r="B12" s="124">
        <v>424.5</v>
      </c>
      <c r="C12" s="124">
        <v>190.4</v>
      </c>
      <c r="D12" s="124">
        <v>70.7</v>
      </c>
      <c r="E12" s="124">
        <v>746.3</v>
      </c>
      <c r="F12" s="124">
        <v>44.4</v>
      </c>
      <c r="G12" s="124">
        <v>40.9</v>
      </c>
      <c r="H12" s="125">
        <f>34.9+67.7+9.7</f>
        <v>112.3</v>
      </c>
      <c r="I12" s="124">
        <v>21.8</v>
      </c>
      <c r="J12" s="125">
        <v>15.8</v>
      </c>
      <c r="K12" s="124">
        <v>750.8</v>
      </c>
      <c r="L12" s="125">
        <v>31.3</v>
      </c>
      <c r="M12" s="125">
        <v>199.3</v>
      </c>
      <c r="N12" s="125">
        <v>71.5</v>
      </c>
      <c r="O12" s="124">
        <v>7.3</v>
      </c>
    </row>
    <row r="13" spans="1:15" s="111" customFormat="1" ht="10.15" customHeight="1">
      <c r="A13" s="119" t="s">
        <v>8</v>
      </c>
      <c r="B13" s="124">
        <v>422.9</v>
      </c>
      <c r="C13" s="124">
        <v>194.3</v>
      </c>
      <c r="D13" s="124">
        <v>69.099999999999994</v>
      </c>
      <c r="E13" s="124">
        <v>770</v>
      </c>
      <c r="F13" s="124">
        <v>44.49</v>
      </c>
      <c r="G13" s="124">
        <v>43.7</v>
      </c>
      <c r="H13" s="125">
        <f>35.8+68.7+9.4</f>
        <v>113.9</v>
      </c>
      <c r="I13" s="124">
        <v>20.9</v>
      </c>
      <c r="J13" s="125">
        <v>17.3</v>
      </c>
      <c r="K13" s="124">
        <v>688.2</v>
      </c>
      <c r="L13" s="125">
        <v>25.5</v>
      </c>
      <c r="M13" s="125">
        <v>191.6</v>
      </c>
      <c r="N13" s="125">
        <v>69.8</v>
      </c>
      <c r="O13" s="124">
        <v>7</v>
      </c>
    </row>
    <row r="14" spans="1:15" s="111" customFormat="1" ht="10.15" customHeight="1">
      <c r="A14" s="119" t="s">
        <v>9</v>
      </c>
      <c r="B14" s="124">
        <v>430.7</v>
      </c>
      <c r="C14" s="124">
        <v>193.14</v>
      </c>
      <c r="D14" s="124">
        <v>68.599999999999994</v>
      </c>
      <c r="E14" s="124">
        <v>782.2</v>
      </c>
      <c r="F14" s="124">
        <v>44.8</v>
      </c>
      <c r="G14" s="124">
        <v>45.7</v>
      </c>
      <c r="H14" s="125">
        <f>36.6+71.7+9.2</f>
        <v>117.50000000000001</v>
      </c>
      <c r="I14" s="124">
        <v>20</v>
      </c>
      <c r="J14" s="125">
        <v>17.8</v>
      </c>
      <c r="K14" s="124">
        <v>617.70000000000005</v>
      </c>
      <c r="L14" s="125">
        <v>23.2</v>
      </c>
      <c r="M14" s="125">
        <v>162.80000000000001</v>
      </c>
      <c r="N14" s="125">
        <v>66.599999999999994</v>
      </c>
      <c r="O14" s="124">
        <v>6.7</v>
      </c>
    </row>
    <row r="15" spans="1:15" s="111" customFormat="1" ht="10.15" customHeight="1">
      <c r="A15" s="119" t="s">
        <v>51</v>
      </c>
      <c r="B15" s="124">
        <v>442.4</v>
      </c>
      <c r="C15" s="124">
        <v>191</v>
      </c>
      <c r="D15" s="124">
        <v>67.599999999999994</v>
      </c>
      <c r="E15" s="124">
        <v>770.6</v>
      </c>
      <c r="F15" s="124">
        <v>45.4</v>
      </c>
      <c r="G15" s="124">
        <v>48.2</v>
      </c>
      <c r="H15" s="125">
        <f>38.2+72.6+9.3</f>
        <v>120.1</v>
      </c>
      <c r="I15" s="124">
        <v>19.600000000000001</v>
      </c>
      <c r="J15" s="125">
        <v>18</v>
      </c>
      <c r="K15" s="124">
        <v>561.5</v>
      </c>
      <c r="L15" s="125">
        <v>20.6</v>
      </c>
      <c r="M15" s="125">
        <v>145.19999999999999</v>
      </c>
      <c r="N15" s="125">
        <v>65.3</v>
      </c>
      <c r="O15" s="124">
        <v>6.8</v>
      </c>
    </row>
    <row r="16" spans="1:15" s="111" customFormat="1" ht="10.15" customHeight="1">
      <c r="A16" s="119" t="s">
        <v>52</v>
      </c>
      <c r="B16" s="124">
        <v>452.29</v>
      </c>
      <c r="C16" s="124">
        <v>190.06</v>
      </c>
      <c r="D16" s="124">
        <v>68.709999999999994</v>
      </c>
      <c r="E16" s="124">
        <v>763.65</v>
      </c>
      <c r="F16" s="124">
        <v>46.57</v>
      </c>
      <c r="G16" s="124">
        <v>50.1</v>
      </c>
      <c r="H16" s="125">
        <f>39.9+75.6+9.4</f>
        <v>124.9</v>
      </c>
      <c r="I16" s="124">
        <v>19.2</v>
      </c>
      <c r="J16" s="125">
        <v>18.100000000000001</v>
      </c>
      <c r="K16" s="124">
        <v>569.5</v>
      </c>
      <c r="L16" s="125">
        <v>19.3</v>
      </c>
      <c r="M16" s="125">
        <v>147.9</v>
      </c>
      <c r="N16" s="125">
        <v>63.9</v>
      </c>
      <c r="O16" s="124">
        <v>6.7</v>
      </c>
    </row>
    <row r="17" spans="1:16" s="111" customFormat="1" ht="10.15" customHeight="1">
      <c r="A17" s="119" t="s">
        <v>53</v>
      </c>
      <c r="B17" s="124">
        <v>447.9</v>
      </c>
      <c r="C17" s="124">
        <v>182.41499999999999</v>
      </c>
      <c r="D17" s="124">
        <v>68.89</v>
      </c>
      <c r="E17" s="124">
        <v>760.75</v>
      </c>
      <c r="F17" s="124">
        <v>47.5</v>
      </c>
      <c r="G17" s="124">
        <v>49.2</v>
      </c>
      <c r="H17" s="125">
        <f>42.8+77.2+9.18</f>
        <v>129.18</v>
      </c>
      <c r="I17" s="124">
        <v>19.2</v>
      </c>
      <c r="J17" s="125">
        <v>17.7</v>
      </c>
      <c r="K17" s="124">
        <v>574.5</v>
      </c>
      <c r="L17" s="125">
        <v>19.5</v>
      </c>
      <c r="M17" s="125">
        <v>148.69999999999999</v>
      </c>
      <c r="N17" s="125">
        <v>64.5</v>
      </c>
      <c r="O17" s="124">
        <v>7</v>
      </c>
    </row>
    <row r="18" spans="1:16" s="111" customFormat="1" ht="10.15" customHeight="1">
      <c r="A18" s="119" t="s">
        <v>54</v>
      </c>
      <c r="B18" s="124">
        <v>450.41</v>
      </c>
      <c r="C18" s="124">
        <v>182.72</v>
      </c>
      <c r="D18" s="124">
        <v>69.39</v>
      </c>
      <c r="E18" s="124">
        <v>745</v>
      </c>
      <c r="F18" s="124">
        <v>46.87</v>
      </c>
      <c r="G18" s="124">
        <v>49.18</v>
      </c>
      <c r="H18" s="125">
        <f>41.1+77.4+8.91</f>
        <v>127.41</v>
      </c>
      <c r="I18" s="124">
        <v>18.7</v>
      </c>
      <c r="J18" s="125">
        <v>16.899999999999999</v>
      </c>
      <c r="K18" s="124">
        <v>588.70000000000005</v>
      </c>
      <c r="L18" s="125">
        <v>19.3</v>
      </c>
      <c r="M18" s="125">
        <v>150.19999999999999</v>
      </c>
      <c r="N18" s="125">
        <v>63.9</v>
      </c>
      <c r="O18" s="124">
        <v>6.6</v>
      </c>
    </row>
    <row r="19" spans="1:16" s="111" customFormat="1" ht="10.15" customHeight="1">
      <c r="A19" s="119" t="s">
        <v>55</v>
      </c>
      <c r="B19" s="124">
        <v>451.46</v>
      </c>
      <c r="C19" s="124">
        <v>179.99</v>
      </c>
      <c r="D19" s="124">
        <v>69.260000000000005</v>
      </c>
      <c r="E19" s="124">
        <v>739.89</v>
      </c>
      <c r="F19" s="124">
        <v>45.93</v>
      </c>
      <c r="G19" s="124">
        <v>48.68</v>
      </c>
      <c r="H19" s="125">
        <v>130.4</v>
      </c>
      <c r="I19" s="124">
        <v>18.36</v>
      </c>
      <c r="J19" s="125">
        <v>16.7</v>
      </c>
      <c r="K19" s="124">
        <v>597.79999999999995</v>
      </c>
      <c r="L19" s="125">
        <v>19.8</v>
      </c>
      <c r="M19" s="125">
        <v>147.30000000000001</v>
      </c>
      <c r="N19" s="125">
        <v>63.3</v>
      </c>
      <c r="O19" s="124">
        <v>6.7</v>
      </c>
    </row>
    <row r="20" spans="1:16" s="111" customFormat="1" ht="10.15" customHeight="1">
      <c r="A20" s="119" t="s">
        <v>56</v>
      </c>
      <c r="B20" s="124">
        <v>449.2</v>
      </c>
      <c r="C20" s="124">
        <v>178.27</v>
      </c>
      <c r="D20" s="124">
        <v>69.819999999999993</v>
      </c>
      <c r="E20" s="124">
        <v>735.93</v>
      </c>
      <c r="F20" s="124">
        <v>44.98</v>
      </c>
      <c r="G20" s="124">
        <v>48.08</v>
      </c>
      <c r="H20" s="125">
        <v>130.4</v>
      </c>
      <c r="I20" s="124">
        <v>18.77</v>
      </c>
      <c r="J20" s="125">
        <v>16</v>
      </c>
      <c r="K20" s="124">
        <v>612.70000000000005</v>
      </c>
      <c r="L20" s="125">
        <v>20</v>
      </c>
      <c r="M20" s="125">
        <v>133.19999999999999</v>
      </c>
      <c r="N20" s="125">
        <v>62.1</v>
      </c>
      <c r="O20" s="124">
        <v>6.2</v>
      </c>
    </row>
    <row r="21" spans="1:16" s="111" customFormat="1" ht="10.15" customHeight="1">
      <c r="A21" s="119" t="s">
        <v>57</v>
      </c>
      <c r="B21" s="124">
        <v>455.05</v>
      </c>
      <c r="C21" s="124">
        <v>179.35</v>
      </c>
      <c r="D21" s="124">
        <v>70.08</v>
      </c>
      <c r="E21" s="124">
        <v>746.14</v>
      </c>
      <c r="F21" s="124">
        <v>45.62</v>
      </c>
      <c r="G21" s="124">
        <v>48.5</v>
      </c>
      <c r="H21" s="125">
        <f>42.4+80.4+7.6</f>
        <v>130.4</v>
      </c>
      <c r="I21" s="124">
        <v>19.59</v>
      </c>
      <c r="J21" s="125">
        <v>14.4</v>
      </c>
      <c r="K21" s="124">
        <v>640.1</v>
      </c>
      <c r="L21" s="125">
        <v>24.1</v>
      </c>
      <c r="M21" s="125">
        <v>136.6</v>
      </c>
      <c r="N21" s="125">
        <v>62.1</v>
      </c>
      <c r="O21" s="124">
        <v>6.3</v>
      </c>
    </row>
    <row r="22" spans="1:16" s="111" customFormat="1" ht="10.15" customHeight="1">
      <c r="A22" s="119" t="s">
        <v>58</v>
      </c>
      <c r="B22" s="124">
        <v>459.7</v>
      </c>
      <c r="C22" s="124">
        <v>173.4</v>
      </c>
      <c r="D22" s="124">
        <v>69.83</v>
      </c>
      <c r="E22" s="124">
        <v>759.7</v>
      </c>
      <c r="F22" s="124">
        <v>46.7</v>
      </c>
      <c r="G22" s="124">
        <v>48.8</v>
      </c>
      <c r="H22" s="125">
        <f>41.2+83+7.2</f>
        <v>131.4</v>
      </c>
      <c r="I22" s="124">
        <v>20.79</v>
      </c>
      <c r="J22" s="125">
        <v>14.2</v>
      </c>
      <c r="K22" s="124">
        <v>688.22</v>
      </c>
      <c r="L22" s="125">
        <v>26.3</v>
      </c>
      <c r="M22" s="125">
        <v>145.6</v>
      </c>
      <c r="N22" s="125">
        <v>62.1</v>
      </c>
      <c r="O22" s="124">
        <v>6.3</v>
      </c>
      <c r="P22" s="126"/>
    </row>
    <row r="23" spans="1:16" s="111" customFormat="1" ht="10.15" customHeight="1">
      <c r="A23" s="119" t="s">
        <v>59</v>
      </c>
      <c r="B23" s="124">
        <v>459.5</v>
      </c>
      <c r="C23" s="124">
        <v>169.1</v>
      </c>
      <c r="D23" s="124">
        <v>70.3</v>
      </c>
      <c r="E23" s="124">
        <v>776.6</v>
      </c>
      <c r="F23" s="124">
        <v>49.6</v>
      </c>
      <c r="G23" s="124">
        <v>47.2</v>
      </c>
      <c r="H23" s="127">
        <f>41.6+84+6.5</f>
        <v>132.1</v>
      </c>
      <c r="I23" s="124">
        <v>21.29</v>
      </c>
      <c r="J23" s="125">
        <v>14.6</v>
      </c>
      <c r="K23" s="124">
        <v>711.9</v>
      </c>
      <c r="L23" s="125">
        <v>29.9</v>
      </c>
      <c r="M23" s="125">
        <v>154.69999999999999</v>
      </c>
      <c r="N23" s="125">
        <v>61.1</v>
      </c>
      <c r="O23" s="124">
        <v>1.9</v>
      </c>
    </row>
    <row r="24" spans="1:16" s="111" customFormat="1" ht="10.15" customHeight="1">
      <c r="A24" s="128" t="s">
        <v>122</v>
      </c>
      <c r="B24" s="129">
        <v>462.6</v>
      </c>
      <c r="C24" s="129">
        <v>164.6</v>
      </c>
      <c r="D24" s="129">
        <v>69.5</v>
      </c>
      <c r="E24" s="129">
        <v>782.6</v>
      </c>
      <c r="F24" s="129">
        <v>52.1</v>
      </c>
      <c r="G24" s="129">
        <v>44.7</v>
      </c>
      <c r="H24" s="130">
        <f>42+83.5+6</f>
        <v>131.5</v>
      </c>
      <c r="I24" s="129">
        <v>21.2</v>
      </c>
      <c r="J24" s="131">
        <v>14.7</v>
      </c>
      <c r="K24" s="129">
        <v>771.2</v>
      </c>
      <c r="L24" s="131">
        <v>34.299999999999997</v>
      </c>
      <c r="M24" s="131">
        <v>166.1</v>
      </c>
      <c r="N24" s="131">
        <v>61</v>
      </c>
      <c r="O24" s="129">
        <v>1.9</v>
      </c>
    </row>
    <row r="25" spans="1:16" s="111" customFormat="1" ht="10.15" customHeight="1">
      <c r="A25" s="128">
        <v>1996</v>
      </c>
      <c r="B25" s="129">
        <v>467.6</v>
      </c>
      <c r="C25" s="129">
        <v>164.3</v>
      </c>
      <c r="D25" s="129">
        <v>68.7</v>
      </c>
      <c r="E25" s="129">
        <v>808.8</v>
      </c>
      <c r="F25" s="129">
        <v>54.8</v>
      </c>
      <c r="G25" s="129">
        <v>42.6</v>
      </c>
      <c r="H25" s="130">
        <f>42.6+85+5.2</f>
        <v>132.79999999999998</v>
      </c>
      <c r="I25" s="129">
        <v>21.6</v>
      </c>
      <c r="J25" s="131">
        <v>15.4</v>
      </c>
      <c r="K25" s="129">
        <v>808.8</v>
      </c>
      <c r="L25" s="131">
        <v>38.6</v>
      </c>
      <c r="M25" s="131">
        <v>174.3</v>
      </c>
      <c r="N25" s="131">
        <v>61.3</v>
      </c>
      <c r="O25" s="129">
        <v>2</v>
      </c>
    </row>
    <row r="26" spans="1:16" s="111" customFormat="1" ht="10.15" customHeight="1">
      <c r="A26" s="128">
        <v>1997</v>
      </c>
      <c r="B26" s="129">
        <v>467.95</v>
      </c>
      <c r="C26" s="129">
        <v>157.75</v>
      </c>
      <c r="D26" s="129">
        <v>66.88</v>
      </c>
      <c r="E26" s="129">
        <v>835.27</v>
      </c>
      <c r="F26" s="129">
        <v>56.64</v>
      </c>
      <c r="G26" s="129">
        <v>40.33</v>
      </c>
      <c r="H26" s="130">
        <f>42+82+4.72</f>
        <v>128.72</v>
      </c>
      <c r="I26" s="129">
        <v>21.4</v>
      </c>
      <c r="J26" s="131">
        <v>16.399999999999999</v>
      </c>
      <c r="K26" s="129">
        <v>843.6</v>
      </c>
      <c r="L26" s="131">
        <v>42.5</v>
      </c>
      <c r="M26" s="131">
        <v>182</v>
      </c>
      <c r="N26" s="131">
        <v>61.9</v>
      </c>
      <c r="O26" s="129">
        <v>2.1</v>
      </c>
    </row>
    <row r="27" spans="1:16" s="111" customFormat="1" ht="10.15" customHeight="1">
      <c r="A27" s="128">
        <v>1998</v>
      </c>
      <c r="B27" s="129">
        <v>466.25</v>
      </c>
      <c r="C27" s="129">
        <v>159.16</v>
      </c>
      <c r="D27" s="129">
        <v>66.88</v>
      </c>
      <c r="E27" s="129">
        <v>856.07</v>
      </c>
      <c r="F27" s="129">
        <v>58.29</v>
      </c>
      <c r="G27" s="129">
        <v>40.32</v>
      </c>
      <c r="H27" s="130">
        <f>42+83+4.47</f>
        <v>129.47</v>
      </c>
      <c r="I27" s="129">
        <v>21.38</v>
      </c>
      <c r="J27" s="131">
        <v>16.600000000000001</v>
      </c>
      <c r="K27" s="129">
        <v>830</v>
      </c>
      <c r="L27" s="131">
        <v>41.5</v>
      </c>
      <c r="M27" s="131">
        <v>169.9</v>
      </c>
      <c r="N27" s="131">
        <v>62.7</v>
      </c>
      <c r="O27" s="129">
        <v>2.7</v>
      </c>
    </row>
    <row r="28" spans="1:16" s="111" customFormat="1" ht="10.15" customHeight="1">
      <c r="A28" s="128">
        <v>1999</v>
      </c>
      <c r="B28" s="129">
        <v>454.2</v>
      </c>
      <c r="C28" s="129">
        <v>155.44999999999999</v>
      </c>
      <c r="D28" s="129">
        <v>66.72</v>
      </c>
      <c r="E28" s="129">
        <v>906.8</v>
      </c>
      <c r="F28" s="129">
        <v>60.2</v>
      </c>
      <c r="G28" s="129">
        <v>39.700000000000003</v>
      </c>
      <c r="H28" s="130">
        <f>40+83+4.21</f>
        <v>127.21</v>
      </c>
      <c r="I28" s="129">
        <v>20.38</v>
      </c>
      <c r="J28" s="131">
        <v>15.1</v>
      </c>
      <c r="K28" s="129">
        <v>832.3</v>
      </c>
      <c r="L28" s="131">
        <v>41.8</v>
      </c>
      <c r="M28" s="131">
        <v>156.5</v>
      </c>
      <c r="N28" s="131">
        <v>63.1</v>
      </c>
      <c r="O28" s="129">
        <v>2.7</v>
      </c>
    </row>
    <row r="29" spans="1:16" s="111" customFormat="1" ht="10.15" customHeight="1">
      <c r="A29" s="112" t="s">
        <v>65</v>
      </c>
      <c r="B29" s="129">
        <v>433.65</v>
      </c>
      <c r="C29" s="129">
        <v>151.16</v>
      </c>
      <c r="D29" s="129">
        <v>66.91</v>
      </c>
      <c r="E29" s="129">
        <v>949.95</v>
      </c>
      <c r="F29" s="129">
        <v>63.85</v>
      </c>
      <c r="G29" s="129">
        <v>39.479999999999997</v>
      </c>
      <c r="H29" s="130">
        <f>38+86+4.11</f>
        <v>128.11000000000001</v>
      </c>
      <c r="I29" s="129">
        <v>20.38</v>
      </c>
      <c r="J29" s="131">
        <v>15.9</v>
      </c>
      <c r="K29" s="129">
        <v>816.6</v>
      </c>
      <c r="L29" s="131">
        <v>40.799999999999997</v>
      </c>
      <c r="M29" s="131">
        <v>153.5</v>
      </c>
      <c r="N29" s="131">
        <v>63.8</v>
      </c>
      <c r="O29" s="129">
        <v>2.8</v>
      </c>
    </row>
    <row r="30" spans="1:16" s="111" customFormat="1" ht="10.15" customHeight="1">
      <c r="A30" s="112" t="s">
        <v>66</v>
      </c>
      <c r="B30" s="129">
        <v>409.3</v>
      </c>
      <c r="C30" s="129">
        <v>147.52000000000001</v>
      </c>
      <c r="D30" s="129">
        <v>65.05</v>
      </c>
      <c r="E30" s="129">
        <v>932.47</v>
      </c>
      <c r="F30" s="129">
        <v>68.099999999999994</v>
      </c>
      <c r="G30" s="129">
        <v>38.54</v>
      </c>
      <c r="H30" s="130">
        <f>37+86+4.01</f>
        <v>127.01</v>
      </c>
      <c r="I30" s="129">
        <v>19.36</v>
      </c>
      <c r="J30" s="131">
        <v>14.6</v>
      </c>
      <c r="K30" s="129">
        <v>818.7</v>
      </c>
      <c r="L30" s="131">
        <v>40</v>
      </c>
      <c r="M30" s="131">
        <v>145.19999999999999</v>
      </c>
      <c r="N30" s="131">
        <v>65.3</v>
      </c>
      <c r="O30" s="129">
        <v>1.2</v>
      </c>
    </row>
    <row r="31" spans="1:16" s="111" customFormat="1" ht="10.15" customHeight="1">
      <c r="A31" s="112" t="s">
        <v>67</v>
      </c>
      <c r="B31" s="129">
        <v>394.8</v>
      </c>
      <c r="C31" s="129">
        <v>146.35</v>
      </c>
      <c r="D31" s="129">
        <v>64.114999999999995</v>
      </c>
      <c r="E31" s="129">
        <v>949.95</v>
      </c>
      <c r="F31" s="129">
        <v>72.73</v>
      </c>
      <c r="G31" s="129">
        <v>37.700000000000003</v>
      </c>
      <c r="H31" s="130">
        <f>36+74+4.01</f>
        <v>114.01</v>
      </c>
      <c r="I31" s="129">
        <v>17.34</v>
      </c>
      <c r="J31" s="131">
        <v>13.5</v>
      </c>
      <c r="K31" s="129">
        <v>797.6</v>
      </c>
      <c r="L31" s="131">
        <v>38.799999999999997</v>
      </c>
      <c r="M31" s="131">
        <v>136.30000000000001</v>
      </c>
      <c r="N31" s="131">
        <v>65.8</v>
      </c>
      <c r="O31" s="129">
        <v>0.8</v>
      </c>
    </row>
    <row r="32" spans="1:16" s="111" customFormat="1" ht="12.95" customHeight="1">
      <c r="A32" s="112" t="s">
        <v>83</v>
      </c>
      <c r="B32" s="129">
        <v>388.65</v>
      </c>
      <c r="C32" s="129">
        <v>144.16999999999999</v>
      </c>
      <c r="D32" s="129">
        <v>64.150000000000006</v>
      </c>
      <c r="E32" s="129">
        <v>953.31</v>
      </c>
      <c r="F32" s="129">
        <v>74.989999999999995</v>
      </c>
      <c r="G32" s="129">
        <v>36.97</v>
      </c>
      <c r="H32" s="130">
        <f>35+72+3.91</f>
        <v>110.91</v>
      </c>
      <c r="I32" s="129">
        <v>16.54</v>
      </c>
      <c r="J32" s="131">
        <v>13</v>
      </c>
      <c r="K32" s="129">
        <v>800</v>
      </c>
      <c r="L32" s="131">
        <v>37.9</v>
      </c>
      <c r="M32" s="131">
        <v>128.4</v>
      </c>
      <c r="N32" s="131">
        <v>64.8</v>
      </c>
      <c r="O32" s="361" t="s">
        <v>367</v>
      </c>
    </row>
    <row r="33" spans="1:22" s="111" customFormat="1" ht="12.95" customHeight="1">
      <c r="A33" s="112" t="s">
        <v>84</v>
      </c>
      <c r="B33" s="132">
        <v>381.86</v>
      </c>
      <c r="C33" s="132">
        <v>143.07</v>
      </c>
      <c r="D33" s="132">
        <v>63.15</v>
      </c>
      <c r="E33" s="132">
        <v>936.6</v>
      </c>
      <c r="F33" s="132">
        <v>77.275000000000006</v>
      </c>
      <c r="G33" s="132">
        <v>36.85</v>
      </c>
      <c r="H33" s="133">
        <f>33.5+70+3.66</f>
        <v>107.16</v>
      </c>
      <c r="I33" s="132">
        <v>14.84</v>
      </c>
      <c r="J33" s="134">
        <v>12.6</v>
      </c>
      <c r="K33" s="129">
        <v>771.5</v>
      </c>
      <c r="L33" s="131">
        <v>37</v>
      </c>
      <c r="M33" s="131">
        <v>114</v>
      </c>
      <c r="N33" s="131">
        <v>62</v>
      </c>
      <c r="O33" s="361" t="s">
        <v>367</v>
      </c>
    </row>
    <row r="34" spans="1:22" s="111" customFormat="1" ht="12.95" customHeight="1">
      <c r="A34" s="112">
        <v>2005</v>
      </c>
      <c r="B34" s="132">
        <v>369.06</v>
      </c>
      <c r="C34" s="132">
        <v>135.78</v>
      </c>
      <c r="D34" s="132">
        <v>60.54</v>
      </c>
      <c r="E34" s="132">
        <v>938.55</v>
      </c>
      <c r="F34" s="132">
        <v>78.790000000000006</v>
      </c>
      <c r="G34" s="132">
        <v>36.15</v>
      </c>
      <c r="H34" s="133">
        <f>32+67+3.38</f>
        <v>102.38</v>
      </c>
      <c r="I34" s="132">
        <v>13.94</v>
      </c>
      <c r="J34" s="134">
        <v>12</v>
      </c>
      <c r="K34" s="129">
        <v>745.8</v>
      </c>
      <c r="L34" s="131">
        <v>36.1</v>
      </c>
      <c r="M34" s="131">
        <v>101.5</v>
      </c>
      <c r="N34" s="131">
        <v>61.5</v>
      </c>
      <c r="O34" s="361" t="s">
        <v>367</v>
      </c>
    </row>
    <row r="35" spans="1:22" s="111" customFormat="1" ht="12.95" customHeight="1">
      <c r="A35" s="112">
        <v>2006</v>
      </c>
      <c r="B35" s="132">
        <v>359.9</v>
      </c>
      <c r="C35" s="132">
        <v>129.13</v>
      </c>
      <c r="D35" s="132">
        <v>59.84</v>
      </c>
      <c r="E35" s="132">
        <v>940.6</v>
      </c>
      <c r="F35" s="132">
        <v>80.599999999999994</v>
      </c>
      <c r="G35" s="132">
        <v>35.549999999999997</v>
      </c>
      <c r="H35" s="133">
        <f>31+65+3.38</f>
        <v>99.38</v>
      </c>
      <c r="I35" s="132">
        <v>13.05</v>
      </c>
      <c r="J35" s="134">
        <v>10.3</v>
      </c>
      <c r="K35" s="129">
        <v>693.1</v>
      </c>
      <c r="L35" s="131">
        <v>34.799999999999997</v>
      </c>
      <c r="M35" s="131">
        <v>89.1</v>
      </c>
      <c r="N35" s="131">
        <v>61</v>
      </c>
      <c r="O35" s="361" t="s">
        <v>367</v>
      </c>
    </row>
    <row r="36" spans="1:22" s="111" customFormat="1" ht="12.95" customHeight="1">
      <c r="A36" s="112">
        <v>2007</v>
      </c>
      <c r="B36" s="132">
        <v>350.89</v>
      </c>
      <c r="C36" s="132">
        <v>125.31</v>
      </c>
      <c r="D36" s="132">
        <v>58.64</v>
      </c>
      <c r="E36" s="132">
        <v>936.5</v>
      </c>
      <c r="F36" s="132">
        <v>81.67</v>
      </c>
      <c r="G36" s="132">
        <v>34.75</v>
      </c>
      <c r="H36" s="133">
        <v>96.84</v>
      </c>
      <c r="I36" s="132">
        <v>12.65</v>
      </c>
      <c r="J36" s="134">
        <v>9.1</v>
      </c>
      <c r="K36" s="129">
        <v>677.3</v>
      </c>
      <c r="L36" s="131">
        <v>36.799999999999997</v>
      </c>
      <c r="M36" s="131">
        <v>86.1</v>
      </c>
      <c r="N36" s="131">
        <v>60.5</v>
      </c>
      <c r="O36" s="361" t="s">
        <v>367</v>
      </c>
      <c r="R36" s="381"/>
      <c r="S36" s="381"/>
      <c r="T36" s="381"/>
      <c r="U36" s="381"/>
      <c r="V36" s="381"/>
    </row>
    <row r="37" spans="1:22" s="111" customFormat="1" ht="12.95" customHeight="1">
      <c r="A37" s="112">
        <v>2008</v>
      </c>
      <c r="B37" s="132">
        <v>348.79</v>
      </c>
      <c r="C37" s="132">
        <v>123.9</v>
      </c>
      <c r="D37" s="132">
        <v>58.62</v>
      </c>
      <c r="E37" s="132">
        <v>944.8</v>
      </c>
      <c r="F37" s="132">
        <v>82.61</v>
      </c>
      <c r="G37" s="132">
        <v>34.75</v>
      </c>
      <c r="H37" s="133">
        <v>95.24</v>
      </c>
      <c r="I37" s="132">
        <v>12.45</v>
      </c>
      <c r="J37" s="134">
        <v>9.4</v>
      </c>
      <c r="K37" s="129">
        <v>662.8</v>
      </c>
      <c r="L37" s="131">
        <v>40.5</v>
      </c>
      <c r="M37" s="131">
        <v>83.4</v>
      </c>
      <c r="N37" s="131">
        <v>59</v>
      </c>
      <c r="O37" s="361" t="s">
        <v>367</v>
      </c>
      <c r="R37" s="381"/>
      <c r="S37" s="381"/>
      <c r="T37" s="381"/>
      <c r="U37" s="381"/>
      <c r="V37" s="381"/>
    </row>
    <row r="38" spans="1:22" s="111" customFormat="1" ht="12.95" customHeight="1">
      <c r="A38" s="112">
        <v>2009</v>
      </c>
      <c r="B38" s="132">
        <v>344.9</v>
      </c>
      <c r="C38" s="132">
        <v>118.33</v>
      </c>
      <c r="D38" s="132">
        <v>57</v>
      </c>
      <c r="E38" s="132">
        <v>965.74</v>
      </c>
      <c r="F38" s="132">
        <v>85.31</v>
      </c>
      <c r="G38" s="132">
        <v>35.549999999999997</v>
      </c>
      <c r="H38" s="133">
        <v>93.19</v>
      </c>
      <c r="I38" s="132">
        <v>12.35</v>
      </c>
      <c r="J38" s="134">
        <v>9.3000000000000007</v>
      </c>
      <c r="K38" s="129">
        <v>656</v>
      </c>
      <c r="L38" s="131">
        <v>44.2</v>
      </c>
      <c r="M38" s="131">
        <v>80.400000000000006</v>
      </c>
      <c r="N38" s="131">
        <v>59</v>
      </c>
      <c r="O38" s="361" t="s">
        <v>367</v>
      </c>
      <c r="R38" s="381"/>
      <c r="S38" s="381"/>
      <c r="T38" s="381"/>
      <c r="U38" s="381"/>
      <c r="V38" s="381"/>
    </row>
    <row r="39" spans="1:22" s="111" customFormat="1" ht="12.95" customHeight="1">
      <c r="A39" s="112">
        <v>2010</v>
      </c>
      <c r="B39" s="132">
        <v>336.6</v>
      </c>
      <c r="C39" s="132">
        <v>116.78</v>
      </c>
      <c r="D39" s="132">
        <v>56</v>
      </c>
      <c r="E39" s="132">
        <v>994.73</v>
      </c>
      <c r="F39" s="132">
        <v>85.03</v>
      </c>
      <c r="G39" s="132">
        <v>35.65</v>
      </c>
      <c r="H39" s="496">
        <v>88.06</v>
      </c>
      <c r="I39" s="132">
        <v>12.15</v>
      </c>
      <c r="J39" s="134">
        <v>8.1</v>
      </c>
      <c r="K39" s="129">
        <v>642</v>
      </c>
      <c r="L39" s="131">
        <v>45.8</v>
      </c>
      <c r="M39" s="131">
        <v>75.7</v>
      </c>
      <c r="N39" s="131">
        <v>57</v>
      </c>
      <c r="O39" s="361" t="s">
        <v>367</v>
      </c>
      <c r="R39" s="381"/>
      <c r="S39" s="495"/>
      <c r="T39" s="381"/>
      <c r="U39" s="381"/>
      <c r="V39" s="381"/>
    </row>
    <row r="40" spans="1:22" s="111" customFormat="1" ht="12.95" customHeight="1">
      <c r="A40" s="112">
        <v>2011</v>
      </c>
      <c r="B40" s="132">
        <v>330.8</v>
      </c>
      <c r="C40" s="132">
        <v>111.83</v>
      </c>
      <c r="D40" s="132">
        <v>53.6</v>
      </c>
      <c r="E40" s="132">
        <v>1008.93</v>
      </c>
      <c r="F40" s="132">
        <v>85.67</v>
      </c>
      <c r="G40" s="132">
        <v>36.4</v>
      </c>
      <c r="H40" s="496">
        <v>82.76</v>
      </c>
      <c r="I40" s="132">
        <v>11.85</v>
      </c>
      <c r="J40" s="134">
        <v>7.9</v>
      </c>
      <c r="K40" s="135">
        <v>628</v>
      </c>
      <c r="L40" s="136">
        <v>48.3</v>
      </c>
      <c r="M40" s="136">
        <v>73.599999999999994</v>
      </c>
      <c r="N40" s="136">
        <v>55</v>
      </c>
      <c r="O40" s="361" t="s">
        <v>367</v>
      </c>
      <c r="R40" s="381"/>
      <c r="S40" s="495"/>
      <c r="T40" s="381"/>
      <c r="U40" s="381"/>
      <c r="V40" s="381"/>
    </row>
    <row r="41" spans="1:22" s="111" customFormat="1" ht="12.95" customHeight="1">
      <c r="A41" s="112" t="s">
        <v>85</v>
      </c>
      <c r="B41" s="132">
        <v>325.2</v>
      </c>
      <c r="C41" s="132">
        <v>109.04</v>
      </c>
      <c r="D41" s="132">
        <v>50.1</v>
      </c>
      <c r="E41" s="132">
        <v>1018.02</v>
      </c>
      <c r="F41" s="132">
        <v>86.39</v>
      </c>
      <c r="G41" s="132">
        <v>37.299999999999997</v>
      </c>
      <c r="H41" s="496">
        <v>77.599999999999994</v>
      </c>
      <c r="I41" s="132">
        <v>11.35</v>
      </c>
      <c r="J41" s="134">
        <v>7.4</v>
      </c>
      <c r="K41" s="132">
        <v>618.4</v>
      </c>
      <c r="L41" s="134">
        <v>52.6</v>
      </c>
      <c r="M41" s="134">
        <v>72.2</v>
      </c>
      <c r="N41" s="134">
        <v>54.5</v>
      </c>
      <c r="O41" s="361" t="s">
        <v>367</v>
      </c>
      <c r="R41" s="381"/>
      <c r="S41" s="495"/>
      <c r="T41" s="381"/>
      <c r="U41" s="381"/>
      <c r="V41" s="381"/>
    </row>
    <row r="42" spans="1:22" s="111" customFormat="1" ht="12.95" customHeight="1">
      <c r="A42" s="112" t="s">
        <v>86</v>
      </c>
      <c r="B42" s="132">
        <v>328.67</v>
      </c>
      <c r="C42" s="132">
        <v>106.29</v>
      </c>
      <c r="D42" s="132">
        <v>49.4</v>
      </c>
      <c r="E42" s="132">
        <v>1042.1199999999999</v>
      </c>
      <c r="F42" s="132">
        <v>90.1</v>
      </c>
      <c r="G42" s="132">
        <v>38.15</v>
      </c>
      <c r="H42" s="496">
        <v>71.599999999999994</v>
      </c>
      <c r="I42" s="132">
        <v>12.15</v>
      </c>
      <c r="J42" s="134">
        <v>7</v>
      </c>
      <c r="K42" s="132">
        <v>607.20000000000005</v>
      </c>
      <c r="L42" s="134">
        <v>54.7</v>
      </c>
      <c r="M42" s="134">
        <v>71.400000000000006</v>
      </c>
      <c r="N42" s="134">
        <v>54</v>
      </c>
      <c r="O42" s="361" t="s">
        <v>367</v>
      </c>
      <c r="R42" s="381"/>
      <c r="S42" s="495"/>
      <c r="T42" s="381"/>
      <c r="U42" s="381"/>
      <c r="V42" s="381"/>
    </row>
    <row r="43" spans="1:22" s="111" customFormat="1" ht="12.95" customHeight="1">
      <c r="A43" s="112">
        <v>2014</v>
      </c>
      <c r="B43" s="132">
        <v>329.88</v>
      </c>
      <c r="C43" s="132">
        <v>102.54</v>
      </c>
      <c r="D43" s="132">
        <v>49.1</v>
      </c>
      <c r="E43" s="132">
        <v>1033.7</v>
      </c>
      <c r="F43" s="132">
        <v>89.7</v>
      </c>
      <c r="G43" s="132">
        <v>37.85</v>
      </c>
      <c r="H43" s="496">
        <v>67</v>
      </c>
      <c r="I43" s="132">
        <v>12.12</v>
      </c>
      <c r="J43" s="134">
        <v>6.3</v>
      </c>
      <c r="K43" s="132">
        <v>591.79999999999995</v>
      </c>
      <c r="L43" s="134">
        <v>58.5</v>
      </c>
      <c r="M43" s="134">
        <v>69.5</v>
      </c>
      <c r="N43" s="134">
        <v>54.3</v>
      </c>
      <c r="O43" s="361" t="s">
        <v>367</v>
      </c>
      <c r="R43" s="381"/>
      <c r="S43" s="495"/>
      <c r="T43" s="381"/>
      <c r="U43" s="381"/>
      <c r="V43" s="381"/>
    </row>
    <row r="44" spans="1:22" s="111" customFormat="1" ht="12.95" customHeight="1">
      <c r="A44" s="112">
        <v>2015</v>
      </c>
      <c r="B44" s="132">
        <v>332.18</v>
      </c>
      <c r="C44" s="132">
        <v>99.19</v>
      </c>
      <c r="D44" s="132">
        <v>48.74</v>
      </c>
      <c r="E44" s="132">
        <v>1024.2</v>
      </c>
      <c r="F44" s="132">
        <v>91.83</v>
      </c>
      <c r="G44" s="132">
        <v>37.35</v>
      </c>
      <c r="H44" s="496">
        <v>64.92</v>
      </c>
      <c r="I44" s="132">
        <v>11.52</v>
      </c>
      <c r="J44" s="134">
        <v>6.4</v>
      </c>
      <c r="K44" s="132">
        <v>575.9</v>
      </c>
      <c r="L44" s="134">
        <v>63.4</v>
      </c>
      <c r="M44" s="134">
        <v>67.3</v>
      </c>
      <c r="N44" s="134">
        <v>55.3</v>
      </c>
      <c r="O44" s="361" t="s">
        <v>367</v>
      </c>
      <c r="Q44" s="381"/>
      <c r="R44" s="381"/>
      <c r="S44" s="495"/>
      <c r="T44" s="381"/>
      <c r="U44" s="381"/>
      <c r="V44" s="381"/>
    </row>
    <row r="45" spans="1:22" s="111" customFormat="1" ht="12.95" customHeight="1">
      <c r="A45" s="112">
        <v>2016</v>
      </c>
      <c r="B45" s="132">
        <v>328.8</v>
      </c>
      <c r="C45" s="132">
        <v>92.87</v>
      </c>
      <c r="D45" s="132">
        <v>46.1</v>
      </c>
      <c r="E45" s="132">
        <v>1009.6</v>
      </c>
      <c r="F45" s="132">
        <v>91.7</v>
      </c>
      <c r="G45" s="132">
        <v>35.9</v>
      </c>
      <c r="H45" s="496">
        <v>60</v>
      </c>
      <c r="I45" s="132">
        <v>11</v>
      </c>
      <c r="J45" s="134">
        <v>6.5</v>
      </c>
      <c r="K45" s="132">
        <v>551.4</v>
      </c>
      <c r="L45" s="134">
        <v>65.3</v>
      </c>
      <c r="M45" s="134">
        <v>64.099999999999994</v>
      </c>
      <c r="N45" s="134">
        <v>54.5</v>
      </c>
      <c r="O45" s="361" t="s">
        <v>367</v>
      </c>
      <c r="Q45" s="381">
        <f>15+45</f>
        <v>60</v>
      </c>
      <c r="R45" s="381"/>
      <c r="S45" s="495"/>
      <c r="T45" s="381"/>
      <c r="U45" s="381"/>
      <c r="V45" s="381"/>
    </row>
    <row r="46" spans="1:22" s="111" customFormat="1" ht="12.95" customHeight="1">
      <c r="A46" s="112">
        <v>2017</v>
      </c>
      <c r="B46" s="132">
        <v>328.2</v>
      </c>
      <c r="C46" s="132">
        <v>91.95</v>
      </c>
      <c r="D46" s="132">
        <v>46.2</v>
      </c>
      <c r="E46" s="132">
        <v>997.8</v>
      </c>
      <c r="F46" s="132">
        <v>92.5</v>
      </c>
      <c r="G46" s="132">
        <v>35.299999999999997</v>
      </c>
      <c r="H46" s="496">
        <v>60</v>
      </c>
      <c r="I46" s="132">
        <v>11.3</v>
      </c>
      <c r="J46" s="134">
        <v>6.7</v>
      </c>
      <c r="K46" s="132">
        <v>527.5</v>
      </c>
      <c r="L46" s="134">
        <v>68.400000000000006</v>
      </c>
      <c r="M46" s="134">
        <v>59.6</v>
      </c>
      <c r="N46" s="134">
        <v>54.3</v>
      </c>
      <c r="O46" s="361" t="s">
        <v>367</v>
      </c>
      <c r="Q46" s="381">
        <f>14+44</f>
        <v>58</v>
      </c>
      <c r="R46" s="381"/>
      <c r="S46" s="495"/>
      <c r="T46" s="381"/>
      <c r="U46" s="381"/>
      <c r="V46" s="381"/>
    </row>
    <row r="47" spans="1:22" s="111" customFormat="1" ht="12.95" customHeight="1">
      <c r="A47" s="112">
        <v>2018</v>
      </c>
      <c r="B47" s="132">
        <v>291.2</v>
      </c>
      <c r="C47" s="132">
        <v>74.5</v>
      </c>
      <c r="D47" s="132">
        <v>46.3</v>
      </c>
      <c r="E47" s="132">
        <v>937</v>
      </c>
      <c r="F47" s="132">
        <v>85</v>
      </c>
      <c r="G47" s="132">
        <v>35.200000000000003</v>
      </c>
      <c r="H47" s="133">
        <v>58</v>
      </c>
      <c r="I47" s="132">
        <v>10.6</v>
      </c>
      <c r="J47" s="361" t="s">
        <v>367</v>
      </c>
      <c r="K47" s="132">
        <v>517.5</v>
      </c>
      <c r="L47" s="134">
        <v>71.3</v>
      </c>
      <c r="M47" s="134">
        <v>54.8</v>
      </c>
      <c r="N47" s="134">
        <v>54.3</v>
      </c>
      <c r="O47" s="361" t="s">
        <v>367</v>
      </c>
      <c r="Q47" s="381"/>
      <c r="R47" s="381"/>
      <c r="S47" s="381"/>
      <c r="T47" s="381"/>
      <c r="U47" s="381"/>
      <c r="V47" s="381"/>
    </row>
    <row r="48" spans="1:22" s="111" customFormat="1" ht="3.95" customHeight="1">
      <c r="A48" s="112"/>
      <c r="B48" s="132"/>
      <c r="C48" s="132"/>
      <c r="D48" s="132"/>
      <c r="E48" s="132"/>
      <c r="F48" s="132"/>
      <c r="G48" s="132"/>
      <c r="H48" s="133"/>
      <c r="I48" s="132"/>
      <c r="J48" s="134"/>
      <c r="K48" s="132"/>
      <c r="L48" s="134"/>
      <c r="M48" s="134"/>
      <c r="N48" s="134"/>
      <c r="O48" s="137"/>
    </row>
    <row r="49" spans="1:15" s="111" customFormat="1" ht="11.1" customHeight="1">
      <c r="A49" s="114"/>
      <c r="B49" s="117" t="s">
        <v>123</v>
      </c>
      <c r="C49" s="117"/>
      <c r="D49" s="117" t="s">
        <v>124</v>
      </c>
      <c r="E49" s="117" t="s">
        <v>125</v>
      </c>
      <c r="F49" s="117"/>
      <c r="G49" s="117" t="s">
        <v>126</v>
      </c>
      <c r="H49" s="138"/>
      <c r="I49" s="117"/>
      <c r="J49" s="138"/>
      <c r="K49" s="117"/>
      <c r="L49" s="117"/>
      <c r="M49" s="117" t="s">
        <v>127</v>
      </c>
      <c r="N49" s="117"/>
      <c r="O49" s="117"/>
    </row>
    <row r="50" spans="1:15" s="111" customFormat="1" ht="12.95" customHeight="1">
      <c r="A50" s="119" t="s">
        <v>107</v>
      </c>
      <c r="B50" s="120" t="s">
        <v>128</v>
      </c>
      <c r="C50" s="120" t="s">
        <v>129</v>
      </c>
      <c r="D50" s="120" t="s">
        <v>130</v>
      </c>
      <c r="E50" s="120" t="s">
        <v>131</v>
      </c>
      <c r="F50" s="120" t="s">
        <v>132</v>
      </c>
      <c r="G50" s="120" t="s">
        <v>133</v>
      </c>
      <c r="H50" s="120" t="s">
        <v>134</v>
      </c>
      <c r="I50" s="120" t="s">
        <v>135</v>
      </c>
      <c r="J50" s="120" t="s">
        <v>136</v>
      </c>
      <c r="K50" s="120" t="s">
        <v>137</v>
      </c>
      <c r="L50" s="120" t="s">
        <v>138</v>
      </c>
      <c r="M50" s="120" t="s">
        <v>139</v>
      </c>
      <c r="N50" s="120" t="s">
        <v>140</v>
      </c>
      <c r="O50" s="139" t="s">
        <v>96</v>
      </c>
    </row>
    <row r="51" spans="1:15" s="111" customFormat="1" ht="3.95" customHeight="1">
      <c r="A51" s="119"/>
      <c r="B51" s="118"/>
      <c r="C51" s="118"/>
      <c r="D51" s="118"/>
      <c r="E51" s="118"/>
      <c r="F51" s="118"/>
      <c r="G51" s="118"/>
      <c r="H51" s="118"/>
      <c r="I51" s="118"/>
      <c r="J51" s="118"/>
      <c r="K51" s="118"/>
      <c r="L51" s="118"/>
      <c r="M51" s="118"/>
      <c r="N51" s="118"/>
      <c r="O51" s="118"/>
    </row>
    <row r="52" spans="1:15" s="111" customFormat="1" ht="10.15" customHeight="1">
      <c r="A52" s="114"/>
      <c r="B52" s="121" t="s">
        <v>404</v>
      </c>
      <c r="C52" s="122"/>
      <c r="D52" s="122"/>
      <c r="E52" s="122"/>
      <c r="F52" s="122"/>
      <c r="G52" s="140"/>
      <c r="H52" s="122"/>
      <c r="I52" s="122"/>
      <c r="J52" s="122"/>
      <c r="K52" s="122"/>
      <c r="L52" s="122"/>
      <c r="M52" s="122"/>
      <c r="N52" s="122"/>
      <c r="O52" s="122"/>
    </row>
    <row r="53" spans="1:15" s="111" customFormat="1" ht="3" customHeight="1">
      <c r="A53" s="114"/>
      <c r="B53" s="114"/>
      <c r="C53" s="114"/>
      <c r="D53" s="114"/>
      <c r="E53" s="114"/>
      <c r="F53" s="114"/>
      <c r="G53" s="114"/>
      <c r="H53" s="114"/>
      <c r="I53" s="114"/>
      <c r="J53" s="114"/>
      <c r="K53" s="114"/>
      <c r="L53" s="114"/>
      <c r="M53" s="114"/>
      <c r="N53" s="114"/>
      <c r="O53" s="114"/>
    </row>
    <row r="54" spans="1:15" s="111" customFormat="1" ht="10.15" customHeight="1">
      <c r="A54" s="119" t="s">
        <v>4</v>
      </c>
      <c r="B54" s="124">
        <v>17.3</v>
      </c>
      <c r="C54" s="124">
        <v>18.2</v>
      </c>
      <c r="D54" s="124">
        <v>36.1</v>
      </c>
      <c r="E54" s="124">
        <v>43</v>
      </c>
      <c r="F54" s="124">
        <v>67.099999999999994</v>
      </c>
      <c r="G54" s="124">
        <v>18.399999999999999</v>
      </c>
      <c r="H54" s="125">
        <v>23.2</v>
      </c>
      <c r="I54" s="124">
        <v>0.6</v>
      </c>
      <c r="J54" s="125">
        <v>1.6</v>
      </c>
      <c r="K54" s="124">
        <v>4</v>
      </c>
      <c r="L54" s="125">
        <v>2</v>
      </c>
      <c r="M54" s="125">
        <v>3.1</v>
      </c>
      <c r="N54" s="125">
        <v>1.5</v>
      </c>
      <c r="O54" s="141">
        <f t="shared" ref="O54:O63" si="0">SUM(B9:O9)+SUM(B54:N54)</f>
        <v>2974.3999999999996</v>
      </c>
    </row>
    <row r="55" spans="1:15" s="111" customFormat="1" ht="10.15" customHeight="1">
      <c r="A55" s="119" t="s">
        <v>5</v>
      </c>
      <c r="B55" s="124">
        <v>16.8</v>
      </c>
      <c r="C55" s="124">
        <v>17.7</v>
      </c>
      <c r="D55" s="124">
        <v>37</v>
      </c>
      <c r="E55" s="124">
        <v>41</v>
      </c>
      <c r="F55" s="124">
        <v>73</v>
      </c>
      <c r="G55" s="124">
        <v>21</v>
      </c>
      <c r="H55" s="125">
        <v>23.2</v>
      </c>
      <c r="I55" s="124">
        <v>0.7</v>
      </c>
      <c r="J55" s="125">
        <v>3</v>
      </c>
      <c r="K55" s="124">
        <v>4.0999999999999996</v>
      </c>
      <c r="L55" s="125">
        <v>2.1</v>
      </c>
      <c r="M55" s="125">
        <v>3.3</v>
      </c>
      <c r="N55" s="125">
        <v>1.5</v>
      </c>
      <c r="O55" s="141">
        <f t="shared" si="0"/>
        <v>2950.7000000000003</v>
      </c>
    </row>
    <row r="56" spans="1:15" s="111" customFormat="1" ht="10.15" customHeight="1">
      <c r="A56" s="119" t="s">
        <v>6</v>
      </c>
      <c r="B56" s="124">
        <v>16.100000000000001</v>
      </c>
      <c r="C56" s="124">
        <v>16.8</v>
      </c>
      <c r="D56" s="124">
        <v>40.299999999999997</v>
      </c>
      <c r="E56" s="124">
        <v>36</v>
      </c>
      <c r="F56" s="124">
        <v>78</v>
      </c>
      <c r="G56" s="124">
        <v>22.2</v>
      </c>
      <c r="H56" s="125">
        <v>23.35</v>
      </c>
      <c r="I56" s="124">
        <v>0.7</v>
      </c>
      <c r="J56" s="125">
        <v>3.4</v>
      </c>
      <c r="K56" s="124">
        <v>4.0999999999999996</v>
      </c>
      <c r="L56" s="125">
        <v>2.2000000000000002</v>
      </c>
      <c r="M56" s="125">
        <v>3.3</v>
      </c>
      <c r="N56" s="125">
        <v>1.5</v>
      </c>
      <c r="O56" s="141">
        <f t="shared" si="0"/>
        <v>2972.04</v>
      </c>
    </row>
    <row r="57" spans="1:15" s="111" customFormat="1" ht="10.15" customHeight="1">
      <c r="A57" s="119" t="s">
        <v>7</v>
      </c>
      <c r="B57" s="124">
        <v>15.6</v>
      </c>
      <c r="C57" s="124">
        <v>15.8</v>
      </c>
      <c r="D57" s="124">
        <v>43.3</v>
      </c>
      <c r="E57" s="124">
        <v>35</v>
      </c>
      <c r="F57" s="124">
        <v>83</v>
      </c>
      <c r="G57" s="124">
        <v>23.1</v>
      </c>
      <c r="H57" s="125">
        <v>24.1</v>
      </c>
      <c r="I57" s="124">
        <v>0.9</v>
      </c>
      <c r="J57" s="125">
        <v>3.1</v>
      </c>
      <c r="K57" s="124">
        <v>4.2</v>
      </c>
      <c r="L57" s="125">
        <v>2.1</v>
      </c>
      <c r="M57" s="125">
        <v>3.8</v>
      </c>
      <c r="N57" s="125">
        <v>1.5</v>
      </c>
      <c r="O57" s="141">
        <f t="shared" si="0"/>
        <v>2982.8000000000006</v>
      </c>
    </row>
    <row r="58" spans="1:15" s="111" customFormat="1" ht="10.15" customHeight="1">
      <c r="A58" s="119" t="s">
        <v>8</v>
      </c>
      <c r="B58" s="124">
        <v>12.3</v>
      </c>
      <c r="C58" s="124">
        <v>13.5</v>
      </c>
      <c r="D58" s="124">
        <v>43.3</v>
      </c>
      <c r="E58" s="124">
        <v>35</v>
      </c>
      <c r="F58" s="124">
        <v>84</v>
      </c>
      <c r="G58" s="124">
        <v>24.5</v>
      </c>
      <c r="H58" s="125">
        <v>24.6</v>
      </c>
      <c r="I58" s="124">
        <v>0.9</v>
      </c>
      <c r="J58" s="125">
        <v>3.8</v>
      </c>
      <c r="K58" s="124">
        <v>4.3</v>
      </c>
      <c r="L58" s="125">
        <v>2.6</v>
      </c>
      <c r="M58" s="125">
        <v>3.4</v>
      </c>
      <c r="N58" s="125">
        <v>1.7</v>
      </c>
      <c r="O58" s="141">
        <f t="shared" si="0"/>
        <v>2932.5900000000006</v>
      </c>
    </row>
    <row r="59" spans="1:15" s="111" customFormat="1" ht="10.15" customHeight="1">
      <c r="A59" s="119" t="s">
        <v>9</v>
      </c>
      <c r="B59" s="124">
        <v>10.1</v>
      </c>
      <c r="C59" s="124">
        <v>12.2</v>
      </c>
      <c r="D59" s="124">
        <v>44.1</v>
      </c>
      <c r="E59" s="124">
        <v>34.5</v>
      </c>
      <c r="F59" s="124">
        <v>85.2</v>
      </c>
      <c r="G59" s="124">
        <v>22.4</v>
      </c>
      <c r="H59" s="125">
        <v>25.7</v>
      </c>
      <c r="I59" s="124">
        <v>0.8</v>
      </c>
      <c r="J59" s="125">
        <v>4.8</v>
      </c>
      <c r="K59" s="124">
        <v>4.4000000000000004</v>
      </c>
      <c r="L59" s="125">
        <v>2.7</v>
      </c>
      <c r="M59" s="125">
        <v>3.5</v>
      </c>
      <c r="N59" s="125">
        <v>1.8</v>
      </c>
      <c r="O59" s="141">
        <f t="shared" si="0"/>
        <v>2849.6399999999994</v>
      </c>
    </row>
    <row r="60" spans="1:15" s="111" customFormat="1" ht="10.15" customHeight="1">
      <c r="A60" s="119" t="s">
        <v>51</v>
      </c>
      <c r="B60" s="124">
        <v>9.5</v>
      </c>
      <c r="C60" s="124">
        <v>10</v>
      </c>
      <c r="D60" s="124">
        <v>44.4</v>
      </c>
      <c r="E60" s="124">
        <v>36</v>
      </c>
      <c r="F60" s="124">
        <v>86.3</v>
      </c>
      <c r="G60" s="124">
        <v>22.8</v>
      </c>
      <c r="H60" s="125">
        <v>26.3</v>
      </c>
      <c r="I60" s="124">
        <v>1</v>
      </c>
      <c r="J60" s="125">
        <v>5.6</v>
      </c>
      <c r="K60" s="124">
        <v>4.5</v>
      </c>
      <c r="L60" s="125">
        <v>2.4</v>
      </c>
      <c r="M60" s="125">
        <v>3.5</v>
      </c>
      <c r="N60" s="125">
        <v>2.1</v>
      </c>
      <c r="O60" s="141">
        <f t="shared" si="0"/>
        <v>2776.7</v>
      </c>
    </row>
    <row r="61" spans="1:15" s="111" customFormat="1" ht="10.15" customHeight="1">
      <c r="A61" s="119" t="s">
        <v>52</v>
      </c>
      <c r="B61" s="124">
        <v>9.5</v>
      </c>
      <c r="C61" s="124">
        <v>9.4</v>
      </c>
      <c r="D61" s="124">
        <v>46.1</v>
      </c>
      <c r="E61" s="124">
        <v>36.1</v>
      </c>
      <c r="F61" s="124">
        <v>86.1</v>
      </c>
      <c r="G61" s="124">
        <v>23.6</v>
      </c>
      <c r="H61" s="125">
        <v>26.7</v>
      </c>
      <c r="I61" s="124">
        <v>1.1000000000000001</v>
      </c>
      <c r="J61" s="125">
        <v>6.8</v>
      </c>
      <c r="K61" s="124">
        <v>4.9000000000000004</v>
      </c>
      <c r="L61" s="125">
        <v>2.4</v>
      </c>
      <c r="M61" s="125">
        <v>3.4</v>
      </c>
      <c r="N61" s="125">
        <v>2.2000000000000002</v>
      </c>
      <c r="O61" s="141">
        <f t="shared" si="0"/>
        <v>2799.1800000000003</v>
      </c>
    </row>
    <row r="62" spans="1:15" s="111" customFormat="1" ht="10.15" customHeight="1">
      <c r="A62" s="119" t="s">
        <v>53</v>
      </c>
      <c r="B62" s="124">
        <v>9.4</v>
      </c>
      <c r="C62" s="124">
        <v>9.3000000000000007</v>
      </c>
      <c r="D62" s="124">
        <v>47.2</v>
      </c>
      <c r="E62" s="124">
        <v>34.6</v>
      </c>
      <c r="F62" s="124">
        <v>86.4</v>
      </c>
      <c r="G62" s="124">
        <v>25.3</v>
      </c>
      <c r="H62" s="125">
        <v>27.3</v>
      </c>
      <c r="I62" s="124">
        <v>1.1000000000000001</v>
      </c>
      <c r="J62" s="125">
        <v>7.1</v>
      </c>
      <c r="K62" s="124">
        <v>5.0999999999999996</v>
      </c>
      <c r="L62" s="125">
        <v>2.2999999999999998</v>
      </c>
      <c r="M62" s="125">
        <v>3.5</v>
      </c>
      <c r="N62" s="125">
        <v>2.4</v>
      </c>
      <c r="O62" s="141">
        <f t="shared" si="0"/>
        <v>2797.9349999999999</v>
      </c>
    </row>
    <row r="63" spans="1:15" s="111" customFormat="1" ht="10.15" customHeight="1">
      <c r="A63" s="119" t="s">
        <v>54</v>
      </c>
      <c r="B63" s="124">
        <v>9.5</v>
      </c>
      <c r="C63" s="124">
        <v>9.3000000000000007</v>
      </c>
      <c r="D63" s="124">
        <v>46.1</v>
      </c>
      <c r="E63" s="124">
        <v>32.700000000000003</v>
      </c>
      <c r="F63" s="124">
        <v>85.9</v>
      </c>
      <c r="G63" s="124">
        <v>24.4</v>
      </c>
      <c r="H63" s="125">
        <v>27.6</v>
      </c>
      <c r="I63" s="124">
        <v>1</v>
      </c>
      <c r="J63" s="125">
        <v>7.2</v>
      </c>
      <c r="K63" s="124">
        <v>5</v>
      </c>
      <c r="L63" s="125">
        <v>2.5</v>
      </c>
      <c r="M63" s="125">
        <v>3.1</v>
      </c>
      <c r="N63" s="125">
        <v>2.5</v>
      </c>
      <c r="O63" s="141">
        <f t="shared" si="0"/>
        <v>2792.08</v>
      </c>
    </row>
    <row r="64" spans="1:15" s="111" customFormat="1" ht="12.95" customHeight="1">
      <c r="A64" s="119" t="s">
        <v>55</v>
      </c>
      <c r="B64" s="124">
        <v>8.9</v>
      </c>
      <c r="C64" s="124">
        <v>8</v>
      </c>
      <c r="D64" s="124">
        <v>46.08</v>
      </c>
      <c r="E64" s="124">
        <v>30.9</v>
      </c>
      <c r="F64" s="124">
        <v>83.45</v>
      </c>
      <c r="G64" s="124">
        <v>25.5</v>
      </c>
      <c r="H64" s="125">
        <v>27.8</v>
      </c>
      <c r="I64" s="124">
        <v>0.9</v>
      </c>
      <c r="J64" s="125">
        <v>7.3</v>
      </c>
      <c r="K64" s="124">
        <v>5</v>
      </c>
      <c r="L64" s="125">
        <v>2.4</v>
      </c>
      <c r="M64" s="361" t="s">
        <v>368</v>
      </c>
      <c r="N64" s="125">
        <v>2.5</v>
      </c>
      <c r="O64" s="141">
        <v>2784.3</v>
      </c>
    </row>
    <row r="65" spans="1:16" s="111" customFormat="1" ht="12.95" customHeight="1">
      <c r="A65" s="119" t="s">
        <v>56</v>
      </c>
      <c r="B65" s="124">
        <v>8</v>
      </c>
      <c r="C65" s="142">
        <v>7.7</v>
      </c>
      <c r="D65" s="124">
        <v>46.08</v>
      </c>
      <c r="E65" s="124">
        <v>28.4</v>
      </c>
      <c r="F65" s="124">
        <v>82.38</v>
      </c>
      <c r="G65" s="124">
        <v>26.4</v>
      </c>
      <c r="H65" s="125">
        <v>28.4</v>
      </c>
      <c r="I65" s="124">
        <v>0.89</v>
      </c>
      <c r="J65" s="125">
        <v>7.3</v>
      </c>
      <c r="K65" s="124">
        <v>5.2</v>
      </c>
      <c r="L65" s="125">
        <v>2.0249999999999999</v>
      </c>
      <c r="M65" s="361" t="s">
        <v>368</v>
      </c>
      <c r="N65" s="125">
        <v>2.5</v>
      </c>
      <c r="O65" s="141">
        <f t="shared" ref="O65:O85" si="1">SUM(B20:O20)+SUM(B65:N65)</f>
        <v>2770.9249999999993</v>
      </c>
    </row>
    <row r="66" spans="1:16" s="111" customFormat="1" ht="12.95" customHeight="1">
      <c r="A66" s="119" t="s">
        <v>57</v>
      </c>
      <c r="B66" s="124">
        <v>9.8000000000000007</v>
      </c>
      <c r="C66" s="124">
        <v>7.1</v>
      </c>
      <c r="D66" s="124">
        <v>49.53</v>
      </c>
      <c r="E66" s="124">
        <v>26.2</v>
      </c>
      <c r="F66" s="124">
        <v>81.52</v>
      </c>
      <c r="G66" s="124">
        <v>26.5</v>
      </c>
      <c r="H66" s="125">
        <v>29.2</v>
      </c>
      <c r="I66" s="124">
        <v>0.87</v>
      </c>
      <c r="J66" s="125">
        <v>7.3</v>
      </c>
      <c r="K66" s="124">
        <v>5.3</v>
      </c>
      <c r="L66" s="125">
        <v>2.415</v>
      </c>
      <c r="M66" s="361" t="s">
        <v>368</v>
      </c>
      <c r="N66" s="125">
        <v>2.5</v>
      </c>
      <c r="O66" s="141">
        <f t="shared" si="1"/>
        <v>2826.5650000000001</v>
      </c>
      <c r="P66" s="143"/>
    </row>
    <row r="67" spans="1:16" s="111" customFormat="1" ht="12.95" customHeight="1">
      <c r="A67" s="119" t="s">
        <v>58</v>
      </c>
      <c r="B67" s="124">
        <v>10.5</v>
      </c>
      <c r="C67" s="124">
        <v>7.3</v>
      </c>
      <c r="D67" s="124">
        <v>51.2</v>
      </c>
      <c r="E67" s="124">
        <v>22</v>
      </c>
      <c r="F67" s="124">
        <v>73</v>
      </c>
      <c r="G67" s="124">
        <v>28</v>
      </c>
      <c r="H67" s="125">
        <v>29.4</v>
      </c>
      <c r="I67" s="124">
        <v>0.8</v>
      </c>
      <c r="J67" s="125">
        <v>6.9</v>
      </c>
      <c r="K67" s="124">
        <v>5.5</v>
      </c>
      <c r="L67" s="125">
        <v>2.5550000000000002</v>
      </c>
      <c r="M67" s="361" t="s">
        <v>368</v>
      </c>
      <c r="N67" s="125">
        <v>1.6</v>
      </c>
      <c r="O67" s="141">
        <f t="shared" si="1"/>
        <v>2891.7950000000005</v>
      </c>
      <c r="P67" s="126"/>
    </row>
    <row r="68" spans="1:16" s="111" customFormat="1" ht="12.95" customHeight="1">
      <c r="A68" s="119" t="s">
        <v>59</v>
      </c>
      <c r="B68" s="124">
        <v>11.3</v>
      </c>
      <c r="C68" s="124">
        <v>6.7</v>
      </c>
      <c r="D68" s="124">
        <v>48.8</v>
      </c>
      <c r="E68" s="124">
        <v>22.3</v>
      </c>
      <c r="F68" s="124">
        <v>67.2</v>
      </c>
      <c r="G68" s="124">
        <v>31</v>
      </c>
      <c r="H68" s="125">
        <v>31.1</v>
      </c>
      <c r="I68" s="124">
        <v>0.93</v>
      </c>
      <c r="J68" s="125">
        <v>6.5</v>
      </c>
      <c r="K68" s="124">
        <v>5.5</v>
      </c>
      <c r="L68" s="125">
        <v>2.2000000000000002</v>
      </c>
      <c r="M68" s="361" t="s">
        <v>368</v>
      </c>
      <c r="N68" s="125">
        <v>1.6</v>
      </c>
      <c r="O68" s="141">
        <f t="shared" si="1"/>
        <v>2934.9199999999996</v>
      </c>
    </row>
    <row r="69" spans="1:16" s="111" customFormat="1" ht="12.95" customHeight="1">
      <c r="A69" s="128" t="s">
        <v>122</v>
      </c>
      <c r="B69" s="129">
        <v>12.4</v>
      </c>
      <c r="C69" s="129">
        <v>6.8</v>
      </c>
      <c r="D69" s="129">
        <v>48.1</v>
      </c>
      <c r="E69" s="129">
        <v>19.899999999999999</v>
      </c>
      <c r="F69" s="129">
        <v>67.099999999999994</v>
      </c>
      <c r="G69" s="129">
        <v>34</v>
      </c>
      <c r="H69" s="131">
        <v>32.799999999999997</v>
      </c>
      <c r="I69" s="129">
        <v>0.93</v>
      </c>
      <c r="J69" s="131">
        <v>6.1</v>
      </c>
      <c r="K69" s="129">
        <v>5.2</v>
      </c>
      <c r="L69" s="131">
        <v>2.4350000000000001</v>
      </c>
      <c r="M69" s="361" t="s">
        <v>368</v>
      </c>
      <c r="N69" s="131">
        <v>1.5</v>
      </c>
      <c r="O69" s="144">
        <f t="shared" si="1"/>
        <v>3015.2650000000003</v>
      </c>
    </row>
    <row r="70" spans="1:16" s="111" customFormat="1" ht="12.95" customHeight="1">
      <c r="A70" s="128">
        <v>1996</v>
      </c>
      <c r="B70" s="129">
        <v>12.7</v>
      </c>
      <c r="C70" s="129">
        <v>6.6</v>
      </c>
      <c r="D70" s="129">
        <v>47.7</v>
      </c>
      <c r="E70" s="129">
        <v>20</v>
      </c>
      <c r="F70" s="129">
        <v>65.8</v>
      </c>
      <c r="G70" s="129">
        <v>35</v>
      </c>
      <c r="H70" s="131">
        <v>34</v>
      </c>
      <c r="I70" s="129">
        <v>1</v>
      </c>
      <c r="J70" s="131">
        <v>5.7</v>
      </c>
      <c r="K70" s="129">
        <v>4.7</v>
      </c>
      <c r="L70" s="131">
        <v>1.8</v>
      </c>
      <c r="M70" s="361" t="s">
        <v>368</v>
      </c>
      <c r="N70" s="131">
        <v>1.5</v>
      </c>
      <c r="O70" s="144">
        <f t="shared" si="1"/>
        <v>3098.1</v>
      </c>
    </row>
    <row r="71" spans="1:16" s="111" customFormat="1" ht="12.95" customHeight="1">
      <c r="A71" s="128">
        <v>1997</v>
      </c>
      <c r="B71" s="129">
        <v>13.3</v>
      </c>
      <c r="C71" s="129">
        <v>6.7</v>
      </c>
      <c r="D71" s="129">
        <v>44.26</v>
      </c>
      <c r="E71" s="129">
        <v>19.899999999999999</v>
      </c>
      <c r="F71" s="129">
        <v>66.05</v>
      </c>
      <c r="G71" s="129">
        <v>36</v>
      </c>
      <c r="H71" s="131">
        <v>35.700000000000003</v>
      </c>
      <c r="I71" s="129">
        <v>0.95</v>
      </c>
      <c r="J71" s="131">
        <v>5.3</v>
      </c>
      <c r="K71" s="129">
        <v>4.8</v>
      </c>
      <c r="L71" s="131">
        <v>1.9850000000000001</v>
      </c>
      <c r="M71" s="361" t="s">
        <v>368</v>
      </c>
      <c r="N71" s="131">
        <v>1.4</v>
      </c>
      <c r="O71" s="144">
        <f t="shared" si="1"/>
        <v>3159.7849999999999</v>
      </c>
    </row>
    <row r="72" spans="1:16" s="111" customFormat="1" ht="12.95" customHeight="1">
      <c r="A72" s="128">
        <v>1998</v>
      </c>
      <c r="B72" s="129">
        <v>12.2</v>
      </c>
      <c r="C72" s="129">
        <v>6.2</v>
      </c>
      <c r="D72" s="129">
        <v>44.93</v>
      </c>
      <c r="E72" s="129">
        <v>21</v>
      </c>
      <c r="F72" s="129">
        <v>65.64</v>
      </c>
      <c r="G72" s="129">
        <v>35.5</v>
      </c>
      <c r="H72" s="131">
        <v>36.6</v>
      </c>
      <c r="I72" s="129">
        <v>1.42</v>
      </c>
      <c r="J72" s="131">
        <v>5.3</v>
      </c>
      <c r="K72" s="129">
        <v>5</v>
      </c>
      <c r="L72" s="131">
        <v>2.12</v>
      </c>
      <c r="M72" s="361" t="s">
        <v>368</v>
      </c>
      <c r="N72" s="131">
        <v>1.4</v>
      </c>
      <c r="O72" s="144">
        <f t="shared" si="1"/>
        <v>3158.5299999999997</v>
      </c>
    </row>
    <row r="73" spans="1:16" s="111" customFormat="1" ht="12.95" customHeight="1">
      <c r="A73" s="128">
        <v>1999</v>
      </c>
      <c r="B73" s="129">
        <v>11.7</v>
      </c>
      <c r="C73" s="129">
        <v>6</v>
      </c>
      <c r="D73" s="129">
        <v>46.46</v>
      </c>
      <c r="E73" s="129">
        <v>21</v>
      </c>
      <c r="F73" s="129">
        <v>65.13</v>
      </c>
      <c r="G73" s="129">
        <v>35.5</v>
      </c>
      <c r="H73" s="131">
        <v>38.200000000000003</v>
      </c>
      <c r="I73" s="129">
        <v>1.42</v>
      </c>
      <c r="J73" s="131">
        <v>5.3</v>
      </c>
      <c r="K73" s="129">
        <v>5.0999999999999996</v>
      </c>
      <c r="L73" s="131">
        <v>1.94</v>
      </c>
      <c r="M73" s="361" t="s">
        <v>368</v>
      </c>
      <c r="N73" s="131">
        <v>1.4</v>
      </c>
      <c r="O73" s="144">
        <f t="shared" si="1"/>
        <v>3181.3100000000004</v>
      </c>
    </row>
    <row r="74" spans="1:16" s="111" customFormat="1" ht="12.95" customHeight="1">
      <c r="A74" s="112" t="s">
        <v>65</v>
      </c>
      <c r="B74" s="129">
        <v>11.3</v>
      </c>
      <c r="C74" s="129">
        <v>5.8</v>
      </c>
      <c r="D74" s="129">
        <v>47.35</v>
      </c>
      <c r="E74" s="129">
        <v>20.7</v>
      </c>
      <c r="F74" s="129">
        <v>65.22</v>
      </c>
      <c r="G74" s="129">
        <v>35.5</v>
      </c>
      <c r="H74" s="131">
        <v>37.200000000000003</v>
      </c>
      <c r="I74" s="129">
        <v>1.46</v>
      </c>
      <c r="J74" s="131">
        <v>5.3</v>
      </c>
      <c r="K74" s="129">
        <v>5</v>
      </c>
      <c r="L74" s="131">
        <v>1.65</v>
      </c>
      <c r="M74" s="361" t="s">
        <v>368</v>
      </c>
      <c r="N74" s="131">
        <v>1.7</v>
      </c>
      <c r="O74" s="144">
        <f t="shared" si="1"/>
        <v>3185.0700000000006</v>
      </c>
      <c r="P74" s="145"/>
    </row>
    <row r="75" spans="1:16" s="111" customFormat="1" ht="12.95" customHeight="1">
      <c r="A75" s="112" t="s">
        <v>66</v>
      </c>
      <c r="B75" s="129">
        <v>10.8</v>
      </c>
      <c r="C75" s="129">
        <v>5.5</v>
      </c>
      <c r="D75" s="129">
        <v>45.7</v>
      </c>
      <c r="E75" s="129">
        <v>20.100000000000001</v>
      </c>
      <c r="F75" s="129">
        <v>64.63</v>
      </c>
      <c r="G75" s="129">
        <v>36.5</v>
      </c>
      <c r="H75" s="131">
        <v>35.6</v>
      </c>
      <c r="I75" s="129">
        <v>1.49</v>
      </c>
      <c r="J75" s="131">
        <v>4.9000000000000004</v>
      </c>
      <c r="K75" s="129">
        <v>4.9000000000000004</v>
      </c>
      <c r="L75" s="131">
        <v>1.95</v>
      </c>
      <c r="M75" s="361" t="s">
        <v>368</v>
      </c>
      <c r="N75" s="131">
        <v>1.7</v>
      </c>
      <c r="O75" s="144">
        <f t="shared" si="1"/>
        <v>3126.1199999999994</v>
      </c>
      <c r="P75" s="145"/>
    </row>
    <row r="76" spans="1:16" s="111" customFormat="1" ht="12.95" customHeight="1">
      <c r="A76" s="112" t="s">
        <v>67</v>
      </c>
      <c r="B76" s="129">
        <v>9.6999999999999993</v>
      </c>
      <c r="C76" s="129">
        <v>4.7</v>
      </c>
      <c r="D76" s="129">
        <v>47.6</v>
      </c>
      <c r="E76" s="129">
        <v>19.100000000000001</v>
      </c>
      <c r="F76" s="129">
        <v>65.650000000000006</v>
      </c>
      <c r="G76" s="129">
        <v>36.5</v>
      </c>
      <c r="H76" s="131">
        <v>39.4</v>
      </c>
      <c r="I76" s="129">
        <v>1.33</v>
      </c>
      <c r="J76" s="131">
        <v>4.5</v>
      </c>
      <c r="K76" s="129">
        <v>4.8</v>
      </c>
      <c r="L76" s="131">
        <v>1.72</v>
      </c>
      <c r="M76" s="361" t="s">
        <v>368</v>
      </c>
      <c r="N76" s="131">
        <v>1.3</v>
      </c>
      <c r="O76" s="144">
        <f t="shared" si="1"/>
        <v>3086.0950000000012</v>
      </c>
      <c r="P76" s="145"/>
    </row>
    <row r="77" spans="1:16" s="111" customFormat="1" ht="12.95" customHeight="1">
      <c r="A77" s="112" t="s">
        <v>83</v>
      </c>
      <c r="B77" s="129">
        <v>9.1</v>
      </c>
      <c r="C77" s="129">
        <v>4.2</v>
      </c>
      <c r="D77" s="129">
        <v>48.4</v>
      </c>
      <c r="E77" s="129">
        <v>16</v>
      </c>
      <c r="F77" s="129">
        <v>66.900000000000006</v>
      </c>
      <c r="G77" s="129">
        <v>35.5</v>
      </c>
      <c r="H77" s="131">
        <v>39.299999999999997</v>
      </c>
      <c r="I77" s="129">
        <v>1.35</v>
      </c>
      <c r="J77" s="131">
        <v>4.5</v>
      </c>
      <c r="K77" s="129">
        <v>5.2</v>
      </c>
      <c r="L77" s="131">
        <v>1.5649999999999999</v>
      </c>
      <c r="M77" s="361" t="s">
        <v>368</v>
      </c>
      <c r="N77" s="361" t="s">
        <v>368</v>
      </c>
      <c r="O77" s="144">
        <f t="shared" si="1"/>
        <v>3065.8049999999998</v>
      </c>
      <c r="P77" s="145"/>
    </row>
    <row r="78" spans="1:16" s="111" customFormat="1" ht="12.95" customHeight="1">
      <c r="A78" s="112" t="s">
        <v>84</v>
      </c>
      <c r="B78" s="129">
        <v>8</v>
      </c>
      <c r="C78" s="129">
        <v>3.4</v>
      </c>
      <c r="D78" s="129">
        <v>51.5</v>
      </c>
      <c r="E78" s="129">
        <v>13</v>
      </c>
      <c r="F78" s="129">
        <v>68.67</v>
      </c>
      <c r="G78" s="129">
        <v>35</v>
      </c>
      <c r="H78" s="131">
        <v>39</v>
      </c>
      <c r="I78" s="129">
        <v>1</v>
      </c>
      <c r="J78" s="131">
        <v>4.5</v>
      </c>
      <c r="K78" s="129">
        <v>5.5</v>
      </c>
      <c r="L78" s="131">
        <v>1.2649999999999999</v>
      </c>
      <c r="M78" s="361" t="s">
        <v>368</v>
      </c>
      <c r="N78" s="361" t="s">
        <v>368</v>
      </c>
      <c r="O78" s="144">
        <f t="shared" si="1"/>
        <v>2988.74</v>
      </c>
      <c r="P78" s="145"/>
    </row>
    <row r="79" spans="1:16" s="111" customFormat="1" ht="12.95" customHeight="1">
      <c r="A79" s="112">
        <v>2005</v>
      </c>
      <c r="B79" s="129">
        <v>6.4</v>
      </c>
      <c r="C79" s="129">
        <v>2.9</v>
      </c>
      <c r="D79" s="129">
        <v>52.46</v>
      </c>
      <c r="E79" s="129">
        <v>14</v>
      </c>
      <c r="F79" s="129">
        <v>67.7</v>
      </c>
      <c r="G79" s="129">
        <v>35.4</v>
      </c>
      <c r="H79" s="131">
        <v>38.6</v>
      </c>
      <c r="I79" s="129">
        <v>0.98</v>
      </c>
      <c r="J79" s="131">
        <v>4.5</v>
      </c>
      <c r="K79" s="129">
        <v>5.7</v>
      </c>
      <c r="L79" s="131">
        <v>1.48</v>
      </c>
      <c r="M79" s="361" t="s">
        <v>368</v>
      </c>
      <c r="N79" s="361" t="s">
        <v>368</v>
      </c>
      <c r="O79" s="144">
        <f t="shared" si="1"/>
        <v>2922.2099999999996</v>
      </c>
      <c r="P79" s="145"/>
    </row>
    <row r="80" spans="1:16" s="111" customFormat="1" ht="12.95" customHeight="1">
      <c r="A80" s="112">
        <v>2006</v>
      </c>
      <c r="B80" s="129">
        <v>6.3</v>
      </c>
      <c r="C80" s="129">
        <v>2.5</v>
      </c>
      <c r="D80" s="129">
        <v>53.46</v>
      </c>
      <c r="E80" s="129">
        <v>12.6</v>
      </c>
      <c r="F80" s="129">
        <v>71.83</v>
      </c>
      <c r="G80" s="129">
        <v>34.4</v>
      </c>
      <c r="H80" s="131">
        <v>38.5</v>
      </c>
      <c r="I80" s="129">
        <v>1.1000000000000001</v>
      </c>
      <c r="J80" s="131">
        <v>4.2</v>
      </c>
      <c r="K80" s="129">
        <v>5.5</v>
      </c>
      <c r="L80" s="131">
        <v>1.53</v>
      </c>
      <c r="M80" s="361" t="s">
        <v>368</v>
      </c>
      <c r="N80" s="361" t="s">
        <v>368</v>
      </c>
      <c r="O80" s="144">
        <f t="shared" si="1"/>
        <v>2838.27</v>
      </c>
      <c r="P80" s="145"/>
    </row>
    <row r="81" spans="1:24" s="150" customFormat="1" ht="12.95" customHeight="1">
      <c r="A81" s="112">
        <v>2007</v>
      </c>
      <c r="B81" s="146">
        <v>5.5</v>
      </c>
      <c r="C81" s="362" t="s">
        <v>370</v>
      </c>
      <c r="D81" s="146">
        <v>52.18</v>
      </c>
      <c r="E81" s="362" t="s">
        <v>369</v>
      </c>
      <c r="F81" s="146">
        <v>73.349999999999994</v>
      </c>
      <c r="G81" s="146">
        <v>32.4</v>
      </c>
      <c r="H81" s="147">
        <v>38.1</v>
      </c>
      <c r="I81" s="146">
        <v>1.3</v>
      </c>
      <c r="J81" s="147">
        <v>4.2</v>
      </c>
      <c r="K81" s="146">
        <v>5.3</v>
      </c>
      <c r="L81" s="147">
        <v>1.31</v>
      </c>
      <c r="M81" s="361" t="s">
        <v>368</v>
      </c>
      <c r="N81" s="361" t="s">
        <v>368</v>
      </c>
      <c r="O81" s="148">
        <f t="shared" si="1"/>
        <v>2780.69</v>
      </c>
      <c r="P81" s="149"/>
      <c r="W81" s="381"/>
      <c r="X81" s="111"/>
    </row>
    <row r="82" spans="1:24" s="111" customFormat="1" ht="12.95" customHeight="1">
      <c r="A82" s="112">
        <v>2008</v>
      </c>
      <c r="B82" s="129">
        <v>5.2</v>
      </c>
      <c r="C82" s="362" t="s">
        <v>370</v>
      </c>
      <c r="D82" s="132">
        <v>54.47</v>
      </c>
      <c r="E82" s="362" t="s">
        <v>369</v>
      </c>
      <c r="F82" s="132">
        <v>72.83</v>
      </c>
      <c r="G82" s="132">
        <v>30.3</v>
      </c>
      <c r="H82" s="131">
        <v>38.200000000000003</v>
      </c>
      <c r="I82" s="129">
        <v>1.1000000000000001</v>
      </c>
      <c r="J82" s="131">
        <v>4.2</v>
      </c>
      <c r="K82" s="129">
        <v>5.7</v>
      </c>
      <c r="L82" s="131">
        <v>1.38</v>
      </c>
      <c r="M82" s="361" t="s">
        <v>368</v>
      </c>
      <c r="N82" s="361" t="s">
        <v>368</v>
      </c>
      <c r="O82" s="144">
        <f t="shared" si="1"/>
        <v>2769.6400000000003</v>
      </c>
      <c r="P82" s="145"/>
      <c r="W82" s="381"/>
    </row>
    <row r="83" spans="1:24" s="111" customFormat="1" ht="12.95" customHeight="1">
      <c r="A83" s="112">
        <v>2009</v>
      </c>
      <c r="B83" s="129">
        <v>5.2</v>
      </c>
      <c r="C83" s="362" t="s">
        <v>370</v>
      </c>
      <c r="D83" s="132">
        <v>58.08</v>
      </c>
      <c r="E83" s="362" t="s">
        <v>369</v>
      </c>
      <c r="F83" s="132">
        <v>66.27</v>
      </c>
      <c r="G83" s="132">
        <v>27.3</v>
      </c>
      <c r="H83" s="131">
        <v>38.5</v>
      </c>
      <c r="I83" s="129">
        <v>1.1000000000000001</v>
      </c>
      <c r="J83" s="131">
        <v>4.2</v>
      </c>
      <c r="K83" s="129">
        <v>6.7</v>
      </c>
      <c r="L83" s="131">
        <v>1.325</v>
      </c>
      <c r="M83" s="361" t="s">
        <v>368</v>
      </c>
      <c r="N83" s="361" t="s">
        <v>368</v>
      </c>
      <c r="O83" s="144">
        <f t="shared" si="1"/>
        <v>2769.9450000000002</v>
      </c>
      <c r="P83" s="145"/>
      <c r="W83" s="381"/>
    </row>
    <row r="84" spans="1:24" s="111" customFormat="1" ht="12.95" customHeight="1">
      <c r="A84" s="112">
        <v>2010</v>
      </c>
      <c r="B84" s="129">
        <v>4.7</v>
      </c>
      <c r="C84" s="362" t="s">
        <v>370</v>
      </c>
      <c r="D84" s="132">
        <v>56.89</v>
      </c>
      <c r="E84" s="362" t="s">
        <v>368</v>
      </c>
      <c r="F84" s="132">
        <v>59.93</v>
      </c>
      <c r="G84" s="132">
        <v>25.3</v>
      </c>
      <c r="H84" s="131">
        <v>38.5</v>
      </c>
      <c r="I84" s="129">
        <v>1.1000000000000001</v>
      </c>
      <c r="J84" s="131">
        <v>4.2</v>
      </c>
      <c r="K84" s="129">
        <v>7.7</v>
      </c>
      <c r="L84" s="131">
        <v>1.35</v>
      </c>
      <c r="M84" s="361" t="s">
        <v>368</v>
      </c>
      <c r="N84" s="361" t="s">
        <v>368</v>
      </c>
      <c r="O84" s="144">
        <f t="shared" si="1"/>
        <v>2753.2700000000004</v>
      </c>
      <c r="P84" s="145"/>
      <c r="R84" s="494"/>
      <c r="W84" s="381"/>
    </row>
    <row r="85" spans="1:24" s="111" customFormat="1" ht="12.95" customHeight="1">
      <c r="A85" s="112">
        <v>2011</v>
      </c>
      <c r="B85" s="135">
        <v>4.3</v>
      </c>
      <c r="C85" s="362" t="s">
        <v>370</v>
      </c>
      <c r="D85" s="132">
        <v>57.25</v>
      </c>
      <c r="E85" s="362" t="s">
        <v>368</v>
      </c>
      <c r="F85" s="132">
        <v>59.95</v>
      </c>
      <c r="G85" s="132">
        <v>22.4</v>
      </c>
      <c r="H85" s="131">
        <v>38.5</v>
      </c>
      <c r="I85" s="129">
        <v>1</v>
      </c>
      <c r="J85" s="131">
        <v>4</v>
      </c>
      <c r="K85" s="129">
        <v>8.4</v>
      </c>
      <c r="L85" s="131">
        <v>1.3</v>
      </c>
      <c r="M85" s="361" t="s">
        <v>368</v>
      </c>
      <c r="N85" s="361" t="s">
        <v>368</v>
      </c>
      <c r="O85" s="144">
        <f t="shared" si="1"/>
        <v>2731.74</v>
      </c>
      <c r="P85" s="145"/>
      <c r="R85" s="494"/>
      <c r="W85" s="381"/>
    </row>
    <row r="86" spans="1:24" s="111" customFormat="1" ht="12.95" customHeight="1">
      <c r="A86" s="112" t="s">
        <v>141</v>
      </c>
      <c r="B86" s="135">
        <v>4.0999999999999996</v>
      </c>
      <c r="C86" s="362" t="s">
        <v>370</v>
      </c>
      <c r="D86" s="132">
        <v>58.31</v>
      </c>
      <c r="E86" s="362" t="s">
        <v>368</v>
      </c>
      <c r="F86" s="151" t="s">
        <v>142</v>
      </c>
      <c r="G86" s="132">
        <v>19.600000000000001</v>
      </c>
      <c r="H86" s="131">
        <v>40.299999999999997</v>
      </c>
      <c r="I86" s="151" t="s">
        <v>143</v>
      </c>
      <c r="J86" s="131">
        <v>3.7</v>
      </c>
      <c r="K86" s="129">
        <v>8.8000000000000007</v>
      </c>
      <c r="L86" s="151" t="s">
        <v>142</v>
      </c>
      <c r="M86" s="361" t="s">
        <v>368</v>
      </c>
      <c r="N86" s="361" t="s">
        <v>368</v>
      </c>
      <c r="O86" s="144">
        <f>(SUM(B41:O41)+SUM(B86:N86))+59.95+1+1.3</f>
        <v>2717.16</v>
      </c>
      <c r="R86" s="494"/>
      <c r="W86" s="381"/>
    </row>
    <row r="87" spans="1:24" s="111" customFormat="1" ht="12.95" customHeight="1">
      <c r="A87" s="112" t="s">
        <v>86</v>
      </c>
      <c r="B87" s="135">
        <v>3.9</v>
      </c>
      <c r="C87" s="362" t="s">
        <v>370</v>
      </c>
      <c r="D87" s="132">
        <v>60.41</v>
      </c>
      <c r="E87" s="362" t="s">
        <v>368</v>
      </c>
      <c r="F87" s="152">
        <v>61.45</v>
      </c>
      <c r="G87" s="132">
        <v>19.5</v>
      </c>
      <c r="H87" s="131">
        <v>42</v>
      </c>
      <c r="I87" s="152">
        <v>1.25</v>
      </c>
      <c r="J87" s="131">
        <v>3.8</v>
      </c>
      <c r="K87" s="129">
        <v>8.1999999999999993</v>
      </c>
      <c r="L87" s="131">
        <v>0.7</v>
      </c>
      <c r="M87" s="361" t="s">
        <v>368</v>
      </c>
      <c r="N87" s="361" t="s">
        <v>368</v>
      </c>
      <c r="O87" s="144">
        <f t="shared" ref="O87:O92" si="2">SUM(B42:O42)+SUM(B87:N87)</f>
        <v>2733.9900000000002</v>
      </c>
      <c r="P87" s="145"/>
      <c r="R87" s="494"/>
      <c r="W87" s="381"/>
    </row>
    <row r="88" spans="1:24" s="111" customFormat="1" ht="12.95" customHeight="1">
      <c r="A88" s="112">
        <v>2014</v>
      </c>
      <c r="B88" s="135">
        <v>3.6</v>
      </c>
      <c r="C88" s="362" t="s">
        <v>370</v>
      </c>
      <c r="D88" s="129">
        <v>59.895000000000003</v>
      </c>
      <c r="E88" s="362" t="s">
        <v>368</v>
      </c>
      <c r="F88" s="152">
        <v>59.25</v>
      </c>
      <c r="G88" s="129">
        <v>20.399999999999999</v>
      </c>
      <c r="H88" s="131">
        <v>40.6</v>
      </c>
      <c r="I88" s="152">
        <v>1.21</v>
      </c>
      <c r="J88" s="131">
        <v>3.7</v>
      </c>
      <c r="K88" s="129">
        <v>10</v>
      </c>
      <c r="L88" s="131">
        <v>0.9</v>
      </c>
      <c r="M88" s="361" t="s">
        <v>368</v>
      </c>
      <c r="N88" s="361" t="s">
        <v>368</v>
      </c>
      <c r="O88" s="144">
        <f t="shared" si="2"/>
        <v>2701.8449999999998</v>
      </c>
      <c r="P88" s="145"/>
      <c r="R88" s="494"/>
      <c r="W88" s="381"/>
    </row>
    <row r="89" spans="1:24" s="111" customFormat="1" ht="12.95" customHeight="1">
      <c r="A89" s="112">
        <v>2015</v>
      </c>
      <c r="B89" s="132">
        <v>3</v>
      </c>
      <c r="C89" s="362" t="s">
        <v>370</v>
      </c>
      <c r="D89" s="129">
        <v>58.01</v>
      </c>
      <c r="E89" s="362" t="s">
        <v>368</v>
      </c>
      <c r="F89" s="152">
        <v>59.65</v>
      </c>
      <c r="G89" s="129">
        <v>19.3</v>
      </c>
      <c r="H89" s="131">
        <v>40.9</v>
      </c>
      <c r="I89" s="152">
        <v>1.1499999999999999</v>
      </c>
      <c r="J89" s="131">
        <v>3.5</v>
      </c>
      <c r="K89" s="129">
        <v>10.199999999999999</v>
      </c>
      <c r="L89" s="131">
        <v>0.9</v>
      </c>
      <c r="M89" s="361" t="s">
        <v>368</v>
      </c>
      <c r="N89" s="361" t="s">
        <v>368</v>
      </c>
      <c r="O89" s="144">
        <f t="shared" si="2"/>
        <v>2674.8400000000006</v>
      </c>
      <c r="P89" s="145"/>
      <c r="R89" s="494"/>
      <c r="W89" s="381"/>
    </row>
    <row r="90" spans="1:24" s="111" customFormat="1" ht="12.95" customHeight="1">
      <c r="A90" s="112">
        <v>2016</v>
      </c>
      <c r="B90" s="132">
        <v>2.5</v>
      </c>
      <c r="C90" s="362" t="s">
        <v>370</v>
      </c>
      <c r="D90" s="129">
        <v>53.76</v>
      </c>
      <c r="E90" s="362" t="s">
        <v>368</v>
      </c>
      <c r="F90" s="152">
        <v>57.7</v>
      </c>
      <c r="G90" s="129">
        <v>18</v>
      </c>
      <c r="H90" s="131">
        <v>41.5</v>
      </c>
      <c r="I90" s="152">
        <v>1.05</v>
      </c>
      <c r="J90" s="131">
        <v>3.9</v>
      </c>
      <c r="K90" s="129">
        <v>12.3</v>
      </c>
      <c r="L90" s="131">
        <v>0.7</v>
      </c>
      <c r="M90" s="361" t="s">
        <v>368</v>
      </c>
      <c r="N90" s="361" t="s">
        <v>368</v>
      </c>
      <c r="O90" s="144">
        <f t="shared" si="2"/>
        <v>2609.1800000000003</v>
      </c>
      <c r="P90" s="145"/>
      <c r="R90" s="494"/>
      <c r="W90" s="381"/>
    </row>
    <row r="91" spans="1:24" s="111" customFormat="1" ht="12.95" customHeight="1">
      <c r="A91" s="112">
        <v>2017</v>
      </c>
      <c r="B91" s="493" t="s">
        <v>434</v>
      </c>
      <c r="C91" s="493" t="s">
        <v>434</v>
      </c>
      <c r="D91" s="129">
        <v>53.2</v>
      </c>
      <c r="E91" s="362" t="s">
        <v>368</v>
      </c>
      <c r="F91" s="152">
        <v>58.14</v>
      </c>
      <c r="G91" s="129">
        <v>17</v>
      </c>
      <c r="H91" s="131">
        <v>39.9</v>
      </c>
      <c r="I91" s="152">
        <v>0.95</v>
      </c>
      <c r="J91" s="131">
        <v>3.6</v>
      </c>
      <c r="K91" s="129">
        <v>13.4</v>
      </c>
      <c r="L91" s="131">
        <v>1.1000000000000001</v>
      </c>
      <c r="M91" s="361" t="s">
        <v>368</v>
      </c>
      <c r="N91" s="361" t="s">
        <v>368</v>
      </c>
      <c r="O91" s="144">
        <f t="shared" si="2"/>
        <v>2567.04</v>
      </c>
      <c r="P91" s="145"/>
      <c r="R91" s="494"/>
      <c r="W91" s="381"/>
    </row>
    <row r="92" spans="1:24" s="111" customFormat="1" ht="12.95" customHeight="1">
      <c r="A92" s="153">
        <v>2018</v>
      </c>
      <c r="B92" s="469" t="s">
        <v>434</v>
      </c>
      <c r="C92" s="469" t="s">
        <v>434</v>
      </c>
      <c r="D92" s="154">
        <v>49.22</v>
      </c>
      <c r="E92" s="363" t="s">
        <v>368</v>
      </c>
      <c r="F92" s="155">
        <v>53.64</v>
      </c>
      <c r="G92" s="154">
        <v>14</v>
      </c>
      <c r="H92" s="156">
        <v>39.299999999999997</v>
      </c>
      <c r="I92" s="363" t="s">
        <v>456</v>
      </c>
      <c r="J92" s="156">
        <v>3.9</v>
      </c>
      <c r="K92" s="154">
        <v>13.1</v>
      </c>
      <c r="L92" s="156">
        <v>0.8</v>
      </c>
      <c r="M92" s="363" t="s">
        <v>368</v>
      </c>
      <c r="N92" s="363" t="s">
        <v>368</v>
      </c>
      <c r="O92" s="157">
        <f t="shared" si="2"/>
        <v>2409.6600000000008</v>
      </c>
      <c r="P92" s="145"/>
      <c r="R92" s="494"/>
      <c r="W92" s="381"/>
    </row>
    <row r="93" spans="1:24" s="111" customFormat="1" ht="10.15" customHeight="1">
      <c r="A93" s="112" t="s">
        <v>144</v>
      </c>
      <c r="B93" s="135"/>
      <c r="C93" s="137"/>
      <c r="D93" s="129"/>
      <c r="E93" s="362"/>
      <c r="F93" s="129"/>
      <c r="G93" s="129"/>
      <c r="H93" s="131"/>
      <c r="I93" s="129"/>
      <c r="J93" s="131"/>
      <c r="K93" s="129"/>
      <c r="L93" s="131"/>
      <c r="M93" s="137"/>
      <c r="N93" s="137"/>
      <c r="O93" s="158"/>
      <c r="R93" s="494"/>
      <c r="S93" s="381"/>
      <c r="T93" s="381"/>
      <c r="U93" s="381"/>
      <c r="V93" s="381"/>
      <c r="W93" s="381"/>
    </row>
    <row r="94" spans="1:24" s="111" customFormat="1" ht="12.95" customHeight="1">
      <c r="A94" s="159" t="s">
        <v>145</v>
      </c>
      <c r="B94" s="114"/>
      <c r="C94" s="114"/>
      <c r="D94" s="114"/>
      <c r="E94" s="114"/>
      <c r="F94" s="114"/>
      <c r="G94" s="114"/>
      <c r="H94" s="114"/>
      <c r="I94" s="114"/>
      <c r="J94" s="114"/>
      <c r="K94" s="114"/>
      <c r="L94" s="114"/>
      <c r="M94" s="114"/>
      <c r="N94" s="114"/>
      <c r="O94" s="114"/>
      <c r="R94" s="381"/>
      <c r="S94" s="381"/>
      <c r="T94" s="381"/>
      <c r="U94" s="381"/>
      <c r="V94" s="381"/>
      <c r="W94" s="381"/>
    </row>
    <row r="95" spans="1:24" s="111" customFormat="1" ht="12.95" customHeight="1">
      <c r="A95" s="159" t="s">
        <v>435</v>
      </c>
      <c r="B95" s="114"/>
      <c r="C95" s="114"/>
      <c r="D95" s="114"/>
      <c r="E95" s="114"/>
      <c r="F95" s="114"/>
      <c r="G95" s="114"/>
      <c r="H95" s="114"/>
      <c r="I95" s="114"/>
      <c r="J95" s="114"/>
      <c r="K95" s="114"/>
      <c r="L95" s="114"/>
      <c r="M95" s="114"/>
      <c r="N95" s="114"/>
      <c r="O95" s="114"/>
    </row>
    <row r="96" spans="1:24" s="111" customFormat="1" ht="10.35" customHeight="1">
      <c r="A96" s="57" t="s">
        <v>146</v>
      </c>
      <c r="B96" s="114"/>
      <c r="C96" s="114"/>
      <c r="D96" s="114"/>
      <c r="E96" s="114"/>
      <c r="F96" s="114"/>
      <c r="G96" s="114"/>
      <c r="H96" s="114"/>
      <c r="I96" s="114"/>
      <c r="J96" s="114"/>
      <c r="K96" s="114"/>
      <c r="L96" s="114"/>
      <c r="M96" s="114"/>
      <c r="N96" s="114"/>
      <c r="O96" s="114"/>
    </row>
  </sheetData>
  <pageMargins left="0.66700000000000004" right="0.66700000000000004" top="0.66700000000000004" bottom="0.72" header="0" footer="0"/>
  <pageSetup scale="67" firstPageNumber="25" orientation="portrait" useFirstPageNumber="1" r:id="rId1"/>
  <headerFooter alignWithMargins="0"/>
  <ignoredErrors>
    <ignoredError sqref="A9:A42 A54:A87 O32:O47 C81:C91 E81:E83 M64:M88 M93:N93 N77:N88 M89:N89 M90:N90 M91:N91 B91 J47 E84:E92 I92 M92:N92 B92:C92" numberStoredAsText="1"/>
    <ignoredError sqref="O86"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29</vt:i4>
      </vt:variant>
    </vt:vector>
  </HeadingPairs>
  <TitlesOfParts>
    <vt:vector size="52" baseType="lpstr">
      <vt:lpstr>Content</vt:lpstr>
      <vt:lpstr>taba-1a</vt:lpstr>
      <vt:lpstr>taba-1b</vt:lpstr>
      <vt:lpstr>taba-1c</vt:lpstr>
      <vt:lpstr>taba-1d</vt:lpstr>
      <vt:lpstr>taba-1e</vt:lpstr>
      <vt:lpstr>taba-2</vt:lpstr>
      <vt:lpstr>taba-3</vt:lpstr>
      <vt:lpstr>taba-4</vt:lpstr>
      <vt:lpstr>taba-5</vt:lpstr>
      <vt:lpstr>taba-6</vt:lpstr>
      <vt:lpstr>taba-7</vt:lpstr>
      <vt:lpstr>taba-8</vt:lpstr>
      <vt:lpstr>taba-9</vt:lpstr>
      <vt:lpstr>taba-10</vt:lpstr>
      <vt:lpstr>taba-11</vt:lpstr>
      <vt:lpstr>taba-12</vt:lpstr>
      <vt:lpstr>taba-13</vt:lpstr>
      <vt:lpstr>taba-14</vt:lpstr>
      <vt:lpstr>taba-15</vt:lpstr>
      <vt:lpstr>taba-16</vt:lpstr>
      <vt:lpstr>taba-17</vt:lpstr>
      <vt:lpstr>Taba-18</vt:lpstr>
      <vt:lpstr>Content!Print_Area</vt:lpstr>
      <vt:lpstr>'taba-10'!Print_Area</vt:lpstr>
      <vt:lpstr>'taba-11'!Print_Area</vt:lpstr>
      <vt:lpstr>'taba-12'!Print_Area</vt:lpstr>
      <vt:lpstr>'taba-13'!Print_Area</vt:lpstr>
      <vt:lpstr>'taba-14'!Print_Area</vt:lpstr>
      <vt:lpstr>'taba-15'!Print_Area</vt:lpstr>
      <vt:lpstr>'taba-16'!Print_Area</vt:lpstr>
      <vt:lpstr>'taba-17'!Print_Area</vt:lpstr>
      <vt:lpstr>'taba-1d'!Print_Area</vt:lpstr>
      <vt:lpstr>'taba-1e'!Print_Area</vt:lpstr>
      <vt:lpstr>'taba-2'!Print_Area</vt:lpstr>
      <vt:lpstr>'taba-3'!Print_Area</vt:lpstr>
      <vt:lpstr>'taba-4'!Print_Area</vt:lpstr>
      <vt:lpstr>'taba-5'!Print_Area</vt:lpstr>
      <vt:lpstr>'taba-6'!Print_Area</vt:lpstr>
      <vt:lpstr>'taba-7'!Print_Area</vt:lpstr>
      <vt:lpstr>'taba-8'!Print_Area</vt:lpstr>
      <vt:lpstr>'taba-9'!Print_Area</vt:lpstr>
      <vt:lpstr>'taba-1a'!PRINT_AREA_MI</vt:lpstr>
      <vt:lpstr>'taba-1b'!PRINT_AREA_MI</vt:lpstr>
      <vt:lpstr>'taba-1c'!PRINT_AREA_MI</vt:lpstr>
      <vt:lpstr>'taba-1d'!PRINT_AREA_MI</vt:lpstr>
      <vt:lpstr>'taba-1e'!PRINT_AREA_MI</vt:lpstr>
      <vt:lpstr>'taba-3'!Print_Area_MI</vt:lpstr>
      <vt:lpstr>'taba-4'!Print_Area_MI</vt:lpstr>
      <vt:lpstr>'taba-5'!Print_Area_MI</vt:lpstr>
      <vt:lpstr>'taba-6'!Print_Area_MI</vt:lpstr>
      <vt:lpstr>'taba-7'!Print_Area_MI</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General: U.S. per capita use, production and value, bearing acreage, cash receipts, price, and marketing spreads</dc:title>
  <dc:subject>Agricultural Economics</dc:subject>
  <dc:creator>Agnes.Perez@usda.gov;Skyler.Simnitt@usda.gov;TRAVIS.MINOR@usda.gov</dc:creator>
  <cp:keywords>Per Capita Use, noncitrus, citrus, berries, melons, production, bearing acreage, tree nuts, fresh, processed, total, dried, canned, frozen, cash receipts, retail price, price index, grapes, apples, marketing spreads, grower price, value of production, utilized production, strawberries, oranges, grapefruit, lemons, pears, peaches, fruit, economics, agricultural economics, USDA, Economic Research Service, U.S. Department of Agriculture</cp:keywords>
  <cp:lastModifiedBy>helpdesk</cp:lastModifiedBy>
  <cp:lastPrinted>2015-10-28T18:51:48Z</cp:lastPrinted>
  <dcterms:created xsi:type="dcterms:W3CDTF">2015-10-20T11:49:54Z</dcterms:created>
  <dcterms:modified xsi:type="dcterms:W3CDTF">2019-10-30T15:48:39Z</dcterms:modified>
</cp:coreProperties>
</file>