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firstSheet="3" activeTab="8"/>
  </bookViews>
  <sheets>
    <sheet name="Payroll" sheetId="1" r:id="rId1"/>
    <sheet name="GradeBook" sheetId="2" r:id="rId2"/>
    <sheet name="Sales Report" sheetId="3" r:id="rId3"/>
    <sheet name="Sales Report Chart" sheetId="5" r:id="rId4"/>
    <sheet name="Car Inventory" sheetId="6" r:id="rId5"/>
    <sheet name="Cal Inventory Pivot" sheetId="7" r:id="rId6"/>
    <sheet name="Loan Calculator" sheetId="8" r:id="rId7"/>
    <sheet name="Shopping List Project" sheetId="9" r:id="rId8"/>
    <sheet name=" 3 vacations" sheetId="10" r:id="rId9"/>
  </sheets>
  <calcPr calcId="125725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C20" i="10"/>
  <c r="D20"/>
  <c r="B20"/>
  <c r="D7"/>
  <c r="C7"/>
  <c r="D17"/>
  <c r="D16"/>
  <c r="D6"/>
  <c r="D15"/>
  <c r="D14"/>
  <c r="D13"/>
  <c r="D12"/>
  <c r="C17"/>
  <c r="C16"/>
  <c r="C11"/>
  <c r="C10"/>
  <c r="C9"/>
  <c r="C8"/>
  <c r="B7"/>
  <c r="B5"/>
  <c r="W20" i="9"/>
  <c r="X20"/>
  <c r="V20"/>
  <c r="V5"/>
  <c r="W5"/>
  <c r="X5"/>
  <c r="V6"/>
  <c r="W6"/>
  <c r="X6"/>
  <c r="V7"/>
  <c r="W7"/>
  <c r="X7"/>
  <c r="V8"/>
  <c r="W8"/>
  <c r="X8"/>
  <c r="V9"/>
  <c r="W9"/>
  <c r="X9"/>
  <c r="V10"/>
  <c r="W10"/>
  <c r="X10"/>
  <c r="V11"/>
  <c r="W11"/>
  <c r="X11"/>
  <c r="V12"/>
  <c r="W12"/>
  <c r="X12"/>
  <c r="V13"/>
  <c r="W13"/>
  <c r="X13"/>
  <c r="V14"/>
  <c r="W14"/>
  <c r="X14"/>
  <c r="V15"/>
  <c r="W15"/>
  <c r="X15"/>
  <c r="V16"/>
  <c r="W16"/>
  <c r="X16"/>
  <c r="V17"/>
  <c r="W17"/>
  <c r="X17"/>
  <c r="V18"/>
  <c r="W18"/>
  <c r="X18"/>
  <c r="W4"/>
  <c r="X4"/>
  <c r="V4"/>
  <c r="J20"/>
  <c r="K20"/>
  <c r="I20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J4"/>
  <c r="K4"/>
  <c r="I4"/>
  <c r="E4" i="8"/>
  <c r="F4"/>
  <c r="G4" s="1"/>
  <c r="E5"/>
  <c r="F5" s="1"/>
  <c r="G5" s="1"/>
  <c r="E6"/>
  <c r="F6" s="1"/>
  <c r="G6" s="1"/>
  <c r="E3"/>
  <c r="F3" s="1"/>
  <c r="G3" s="1"/>
  <c r="O23" i="6"/>
  <c r="O24"/>
  <c r="O28"/>
  <c r="O29"/>
  <c r="O22"/>
  <c r="O19"/>
  <c r="O30"/>
  <c r="O37"/>
  <c r="O38"/>
  <c r="O48"/>
  <c r="O42"/>
  <c r="O52"/>
  <c r="O36"/>
  <c r="O47"/>
  <c r="O50"/>
  <c r="O32"/>
  <c r="O5"/>
  <c r="O7"/>
  <c r="O2"/>
  <c r="O3"/>
  <c r="O4"/>
  <c r="O14"/>
  <c r="O21"/>
  <c r="O16"/>
  <c r="O10"/>
  <c r="O49"/>
  <c r="O34"/>
  <c r="O45"/>
  <c r="O6"/>
  <c r="O12"/>
  <c r="O41"/>
  <c r="O31"/>
  <c r="O33"/>
  <c r="O40"/>
  <c r="O51"/>
  <c r="O17"/>
  <c r="O20"/>
  <c r="O25"/>
  <c r="O13"/>
  <c r="O53"/>
  <c r="O15"/>
  <c r="O26"/>
  <c r="O39"/>
  <c r="O8"/>
  <c r="O9"/>
  <c r="O11"/>
  <c r="O18"/>
  <c r="O35"/>
  <c r="O43"/>
  <c r="O46"/>
  <c r="O44"/>
  <c r="O27"/>
  <c r="N23"/>
  <c r="N24"/>
  <c r="N28"/>
  <c r="N29"/>
  <c r="N22"/>
  <c r="N19"/>
  <c r="N30"/>
  <c r="N37"/>
  <c r="N38"/>
  <c r="N48"/>
  <c r="N42"/>
  <c r="N52"/>
  <c r="N36"/>
  <c r="N47"/>
  <c r="N50"/>
  <c r="N32"/>
  <c r="N5"/>
  <c r="N7"/>
  <c r="N2"/>
  <c r="N3"/>
  <c r="N4"/>
  <c r="N14"/>
  <c r="N21"/>
  <c r="N16"/>
  <c r="N10"/>
  <c r="N49"/>
  <c r="N34"/>
  <c r="N45"/>
  <c r="N6"/>
  <c r="N12"/>
  <c r="N41"/>
  <c r="N31"/>
  <c r="N33"/>
  <c r="N40"/>
  <c r="N51"/>
  <c r="N17"/>
  <c r="N20"/>
  <c r="N25"/>
  <c r="N13"/>
  <c r="N53"/>
  <c r="N15"/>
  <c r="N26"/>
  <c r="N39"/>
  <c r="N8"/>
  <c r="N9"/>
  <c r="N11"/>
  <c r="N18"/>
  <c r="N35"/>
  <c r="N43"/>
  <c r="N46"/>
  <c r="N44"/>
  <c r="N27"/>
  <c r="G27"/>
  <c r="H27" s="1"/>
  <c r="J27" s="1"/>
  <c r="G29"/>
  <c r="H29" s="1"/>
  <c r="J29" s="1"/>
  <c r="G37"/>
  <c r="H37" s="1"/>
  <c r="J37" s="1"/>
  <c r="G52"/>
  <c r="H52" s="1"/>
  <c r="J52" s="1"/>
  <c r="G32"/>
  <c r="H32" s="1"/>
  <c r="J32" s="1"/>
  <c r="G3"/>
  <c r="H3" s="1"/>
  <c r="J3" s="1"/>
  <c r="G16"/>
  <c r="H16" s="1"/>
  <c r="J16" s="1"/>
  <c r="G45"/>
  <c r="H45" s="1"/>
  <c r="J45" s="1"/>
  <c r="G31"/>
  <c r="H31" s="1"/>
  <c r="J31" s="1"/>
  <c r="G17"/>
  <c r="H17" s="1"/>
  <c r="J17" s="1"/>
  <c r="G53"/>
  <c r="H53" s="1"/>
  <c r="J53" s="1"/>
  <c r="G8"/>
  <c r="H8" s="1"/>
  <c r="J8" s="1"/>
  <c r="G35"/>
  <c r="H35" s="1"/>
  <c r="J35" s="1"/>
  <c r="F23"/>
  <c r="G23" s="1"/>
  <c r="H23" s="1"/>
  <c r="J23" s="1"/>
  <c r="F24"/>
  <c r="G24" s="1"/>
  <c r="H24" s="1"/>
  <c r="J24" s="1"/>
  <c r="F28"/>
  <c r="G28" s="1"/>
  <c r="H28" s="1"/>
  <c r="J28" s="1"/>
  <c r="F29"/>
  <c r="F22"/>
  <c r="G22" s="1"/>
  <c r="H22" s="1"/>
  <c r="J22" s="1"/>
  <c r="F19"/>
  <c r="G19" s="1"/>
  <c r="H19" s="1"/>
  <c r="J19" s="1"/>
  <c r="F30"/>
  <c r="G30" s="1"/>
  <c r="H30" s="1"/>
  <c r="J30" s="1"/>
  <c r="F37"/>
  <c r="F38"/>
  <c r="G38" s="1"/>
  <c r="H38" s="1"/>
  <c r="J38" s="1"/>
  <c r="F48"/>
  <c r="G48" s="1"/>
  <c r="H48" s="1"/>
  <c r="J48" s="1"/>
  <c r="F42"/>
  <c r="G42" s="1"/>
  <c r="H42" s="1"/>
  <c r="J42" s="1"/>
  <c r="F52"/>
  <c r="F36"/>
  <c r="G36" s="1"/>
  <c r="H36" s="1"/>
  <c r="J36" s="1"/>
  <c r="F47"/>
  <c r="G47" s="1"/>
  <c r="H47" s="1"/>
  <c r="J47" s="1"/>
  <c r="F50"/>
  <c r="G50" s="1"/>
  <c r="H50" s="1"/>
  <c r="J50" s="1"/>
  <c r="F32"/>
  <c r="F5"/>
  <c r="G5" s="1"/>
  <c r="H5" s="1"/>
  <c r="J5" s="1"/>
  <c r="F7"/>
  <c r="G7" s="1"/>
  <c r="H7" s="1"/>
  <c r="J7" s="1"/>
  <c r="F2"/>
  <c r="G2" s="1"/>
  <c r="H2" s="1"/>
  <c r="J2" s="1"/>
  <c r="F3"/>
  <c r="F4"/>
  <c r="G4" s="1"/>
  <c r="H4" s="1"/>
  <c r="J4" s="1"/>
  <c r="F14"/>
  <c r="G14" s="1"/>
  <c r="H14" s="1"/>
  <c r="J14" s="1"/>
  <c r="F21"/>
  <c r="G21" s="1"/>
  <c r="H21" s="1"/>
  <c r="J21" s="1"/>
  <c r="F16"/>
  <c r="F10"/>
  <c r="G10" s="1"/>
  <c r="H10" s="1"/>
  <c r="J10" s="1"/>
  <c r="F49"/>
  <c r="G49" s="1"/>
  <c r="H49" s="1"/>
  <c r="J49" s="1"/>
  <c r="F34"/>
  <c r="G34" s="1"/>
  <c r="H34" s="1"/>
  <c r="J34" s="1"/>
  <c r="F45"/>
  <c r="F6"/>
  <c r="G6" s="1"/>
  <c r="H6" s="1"/>
  <c r="J6" s="1"/>
  <c r="F12"/>
  <c r="G12" s="1"/>
  <c r="H12" s="1"/>
  <c r="J12" s="1"/>
  <c r="F41"/>
  <c r="G41" s="1"/>
  <c r="H41" s="1"/>
  <c r="J41" s="1"/>
  <c r="F31"/>
  <c r="F33"/>
  <c r="G33" s="1"/>
  <c r="H33" s="1"/>
  <c r="J33" s="1"/>
  <c r="F40"/>
  <c r="G40" s="1"/>
  <c r="H40" s="1"/>
  <c r="J40" s="1"/>
  <c r="F51"/>
  <c r="G51" s="1"/>
  <c r="H51" s="1"/>
  <c r="J51" s="1"/>
  <c r="F17"/>
  <c r="F20"/>
  <c r="G20" s="1"/>
  <c r="H20" s="1"/>
  <c r="J20" s="1"/>
  <c r="F25"/>
  <c r="G25" s="1"/>
  <c r="H25" s="1"/>
  <c r="J25" s="1"/>
  <c r="F13"/>
  <c r="G13" s="1"/>
  <c r="H13" s="1"/>
  <c r="J13" s="1"/>
  <c r="F53"/>
  <c r="F15"/>
  <c r="G15" s="1"/>
  <c r="H15" s="1"/>
  <c r="J15" s="1"/>
  <c r="F26"/>
  <c r="G26" s="1"/>
  <c r="H26" s="1"/>
  <c r="J26" s="1"/>
  <c r="F39"/>
  <c r="G39" s="1"/>
  <c r="H39" s="1"/>
  <c r="J39" s="1"/>
  <c r="F8"/>
  <c r="F9"/>
  <c r="G9" s="1"/>
  <c r="H9" s="1"/>
  <c r="J9" s="1"/>
  <c r="F11"/>
  <c r="G11" s="1"/>
  <c r="H11" s="1"/>
  <c r="J11" s="1"/>
  <c r="F18"/>
  <c r="G18" s="1"/>
  <c r="H18" s="1"/>
  <c r="J18" s="1"/>
  <c r="F35"/>
  <c r="F43"/>
  <c r="G43" s="1"/>
  <c r="H43" s="1"/>
  <c r="J43" s="1"/>
  <c r="F46"/>
  <c r="G46" s="1"/>
  <c r="H46" s="1"/>
  <c r="J46" s="1"/>
  <c r="F44"/>
  <c r="G44" s="1"/>
  <c r="H44" s="1"/>
  <c r="J44" s="1"/>
  <c r="F27"/>
  <c r="E13"/>
  <c r="D23"/>
  <c r="E23" s="1"/>
  <c r="D24"/>
  <c r="E24" s="1"/>
  <c r="D28"/>
  <c r="E28" s="1"/>
  <c r="D29"/>
  <c r="E29" s="1"/>
  <c r="D22"/>
  <c r="E22" s="1"/>
  <c r="D19"/>
  <c r="E19" s="1"/>
  <c r="D30"/>
  <c r="E30" s="1"/>
  <c r="D37"/>
  <c r="E37" s="1"/>
  <c r="D38"/>
  <c r="E38" s="1"/>
  <c r="D48"/>
  <c r="E48" s="1"/>
  <c r="D42"/>
  <c r="E42" s="1"/>
  <c r="D52"/>
  <c r="E52" s="1"/>
  <c r="D36"/>
  <c r="E36" s="1"/>
  <c r="D47"/>
  <c r="E47" s="1"/>
  <c r="D50"/>
  <c r="E50" s="1"/>
  <c r="D32"/>
  <c r="E32" s="1"/>
  <c r="D5"/>
  <c r="E5" s="1"/>
  <c r="D7"/>
  <c r="E7" s="1"/>
  <c r="D2"/>
  <c r="E2" s="1"/>
  <c r="D3"/>
  <c r="E3" s="1"/>
  <c r="D4"/>
  <c r="E4" s="1"/>
  <c r="D14"/>
  <c r="E14" s="1"/>
  <c r="D21"/>
  <c r="E21" s="1"/>
  <c r="D16"/>
  <c r="E16" s="1"/>
  <c r="D10"/>
  <c r="E10" s="1"/>
  <c r="D49"/>
  <c r="E49" s="1"/>
  <c r="D34"/>
  <c r="E34" s="1"/>
  <c r="D45"/>
  <c r="E45" s="1"/>
  <c r="D6"/>
  <c r="E6" s="1"/>
  <c r="D12"/>
  <c r="E12" s="1"/>
  <c r="D41"/>
  <c r="E41" s="1"/>
  <c r="D31"/>
  <c r="E31" s="1"/>
  <c r="D33"/>
  <c r="E33" s="1"/>
  <c r="D40"/>
  <c r="E40" s="1"/>
  <c r="D51"/>
  <c r="E51" s="1"/>
  <c r="D17"/>
  <c r="E17" s="1"/>
  <c r="D20"/>
  <c r="E20" s="1"/>
  <c r="D25"/>
  <c r="E25" s="1"/>
  <c r="D53"/>
  <c r="E53" s="1"/>
  <c r="D15"/>
  <c r="E15" s="1"/>
  <c r="D26"/>
  <c r="E26" s="1"/>
  <c r="D39"/>
  <c r="E39" s="1"/>
  <c r="D8"/>
  <c r="E8" s="1"/>
  <c r="D9"/>
  <c r="E9" s="1"/>
  <c r="D11"/>
  <c r="E11" s="1"/>
  <c r="D18"/>
  <c r="E18" s="1"/>
  <c r="D35"/>
  <c r="E35" s="1"/>
  <c r="D43"/>
  <c r="E43" s="1"/>
  <c r="D46"/>
  <c r="E46" s="1"/>
  <c r="D44"/>
  <c r="E44" s="1"/>
  <c r="D27"/>
  <c r="E27" s="1"/>
  <c r="C19"/>
  <c r="C38"/>
  <c r="C48"/>
  <c r="C47"/>
  <c r="C50"/>
  <c r="C7"/>
  <c r="C2"/>
  <c r="C14"/>
  <c r="C21"/>
  <c r="C49"/>
  <c r="C34"/>
  <c r="C12"/>
  <c r="C41"/>
  <c r="C40"/>
  <c r="C51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B23"/>
  <c r="C23" s="1"/>
  <c r="B24"/>
  <c r="C24" s="1"/>
  <c r="B28"/>
  <c r="C28" s="1"/>
  <c r="B29"/>
  <c r="C29" s="1"/>
  <c r="B22"/>
  <c r="C22" s="1"/>
  <c r="B19"/>
  <c r="B30"/>
  <c r="C30" s="1"/>
  <c r="B37"/>
  <c r="C37" s="1"/>
  <c r="B38"/>
  <c r="B48"/>
  <c r="B42"/>
  <c r="C42" s="1"/>
  <c r="B52"/>
  <c r="C52" s="1"/>
  <c r="B36"/>
  <c r="C36" s="1"/>
  <c r="B47"/>
  <c r="B50"/>
  <c r="B32"/>
  <c r="C32" s="1"/>
  <c r="B5"/>
  <c r="C5" s="1"/>
  <c r="B7"/>
  <c r="B2"/>
  <c r="B3"/>
  <c r="C3" s="1"/>
  <c r="B4"/>
  <c r="C4" s="1"/>
  <c r="B14"/>
  <c r="B21"/>
  <c r="B16"/>
  <c r="C16" s="1"/>
  <c r="B10"/>
  <c r="C10" s="1"/>
  <c r="B49"/>
  <c r="B34"/>
  <c r="B45"/>
  <c r="C45" s="1"/>
  <c r="B6"/>
  <c r="C6" s="1"/>
  <c r="B12"/>
  <c r="B41"/>
  <c r="B31"/>
  <c r="C31" s="1"/>
  <c r="B33"/>
  <c r="C33" s="1"/>
  <c r="B40"/>
  <c r="B51"/>
  <c r="B17"/>
  <c r="C17" s="1"/>
  <c r="B20"/>
  <c r="C20" s="1"/>
  <c r="B25"/>
  <c r="C25" s="1"/>
  <c r="B13"/>
  <c r="C13" s="1"/>
  <c r="B53"/>
  <c r="C53" s="1"/>
  <c r="B15"/>
  <c r="C15" s="1"/>
  <c r="B26"/>
  <c r="C26" s="1"/>
  <c r="B39"/>
  <c r="C39" s="1"/>
  <c r="B8"/>
  <c r="C8" s="1"/>
  <c r="B9"/>
  <c r="C9" s="1"/>
  <c r="B11"/>
  <c r="C11" s="1"/>
  <c r="B18"/>
  <c r="C18" s="1"/>
  <c r="B35"/>
  <c r="C35" s="1"/>
  <c r="B43"/>
  <c r="C43" s="1"/>
  <c r="B46"/>
  <c r="C46" s="1"/>
  <c r="B44"/>
  <c r="C44" s="1"/>
  <c r="B27"/>
  <c r="C27" s="1"/>
  <c r="F178" i="3"/>
  <c r="F177"/>
  <c r="F176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2"/>
  <c r="H2" s="1"/>
  <c r="H6" i="2"/>
  <c r="I6"/>
  <c r="J6"/>
  <c r="L6" s="1"/>
  <c r="K6"/>
  <c r="H7"/>
  <c r="L7" s="1"/>
  <c r="I7"/>
  <c r="J7"/>
  <c r="K7"/>
  <c r="H8"/>
  <c r="L8" s="1"/>
  <c r="I8"/>
  <c r="J8"/>
  <c r="K8"/>
  <c r="H9"/>
  <c r="L9" s="1"/>
  <c r="I9"/>
  <c r="J9"/>
  <c r="K9"/>
  <c r="H10"/>
  <c r="L10" s="1"/>
  <c r="I10"/>
  <c r="J10"/>
  <c r="K10"/>
  <c r="H11"/>
  <c r="L11" s="1"/>
  <c r="I11"/>
  <c r="J11"/>
  <c r="K11"/>
  <c r="H12"/>
  <c r="L12" s="1"/>
  <c r="I12"/>
  <c r="J12"/>
  <c r="K12"/>
  <c r="H13"/>
  <c r="I13"/>
  <c r="J13"/>
  <c r="K13"/>
  <c r="H14"/>
  <c r="L14" s="1"/>
  <c r="I14"/>
  <c r="J14"/>
  <c r="K14"/>
  <c r="H15"/>
  <c r="L15" s="1"/>
  <c r="I15"/>
  <c r="J15"/>
  <c r="K15"/>
  <c r="H16"/>
  <c r="L16" s="1"/>
  <c r="I16"/>
  <c r="J16"/>
  <c r="K16"/>
  <c r="H17"/>
  <c r="I17"/>
  <c r="J17"/>
  <c r="K17"/>
  <c r="H18"/>
  <c r="L18" s="1"/>
  <c r="I18"/>
  <c r="J18"/>
  <c r="K18"/>
  <c r="H19"/>
  <c r="L19" s="1"/>
  <c r="I19"/>
  <c r="J19"/>
  <c r="K19"/>
  <c r="H20"/>
  <c r="L20" s="1"/>
  <c r="I20"/>
  <c r="J20"/>
  <c r="K20"/>
  <c r="H21"/>
  <c r="I21"/>
  <c r="J21"/>
  <c r="K21"/>
  <c r="H22"/>
  <c r="L22" s="1"/>
  <c r="I22"/>
  <c r="J22"/>
  <c r="K22"/>
  <c r="H23"/>
  <c r="L23" s="1"/>
  <c r="I23"/>
  <c r="J23"/>
  <c r="K23"/>
  <c r="H24"/>
  <c r="L24" s="1"/>
  <c r="I24"/>
  <c r="J24"/>
  <c r="K24"/>
  <c r="H25"/>
  <c r="I25"/>
  <c r="J25"/>
  <c r="K25"/>
  <c r="H26"/>
  <c r="L26" s="1"/>
  <c r="I26"/>
  <c r="J26"/>
  <c r="K26"/>
  <c r="H27"/>
  <c r="L27" s="1"/>
  <c r="I27"/>
  <c r="J27"/>
  <c r="K27"/>
  <c r="H28"/>
  <c r="L28" s="1"/>
  <c r="I28"/>
  <c r="J28"/>
  <c r="K28"/>
  <c r="X5" i="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4"/>
  <c r="M27"/>
  <c r="N27"/>
  <c r="O27"/>
  <c r="P27"/>
  <c r="Q27"/>
  <c r="R27"/>
  <c r="S27"/>
  <c r="T27"/>
  <c r="U27"/>
  <c r="V27"/>
  <c r="W27"/>
  <c r="M28"/>
  <c r="N28"/>
  <c r="O28"/>
  <c r="P28"/>
  <c r="Q28"/>
  <c r="R28"/>
  <c r="S28"/>
  <c r="T28"/>
  <c r="U28"/>
  <c r="V28"/>
  <c r="W28"/>
  <c r="M29"/>
  <c r="N29"/>
  <c r="O29"/>
  <c r="P29"/>
  <c r="Q29"/>
  <c r="R29"/>
  <c r="S29"/>
  <c r="T29"/>
  <c r="U29"/>
  <c r="V29"/>
  <c r="W29"/>
  <c r="M30"/>
  <c r="N30"/>
  <c r="O30"/>
  <c r="P30"/>
  <c r="Q30"/>
  <c r="R30"/>
  <c r="S30"/>
  <c r="T30"/>
  <c r="U30"/>
  <c r="V30"/>
  <c r="W30"/>
  <c r="U4"/>
  <c r="T4"/>
  <c r="T5"/>
  <c r="U5"/>
  <c r="V5"/>
  <c r="W5"/>
  <c r="T6"/>
  <c r="U6"/>
  <c r="V6"/>
  <c r="W6"/>
  <c r="T7"/>
  <c r="U7"/>
  <c r="V7"/>
  <c r="W7"/>
  <c r="T8"/>
  <c r="U8"/>
  <c r="V8"/>
  <c r="W8"/>
  <c r="T9"/>
  <c r="U9"/>
  <c r="V9"/>
  <c r="W9"/>
  <c r="T10"/>
  <c r="U10"/>
  <c r="V10"/>
  <c r="W10"/>
  <c r="T11"/>
  <c r="U11"/>
  <c r="V11"/>
  <c r="W11"/>
  <c r="T12"/>
  <c r="U12"/>
  <c r="V12"/>
  <c r="W12"/>
  <c r="T13"/>
  <c r="U13"/>
  <c r="V13"/>
  <c r="W13"/>
  <c r="T14"/>
  <c r="U14"/>
  <c r="V14"/>
  <c r="W14"/>
  <c r="T15"/>
  <c r="U15"/>
  <c r="V15"/>
  <c r="W15"/>
  <c r="T16"/>
  <c r="U16"/>
  <c r="V16"/>
  <c r="W16"/>
  <c r="T17"/>
  <c r="U17"/>
  <c r="V17"/>
  <c r="W17"/>
  <c r="T18"/>
  <c r="U18"/>
  <c r="V18"/>
  <c r="W18"/>
  <c r="T19"/>
  <c r="U19"/>
  <c r="V19"/>
  <c r="W19"/>
  <c r="T20"/>
  <c r="U20"/>
  <c r="V20"/>
  <c r="W20"/>
  <c r="T21"/>
  <c r="U21"/>
  <c r="V21"/>
  <c r="W21"/>
  <c r="T22"/>
  <c r="U22"/>
  <c r="V22"/>
  <c r="W22"/>
  <c r="T23"/>
  <c r="U23"/>
  <c r="V23"/>
  <c r="W23"/>
  <c r="T24"/>
  <c r="U24"/>
  <c r="V24"/>
  <c r="W24"/>
  <c r="T25"/>
  <c r="U25"/>
  <c r="V25"/>
  <c r="W25"/>
  <c r="V4"/>
  <c r="W4"/>
  <c r="U3"/>
  <c r="V3" s="1"/>
  <c r="W3" s="1"/>
  <c r="Q5"/>
  <c r="S5"/>
  <c r="Q6"/>
  <c r="S6"/>
  <c r="Q7"/>
  <c r="S7"/>
  <c r="Q8"/>
  <c r="S8"/>
  <c r="Q9"/>
  <c r="S9"/>
  <c r="Q10"/>
  <c r="S10"/>
  <c r="Q11"/>
  <c r="S11"/>
  <c r="Q12"/>
  <c r="S12"/>
  <c r="Q13"/>
  <c r="S13"/>
  <c r="Q14"/>
  <c r="S14"/>
  <c r="Q15"/>
  <c r="S15"/>
  <c r="Q16"/>
  <c r="S16"/>
  <c r="Q17"/>
  <c r="S17"/>
  <c r="Q18"/>
  <c r="S18"/>
  <c r="Q19"/>
  <c r="S19"/>
  <c r="Q20"/>
  <c r="S20"/>
  <c r="Q21"/>
  <c r="S21"/>
  <c r="Q22"/>
  <c r="S22"/>
  <c r="Q23"/>
  <c r="S23"/>
  <c r="Q24"/>
  <c r="S24"/>
  <c r="Q25"/>
  <c r="S25"/>
  <c r="R4"/>
  <c r="R3"/>
  <c r="S3" s="1"/>
  <c r="Q3"/>
  <c r="H5"/>
  <c r="P5" s="1"/>
  <c r="I5"/>
  <c r="J5"/>
  <c r="R5" s="1"/>
  <c r="K5"/>
  <c r="H6"/>
  <c r="P6" s="1"/>
  <c r="I6"/>
  <c r="J6"/>
  <c r="R6" s="1"/>
  <c r="K6"/>
  <c r="H7"/>
  <c r="P7" s="1"/>
  <c r="I7"/>
  <c r="J7"/>
  <c r="R7" s="1"/>
  <c r="K7"/>
  <c r="H8"/>
  <c r="P8" s="1"/>
  <c r="I8"/>
  <c r="J8"/>
  <c r="R8" s="1"/>
  <c r="K8"/>
  <c r="H9"/>
  <c r="P9" s="1"/>
  <c r="I9"/>
  <c r="J9"/>
  <c r="R9" s="1"/>
  <c r="K9"/>
  <c r="H10"/>
  <c r="P10" s="1"/>
  <c r="I10"/>
  <c r="J10"/>
  <c r="R10" s="1"/>
  <c r="K10"/>
  <c r="H11"/>
  <c r="P11" s="1"/>
  <c r="I11"/>
  <c r="J11"/>
  <c r="R11" s="1"/>
  <c r="K11"/>
  <c r="H12"/>
  <c r="P12" s="1"/>
  <c r="I12"/>
  <c r="J12"/>
  <c r="R12" s="1"/>
  <c r="K12"/>
  <c r="H13"/>
  <c r="P13" s="1"/>
  <c r="I13"/>
  <c r="J13"/>
  <c r="R13" s="1"/>
  <c r="K13"/>
  <c r="H14"/>
  <c r="P14" s="1"/>
  <c r="I14"/>
  <c r="J14"/>
  <c r="R14" s="1"/>
  <c r="K14"/>
  <c r="H15"/>
  <c r="P15" s="1"/>
  <c r="I15"/>
  <c r="J15"/>
  <c r="R15" s="1"/>
  <c r="K15"/>
  <c r="H16"/>
  <c r="P16" s="1"/>
  <c r="I16"/>
  <c r="J16"/>
  <c r="R16" s="1"/>
  <c r="K16"/>
  <c r="H17"/>
  <c r="P17" s="1"/>
  <c r="I17"/>
  <c r="J17"/>
  <c r="R17" s="1"/>
  <c r="K17"/>
  <c r="H18"/>
  <c r="P18" s="1"/>
  <c r="I18"/>
  <c r="J18"/>
  <c r="R18" s="1"/>
  <c r="K18"/>
  <c r="H19"/>
  <c r="P19" s="1"/>
  <c r="I19"/>
  <c r="J19"/>
  <c r="R19" s="1"/>
  <c r="K19"/>
  <c r="H20"/>
  <c r="P20" s="1"/>
  <c r="I20"/>
  <c r="J20"/>
  <c r="R20" s="1"/>
  <c r="K20"/>
  <c r="H21"/>
  <c r="P21" s="1"/>
  <c r="I21"/>
  <c r="J21"/>
  <c r="R21" s="1"/>
  <c r="K21"/>
  <c r="H22"/>
  <c r="P22" s="1"/>
  <c r="I22"/>
  <c r="J22"/>
  <c r="R22" s="1"/>
  <c r="K22"/>
  <c r="H23"/>
  <c r="P23" s="1"/>
  <c r="I23"/>
  <c r="J23"/>
  <c r="R23" s="1"/>
  <c r="K23"/>
  <c r="H24"/>
  <c r="P24" s="1"/>
  <c r="I24"/>
  <c r="J24"/>
  <c r="R24" s="1"/>
  <c r="K24"/>
  <c r="H25"/>
  <c r="P25" s="1"/>
  <c r="I25"/>
  <c r="J25"/>
  <c r="R25" s="1"/>
  <c r="K25"/>
  <c r="I4"/>
  <c r="Q4" s="1"/>
  <c r="J4"/>
  <c r="K4"/>
  <c r="S4" s="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4"/>
  <c r="N4"/>
  <c r="O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4"/>
  <c r="M3"/>
  <c r="N3" s="1"/>
  <c r="O3" s="1"/>
  <c r="I3"/>
  <c r="J3" s="1"/>
  <c r="K3" s="1"/>
  <c r="E3"/>
  <c r="F3" s="1"/>
  <c r="G3" s="1"/>
  <c r="H4"/>
  <c r="P4" s="1"/>
  <c r="D30"/>
  <c r="C30"/>
  <c r="D27"/>
  <c r="D28"/>
  <c r="D29"/>
  <c r="C29"/>
  <c r="C28"/>
  <c r="C27"/>
  <c r="L21" i="2" l="1"/>
  <c r="L17"/>
  <c r="L13"/>
  <c r="L25"/>
  <c r="L27" i="1"/>
  <c r="L30"/>
  <c r="L28"/>
  <c r="L29"/>
</calcChain>
</file>

<file path=xl/sharedStrings.xml><?xml version="1.0" encoding="utf-8"?>
<sst xmlns="http://schemas.openxmlformats.org/spreadsheetml/2006/main" count="1279" uniqueCount="274">
  <si>
    <t>Employee Payroll</t>
  </si>
  <si>
    <t>First Name</t>
  </si>
  <si>
    <t>Last Name</t>
  </si>
  <si>
    <t>Hourly Wages</t>
  </si>
  <si>
    <t>Hours Worked</t>
  </si>
  <si>
    <t>Max</t>
  </si>
  <si>
    <t>Min</t>
  </si>
  <si>
    <t>Average</t>
  </si>
  <si>
    <t>Total</t>
  </si>
  <si>
    <t>Pay</t>
  </si>
  <si>
    <t>Tot Pay with Bonus</t>
  </si>
  <si>
    <t>OT Bonus</t>
  </si>
  <si>
    <t>OT Hours</t>
  </si>
  <si>
    <t>Abhinav</t>
  </si>
  <si>
    <t>Singh</t>
  </si>
  <si>
    <t>Aditya</t>
  </si>
  <si>
    <t>Sharma</t>
  </si>
  <si>
    <t>Akshay</t>
  </si>
  <si>
    <t>Kumar</t>
  </si>
  <si>
    <t>Amit</t>
  </si>
  <si>
    <t>Patel</t>
  </si>
  <si>
    <t>Anirudh</t>
  </si>
  <si>
    <t>Agarwal</t>
  </si>
  <si>
    <t>Arjun</t>
  </si>
  <si>
    <t>Kapoor</t>
  </si>
  <si>
    <t>Ashish</t>
  </si>
  <si>
    <t>Ayush</t>
  </si>
  <si>
    <t>Gupta</t>
  </si>
  <si>
    <t>Dev</t>
  </si>
  <si>
    <t>Dhruv</t>
  </si>
  <si>
    <t>Gaurav</t>
  </si>
  <si>
    <t>Harsh</t>
  </si>
  <si>
    <t>Himanshu</t>
  </si>
  <si>
    <t>Ishaan</t>
  </si>
  <si>
    <t>Kartik</t>
  </si>
  <si>
    <t>Kunal</t>
  </si>
  <si>
    <t>Manish</t>
  </si>
  <si>
    <t>Mayank</t>
  </si>
  <si>
    <t>Mohit</t>
  </si>
  <si>
    <t>Nikhil</t>
  </si>
  <si>
    <t>Parth</t>
  </si>
  <si>
    <t>Rahul</t>
  </si>
  <si>
    <t>January Pay</t>
  </si>
  <si>
    <t xml:space="preserve">Safety test </t>
  </si>
  <si>
    <t>Drug Test</t>
  </si>
  <si>
    <t>Company Philisophy Test</t>
  </si>
  <si>
    <t>Financial Skills Test</t>
  </si>
  <si>
    <t>Possible Points</t>
  </si>
  <si>
    <t>Pass?</t>
  </si>
  <si>
    <t>Devasenan</t>
  </si>
  <si>
    <t xml:space="preserve">Aadhivel 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</si>
  <si>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</si>
  <si>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</si>
  <si>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</si>
  <si>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</si>
  <si>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</si>
  <si>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</si>
  <si>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</si>
  <si>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</si>
  <si>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</si>
  <si>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</si>
  <si>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</si>
  <si>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</si>
  <si>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</si>
  <si>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</si>
  <si>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</si>
  <si>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</si>
  <si>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</si>
  <si>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</si>
  <si>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</si>
  <si>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</si>
  <si>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</si>
  <si>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</si>
  <si>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</si>
  <si>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</si>
  <si>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</si>
  <si>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</si>
  <si>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</si>
  <si>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</si>
  <si>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</si>
  <si>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</si>
  <si>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</si>
  <si>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</si>
  <si>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</si>
  <si>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</si>
  <si>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</si>
  <si>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</si>
  <si>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</si>
  <si>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</si>
  <si>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</si>
  <si>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</si>
  <si>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</si>
  <si>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</si>
  <si>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</si>
  <si>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</si>
  <si>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Commision 10% on price equals to $50 and less than $50,20% on more than $50</t>
  </si>
  <si>
    <t>Sum of all items</t>
  </si>
  <si>
    <t>Sum of items whose price more than 50</t>
  </si>
  <si>
    <t>Sum of items whose price more less than or equals to 50</t>
  </si>
  <si>
    <t>Row Labels</t>
  </si>
  <si>
    <t>Grand Total</t>
  </si>
  <si>
    <t xml:space="preserve"> 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</si>
  <si>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</si>
  <si>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</si>
  <si>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</si>
  <si>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</si>
  <si>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</si>
  <si>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</si>
  <si>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</si>
  <si>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</si>
  <si>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</si>
  <si>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</si>
  <si>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</si>
  <si>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</si>
  <si>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</si>
  <si>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</si>
  <si>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</si>
  <si>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</si>
  <si>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</si>
  <si>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</si>
  <si>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</si>
  <si>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</si>
  <si>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</si>
  <si>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</si>
  <si>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</si>
  <si>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</si>
  <si>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</si>
  <si>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</si>
  <si>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</si>
  <si>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</si>
  <si>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</si>
  <si>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</si>
  <si>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</si>
  <si>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</si>
  <si>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</si>
  <si>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</si>
  <si>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</si>
  <si>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</si>
  <si>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</si>
  <si>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</si>
  <si>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</si>
  <si>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</si>
  <si>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</si>
  <si>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</si>
  <si>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</si>
  <si>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</si>
  <si>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</si>
  <si>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</si>
  <si>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</si>
  <si>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</si>
  <si>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</si>
  <si>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</si>
  <si>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</si>
  <si>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</si>
  <si>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</si>
  <si>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</si>
  <si>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</si>
  <si>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</si>
  <si>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</si>
  <si>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</si>
  <si>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</si>
  <si>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</si>
  <si>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</si>
  <si>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</si>
  <si>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</si>
  <si>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</si>
  <si>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</si>
  <si>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</si>
  <si>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</si>
  <si>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</si>
  <si>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</si>
  <si>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</si>
  <si>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</si>
  <si>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</si>
  <si>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</si>
  <si>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</si>
  <si>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</si>
  <si>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</si>
  <si>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</si>
  <si>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</si>
  <si>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</si>
  <si>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</si>
  <si>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</si>
  <si>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</si>
  <si>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</si>
  <si>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</si>
  <si>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</si>
  <si>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</si>
  <si>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</si>
  <si>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</si>
  <si>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</si>
  <si>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</si>
  <si>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</si>
  <si>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Ford</t>
  </si>
  <si>
    <t>General Motors</t>
  </si>
  <si>
    <t>Toyota</t>
  </si>
  <si>
    <t>Honda</t>
  </si>
  <si>
    <t>Crystler</t>
  </si>
  <si>
    <t>Hyundai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</si>
  <si>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</si>
  <si>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</si>
  <si>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</si>
  <si>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</si>
  <si>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</si>
  <si>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</si>
  <si>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</si>
  <si>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</si>
  <si>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</si>
  <si>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</si>
  <si>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</si>
  <si>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Mustang</t>
  </si>
  <si>
    <t>Camrey</t>
  </si>
  <si>
    <t>Focus</t>
  </si>
  <si>
    <t>Silverado</t>
  </si>
  <si>
    <t>Camero</t>
  </si>
  <si>
    <t>Elantra</t>
  </si>
  <si>
    <t>Caravan</t>
  </si>
  <si>
    <t>PT Cruiser</t>
  </si>
  <si>
    <t>Civic</t>
  </si>
  <si>
    <t>Corola</t>
  </si>
  <si>
    <t>Odyssey</t>
  </si>
  <si>
    <t>GM09CMR014</t>
  </si>
  <si>
    <t>FD06FCS006</t>
  </si>
  <si>
    <t>HO05ODY037</t>
  </si>
  <si>
    <t>Modified Manufacture Year</t>
  </si>
  <si>
    <t>Sum of Miles</t>
  </si>
  <si>
    <t>Loan A</t>
  </si>
  <si>
    <t>Loan B</t>
  </si>
  <si>
    <t>Loan C</t>
  </si>
  <si>
    <t>Loan D</t>
  </si>
  <si>
    <t>Principle</t>
  </si>
  <si>
    <t>Interest Rate</t>
  </si>
  <si>
    <t>Months</t>
  </si>
  <si>
    <t>Interest Paid</t>
  </si>
  <si>
    <t>Tot Loan Paid</t>
  </si>
  <si>
    <t>Monthly Payment</t>
  </si>
  <si>
    <t>TI-35 Calculator</t>
  </si>
  <si>
    <t>8 oz Glue</t>
  </si>
  <si>
    <t>Eraser</t>
  </si>
  <si>
    <t>Compass</t>
  </si>
  <si>
    <t>Liquid Paper</t>
  </si>
  <si>
    <t>Ball Point Pen</t>
  </si>
  <si>
    <t>100 Page Notebook</t>
  </si>
  <si>
    <t>Clear Tape</t>
  </si>
  <si>
    <t>10 No.2 Pencil</t>
  </si>
  <si>
    <t>2 inch Binder</t>
  </si>
  <si>
    <t>USB stick 5gb</t>
  </si>
  <si>
    <t>8 Colour Markers</t>
  </si>
  <si>
    <t>Stappler</t>
  </si>
  <si>
    <t>Planner Books</t>
  </si>
  <si>
    <t>Protracter</t>
  </si>
  <si>
    <t>Waltmart</t>
  </si>
  <si>
    <t>Dollar Trap</t>
  </si>
  <si>
    <t>Office Repo</t>
  </si>
  <si>
    <t>Susan</t>
  </si>
  <si>
    <t>Quantity</t>
  </si>
  <si>
    <t>Tim</t>
  </si>
  <si>
    <t>Carribean Cruise</t>
  </si>
  <si>
    <t>Orlando Theme Park</t>
  </si>
  <si>
    <t xml:space="preserve">Chicago Museum Tour </t>
  </si>
  <si>
    <t>Per Person Charges</t>
  </si>
  <si>
    <t>Car Rentals</t>
  </si>
  <si>
    <t>Air Fare</t>
  </si>
  <si>
    <t xml:space="preserve">Disney Land </t>
  </si>
  <si>
    <t>Universal Studios</t>
  </si>
  <si>
    <t>Sea World</t>
  </si>
  <si>
    <t>Busch Gardens</t>
  </si>
  <si>
    <t>Natural History</t>
  </si>
  <si>
    <t>Chicago Museum of Art</t>
  </si>
  <si>
    <t>Science Museum</t>
  </si>
  <si>
    <t>Museum of Broadcast History</t>
  </si>
  <si>
    <t>Fixed Price</t>
  </si>
  <si>
    <t>Hotels</t>
  </si>
  <si>
    <t>Food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</si>
</sst>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₹-44D]\ #,##0.00"/>
    <numFmt numFmtId="165" formatCode="_ [$₹-4009]\ * #,##0.00_ ;_ [$₹-4009]\ * \-#,##0.00_ ;_ [$₹-4009]\ * &quot;-&quot;??_ ;_ @_ "/>
    <numFmt numFmtId="166" formatCode="0.0"/>
    <numFmt numFmtId="167" formatCode="_(* #,##0_);_(* \(#,##0\);_(* &quot;-&quot;??_);_(@_)"/>
    <numFmt numFmtId="168" formatCode="_-[$$-409]* #,##0.00_ ;_-[$$-409]* \-#,##0.00\ ;_-[$$-409]* &quot;-&quot;??_ ;_-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4" borderId="0" xfId="0" applyFill="1"/>
    <xf numFmtId="0" fontId="0" fillId="6" borderId="0" xfId="0" applyFill="1"/>
    <xf numFmtId="165" fontId="0" fillId="5" borderId="0" xfId="0" applyNumberFormat="1" applyFill="1"/>
    <xf numFmtId="165" fontId="0" fillId="7" borderId="0" xfId="0" applyNumberFormat="1" applyFill="1"/>
    <xf numFmtId="0" fontId="0" fillId="8" borderId="0" xfId="0" applyFill="1"/>
    <xf numFmtId="0" fontId="1" fillId="2" borderId="0" xfId="0" applyFont="1" applyFill="1"/>
    <xf numFmtId="164" fontId="0" fillId="2" borderId="0" xfId="0" applyNumberFormat="1" applyFill="1"/>
    <xf numFmtId="165" fontId="0" fillId="3" borderId="0" xfId="0" applyNumberFormat="1" applyFill="1"/>
    <xf numFmtId="16" fontId="1" fillId="4" borderId="0" xfId="0" applyNumberFormat="1" applyFont="1" applyFill="1"/>
    <xf numFmtId="16" fontId="1" fillId="6" borderId="0" xfId="0" applyNumberFormat="1" applyFont="1" applyFill="1"/>
    <xf numFmtId="16" fontId="1" fillId="7" borderId="0" xfId="0" applyNumberFormat="1" applyFont="1" applyFill="1"/>
    <xf numFmtId="16" fontId="1" fillId="5" borderId="0" xfId="0" applyNumberFormat="1" applyFont="1" applyFill="1"/>
    <xf numFmtId="16" fontId="1" fillId="3" borderId="0" xfId="0" applyNumberFormat="1" applyFont="1" applyFill="1"/>
    <xf numFmtId="165" fontId="0" fillId="9" borderId="0" xfId="0" applyNumberFormat="1" applyFill="1"/>
    <xf numFmtId="0" fontId="1" fillId="2" borderId="0" xfId="0" applyFont="1" applyFill="1" applyAlignment="1">
      <alignment wrapText="1"/>
    </xf>
    <xf numFmtId="16" fontId="1" fillId="4" borderId="0" xfId="0" applyNumberFormat="1" applyFont="1" applyFill="1" applyAlignment="1">
      <alignment wrapText="1"/>
    </xf>
    <xf numFmtId="0" fontId="0" fillId="4" borderId="0" xfId="0" applyFill="1" applyAlignment="1">
      <alignment wrapText="1"/>
    </xf>
    <xf numFmtId="16" fontId="1" fillId="6" borderId="0" xfId="0" applyNumberFormat="1" applyFont="1" applyFill="1" applyAlignment="1">
      <alignment wrapText="1"/>
    </xf>
    <xf numFmtId="0" fontId="0" fillId="6" borderId="0" xfId="0" applyFill="1" applyAlignment="1">
      <alignment wrapText="1"/>
    </xf>
    <xf numFmtId="16" fontId="1" fillId="7" borderId="0" xfId="0" applyNumberFormat="1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165" fontId="1" fillId="9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textRotation="90"/>
    </xf>
    <xf numFmtId="9" fontId="0" fillId="0" borderId="0" xfId="1" applyFont="1"/>
    <xf numFmtId="14" fontId="0" fillId="0" borderId="0" xfId="2" applyNumberFormat="1" applyFont="1"/>
    <xf numFmtId="167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2" applyFont="1" applyAlignment="1">
      <alignment wrapText="1"/>
    </xf>
    <xf numFmtId="43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10" borderId="0" xfId="0" applyFill="1"/>
    <xf numFmtId="168" fontId="0" fillId="10" borderId="0" xfId="0" applyNumberFormat="1" applyFill="1"/>
    <xf numFmtId="0" fontId="0" fillId="11" borderId="0" xfId="0" applyFill="1"/>
    <xf numFmtId="168" fontId="0" fillId="11" borderId="0" xfId="0" applyNumberFormat="1" applyFill="1"/>
    <xf numFmtId="0" fontId="0" fillId="12" borderId="0" xfId="0" applyFill="1"/>
    <xf numFmtId="168" fontId="0" fillId="12" borderId="0" xfId="0" applyNumberFormat="1" applyFill="1"/>
    <xf numFmtId="0" fontId="3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4">
    <dxf>
      <numFmt numFmtId="1" formatCode="0"/>
    </dxf>
    <dxf>
      <numFmt numFmtId="1" formatCode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Payroll.xlsx]Sales Report Chart!PivotTable2</c:name>
    <c:fmtId val="0"/>
  </c:pivotSource>
  <c:chart>
    <c:title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'Sales Report Chart'!$B$3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'Sales Report Chart'!$A$4:$A$8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 Chart'!$B$4:$B$8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'Car Inventory'!$H$2:$H$53</c:f>
              <c:strCache>
                <c:ptCount val="52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19</c:v>
                </c:pt>
                <c:pt idx="14">
                  <c:v>21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16</c:v>
                </c:pt>
                <c:pt idx="19">
                  <c:v>14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strCache>
            </c:strRef>
          </c:xVal>
          <c:yVal>
            <c:numRef>
              <c:f>'Car Inventory'!$I$2:$I$53</c:f>
              <c:numCache>
                <c:formatCode>_ * #,##0.00_ ;_ * \-#,##0.00_ ;_ * "-"??_ ;_ @_ 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bubble3D val="1"/>
        </c:ser>
        <c:axId val="111105920"/>
        <c:axId val="111107456"/>
      </c:scatterChart>
      <c:valAx>
        <c:axId val="111105920"/>
        <c:scaling>
          <c:orientation val="minMax"/>
        </c:scaling>
        <c:axPos val="b"/>
        <c:tickLblPos val="nextTo"/>
        <c:crossAx val="111107456"/>
        <c:crosses val="autoZero"/>
        <c:crossBetween val="midCat"/>
      </c:valAx>
      <c:valAx>
        <c:axId val="111107456"/>
        <c:scaling>
          <c:orientation val="minMax"/>
        </c:scaling>
        <c:axPos val="l"/>
        <c:majorGridlines/>
        <c:numFmt formatCode="_ * #,##0.00_ ;_ * \-#,##0.00_ ;_ * &quot;-&quot;??_ ;_ @_ " sourceLinked="1"/>
        <c:tickLblPos val="nextTo"/>
        <c:crossAx val="111105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Payroll.xlsx]Cal Inventory Pivot!PivotTable3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'Cal Inventory Pivot'!$B$3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'Cal Inventory Pivot'!$A$4:$A$21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'Cal Inventory Pivot'!$B$4:$B$21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axId val="113085440"/>
        <c:axId val="113099520"/>
      </c:barChart>
      <c:catAx>
        <c:axId val="113085440"/>
        <c:scaling>
          <c:orientation val="minMax"/>
        </c:scaling>
        <c:axPos val="b"/>
        <c:tickLblPos val="nextTo"/>
        <c:crossAx val="113099520"/>
        <c:crosses val="autoZero"/>
        <c:auto val="1"/>
        <c:lblAlgn val="ctr"/>
        <c:lblOffset val="100"/>
      </c:catAx>
      <c:valAx>
        <c:axId val="113099520"/>
        <c:scaling>
          <c:orientation val="minMax"/>
        </c:scaling>
        <c:axPos val="l"/>
        <c:majorGridlines/>
        <c:numFmt formatCode="General" sourceLinked="1"/>
        <c:tickLblPos val="nextTo"/>
        <c:crossAx val="113085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'Loan Calculator'!$C$3:$C$6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0.06</c:v>
                </c:pt>
                <c:pt idx="3">
                  <c:v>7.0000000000000007E-2</c:v>
                </c:pt>
              </c:numCache>
            </c:numRef>
          </c:cat>
          <c:val>
            <c:numRef>
              <c:f>'Loan Calculator'!$G$3:$G$6</c:f>
              <c:numCache>
                <c:formatCode>_ [$₹-4009]\ * #,##0.00_ ;_ [$₹-4009]\ * \-#,##0.00_ ;_ [$₹-4009]\ * "-"??_ ;_ @_ </c:formatCode>
                <c:ptCount val="4"/>
                <c:pt idx="0">
                  <c:v>9083.3333333333339</c:v>
                </c:pt>
                <c:pt idx="1">
                  <c:v>9000</c:v>
                </c:pt>
                <c:pt idx="2">
                  <c:v>8833.3333333333339</c:v>
                </c:pt>
                <c:pt idx="3">
                  <c:v>8916.6666666666661</c:v>
                </c:pt>
              </c:numCache>
            </c:numRef>
          </c:val>
        </c:ser>
        <c:axId val="113292032"/>
        <c:axId val="113293568"/>
      </c:barChart>
      <c:catAx>
        <c:axId val="113292032"/>
        <c:scaling>
          <c:orientation val="minMax"/>
        </c:scaling>
        <c:axPos val="b"/>
        <c:numFmt formatCode="0%" sourceLinked="1"/>
        <c:tickLblPos val="nextTo"/>
        <c:crossAx val="113293568"/>
        <c:crosses val="autoZero"/>
        <c:auto val="1"/>
        <c:lblAlgn val="ctr"/>
        <c:lblOffset val="100"/>
      </c:catAx>
      <c:valAx>
        <c:axId val="113293568"/>
        <c:scaling>
          <c:orientation val="minMax"/>
        </c:scaling>
        <c:axPos val="l"/>
        <c:majorGridlines/>
        <c:numFmt formatCode="_ [$₹-4009]\ * #,##0.00_ ;_ [$₹-4009]\ * \-#,##0.00_ ;_ [$₹-4009]\ * &quot;-&quot;??_ ;_ @_ " sourceLinked="1"/>
        <c:tickLblPos val="nextTo"/>
        <c:crossAx val="113292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'Shopping List Project'!$I$3</c:f>
              <c:strCache>
                <c:ptCount val="1"/>
                <c:pt idx="0">
                  <c:v>Waltmart</c:v>
                </c:pt>
              </c:strCache>
            </c:strRef>
          </c:tx>
          <c:cat>
            <c:strRef>
              <c:f>'Shopping List Project'!$A$4:$A$18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Colour Markers</c:v>
                </c:pt>
                <c:pt idx="10">
                  <c:v>Stappler</c:v>
                </c:pt>
                <c:pt idx="11">
                  <c:v>Planner Books</c:v>
                </c:pt>
                <c:pt idx="12">
                  <c:v>Protracter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List Project'!$I$4:$I$18</c:f>
              <c:numCache>
                <c:formatCode>_-[$$-409]* #,##0.00_ ;_-[$$-409]* \-#,##0.00\ ;_-[$$-409]* "-"??_ ;_-@_ 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'Shopping List Project'!$J$3</c:f>
              <c:strCache>
                <c:ptCount val="1"/>
                <c:pt idx="0">
                  <c:v>Dollar Trap</c:v>
                </c:pt>
              </c:strCache>
            </c:strRef>
          </c:tx>
          <c:cat>
            <c:strRef>
              <c:f>'Shopping List Project'!$A$4:$A$18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Colour Markers</c:v>
                </c:pt>
                <c:pt idx="10">
                  <c:v>Stappler</c:v>
                </c:pt>
                <c:pt idx="11">
                  <c:v>Planner Books</c:v>
                </c:pt>
                <c:pt idx="12">
                  <c:v>Protracter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List Project'!$J$4:$J$18</c:f>
              <c:numCache>
                <c:formatCode>_-[$$-409]* #,##0.00_ ;_-[$$-409]* \-#,##0.00\ ;_-[$$-409]* "-"??_ ;_-@_ 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strRef>
              <c:f>'Shopping List Project'!$K$3</c:f>
              <c:strCache>
                <c:ptCount val="1"/>
                <c:pt idx="0">
                  <c:v>Office Repo</c:v>
                </c:pt>
              </c:strCache>
            </c:strRef>
          </c:tx>
          <c:cat>
            <c:strRef>
              <c:f>'Shopping List Project'!$A$4:$A$18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Colour Markers</c:v>
                </c:pt>
                <c:pt idx="10">
                  <c:v>Stappler</c:v>
                </c:pt>
                <c:pt idx="11">
                  <c:v>Planner Books</c:v>
                </c:pt>
                <c:pt idx="12">
                  <c:v>Protracter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List Project'!$K$4:$K$18</c:f>
              <c:numCache>
                <c:formatCode>_-[$$-409]* #,##0.00_ ;_-[$$-409]* \-#,##0.00\ ;_-[$$-409]* "-"??_ ;_-@_ 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</c:ser>
        <c:axId val="113335680"/>
        <c:axId val="113341568"/>
      </c:barChart>
      <c:catAx>
        <c:axId val="113335680"/>
        <c:scaling>
          <c:orientation val="minMax"/>
        </c:scaling>
        <c:axPos val="b"/>
        <c:tickLblPos val="nextTo"/>
        <c:crossAx val="113341568"/>
        <c:crosses val="autoZero"/>
        <c:auto val="1"/>
        <c:lblAlgn val="ctr"/>
        <c:lblOffset val="100"/>
      </c:catAx>
      <c:valAx>
        <c:axId val="113341568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11333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'Shopping List Project'!$V$3</c:f>
              <c:strCache>
                <c:ptCount val="1"/>
                <c:pt idx="0">
                  <c:v>Waltmart</c:v>
                </c:pt>
              </c:strCache>
            </c:strRef>
          </c:tx>
          <c:cat>
            <c:strRef>
              <c:f>'Shopping List Project'!$A$4:$A$18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Colour Markers</c:v>
                </c:pt>
                <c:pt idx="10">
                  <c:v>Stappler</c:v>
                </c:pt>
                <c:pt idx="11">
                  <c:v>Planner Books</c:v>
                </c:pt>
                <c:pt idx="12">
                  <c:v>Protracter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List Project'!$V$4:$V$18</c:f>
              <c:numCache>
                <c:formatCode>_-[$$-409]* #,##0.00_ ;_-[$$-409]* \-#,##0.00\ ;_-[$$-409]* "-"??_ ;_-@_ </c:formatCode>
                <c:ptCount val="15"/>
                <c:pt idx="0">
                  <c:v>1</c:v>
                </c:pt>
                <c:pt idx="1">
                  <c:v>56</c:v>
                </c:pt>
                <c:pt idx="2">
                  <c:v>1.8</c:v>
                </c:pt>
                <c:pt idx="3">
                  <c:v>4.8</c:v>
                </c:pt>
                <c:pt idx="4">
                  <c:v>2.4</c:v>
                </c:pt>
                <c:pt idx="5">
                  <c:v>0.9</c:v>
                </c:pt>
                <c:pt idx="6">
                  <c:v>0.99</c:v>
                </c:pt>
                <c:pt idx="7">
                  <c:v>3.75</c:v>
                </c:pt>
                <c:pt idx="8">
                  <c:v>9.5</c:v>
                </c:pt>
                <c:pt idx="9">
                  <c:v>4.55</c:v>
                </c:pt>
                <c:pt idx="10">
                  <c:v>21</c:v>
                </c:pt>
                <c:pt idx="11">
                  <c:v>3.9</c:v>
                </c:pt>
                <c:pt idx="12">
                  <c:v>1</c:v>
                </c:pt>
                <c:pt idx="13">
                  <c:v>8.75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'Shopping List Project'!$W$3</c:f>
              <c:strCache>
                <c:ptCount val="1"/>
                <c:pt idx="0">
                  <c:v>Dollar Trap</c:v>
                </c:pt>
              </c:strCache>
            </c:strRef>
          </c:tx>
          <c:cat>
            <c:strRef>
              <c:f>'Shopping List Project'!$A$4:$A$18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Colour Markers</c:v>
                </c:pt>
                <c:pt idx="10">
                  <c:v>Stappler</c:v>
                </c:pt>
                <c:pt idx="11">
                  <c:v>Planner Books</c:v>
                </c:pt>
                <c:pt idx="12">
                  <c:v>Protracter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List Project'!$W$4:$W$18</c:f>
              <c:numCache>
                <c:formatCode>_-[$$-409]* #,##0.00_ ;_-[$$-409]* \-#,##0.00\ ;_-[$$-409]* "-"??_ ;_-@_ </c:formatCode>
                <c:ptCount val="15"/>
                <c:pt idx="0">
                  <c:v>0.8</c:v>
                </c:pt>
                <c:pt idx="1">
                  <c:v>66</c:v>
                </c:pt>
                <c:pt idx="2">
                  <c:v>1</c:v>
                </c:pt>
                <c:pt idx="3">
                  <c:v>3.2</c:v>
                </c:pt>
                <c:pt idx="4">
                  <c:v>1.4</c:v>
                </c:pt>
                <c:pt idx="5">
                  <c:v>0.2</c:v>
                </c:pt>
                <c:pt idx="6">
                  <c:v>0.59</c:v>
                </c:pt>
                <c:pt idx="7">
                  <c:v>9.75</c:v>
                </c:pt>
                <c:pt idx="8">
                  <c:v>14</c:v>
                </c:pt>
                <c:pt idx="9">
                  <c:v>2.5499999999999998</c:v>
                </c:pt>
                <c:pt idx="10">
                  <c:v>11</c:v>
                </c:pt>
                <c:pt idx="11">
                  <c:v>5</c:v>
                </c:pt>
                <c:pt idx="12">
                  <c:v>2</c:v>
                </c:pt>
                <c:pt idx="13">
                  <c:v>10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strRef>
              <c:f>'Shopping List Project'!$X$3</c:f>
              <c:strCache>
                <c:ptCount val="1"/>
                <c:pt idx="0">
                  <c:v>Office Repo</c:v>
                </c:pt>
              </c:strCache>
            </c:strRef>
          </c:tx>
          <c:cat>
            <c:strRef>
              <c:f>'Shopping List Project'!$A$4:$A$18</c:f>
              <c:strCache>
                <c:ptCount val="15"/>
                <c:pt idx="0">
                  <c:v>Ball Point Pen</c:v>
                </c:pt>
                <c:pt idx="1">
                  <c:v>TI-35 Calculator</c:v>
                </c:pt>
                <c:pt idx="2">
                  <c:v>100 Page Notebook</c:v>
                </c:pt>
                <c:pt idx="3">
                  <c:v>8 oz Glue</c:v>
                </c:pt>
                <c:pt idx="4">
                  <c:v>Clear Tape</c:v>
                </c:pt>
                <c:pt idx="5">
                  <c:v>Eraser</c:v>
                </c:pt>
                <c:pt idx="6">
                  <c:v>10 No.2 Pencil</c:v>
                </c:pt>
                <c:pt idx="7">
                  <c:v>2 inch Binder</c:v>
                </c:pt>
                <c:pt idx="8">
                  <c:v>USB stick 5gb</c:v>
                </c:pt>
                <c:pt idx="9">
                  <c:v>8 Colour Markers</c:v>
                </c:pt>
                <c:pt idx="10">
                  <c:v>Stappler</c:v>
                </c:pt>
                <c:pt idx="11">
                  <c:v>Planner Books</c:v>
                </c:pt>
                <c:pt idx="12">
                  <c:v>Protracter</c:v>
                </c:pt>
                <c:pt idx="13">
                  <c:v>Compass</c:v>
                </c:pt>
                <c:pt idx="14">
                  <c:v>Liquid Paper</c:v>
                </c:pt>
              </c:strCache>
            </c:strRef>
          </c:cat>
          <c:val>
            <c:numRef>
              <c:f>'Shopping List Project'!$X$4:$X$18</c:f>
              <c:numCache>
                <c:formatCode>_-[$$-409]* #,##0.00_ ;_-[$$-409]* \-#,##0.00\ ;_-[$$-409]* "-"??_ ;_-@_ </c:formatCode>
                <c:ptCount val="15"/>
                <c:pt idx="0">
                  <c:v>2.8</c:v>
                </c:pt>
                <c:pt idx="1">
                  <c:v>62</c:v>
                </c:pt>
                <c:pt idx="2">
                  <c:v>2</c:v>
                </c:pt>
                <c:pt idx="3">
                  <c:v>6</c:v>
                </c:pt>
                <c:pt idx="4">
                  <c:v>2.4</c:v>
                </c:pt>
                <c:pt idx="5">
                  <c:v>0.8</c:v>
                </c:pt>
                <c:pt idx="6">
                  <c:v>2.59</c:v>
                </c:pt>
                <c:pt idx="7">
                  <c:v>6.4499999999999993</c:v>
                </c:pt>
                <c:pt idx="8">
                  <c:v>13</c:v>
                </c:pt>
                <c:pt idx="9">
                  <c:v>6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</c:numCache>
            </c:numRef>
          </c:val>
        </c:ser>
        <c:axId val="113375104"/>
        <c:axId val="113376640"/>
      </c:barChart>
      <c:catAx>
        <c:axId val="113375104"/>
        <c:scaling>
          <c:orientation val="minMax"/>
        </c:scaling>
        <c:axPos val="b"/>
        <c:tickLblPos val="nextTo"/>
        <c:crossAx val="113376640"/>
        <c:crosses val="autoZero"/>
        <c:auto val="1"/>
        <c:lblAlgn val="ctr"/>
        <c:lblOffset val="100"/>
      </c:catAx>
      <c:valAx>
        <c:axId val="113376640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11337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0</xdr:rowOff>
    </xdr:from>
    <xdr:to>
      <xdr:col>10</xdr:col>
      <xdr:colOff>95250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21</xdr:row>
      <xdr:rowOff>66675</xdr:rowOff>
    </xdr:from>
    <xdr:to>
      <xdr:col>23</xdr:col>
      <xdr:colOff>390525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161925</xdr:rowOff>
    </xdr:from>
    <xdr:to>
      <xdr:col>11</xdr:col>
      <xdr:colOff>342900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</xdr:row>
      <xdr:rowOff>104775</xdr:rowOff>
    </xdr:from>
    <xdr:to>
      <xdr:col>15</xdr:col>
      <xdr:colOff>504825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</xdr:row>
      <xdr:rowOff>28575</xdr:rowOff>
    </xdr:from>
    <xdr:to>
      <xdr:col>18</xdr:col>
      <xdr:colOff>581025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466725</xdr:colOff>
      <xdr:row>2</xdr:row>
      <xdr:rowOff>9525</xdr:rowOff>
    </xdr:from>
    <xdr:to>
      <xdr:col>32</xdr:col>
      <xdr:colOff>161925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" refreshedDate="45234.871031365743" createdVersion="3" refreshedVersion="3" minRefreshableVersion="3" recordCount="171">
  <cacheSource type="worksheet">
    <worksheetSource ref="A1:K172" sheet="Sales Report"/>
  </cacheSource>
  <cacheFields count="11">
    <cacheField name="Month" numFmtId="14">
      <sharedItems/>
    </cacheField>
    <cacheField name="Transaction Number" numFmtId="167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 on price equals to $50 and less than $50,20% on more than $50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V" refreshedDate="45244.704676967594" createdVersion="3" refreshedVersion="3" minRefreshableVersion="3" recordCount="52">
  <cacheSource type="worksheet">
    <worksheetSource ref="A1:O53" sheet="Car Inventory"/>
  </cacheSource>
  <cacheFields count="15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Modified Manufacture Year" numFmtId="0">
      <sharedItems/>
    </cacheField>
    <cacheField name="Age" numFmtId="14">
      <sharedItems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x v="0"/>
    <x v="0"/>
    <s v="NM"/>
  </r>
  <r>
    <s v="Jan"/>
    <n v="1002"/>
    <n v="2877"/>
    <s v="Net"/>
    <n v="11.4"/>
    <n v="16.3"/>
    <n v="4.9000000000000004"/>
    <n v="0.49000000000000005"/>
    <x v="1"/>
    <x v="1"/>
    <s v="CA"/>
  </r>
  <r>
    <s v="Jan"/>
    <n v="1003"/>
    <n v="2499"/>
    <s v="8 ft Hose"/>
    <n v="6.2"/>
    <n v="9.1999999999999993"/>
    <n v="2.9999999999999991"/>
    <n v="0.29999999999999993"/>
    <x v="2"/>
    <x v="2"/>
    <s v="AZ"/>
  </r>
  <r>
    <s v="Jan"/>
    <n v="1004"/>
    <n v="8722"/>
    <s v="Water Pump"/>
    <n v="344"/>
    <n v="502"/>
    <n v="158"/>
    <n v="31.6"/>
    <x v="0"/>
    <x v="0"/>
    <s v="AZ"/>
  </r>
  <r>
    <s v="Jan"/>
    <n v="1005"/>
    <n v="1109"/>
    <s v="Chlorine Test Kit"/>
    <n v="3"/>
    <n v="8"/>
    <n v="5"/>
    <n v="0.5"/>
    <x v="2"/>
    <x v="2"/>
    <s v="AZ"/>
  </r>
  <r>
    <s v="Jan"/>
    <n v="1006"/>
    <n v="9822"/>
    <s v="Pool Cover"/>
    <n v="58.3"/>
    <n v="98.4"/>
    <n v="40.100000000000009"/>
    <n v="8.0200000000000014"/>
    <x v="2"/>
    <x v="2"/>
    <s v="AZ"/>
  </r>
  <r>
    <s v="Jan"/>
    <n v="1007"/>
    <n v="1109"/>
    <s v="Chlorine Test Kit"/>
    <n v="3"/>
    <n v="8"/>
    <n v="5"/>
    <n v="0.5"/>
    <x v="3"/>
    <x v="3"/>
    <s v="NM"/>
  </r>
  <r>
    <s v="Jan"/>
    <n v="1008"/>
    <n v="2877"/>
    <s v="Net"/>
    <n v="11.4"/>
    <n v="16.3"/>
    <n v="4.9000000000000004"/>
    <n v="0.49000000000000005"/>
    <x v="2"/>
    <x v="2"/>
    <s v="NM"/>
  </r>
  <r>
    <s v="Jan"/>
    <n v="1009"/>
    <n v="1109"/>
    <s v="Chlorine Test Kit"/>
    <n v="3"/>
    <n v="8"/>
    <n v="5"/>
    <n v="0.5"/>
    <x v="2"/>
    <x v="2"/>
    <s v="AZ"/>
  </r>
  <r>
    <s v="Jan"/>
    <n v="1010"/>
    <n v="2877"/>
    <s v="Net"/>
    <n v="11.4"/>
    <n v="16.3"/>
    <n v="4.9000000000000004"/>
    <n v="0.49000000000000005"/>
    <x v="1"/>
    <x v="1"/>
    <s v="CO"/>
  </r>
  <r>
    <s v="Jan"/>
    <n v="1011"/>
    <n v="2877"/>
    <s v="Net"/>
    <n v="11.4"/>
    <n v="16.3"/>
    <n v="4.9000000000000004"/>
    <n v="0.49000000000000005"/>
    <x v="1"/>
    <x v="1"/>
    <s v="AZ"/>
  </r>
  <r>
    <s v="Jan"/>
    <n v="1012"/>
    <n v="4421"/>
    <s v="Skimmer"/>
    <n v="45"/>
    <n v="87"/>
    <n v="42"/>
    <n v="8.4"/>
    <x v="2"/>
    <x v="2"/>
    <s v="NM"/>
  </r>
  <r>
    <s v="Jan"/>
    <n v="1013"/>
    <n v="9212"/>
    <s v="1 Gal Muratic Acid"/>
    <n v="4"/>
    <n v="7"/>
    <n v="3"/>
    <n v="0.30000000000000004"/>
    <x v="3"/>
    <x v="3"/>
    <s v="CO"/>
  </r>
  <r>
    <s v="Jan"/>
    <n v="1014"/>
    <n v="8722"/>
    <s v="Water Pump"/>
    <n v="344"/>
    <n v="502"/>
    <n v="158"/>
    <n v="31.6"/>
    <x v="0"/>
    <x v="0"/>
    <s v="CA"/>
  </r>
  <r>
    <s v="Jan"/>
    <n v="1015"/>
    <n v="2877"/>
    <s v="Net"/>
    <n v="11.4"/>
    <n v="16.3"/>
    <n v="4.9000000000000004"/>
    <n v="0.49000000000000005"/>
    <x v="3"/>
    <x v="3"/>
    <s v="AZ"/>
  </r>
  <r>
    <s v="Jan"/>
    <n v="1016"/>
    <n v="2499"/>
    <s v="8 ft Hose"/>
    <n v="6.2"/>
    <n v="9.1999999999999993"/>
    <n v="2.9999999999999991"/>
    <n v="0.29999999999999993"/>
    <x v="2"/>
    <x v="2"/>
    <s v="CA"/>
  </r>
  <r>
    <s v="Feb"/>
    <n v="1017"/>
    <n v="2242"/>
    <s v="AutoVac"/>
    <n v="60"/>
    <n v="124"/>
    <n v="64"/>
    <n v="12.8"/>
    <x v="1"/>
    <x v="1"/>
    <s v="NM"/>
  </r>
  <r>
    <s v="Feb"/>
    <n v="1018"/>
    <n v="1109"/>
    <s v="Chlorine Test Kit"/>
    <n v="3"/>
    <n v="8"/>
    <n v="5"/>
    <n v="0.5"/>
    <x v="2"/>
    <x v="2"/>
    <s v="CA"/>
  </r>
  <r>
    <s v="Feb"/>
    <n v="1019"/>
    <n v="2499"/>
    <s v="8 ft Hose"/>
    <n v="6.2"/>
    <n v="9.1999999999999993"/>
    <n v="2.9999999999999991"/>
    <n v="0.29999999999999993"/>
    <x v="2"/>
    <x v="2"/>
    <s v="CO"/>
  </r>
  <r>
    <s v="Feb"/>
    <n v="1020"/>
    <n v="2499"/>
    <s v="8 ft Hose"/>
    <n v="6.2"/>
    <n v="9.1999999999999993"/>
    <n v="2.9999999999999991"/>
    <n v="0.29999999999999993"/>
    <x v="2"/>
    <x v="2"/>
    <s v="NV"/>
  </r>
  <r>
    <s v="Feb"/>
    <n v="1021"/>
    <n v="1109"/>
    <s v="Chlorine Test Kit"/>
    <n v="3"/>
    <n v="8"/>
    <n v="5"/>
    <n v="0.5"/>
    <x v="1"/>
    <x v="1"/>
    <s v="CO"/>
  </r>
  <r>
    <s v="Feb"/>
    <n v="1022"/>
    <n v="2877"/>
    <s v="Net"/>
    <n v="11.4"/>
    <n v="16.3"/>
    <n v="4.9000000000000004"/>
    <n v="0.49000000000000005"/>
    <x v="2"/>
    <x v="2"/>
    <s v="UT"/>
  </r>
  <r>
    <s v="Feb"/>
    <n v="1023"/>
    <n v="1109"/>
    <s v="Chlorine Test Kit"/>
    <n v="3"/>
    <n v="8"/>
    <n v="5"/>
    <n v="0.5"/>
    <x v="3"/>
    <x v="3"/>
    <s v="NM"/>
  </r>
  <r>
    <s v="Feb"/>
    <n v="1024"/>
    <n v="9212"/>
    <s v="1 Gal Muratic Acid"/>
    <n v="4"/>
    <n v="7"/>
    <n v="3"/>
    <n v="0.30000000000000004"/>
    <x v="1"/>
    <x v="1"/>
    <s v="UT"/>
  </r>
  <r>
    <s v="Feb"/>
    <n v="1025"/>
    <n v="2877"/>
    <s v="Net"/>
    <n v="11.4"/>
    <n v="16.3"/>
    <n v="4.9000000000000004"/>
    <n v="0.49000000000000005"/>
    <x v="3"/>
    <x v="3"/>
    <s v="NV"/>
  </r>
  <r>
    <s v="Feb"/>
    <n v="1026"/>
    <n v="6119"/>
    <s v="Algea Killer 8 oz"/>
    <n v="9"/>
    <n v="14"/>
    <n v="5"/>
    <n v="0.5"/>
    <x v="3"/>
    <x v="3"/>
    <s v="NM"/>
  </r>
  <r>
    <s v="Feb"/>
    <n v="1027"/>
    <n v="6119"/>
    <s v="Algea Killer 8 oz"/>
    <n v="9"/>
    <n v="14"/>
    <n v="5"/>
    <n v="0.5"/>
    <x v="0"/>
    <x v="0"/>
    <s v="NV"/>
  </r>
  <r>
    <s v="Feb"/>
    <n v="1028"/>
    <n v="8722"/>
    <s v="Water Pump"/>
    <n v="344"/>
    <n v="502"/>
    <n v="158"/>
    <n v="31.6"/>
    <x v="0"/>
    <x v="0"/>
    <s v="AZ"/>
  </r>
  <r>
    <s v="Feb"/>
    <n v="1029"/>
    <n v="2499"/>
    <s v="8 ft Hose"/>
    <n v="6.2"/>
    <n v="9.1999999999999993"/>
    <n v="2.9999999999999991"/>
    <n v="0.29999999999999993"/>
    <x v="1"/>
    <x v="1"/>
    <s v="AZ"/>
  </r>
  <r>
    <s v="Feb"/>
    <n v="1030"/>
    <n v="4421"/>
    <s v="Skimmer"/>
    <n v="45"/>
    <n v="87"/>
    <n v="42"/>
    <n v="8.4"/>
    <x v="1"/>
    <x v="1"/>
    <s v="NV"/>
  </r>
  <r>
    <s v="Feb"/>
    <n v="1031"/>
    <n v="1109"/>
    <s v="Chlorine Test Kit"/>
    <n v="3"/>
    <n v="8"/>
    <n v="5"/>
    <n v="0.5"/>
    <x v="1"/>
    <x v="1"/>
    <s v="CA"/>
  </r>
  <r>
    <s v="Feb"/>
    <n v="1032"/>
    <n v="2877"/>
    <s v="Net"/>
    <n v="11.4"/>
    <n v="16.3"/>
    <n v="4.9000000000000004"/>
    <n v="0.49000000000000005"/>
    <x v="0"/>
    <x v="0"/>
    <s v="AZ"/>
  </r>
  <r>
    <s v="Feb"/>
    <n v="1033"/>
    <n v="9822"/>
    <s v="Pool Cover"/>
    <n v="58.3"/>
    <n v="98.4"/>
    <n v="40.100000000000009"/>
    <n v="8.0200000000000014"/>
    <x v="1"/>
    <x v="1"/>
    <s v="CA"/>
  </r>
  <r>
    <s v="Feb"/>
    <n v="1034"/>
    <n v="2877"/>
    <s v="Net"/>
    <n v="11.4"/>
    <n v="16.3"/>
    <n v="4.9000000000000004"/>
    <n v="0.49000000000000005"/>
    <x v="1"/>
    <x v="1"/>
    <s v="CO"/>
  </r>
  <r>
    <s v="Mar"/>
    <n v="1035"/>
    <n v="2499"/>
    <s v="8 ft Hose"/>
    <n v="6.2"/>
    <n v="9.1999999999999993"/>
    <n v="2.9999999999999991"/>
    <n v="0.29999999999999993"/>
    <x v="3"/>
    <x v="3"/>
    <s v="CA"/>
  </r>
  <r>
    <s v="Mar"/>
    <n v="1036"/>
    <n v="2499"/>
    <s v="8 ft Hose"/>
    <n v="6.2"/>
    <n v="9.1999999999999993"/>
    <n v="2.9999999999999991"/>
    <n v="0.29999999999999993"/>
    <x v="1"/>
    <x v="1"/>
    <s v="NV"/>
  </r>
  <r>
    <s v="Mar"/>
    <n v="1037"/>
    <n v="6622"/>
    <s v="5 Gal Chlorine"/>
    <n v="42"/>
    <n v="77"/>
    <n v="35"/>
    <n v="7"/>
    <x v="1"/>
    <x v="1"/>
    <s v="NV"/>
  </r>
  <r>
    <s v="Mar"/>
    <n v="1038"/>
    <n v="2499"/>
    <s v="8 ft Hose"/>
    <n v="6.2"/>
    <n v="9.1999999999999993"/>
    <n v="2.9999999999999991"/>
    <n v="0.29999999999999993"/>
    <x v="1"/>
    <x v="1"/>
    <s v="NV"/>
  </r>
  <r>
    <s v="Mar"/>
    <n v="1039"/>
    <n v="2877"/>
    <s v="Net"/>
    <n v="11.4"/>
    <n v="16.3"/>
    <n v="4.9000000000000004"/>
    <n v="0.49000000000000005"/>
    <x v="1"/>
    <x v="1"/>
    <s v="CA"/>
  </r>
  <r>
    <s v="Mar"/>
    <n v="1040"/>
    <n v="1109"/>
    <s v="Chlorine Test Kit"/>
    <n v="3"/>
    <n v="8"/>
    <n v="5"/>
    <n v="0.5"/>
    <x v="1"/>
    <x v="1"/>
    <s v="AZ"/>
  </r>
  <r>
    <s v="Mar"/>
    <n v="1041"/>
    <n v="2499"/>
    <s v="8 ft Hose"/>
    <n v="6.2"/>
    <n v="9.1999999999999993"/>
    <n v="2.9999999999999991"/>
    <n v="0.29999999999999993"/>
    <x v="0"/>
    <x v="0"/>
    <s v="NM"/>
  </r>
  <r>
    <s v="Mar"/>
    <n v="1042"/>
    <n v="8722"/>
    <s v="Water Pump"/>
    <n v="344"/>
    <n v="502"/>
    <n v="158"/>
    <n v="31.6"/>
    <x v="2"/>
    <x v="2"/>
    <s v="NM"/>
  </r>
  <r>
    <s v="Mar"/>
    <n v="1043"/>
    <n v="2242"/>
    <s v="AutoVac"/>
    <n v="60"/>
    <n v="124"/>
    <n v="64"/>
    <n v="12.8"/>
    <x v="2"/>
    <x v="2"/>
    <s v="CA"/>
  </r>
  <r>
    <s v="Mar"/>
    <n v="1044"/>
    <n v="2877"/>
    <s v="Net"/>
    <n v="11.4"/>
    <n v="16.3"/>
    <n v="4.9000000000000004"/>
    <n v="0.49000000000000005"/>
    <x v="2"/>
    <x v="2"/>
    <s v="CA"/>
  </r>
  <r>
    <s v="Mar"/>
    <n v="1045"/>
    <n v="8722"/>
    <s v="Water Pump"/>
    <n v="344"/>
    <n v="502"/>
    <n v="158"/>
    <n v="31.6"/>
    <x v="3"/>
    <x v="3"/>
    <s v="AZ"/>
  </r>
  <r>
    <s v="Mar"/>
    <n v="1046"/>
    <n v="6119"/>
    <s v="Algea Killer 8 oz"/>
    <n v="9"/>
    <n v="14"/>
    <n v="5"/>
    <n v="0.5"/>
    <x v="1"/>
    <x v="1"/>
    <s v="UT"/>
  </r>
  <r>
    <s v="Mar"/>
    <n v="1047"/>
    <n v="6622"/>
    <s v="5 Gal Chlorine"/>
    <n v="42"/>
    <n v="77"/>
    <n v="35"/>
    <n v="7"/>
    <x v="3"/>
    <x v="3"/>
    <s v="AZ"/>
  </r>
  <r>
    <s v="Mar"/>
    <n v="1048"/>
    <n v="8722"/>
    <s v="Water Pump"/>
    <n v="344"/>
    <n v="502"/>
    <n v="158"/>
    <n v="31.6"/>
    <x v="0"/>
    <x v="0"/>
    <s v="AZ"/>
  </r>
  <r>
    <s v="April"/>
    <n v="1049"/>
    <n v="2499"/>
    <s v="8 ft Hose"/>
    <n v="6.2"/>
    <n v="9.1999999999999993"/>
    <n v="2.9999999999999991"/>
    <n v="0.29999999999999993"/>
    <x v="0"/>
    <x v="0"/>
    <s v="CO"/>
  </r>
  <r>
    <s v="April"/>
    <n v="1050"/>
    <n v="2877"/>
    <s v="Net"/>
    <n v="11.4"/>
    <n v="16.3"/>
    <n v="4.9000000000000004"/>
    <n v="0.49000000000000005"/>
    <x v="0"/>
    <x v="0"/>
    <s v="AZ"/>
  </r>
  <r>
    <s v="April"/>
    <n v="1051"/>
    <n v="6119"/>
    <s v="Algea Killer 8 oz"/>
    <n v="9"/>
    <n v="14"/>
    <n v="5"/>
    <n v="0.5"/>
    <x v="2"/>
    <x v="2"/>
    <s v="UT"/>
  </r>
  <r>
    <s v="April"/>
    <n v="1052"/>
    <n v="6622"/>
    <s v="5 Gal Chlorine"/>
    <n v="42"/>
    <n v="77"/>
    <n v="35"/>
    <n v="7"/>
    <x v="2"/>
    <x v="2"/>
    <s v="AZ"/>
  </r>
  <r>
    <s v="April"/>
    <n v="1053"/>
    <n v="2242"/>
    <s v="AutoVac"/>
    <n v="60"/>
    <n v="124"/>
    <n v="64"/>
    <n v="12.8"/>
    <x v="0"/>
    <x v="0"/>
    <s v="CA"/>
  </r>
  <r>
    <s v="April"/>
    <n v="1054"/>
    <n v="4421"/>
    <s v="Skimmer"/>
    <n v="45"/>
    <n v="87"/>
    <n v="42"/>
    <n v="8.4"/>
    <x v="2"/>
    <x v="2"/>
    <s v="NV"/>
  </r>
  <r>
    <s v="April"/>
    <n v="1055"/>
    <n v="6119"/>
    <s v="Algea Killer 8 oz"/>
    <n v="9"/>
    <n v="14"/>
    <n v="5"/>
    <n v="0.5"/>
    <x v="1"/>
    <x v="1"/>
    <s v="NV"/>
  </r>
  <r>
    <s v="April"/>
    <n v="1056"/>
    <n v="1109"/>
    <s v="Chlorine Test Kit"/>
    <n v="3"/>
    <n v="8"/>
    <n v="5"/>
    <n v="0.5"/>
    <x v="2"/>
    <x v="2"/>
    <s v="CA"/>
  </r>
  <r>
    <s v="April"/>
    <n v="1057"/>
    <n v="2499"/>
    <s v="8 ft Hose"/>
    <n v="6.2"/>
    <n v="9.1999999999999993"/>
    <n v="2.9999999999999991"/>
    <n v="0.29999999999999993"/>
    <x v="1"/>
    <x v="1"/>
    <s v="CA"/>
  </r>
  <r>
    <s v="April"/>
    <n v="1058"/>
    <n v="6119"/>
    <s v="Algea Killer 8 oz"/>
    <n v="9"/>
    <n v="14"/>
    <n v="5"/>
    <n v="0.5"/>
    <x v="3"/>
    <x v="3"/>
    <s v="AZ"/>
  </r>
  <r>
    <s v="April"/>
    <n v="1059"/>
    <n v="2242"/>
    <s v="AutoVac"/>
    <n v="60"/>
    <n v="124"/>
    <n v="64"/>
    <n v="12.8"/>
    <x v="2"/>
    <x v="2"/>
    <s v="AZ"/>
  </r>
  <r>
    <s v="April"/>
    <n v="1060"/>
    <n v="6119"/>
    <s v="Algea Killer 8 oz"/>
    <n v="9"/>
    <n v="14"/>
    <n v="5"/>
    <n v="0.5"/>
    <x v="2"/>
    <x v="2"/>
    <s v="NV"/>
  </r>
  <r>
    <s v="May"/>
    <n v="1061"/>
    <n v="1109"/>
    <s v="Chlorine Test Kit"/>
    <n v="3"/>
    <n v="8"/>
    <n v="5"/>
    <n v="0.5"/>
    <x v="2"/>
    <x v="2"/>
    <s v="NV"/>
  </r>
  <r>
    <s v="May"/>
    <n v="1062"/>
    <n v="2499"/>
    <s v="8 ft Hose"/>
    <n v="6.2"/>
    <n v="9.1999999999999993"/>
    <n v="2.9999999999999991"/>
    <n v="0.29999999999999993"/>
    <x v="0"/>
    <x v="0"/>
    <s v="AZ"/>
  </r>
  <r>
    <s v="May"/>
    <n v="1063"/>
    <n v="1109"/>
    <s v="Chlorine Test Kit"/>
    <n v="3"/>
    <n v="8"/>
    <n v="5"/>
    <n v="0.5"/>
    <x v="2"/>
    <x v="2"/>
    <s v="CA"/>
  </r>
  <r>
    <s v="May"/>
    <n v="1064"/>
    <n v="2499"/>
    <s v="8 ft Hose"/>
    <n v="6.2"/>
    <n v="9.1999999999999993"/>
    <n v="2.9999999999999991"/>
    <n v="0.29999999999999993"/>
    <x v="3"/>
    <x v="3"/>
    <s v="AZ"/>
  </r>
  <r>
    <s v="May"/>
    <n v="1065"/>
    <n v="2499"/>
    <s v="8 ft Hose"/>
    <n v="6.2"/>
    <n v="9.1999999999999993"/>
    <n v="2.9999999999999991"/>
    <n v="0.29999999999999993"/>
    <x v="2"/>
    <x v="2"/>
    <s v="NM"/>
  </r>
  <r>
    <s v="May"/>
    <n v="1066"/>
    <n v="2877"/>
    <s v="Net"/>
    <n v="11.4"/>
    <n v="16.3"/>
    <n v="4.9000000000000004"/>
    <n v="0.49000000000000005"/>
    <x v="2"/>
    <x v="2"/>
    <s v="NV"/>
  </r>
  <r>
    <s v="May"/>
    <n v="1067"/>
    <n v="2877"/>
    <s v="Net"/>
    <n v="11.4"/>
    <n v="16.3"/>
    <n v="4.9000000000000004"/>
    <n v="0.49000000000000005"/>
    <x v="2"/>
    <x v="2"/>
    <s v="UT"/>
  </r>
  <r>
    <s v="May"/>
    <n v="1068"/>
    <n v="6119"/>
    <s v="Algea Killer 8 oz"/>
    <n v="9"/>
    <n v="14"/>
    <n v="5"/>
    <n v="0.5"/>
    <x v="1"/>
    <x v="1"/>
    <s v="CA"/>
  </r>
  <r>
    <s v="May"/>
    <n v="1069"/>
    <n v="1109"/>
    <s v="Chlorine Test Kit"/>
    <n v="3"/>
    <n v="8"/>
    <n v="5"/>
    <n v="0.5"/>
    <x v="2"/>
    <x v="2"/>
    <s v="AZ"/>
  </r>
  <r>
    <s v="May"/>
    <n v="1070"/>
    <n v="2499"/>
    <s v="8 ft Hose"/>
    <n v="6.2"/>
    <n v="9.1999999999999993"/>
    <n v="2.9999999999999991"/>
    <n v="0.29999999999999993"/>
    <x v="3"/>
    <x v="3"/>
    <s v="AZ"/>
  </r>
  <r>
    <s v="May"/>
    <n v="1071"/>
    <n v="1109"/>
    <s v="Chlorine Test Kit"/>
    <n v="3"/>
    <n v="8"/>
    <n v="5"/>
    <n v="0.5"/>
    <x v="0"/>
    <x v="0"/>
    <s v="AZ"/>
  </r>
  <r>
    <s v="May"/>
    <n v="1072"/>
    <n v="1109"/>
    <s v="Chlorine Test Kit"/>
    <n v="3"/>
    <n v="8"/>
    <n v="5"/>
    <n v="0.5"/>
    <x v="2"/>
    <x v="2"/>
    <s v="NV"/>
  </r>
  <r>
    <s v="May"/>
    <n v="1073"/>
    <n v="6622"/>
    <s v="5 Gal Chlorine"/>
    <n v="42"/>
    <n v="77"/>
    <n v="35"/>
    <n v="7"/>
    <x v="2"/>
    <x v="2"/>
    <s v="CA"/>
  </r>
  <r>
    <s v="May"/>
    <n v="1074"/>
    <n v="2877"/>
    <s v="Net"/>
    <n v="11.4"/>
    <n v="16.3"/>
    <n v="4.9000000000000004"/>
    <n v="0.49000000000000005"/>
    <x v="2"/>
    <x v="2"/>
    <s v="AZ"/>
  </r>
  <r>
    <s v="May"/>
    <n v="1075"/>
    <n v="1109"/>
    <s v="Chlorine Test Kit"/>
    <n v="3"/>
    <n v="8"/>
    <n v="5"/>
    <n v="0.5"/>
    <x v="3"/>
    <x v="3"/>
    <s v="CA"/>
  </r>
  <r>
    <s v="May"/>
    <n v="1076"/>
    <n v="1109"/>
    <s v="Chlorine Test Kit"/>
    <n v="3"/>
    <n v="8"/>
    <n v="5"/>
    <n v="0.5"/>
    <x v="1"/>
    <x v="1"/>
    <s v="AZ"/>
  </r>
  <r>
    <s v="May"/>
    <n v="1077"/>
    <n v="9822"/>
    <s v="Pool Cover"/>
    <n v="58.3"/>
    <n v="98.4"/>
    <n v="40.100000000000009"/>
    <n v="8.0200000000000014"/>
    <x v="3"/>
    <x v="3"/>
    <s v="AZ"/>
  </r>
  <r>
    <s v="May"/>
    <n v="1078"/>
    <n v="2877"/>
    <s v="Net"/>
    <n v="11.4"/>
    <n v="16.3"/>
    <n v="4.9000000000000004"/>
    <n v="0.49000000000000005"/>
    <x v="1"/>
    <x v="1"/>
    <s v="NV"/>
  </r>
  <r>
    <s v="June"/>
    <n v="1079"/>
    <n v="2877"/>
    <s v="Net"/>
    <n v="11.4"/>
    <n v="16.3"/>
    <n v="4.9000000000000004"/>
    <n v="0.49000000000000005"/>
    <x v="1"/>
    <x v="1"/>
    <s v="NM"/>
  </r>
  <r>
    <s v="June"/>
    <n v="1080"/>
    <n v="4421"/>
    <s v="Skimmer"/>
    <n v="45"/>
    <n v="87"/>
    <n v="42"/>
    <n v="8.4"/>
    <x v="2"/>
    <x v="2"/>
    <s v="CA"/>
  </r>
  <r>
    <s v="June"/>
    <n v="1081"/>
    <n v="6119"/>
    <s v="Algea Killer 8 oz"/>
    <n v="9"/>
    <n v="14"/>
    <n v="5"/>
    <n v="0.5"/>
    <x v="2"/>
    <x v="2"/>
    <s v="UT"/>
  </r>
  <r>
    <s v="June"/>
    <n v="1082"/>
    <n v="1109"/>
    <s v="Chlorine Test Kit"/>
    <n v="3"/>
    <n v="8"/>
    <n v="5"/>
    <n v="0.5"/>
    <x v="0"/>
    <x v="0"/>
    <s v="CA"/>
  </r>
  <r>
    <s v="June"/>
    <n v="1083"/>
    <n v="1109"/>
    <s v="Chlorine Test Kit"/>
    <n v="3"/>
    <n v="8"/>
    <n v="5"/>
    <n v="0.5"/>
    <x v="0"/>
    <x v="0"/>
    <s v="NV"/>
  </r>
  <r>
    <s v="June"/>
    <n v="1084"/>
    <n v="6119"/>
    <s v="Algea Killer 8 oz"/>
    <n v="9"/>
    <n v="14"/>
    <n v="5"/>
    <n v="0.5"/>
    <x v="0"/>
    <x v="0"/>
    <s v="AZ"/>
  </r>
  <r>
    <s v="June"/>
    <n v="1085"/>
    <n v="9822"/>
    <s v="Pool Cover"/>
    <n v="58.3"/>
    <n v="98.4"/>
    <n v="40.100000000000009"/>
    <n v="8.0200000000000014"/>
    <x v="2"/>
    <x v="2"/>
    <s v="NV"/>
  </r>
  <r>
    <s v="June"/>
    <n v="1086"/>
    <n v="1109"/>
    <s v="Chlorine Test Kit"/>
    <n v="3"/>
    <n v="8"/>
    <n v="5"/>
    <n v="0.5"/>
    <x v="3"/>
    <x v="3"/>
    <s v="AZ"/>
  </r>
  <r>
    <s v="June"/>
    <n v="1087"/>
    <n v="2499"/>
    <s v="8 ft Hose"/>
    <n v="6.2"/>
    <n v="9.1999999999999993"/>
    <n v="2.9999999999999991"/>
    <n v="0.29999999999999993"/>
    <x v="0"/>
    <x v="0"/>
    <s v="CA"/>
  </r>
  <r>
    <s v="June"/>
    <n v="1088"/>
    <n v="2499"/>
    <s v="8 ft Hose"/>
    <n v="6.2"/>
    <n v="9.1999999999999993"/>
    <n v="2.9999999999999991"/>
    <n v="0.29999999999999993"/>
    <x v="0"/>
    <x v="0"/>
    <s v="NM"/>
  </r>
  <r>
    <s v="June"/>
    <n v="1089"/>
    <n v="6119"/>
    <s v="Algea Killer 8 oz"/>
    <n v="9"/>
    <n v="14"/>
    <n v="5"/>
    <n v="0.5"/>
    <x v="2"/>
    <x v="2"/>
    <s v="NV"/>
  </r>
  <r>
    <s v="June"/>
    <n v="1090"/>
    <n v="2877"/>
    <s v="Net"/>
    <n v="11.4"/>
    <n v="16.3"/>
    <n v="4.9000000000000004"/>
    <n v="0.49000000000000005"/>
    <x v="0"/>
    <x v="0"/>
    <s v="CA"/>
  </r>
  <r>
    <s v="June"/>
    <n v="1091"/>
    <n v="2877"/>
    <s v="Net"/>
    <n v="11.4"/>
    <n v="16.3"/>
    <n v="4.9000000000000004"/>
    <n v="0.49000000000000005"/>
    <x v="3"/>
    <x v="3"/>
    <s v="NV"/>
  </r>
  <r>
    <s v="June"/>
    <n v="1092"/>
    <n v="2877"/>
    <s v="Net"/>
    <n v="11.4"/>
    <n v="16.3"/>
    <n v="4.9000000000000004"/>
    <n v="0.49000000000000005"/>
    <x v="2"/>
    <x v="2"/>
    <s v="CA"/>
  </r>
  <r>
    <s v="June"/>
    <n v="1093"/>
    <n v="6119"/>
    <s v="Algea Killer 8 oz"/>
    <n v="9"/>
    <n v="14"/>
    <n v="5"/>
    <n v="0.5"/>
    <x v="1"/>
    <x v="1"/>
    <s v="AZ"/>
  </r>
  <r>
    <s v="June"/>
    <n v="1094"/>
    <n v="6119"/>
    <s v="Algea Killer 8 oz"/>
    <n v="9"/>
    <n v="14"/>
    <n v="5"/>
    <n v="0.5"/>
    <x v="2"/>
    <x v="2"/>
    <s v="CA"/>
  </r>
  <r>
    <s v="June"/>
    <n v="1095"/>
    <n v="2499"/>
    <s v="8 ft Hose"/>
    <n v="6.2"/>
    <n v="9.1999999999999993"/>
    <n v="2.9999999999999991"/>
    <n v="0.29999999999999993"/>
    <x v="3"/>
    <x v="3"/>
    <s v="AZ"/>
  </r>
  <r>
    <s v="June"/>
    <n v="1096"/>
    <n v="6119"/>
    <s v="Algea Killer 8 oz"/>
    <n v="9"/>
    <n v="14"/>
    <n v="5"/>
    <n v="0.5"/>
    <x v="2"/>
    <x v="2"/>
    <s v="AZ"/>
  </r>
  <r>
    <s v="June"/>
    <n v="1097"/>
    <n v="9212"/>
    <s v="1 Gal Muratic Acid"/>
    <n v="4"/>
    <n v="7"/>
    <n v="3"/>
    <n v="0.30000000000000004"/>
    <x v="3"/>
    <x v="3"/>
    <s v="NV"/>
  </r>
  <r>
    <s v="June"/>
    <n v="1098"/>
    <n v="2877"/>
    <s v="Net"/>
    <n v="11.4"/>
    <n v="16.3"/>
    <n v="4.9000000000000004"/>
    <n v="0.49000000000000005"/>
    <x v="1"/>
    <x v="1"/>
    <s v="NM"/>
  </r>
  <r>
    <s v="July"/>
    <n v="1099"/>
    <n v="2877"/>
    <s v="Net"/>
    <n v="11.4"/>
    <n v="16.3"/>
    <n v="4.9000000000000004"/>
    <n v="0.49000000000000005"/>
    <x v="2"/>
    <x v="2"/>
    <s v="CA"/>
  </r>
  <r>
    <s v="July"/>
    <n v="1100"/>
    <n v="6119"/>
    <s v="Algea Killer 8 oz"/>
    <n v="9"/>
    <n v="14"/>
    <n v="5"/>
    <n v="0.5"/>
    <x v="0"/>
    <x v="0"/>
    <s v="UT"/>
  </r>
  <r>
    <s v="July"/>
    <n v="1101"/>
    <n v="2499"/>
    <s v="8 ft Hose"/>
    <n v="6.2"/>
    <n v="9.1999999999999993"/>
    <n v="2.9999999999999991"/>
    <n v="0.29999999999999993"/>
    <x v="2"/>
    <x v="2"/>
    <s v="CA"/>
  </r>
  <r>
    <s v="July"/>
    <n v="1102"/>
    <n v="2242"/>
    <s v="AutoVac"/>
    <n v="60"/>
    <n v="124"/>
    <n v="64"/>
    <n v="12.8"/>
    <x v="1"/>
    <x v="1"/>
    <s v="NV"/>
  </r>
  <r>
    <s v="July"/>
    <n v="1103"/>
    <n v="2877"/>
    <s v="Net"/>
    <n v="11.4"/>
    <n v="16.3"/>
    <n v="4.9000000000000004"/>
    <n v="0.49000000000000005"/>
    <x v="1"/>
    <x v="1"/>
    <s v="AZ"/>
  </r>
  <r>
    <s v="July"/>
    <n v="1104"/>
    <n v="2877"/>
    <s v="Net"/>
    <n v="11.4"/>
    <n v="16.3"/>
    <n v="4.9000000000000004"/>
    <n v="0.49000000000000005"/>
    <x v="2"/>
    <x v="2"/>
    <s v="NV"/>
  </r>
  <r>
    <s v="July"/>
    <n v="1105"/>
    <n v="2499"/>
    <s v="8 ft Hose"/>
    <n v="6.2"/>
    <n v="9.1999999999999993"/>
    <n v="2.9999999999999991"/>
    <n v="0.29999999999999993"/>
    <x v="1"/>
    <x v="1"/>
    <s v="AZ"/>
  </r>
  <r>
    <s v="July"/>
    <n v="1106"/>
    <n v="9822"/>
    <s v="Pool Cover"/>
    <n v="58.3"/>
    <n v="98.4"/>
    <n v="40.100000000000009"/>
    <n v="8.0200000000000014"/>
    <x v="1"/>
    <x v="1"/>
    <s v="CA"/>
  </r>
  <r>
    <s v="July"/>
    <n v="1107"/>
    <n v="1109"/>
    <s v="Chlorine Test Kit"/>
    <n v="3"/>
    <n v="8"/>
    <n v="5"/>
    <n v="0.5"/>
    <x v="3"/>
    <x v="3"/>
    <s v="NM"/>
  </r>
  <r>
    <s v="July"/>
    <n v="1108"/>
    <n v="9822"/>
    <s v="Pool Cover"/>
    <n v="58.3"/>
    <n v="98.4"/>
    <n v="40.100000000000009"/>
    <n v="8.0200000000000014"/>
    <x v="2"/>
    <x v="2"/>
    <s v="NV"/>
  </r>
  <r>
    <s v="July"/>
    <n v="1109"/>
    <n v="8722"/>
    <s v="Water Pump"/>
    <n v="344"/>
    <n v="502"/>
    <n v="158"/>
    <n v="31.6"/>
    <x v="1"/>
    <x v="1"/>
    <s v="CA"/>
  </r>
  <r>
    <s v="July"/>
    <n v="1110"/>
    <n v="8722"/>
    <s v="Water Pump"/>
    <n v="344"/>
    <n v="502"/>
    <n v="158"/>
    <n v="31.6"/>
    <x v="3"/>
    <x v="3"/>
    <s v="NV"/>
  </r>
  <r>
    <s v="July"/>
    <n v="1111"/>
    <n v="6622"/>
    <s v="5 Gal Chlorine"/>
    <n v="42"/>
    <n v="77"/>
    <n v="35"/>
    <n v="7"/>
    <x v="3"/>
    <x v="3"/>
    <s v="CA"/>
  </r>
  <r>
    <s v="July"/>
    <n v="1112"/>
    <n v="6622"/>
    <s v="5 Gal Chlorine"/>
    <n v="42"/>
    <n v="77"/>
    <n v="35"/>
    <n v="7"/>
    <x v="2"/>
    <x v="2"/>
    <s v="AZ"/>
  </r>
  <r>
    <s v="July"/>
    <n v="1113"/>
    <n v="9822"/>
    <s v="Pool Cover"/>
    <n v="58.3"/>
    <n v="98.4"/>
    <n v="40.100000000000009"/>
    <n v="8.0200000000000014"/>
    <x v="0"/>
    <x v="0"/>
    <s v="CA"/>
  </r>
  <r>
    <s v="July"/>
    <n v="1114"/>
    <n v="2242"/>
    <s v="AutoVac"/>
    <n v="60"/>
    <n v="124"/>
    <n v="64"/>
    <n v="12.8"/>
    <x v="1"/>
    <x v="1"/>
    <s v="AZ"/>
  </r>
  <r>
    <s v="July"/>
    <n v="1115"/>
    <n v="8722"/>
    <s v="Water Pump"/>
    <n v="344"/>
    <n v="502"/>
    <n v="158"/>
    <n v="31.6"/>
    <x v="0"/>
    <x v="0"/>
    <s v="AZ"/>
  </r>
  <r>
    <s v="July"/>
    <n v="1116"/>
    <n v="6622"/>
    <s v="5 Gal Chlorine"/>
    <n v="42"/>
    <n v="77"/>
    <n v="35"/>
    <n v="7"/>
    <x v="2"/>
    <x v="2"/>
    <s v="NV"/>
  </r>
  <r>
    <s v="July"/>
    <n v="1117"/>
    <n v="8722"/>
    <s v="Water Pump"/>
    <n v="344"/>
    <n v="502"/>
    <n v="158"/>
    <n v="31.6"/>
    <x v="3"/>
    <x v="3"/>
    <s v="NM"/>
  </r>
  <r>
    <s v="July"/>
    <n v="1118"/>
    <n v="9822"/>
    <s v="Pool Cover"/>
    <n v="58.3"/>
    <n v="98.4"/>
    <n v="40.100000000000009"/>
    <n v="8.0200000000000014"/>
    <x v="1"/>
    <x v="1"/>
    <s v="CA"/>
  </r>
  <r>
    <s v="July"/>
    <n v="1119"/>
    <n v="2242"/>
    <s v="AutoVac"/>
    <n v="60"/>
    <n v="124"/>
    <n v="64"/>
    <n v="12.8"/>
    <x v="0"/>
    <x v="0"/>
    <s v="UT"/>
  </r>
  <r>
    <s v="July"/>
    <n v="1120"/>
    <n v="2242"/>
    <s v="AutoVac"/>
    <n v="60"/>
    <n v="124"/>
    <n v="64"/>
    <n v="12.8"/>
    <x v="2"/>
    <x v="2"/>
    <s v="CA"/>
  </r>
  <r>
    <s v="July"/>
    <n v="1121"/>
    <n v="4421"/>
    <s v="Skimmer"/>
    <n v="45"/>
    <n v="87"/>
    <n v="42"/>
    <n v="8.4"/>
    <x v="2"/>
    <x v="2"/>
    <s v="NV"/>
  </r>
  <r>
    <s v="July"/>
    <n v="1122"/>
    <n v="8722"/>
    <s v="Water Pump"/>
    <n v="344"/>
    <n v="502"/>
    <n v="158"/>
    <n v="31.6"/>
    <x v="2"/>
    <x v="2"/>
    <s v="AZ"/>
  </r>
  <r>
    <s v="July"/>
    <n v="1123"/>
    <n v="9822"/>
    <s v="Pool Cover"/>
    <n v="58.3"/>
    <n v="98.4"/>
    <n v="40.100000000000009"/>
    <n v="8.0200000000000014"/>
    <x v="2"/>
    <x v="2"/>
    <s v="NV"/>
  </r>
  <r>
    <s v="July"/>
    <n v="1124"/>
    <n v="4421"/>
    <s v="Skimmer"/>
    <n v="45"/>
    <n v="87"/>
    <n v="42"/>
    <n v="8.4"/>
    <x v="2"/>
    <x v="2"/>
    <s v="AZ"/>
  </r>
  <r>
    <s v="Aug"/>
    <n v="1125"/>
    <n v="2242"/>
    <s v="AutoVac"/>
    <n v="60"/>
    <n v="124"/>
    <n v="64"/>
    <n v="12.8"/>
    <x v="2"/>
    <x v="2"/>
    <s v="CA"/>
  </r>
  <r>
    <s v="Aug"/>
    <n v="1126"/>
    <n v="9212"/>
    <s v="1 Gal Muratic Acid"/>
    <n v="4"/>
    <n v="7"/>
    <n v="3"/>
    <n v="0.30000000000000004"/>
    <x v="2"/>
    <x v="2"/>
    <s v="NM"/>
  </r>
  <r>
    <s v="Aug"/>
    <n v="1127"/>
    <n v="8722"/>
    <s v="Water Pump"/>
    <n v="344"/>
    <n v="502"/>
    <n v="158"/>
    <n v="31.6"/>
    <x v="0"/>
    <x v="0"/>
    <s v="NV"/>
  </r>
  <r>
    <s v="Aug"/>
    <n v="1128"/>
    <n v="6622"/>
    <s v="5 Gal Chlorine"/>
    <n v="42"/>
    <n v="77"/>
    <n v="35"/>
    <n v="7"/>
    <x v="1"/>
    <x v="1"/>
    <s v="CA"/>
  </r>
  <r>
    <s v="Aug"/>
    <n v="1129"/>
    <n v="9822"/>
    <s v="Pool Cover"/>
    <n v="58.3"/>
    <n v="98.4"/>
    <n v="40.100000000000009"/>
    <n v="8.0200000000000014"/>
    <x v="3"/>
    <x v="3"/>
    <s v="NV"/>
  </r>
  <r>
    <s v="Aug"/>
    <n v="1130"/>
    <n v="4421"/>
    <s v="Skimmer"/>
    <n v="45"/>
    <n v="87"/>
    <n v="42"/>
    <n v="8.4"/>
    <x v="3"/>
    <x v="3"/>
    <s v="CA"/>
  </r>
  <r>
    <s v="Aug"/>
    <n v="1131"/>
    <n v="9212"/>
    <s v="1 Gal Muratic Acid"/>
    <n v="4"/>
    <n v="7"/>
    <n v="3"/>
    <n v="0.30000000000000004"/>
    <x v="3"/>
    <x v="3"/>
    <s v="AZ"/>
  </r>
  <r>
    <s v="Aug"/>
    <n v="1132"/>
    <n v="9212"/>
    <s v="1 Gal Muratic Acid"/>
    <n v="4"/>
    <n v="7"/>
    <n v="3"/>
    <n v="0.30000000000000004"/>
    <x v="3"/>
    <x v="3"/>
    <s v="CA"/>
  </r>
  <r>
    <s v="Aug"/>
    <n v="1133"/>
    <n v="9822"/>
    <s v="Pool Cover"/>
    <n v="58.3"/>
    <n v="98.4"/>
    <n v="40.100000000000009"/>
    <n v="8.0200000000000014"/>
    <x v="0"/>
    <x v="0"/>
    <s v="AZ"/>
  </r>
  <r>
    <s v="Aug"/>
    <n v="1134"/>
    <n v="9822"/>
    <s v="Pool Cover"/>
    <n v="58.3"/>
    <n v="98.4"/>
    <n v="40.100000000000009"/>
    <n v="8.0200000000000014"/>
    <x v="2"/>
    <x v="2"/>
    <s v="AZ"/>
  </r>
  <r>
    <s v="Aug"/>
    <n v="1135"/>
    <n v="8722"/>
    <s v="Water Pump"/>
    <n v="344"/>
    <n v="502"/>
    <n v="158"/>
    <n v="31.6"/>
    <x v="0"/>
    <x v="0"/>
    <s v="NV"/>
  </r>
  <r>
    <s v="Aug"/>
    <n v="1136"/>
    <n v="2242"/>
    <s v="AutoVac"/>
    <n v="60"/>
    <n v="124"/>
    <n v="64"/>
    <n v="12.8"/>
    <x v="2"/>
    <x v="2"/>
    <s v="NM"/>
  </r>
  <r>
    <s v="Aug"/>
    <n v="1137"/>
    <n v="9822"/>
    <s v="Pool Cover"/>
    <n v="58.3"/>
    <n v="98.4"/>
    <n v="40.100000000000009"/>
    <n v="8.0200000000000014"/>
    <x v="1"/>
    <x v="1"/>
    <s v="CA"/>
  </r>
  <r>
    <s v="Aug"/>
    <n v="1138"/>
    <n v="8722"/>
    <s v="Water Pump"/>
    <n v="344"/>
    <n v="502"/>
    <n v="158"/>
    <n v="31.6"/>
    <x v="0"/>
    <x v="0"/>
    <s v="UT"/>
  </r>
  <r>
    <s v="Aug"/>
    <n v="1139"/>
    <n v="4421"/>
    <s v="Skimmer"/>
    <n v="45"/>
    <n v="87"/>
    <n v="42"/>
    <n v="8.4"/>
    <x v="2"/>
    <x v="2"/>
    <s v="CA"/>
  </r>
  <r>
    <s v="Aug"/>
    <n v="1140"/>
    <n v="4421"/>
    <s v="Skimmer"/>
    <n v="45"/>
    <n v="87"/>
    <n v="42"/>
    <n v="8.4"/>
    <x v="1"/>
    <x v="1"/>
    <s v="NV"/>
  </r>
  <r>
    <s v="Aug"/>
    <n v="1141"/>
    <n v="9212"/>
    <s v="1 Gal Muratic Acid"/>
    <n v="4"/>
    <n v="7"/>
    <n v="3"/>
    <n v="0.30000000000000004"/>
    <x v="1"/>
    <x v="1"/>
    <s v="AZ"/>
  </r>
  <r>
    <s v="Sept"/>
    <n v="1142"/>
    <n v="2242"/>
    <s v="AutoVac"/>
    <n v="60"/>
    <n v="124"/>
    <n v="64"/>
    <n v="12.8"/>
    <x v="1"/>
    <x v="1"/>
    <s v="NV"/>
  </r>
  <r>
    <s v="Sept"/>
    <n v="1143"/>
    <n v="9822"/>
    <s v="Pool Cover"/>
    <n v="58.3"/>
    <n v="98.4"/>
    <n v="40.100000000000009"/>
    <n v="8.0200000000000014"/>
    <x v="3"/>
    <x v="3"/>
    <s v="AZ"/>
  </r>
  <r>
    <s v="Sept"/>
    <n v="1144"/>
    <n v="2242"/>
    <s v="AutoVac"/>
    <n v="60"/>
    <n v="124"/>
    <n v="64"/>
    <n v="12.8"/>
    <x v="3"/>
    <x v="3"/>
    <s v="CA"/>
  </r>
  <r>
    <s v="Sept"/>
    <n v="1145"/>
    <n v="4421"/>
    <s v="Skimmer"/>
    <n v="45"/>
    <n v="87"/>
    <n v="42"/>
    <n v="8.4"/>
    <x v="3"/>
    <x v="3"/>
    <s v="NM"/>
  </r>
  <r>
    <s v="Sept"/>
    <n v="1146"/>
    <n v="8722"/>
    <s v="Water Pump"/>
    <n v="344"/>
    <n v="502"/>
    <n v="158"/>
    <n v="31.6"/>
    <x v="3"/>
    <x v="3"/>
    <s v="NV"/>
  </r>
  <r>
    <s v="Sept"/>
    <n v="1147"/>
    <n v="9822"/>
    <s v="Pool Cover"/>
    <n v="58.3"/>
    <n v="98.4"/>
    <n v="40.100000000000009"/>
    <n v="8.0200000000000014"/>
    <x v="0"/>
    <x v="0"/>
    <s v="CA"/>
  </r>
  <r>
    <s v="Sept"/>
    <n v="1148"/>
    <n v="9212"/>
    <s v="1 Gal Muratic Acid"/>
    <n v="4"/>
    <n v="7"/>
    <n v="3"/>
    <n v="0.30000000000000004"/>
    <x v="2"/>
    <x v="2"/>
    <s v="AZ"/>
  </r>
  <r>
    <s v="Sept"/>
    <n v="1149"/>
    <n v="8722"/>
    <s v="Water Pump"/>
    <n v="344"/>
    <n v="502"/>
    <n v="158"/>
    <n v="31.6"/>
    <x v="0"/>
    <x v="0"/>
    <s v="AZ"/>
  </r>
  <r>
    <s v="Oct"/>
    <n v="1150"/>
    <n v="2242"/>
    <s v="AutoVac"/>
    <n v="60"/>
    <n v="124"/>
    <n v="64"/>
    <n v="12.8"/>
    <x v="2"/>
    <x v="2"/>
    <s v="UT"/>
  </r>
  <r>
    <s v="Oct"/>
    <n v="1151"/>
    <n v="2242"/>
    <s v="AutoVac"/>
    <n v="60"/>
    <n v="124"/>
    <n v="64"/>
    <n v="12.8"/>
    <x v="1"/>
    <x v="1"/>
    <s v="CA"/>
  </r>
  <r>
    <s v="Oct"/>
    <n v="1152"/>
    <n v="4421"/>
    <s v="Skimmer"/>
    <n v="45"/>
    <n v="87"/>
    <n v="42"/>
    <n v="8.4"/>
    <x v="0"/>
    <x v="0"/>
    <s v="NV"/>
  </r>
  <r>
    <s v="Oct"/>
    <n v="1153"/>
    <n v="8722"/>
    <s v="Water Pump"/>
    <n v="344"/>
    <n v="502"/>
    <n v="158"/>
    <n v="31.6"/>
    <x v="2"/>
    <x v="2"/>
    <s v="AZ"/>
  </r>
  <r>
    <s v="Oct"/>
    <n v="1154"/>
    <n v="9822"/>
    <s v="Pool Cover"/>
    <n v="58.3"/>
    <n v="98.4"/>
    <n v="40.100000000000009"/>
    <n v="8.0200000000000014"/>
    <x v="1"/>
    <x v="1"/>
    <s v="NV"/>
  </r>
  <r>
    <s v="Oct"/>
    <n v="1155"/>
    <n v="4421"/>
    <s v="Skimmer"/>
    <n v="45"/>
    <n v="87"/>
    <n v="42"/>
    <n v="8.4"/>
    <x v="2"/>
    <x v="2"/>
    <s v="AZ"/>
  </r>
  <r>
    <s v="Oct"/>
    <n v="1156"/>
    <n v="2242"/>
    <s v="AutoVac"/>
    <n v="60"/>
    <n v="124"/>
    <n v="64"/>
    <n v="12.8"/>
    <x v="2"/>
    <x v="2"/>
    <s v="CA"/>
  </r>
  <r>
    <s v="Oct"/>
    <n v="1157"/>
    <n v="9212"/>
    <s v="1 Gal Muratic Acid"/>
    <n v="4"/>
    <n v="7"/>
    <n v="3"/>
    <n v="0.30000000000000004"/>
    <x v="2"/>
    <x v="2"/>
    <s v="NM"/>
  </r>
  <r>
    <s v="Nov"/>
    <n v="1158"/>
    <n v="8722"/>
    <s v="Water Pump"/>
    <n v="344"/>
    <n v="502"/>
    <n v="158"/>
    <n v="31.6"/>
    <x v="0"/>
    <x v="0"/>
    <s v="NV"/>
  </r>
  <r>
    <s v="Nov"/>
    <n v="1159"/>
    <n v="6622"/>
    <s v="5 Gal Chlorine"/>
    <n v="42"/>
    <n v="77"/>
    <n v="35"/>
    <n v="7"/>
    <x v="2"/>
    <x v="2"/>
    <s v="CA"/>
  </r>
  <r>
    <s v="Nov"/>
    <n v="1160"/>
    <n v="9822"/>
    <s v="Pool Cover"/>
    <n v="58.3"/>
    <n v="98.4"/>
    <n v="40.100000000000009"/>
    <n v="8.0200000000000014"/>
    <x v="3"/>
    <x v="3"/>
    <s v="NV"/>
  </r>
  <r>
    <s v="Nov"/>
    <n v="1161"/>
    <n v="4421"/>
    <s v="Skimmer"/>
    <n v="45"/>
    <n v="87"/>
    <n v="42"/>
    <n v="8.4"/>
    <x v="1"/>
    <x v="1"/>
    <s v="CA"/>
  </r>
  <r>
    <s v="Nov"/>
    <n v="1162"/>
    <n v="9212"/>
    <s v="1 Gal Muratic Acid"/>
    <n v="4"/>
    <n v="7"/>
    <n v="3"/>
    <n v="0.30000000000000004"/>
    <x v="0"/>
    <x v="0"/>
    <s v="AZ"/>
  </r>
  <r>
    <s v="Nov"/>
    <n v="1163"/>
    <n v="9212"/>
    <s v="1 Gal Muratic Acid"/>
    <n v="4"/>
    <n v="7"/>
    <n v="3"/>
    <n v="0.30000000000000004"/>
    <x v="2"/>
    <x v="2"/>
    <s v="CA"/>
  </r>
  <r>
    <s v="Nov"/>
    <n v="1164"/>
    <n v="9822"/>
    <s v="Pool Cover"/>
    <n v="58.3"/>
    <n v="98.4"/>
    <n v="40.100000000000009"/>
    <n v="8.0200000000000014"/>
    <x v="2"/>
    <x v="2"/>
    <s v="AZ"/>
  </r>
  <r>
    <s v="Nov"/>
    <n v="1165"/>
    <n v="9822"/>
    <s v="Pool Cover"/>
    <n v="58.3"/>
    <n v="98.4"/>
    <n v="40.100000000000009"/>
    <n v="8.0200000000000014"/>
    <x v="2"/>
    <x v="2"/>
    <s v="AZ"/>
  </r>
  <r>
    <s v="Nov"/>
    <n v="1166"/>
    <n v="8722"/>
    <s v="Water Pump"/>
    <n v="344"/>
    <n v="502"/>
    <n v="158"/>
    <n v="31.6"/>
    <x v="2"/>
    <x v="2"/>
    <s v="NV"/>
  </r>
  <r>
    <s v="Dec"/>
    <n v="1167"/>
    <n v="2242"/>
    <s v="AutoVac"/>
    <n v="60"/>
    <n v="124"/>
    <n v="64"/>
    <n v="12.8"/>
    <x v="2"/>
    <x v="2"/>
    <s v="NM"/>
  </r>
  <r>
    <s v="Dec"/>
    <n v="1168"/>
    <n v="9822"/>
    <s v="Pool Cover"/>
    <n v="58.3"/>
    <n v="98.4"/>
    <n v="40.100000000000009"/>
    <n v="8.0200000000000014"/>
    <x v="2"/>
    <x v="2"/>
    <s v="CA"/>
  </r>
  <r>
    <s v="Dec"/>
    <n v="1169"/>
    <n v="8722"/>
    <s v="Water Pump"/>
    <n v="344"/>
    <n v="502"/>
    <n v="158"/>
    <n v="31.6"/>
    <x v="2"/>
    <x v="2"/>
    <s v="UT"/>
  </r>
  <r>
    <s v="Dec"/>
    <n v="1170"/>
    <n v="4421"/>
    <s v="Skimmer"/>
    <n v="45"/>
    <n v="87"/>
    <n v="42"/>
    <n v="8.4"/>
    <x v="0"/>
    <x v="0"/>
    <s v="CA"/>
  </r>
  <r>
    <s v="Dec"/>
    <n v="1171"/>
    <n v="4421"/>
    <s v="Skimmer"/>
    <n v="45"/>
    <n v="87"/>
    <n v="42"/>
    <n v="8.4"/>
    <x v="1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s v="2006"/>
    <s v="17"/>
    <n v="40326.800000000003"/>
    <n v="2372.1647058823532"/>
    <s v="Black"/>
    <x v="0"/>
    <n v="50000"/>
    <s v="Yes"/>
    <s v="FD06MTGBLA001"/>
  </r>
  <r>
    <s v="FD06MTG002"/>
    <s v="FD"/>
    <s v="Ford"/>
    <s v="MTG"/>
    <s v="Mustang"/>
    <s v="06"/>
    <s v="2006"/>
    <s v="17"/>
    <n v="44974.8"/>
    <n v="2645.5764705882357"/>
    <s v="White"/>
    <x v="1"/>
    <n v="50000"/>
    <s v="Yes"/>
    <s v="FD06MTGWHI002"/>
  </r>
  <r>
    <s v="FD08MTG003"/>
    <s v="FD"/>
    <s v="Ford"/>
    <s v="MTG"/>
    <s v="Mustang"/>
    <s v="08"/>
    <s v="2008"/>
    <s v="15"/>
    <n v="44946.5"/>
    <n v="2996.4333333333334"/>
    <s v="Green"/>
    <x v="2"/>
    <n v="50000"/>
    <s v="Yes"/>
    <s v="FD08MTGGRE003"/>
  </r>
  <r>
    <s v="FD08MTG004"/>
    <s v="FD"/>
    <s v="Ford"/>
    <s v="MTG"/>
    <s v="Mustang"/>
    <s v="08"/>
    <s v="2008"/>
    <s v="15"/>
    <n v="37558.800000000003"/>
    <n v="2503.92"/>
    <s v="Black"/>
    <x v="3"/>
    <n v="50000"/>
    <s v="Yes"/>
    <s v="FD08MTGBLA004"/>
  </r>
  <r>
    <s v="FD08MTG005"/>
    <s v="FD"/>
    <s v="Ford"/>
    <s v="MTG"/>
    <s v="Mustang"/>
    <s v="08"/>
    <s v="2008"/>
    <s v="15"/>
    <n v="36438.5"/>
    <n v="2429.2333333333331"/>
    <s v="White"/>
    <x v="0"/>
    <n v="50000"/>
    <s v="Yes"/>
    <s v="FD08MTGWHI005"/>
  </r>
  <r>
    <s v="FD06FCS006"/>
    <s v="FD"/>
    <s v="Ford"/>
    <s v="FCS"/>
    <s v="Focus"/>
    <s v="06"/>
    <s v="2006"/>
    <s v="17"/>
    <n v="46311.4"/>
    <n v="2724.2000000000003"/>
    <s v="Green"/>
    <x v="4"/>
    <n v="75000"/>
    <s v="Yes"/>
    <s v="FD06FCSGRE006"/>
  </r>
  <r>
    <s v="FD06FCS007"/>
    <s v="FD"/>
    <s v="Ford"/>
    <s v="FCS"/>
    <s v="Focus"/>
    <s v="06"/>
    <s v="2006"/>
    <s v="17"/>
    <n v="52229.5"/>
    <n v="3072.3235294117649"/>
    <s v="Green"/>
    <x v="2"/>
    <n v="75000"/>
    <s v="Yes"/>
    <s v="FD06FCSGRE007"/>
  </r>
  <r>
    <s v="FD09FCS008"/>
    <s v="FD"/>
    <s v="Ford"/>
    <s v="FCS"/>
    <s v="Focus"/>
    <s v="09"/>
    <s v="2009"/>
    <s v="14"/>
    <n v="35137"/>
    <n v="2509.7857142857142"/>
    <s v="Black"/>
    <x v="5"/>
    <n v="75000"/>
    <s v="Yes"/>
    <s v="FD09FCSBLA008"/>
  </r>
  <r>
    <s v="FD13FCS009"/>
    <s v="FD"/>
    <s v="Ford"/>
    <s v="FCS"/>
    <s v="Focus"/>
    <s v="13"/>
    <s v="2013"/>
    <s v="10"/>
    <n v="27637.1"/>
    <n v="2763.71"/>
    <s v="Black"/>
    <x v="0"/>
    <n v="75000"/>
    <s v="Yes"/>
    <s v="FD13FCSBLA009"/>
  </r>
  <r>
    <s v="FD13FCS010"/>
    <s v="FD"/>
    <s v="Ford"/>
    <s v="FCS"/>
    <s v="Focus"/>
    <s v="13"/>
    <s v="2013"/>
    <s v="10"/>
    <n v="27534.799999999999"/>
    <n v="2753.48"/>
    <s v="White"/>
    <x v="6"/>
    <n v="75000"/>
    <s v="Yes"/>
    <s v="FD13FCSWHI010"/>
  </r>
  <r>
    <s v="FD12FCS011"/>
    <s v="FD"/>
    <s v="Ford"/>
    <s v="FCS"/>
    <s v="Focus"/>
    <s v="12"/>
    <s v="2012"/>
    <s v="11"/>
    <n v="19341.7"/>
    <n v="1758.3363636363638"/>
    <s v="White"/>
    <x v="7"/>
    <n v="75000"/>
    <s v="Yes"/>
    <s v="FD12FCSWHI011"/>
  </r>
  <r>
    <s v="FD13FCS012"/>
    <s v="FD"/>
    <s v="Ford"/>
    <s v="FCS"/>
    <s v="Focus"/>
    <s v="13"/>
    <s v="2013"/>
    <s v="10"/>
    <n v="22521.599999999999"/>
    <n v="2252.16"/>
    <s v="Black"/>
    <x v="8"/>
    <n v="75000"/>
    <s v="Yes"/>
    <s v="FD13FCSBLA012"/>
  </r>
  <r>
    <s v="FD13FCS013"/>
    <s v="FD"/>
    <s v="Ford"/>
    <s v="FCS"/>
    <s v="Focus"/>
    <s v="13"/>
    <s v="2013"/>
    <s v="10"/>
    <n v="13682.9"/>
    <n v="1368.29"/>
    <s v="Black"/>
    <x v="9"/>
    <n v="75000"/>
    <s v="Yes"/>
    <s v="FD13FCSBLA013"/>
  </r>
  <r>
    <s v="GM09CMR014"/>
    <s v="GM"/>
    <s v="General Motors"/>
    <s v="CMR"/>
    <s v="Camero"/>
    <s v="09"/>
    <s v="2009"/>
    <s v="14"/>
    <n v="28464.799999999999"/>
    <n v="2033.2"/>
    <s v="White"/>
    <x v="10"/>
    <n v="100000"/>
    <s v="Yes"/>
    <s v="GM09CMRWHI014"/>
  </r>
  <r>
    <s v="GM12CMR015"/>
    <s v="GM"/>
    <s v="General Motors"/>
    <s v="CMR"/>
    <s v="Camero"/>
    <s v="12"/>
    <s v="2012"/>
    <s v="11"/>
    <n v="19421.099999999999"/>
    <n v="1765.5545454545454"/>
    <s v="Black"/>
    <x v="11"/>
    <n v="100000"/>
    <s v="Yes"/>
    <s v="GM12CMRBLA015"/>
  </r>
  <r>
    <s v="GM14CMR016"/>
    <s v="GM"/>
    <s v="General Motors"/>
    <s v="CMR"/>
    <s v="Camero"/>
    <s v="14"/>
    <s v="2014"/>
    <s v="9"/>
    <n v="14289.6"/>
    <n v="1587.7333333333333"/>
    <s v="White"/>
    <x v="12"/>
    <n v="100000"/>
    <s v="Yes"/>
    <s v="GM14CMRWHI016"/>
  </r>
  <r>
    <s v="GM10SLV017"/>
    <s v="GM"/>
    <s v="General Motors"/>
    <s v="SLV"/>
    <s v="Silverado"/>
    <s v="10"/>
    <s v="2010"/>
    <s v="13"/>
    <n v="31144.400000000001"/>
    <n v="2395.7230769230769"/>
    <s v="Black"/>
    <x v="13"/>
    <n v="100000"/>
    <s v="Yes"/>
    <s v="GM10SLVBLA017"/>
  </r>
  <r>
    <s v="GM98SLV018"/>
    <s v="GM"/>
    <s v="General Motors"/>
    <s v="SLV"/>
    <s v="Silverado"/>
    <s v="98"/>
    <s v="1998"/>
    <s v="25"/>
    <n v="83162.7"/>
    <n v="3326.5079999999998"/>
    <s v="Black"/>
    <x v="10"/>
    <n v="100000"/>
    <s v="Yes"/>
    <s v="GM98SLVBLA018"/>
  </r>
  <r>
    <s v="GM00SLV019"/>
    <s v="GM"/>
    <s v="General Motors"/>
    <s v="SLV"/>
    <s v="Silverado"/>
    <s v="00"/>
    <s v="2000"/>
    <s v="23"/>
    <n v="80685.8"/>
    <n v="3508.0782608695654"/>
    <s v="Blue"/>
    <x v="8"/>
    <n v="100000"/>
    <s v="Yes"/>
    <s v="GM00SLVBLU019"/>
  </r>
  <r>
    <s v="TY96CAM020"/>
    <s v="TY"/>
    <s v="Toyota"/>
    <s v="CAM"/>
    <s v="Camrey"/>
    <s v="96"/>
    <s v="1996"/>
    <s v="27"/>
    <n v="114660.6"/>
    <n v="4246.6888888888889"/>
    <s v="Green"/>
    <x v="14"/>
    <n v="100000"/>
    <s v="No"/>
    <s v="TY96CAMGRE020"/>
  </r>
  <r>
    <s v="TY98CAM021"/>
    <s v="TY"/>
    <s v="Toyota"/>
    <s v="CAM"/>
    <s v="Camrey"/>
    <s v="98"/>
    <s v="1998"/>
    <s v="25"/>
    <n v="93382.6"/>
    <n v="3735.3040000000001"/>
    <s v="Black"/>
    <x v="15"/>
    <n v="100000"/>
    <s v="Yes"/>
    <s v="TY98CAMBLA021"/>
  </r>
  <r>
    <s v="TY00CAM022"/>
    <s v="TY"/>
    <s v="Toyota"/>
    <s v="CAM"/>
    <s v="Camrey"/>
    <s v="00"/>
    <s v="2000"/>
    <s v="23"/>
    <n v="85928"/>
    <n v="3736"/>
    <s v="Green"/>
    <x v="4"/>
    <n v="100000"/>
    <s v="Yes"/>
    <s v="TY00CAMGRE022"/>
  </r>
  <r>
    <s v="TY02CAM023"/>
    <s v="TY"/>
    <s v="Toyota"/>
    <s v="CAM"/>
    <s v="Camrey"/>
    <s v="02"/>
    <s v="2002"/>
    <s v="21"/>
    <n v="67829.100000000006"/>
    <n v="3229.957142857143"/>
    <s v="Black"/>
    <x v="0"/>
    <n v="100000"/>
    <s v="Yes"/>
    <s v="TY02CAMBLA023"/>
  </r>
  <r>
    <s v="TY09CAM024"/>
    <s v="TY"/>
    <s v="Toyota"/>
    <s v="CAM"/>
    <s v="Camrey"/>
    <s v="09"/>
    <s v="2009"/>
    <s v="14"/>
    <n v="48114.2"/>
    <n v="3436.7285714285713"/>
    <s v="White"/>
    <x v="5"/>
    <n v="100000"/>
    <s v="Yes"/>
    <s v="TY09CAMWHI024"/>
  </r>
  <r>
    <s v="TY02COR025"/>
    <s v="TY"/>
    <s v="Toyota"/>
    <s v="COR"/>
    <s v="Corola"/>
    <s v="02"/>
    <s v="2002"/>
    <s v="21"/>
    <n v="64467.4"/>
    <n v="3069.8761904761905"/>
    <s v="Red"/>
    <x v="16"/>
    <n v="100000"/>
    <s v="Yes"/>
    <s v="TY02CORRED025"/>
  </r>
  <r>
    <s v="TY03COR026"/>
    <s v="TY"/>
    <s v="Toyota"/>
    <s v="COR"/>
    <s v="Corola"/>
    <s v="03"/>
    <s v="2003"/>
    <s v="20"/>
    <n v="73444.399999999994"/>
    <n v="3672.22"/>
    <s v="Black"/>
    <x v="16"/>
    <n v="100000"/>
    <s v="Yes"/>
    <s v="TY03CORBLA026"/>
  </r>
  <r>
    <s v="TY14COR027"/>
    <s v="TY"/>
    <s v="Toyota"/>
    <s v="COR"/>
    <s v="Corola"/>
    <s v="14"/>
    <s v="2014"/>
    <s v="9"/>
    <n v="17556.3"/>
    <n v="1950.6999999999998"/>
    <s v="Blue"/>
    <x v="6"/>
    <n v="100000"/>
    <s v="Yes"/>
    <s v="TY14CORBLU027"/>
  </r>
  <r>
    <s v="TY12COR028"/>
    <s v="TY"/>
    <s v="Toyota"/>
    <s v="COR"/>
    <s v="Corola"/>
    <s v="12"/>
    <s v="2012"/>
    <s v="11"/>
    <n v="29601.9"/>
    <n v="2691.0818181818181"/>
    <s v="Black"/>
    <x v="10"/>
    <n v="100000"/>
    <s v="Yes"/>
    <s v="TY12CORBLA028"/>
  </r>
  <r>
    <s v="TY12CAM029"/>
    <s v="TY"/>
    <s v="Toyota"/>
    <s v="CAM"/>
    <s v="Camrey"/>
    <s v="12"/>
    <s v="2012"/>
    <s v="11"/>
    <n v="22128.2"/>
    <n v="2011.6545454545455"/>
    <s v="Blue"/>
    <x v="14"/>
    <n v="100000"/>
    <s v="Yes"/>
    <s v="TY12CAMBLU029"/>
  </r>
  <r>
    <s v="HO99CIV030"/>
    <s v="HO"/>
    <s v="Honda"/>
    <s v="CIV"/>
    <s v="Civic"/>
    <s v="99"/>
    <s v="1999"/>
    <s v="24"/>
    <n v="82374"/>
    <n v="3432.25"/>
    <s v="White"/>
    <x v="9"/>
    <n v="75000"/>
    <s v="No"/>
    <s v="HO99CIVWHI030"/>
  </r>
  <r>
    <s v="HO01CIV031"/>
    <s v="HO"/>
    <s v="Honda"/>
    <s v="CIV"/>
    <s v="Civic"/>
    <s v="01"/>
    <s v="2001"/>
    <s v="22"/>
    <n v="69891.899999999994"/>
    <n v="3176.9045454545453"/>
    <s v="Blue"/>
    <x v="3"/>
    <n v="75000"/>
    <s v="Yes"/>
    <s v="HO01CIVBLU031"/>
  </r>
  <r>
    <s v="HO10CIV032"/>
    <s v="HO"/>
    <s v="Honda"/>
    <s v="CIV"/>
    <s v="Civic"/>
    <s v="10"/>
    <s v="2010"/>
    <s v="13"/>
    <n v="22573"/>
    <n v="1736.3846153846155"/>
    <s v="Blue"/>
    <x v="12"/>
    <n v="75000"/>
    <s v="Yes"/>
    <s v="HO10CIVBLU032"/>
  </r>
  <r>
    <s v="HO10CIV033"/>
    <s v="HO"/>
    <s v="Honda"/>
    <s v="CIV"/>
    <s v="Civic"/>
    <s v="10"/>
    <s v="2010"/>
    <s v="13"/>
    <n v="33477.199999999997"/>
    <n v="2575.1692307692306"/>
    <s v="Black"/>
    <x v="15"/>
    <n v="75000"/>
    <s v="Yes"/>
    <s v="HO10CIVBLA033"/>
  </r>
  <r>
    <s v="HO11CIV034"/>
    <s v="HO"/>
    <s v="Honda"/>
    <s v="CIV"/>
    <s v="Civic"/>
    <s v="11"/>
    <s v="2011"/>
    <s v="12"/>
    <n v="30555.3"/>
    <n v="2546.2750000000001"/>
    <s v="Black"/>
    <x v="2"/>
    <n v="75000"/>
    <s v="Yes"/>
    <s v="HO11CIVBLA034"/>
  </r>
  <r>
    <s v="HO12CIV035"/>
    <s v="HO"/>
    <s v="Honda"/>
    <s v="CIV"/>
    <s v="Civic"/>
    <s v="12"/>
    <s v="2012"/>
    <s v="11"/>
    <n v="24513.200000000001"/>
    <n v="2228.4727272727273"/>
    <s v="Black"/>
    <x v="13"/>
    <n v="75000"/>
    <s v="Yes"/>
    <s v="HO12CIVBLA035"/>
  </r>
  <r>
    <s v="HO13CIV036"/>
    <s v="HO"/>
    <s v="Honda"/>
    <s v="CIV"/>
    <s v="Civic"/>
    <s v="13"/>
    <s v="2013"/>
    <s v="10"/>
    <n v="13867.6"/>
    <n v="1386.76"/>
    <s v="Black"/>
    <x v="14"/>
    <n v="75000"/>
    <s v="Yes"/>
    <s v="HO13CIVBLA036"/>
  </r>
  <r>
    <s v="HO05ODY037"/>
    <s v="HO"/>
    <s v="Honda"/>
    <s v="ODY"/>
    <s v="Odyssey"/>
    <s v="05"/>
    <s v="2005"/>
    <s v="18"/>
    <n v="60389.5"/>
    <n v="3354.9722222222222"/>
    <s v="White"/>
    <x v="5"/>
    <n v="100000"/>
    <s v="Yes"/>
    <s v="HO05ODYWHI037"/>
  </r>
  <r>
    <s v="HO07ODY038"/>
    <s v="HO"/>
    <s v="Honda"/>
    <s v="ODY"/>
    <s v="Odyssey"/>
    <s v="07"/>
    <s v="2007"/>
    <s v="16"/>
    <n v="50854.1"/>
    <n v="3178.3812499999999"/>
    <s v="Black"/>
    <x v="15"/>
    <n v="100000"/>
    <s v="Yes"/>
    <s v="HO07ODYBLA038"/>
  </r>
  <r>
    <s v="HO08ODY039"/>
    <s v="HO"/>
    <s v="Honda"/>
    <s v="ODY"/>
    <s v="Odyssey"/>
    <s v="08"/>
    <s v="2008"/>
    <s v="15"/>
    <n v="42504.6"/>
    <n v="2833.64"/>
    <s v="White"/>
    <x v="9"/>
    <n v="100000"/>
    <s v="Yes"/>
    <s v="HO08ODYWHI039"/>
  </r>
  <r>
    <s v="HO010ODY040"/>
    <s v="HO"/>
    <s v="Honda"/>
    <s v="ODY"/>
    <s v="Odyssey"/>
    <s v="01"/>
    <s v="2001"/>
    <s v="22"/>
    <n v="68658.899999999994"/>
    <n v="3120.8590909090908"/>
    <s v="Black"/>
    <x v="0"/>
    <n v="100000"/>
    <s v="Yes"/>
    <s v="HO010ODBLA040"/>
  </r>
  <r>
    <s v="HO14ODY041"/>
    <s v="HO"/>
    <s v="Honda"/>
    <s v="ODY"/>
    <s v="Odyssey"/>
    <s v="14"/>
    <s v="2014"/>
    <s v="9"/>
    <n v="3708.1"/>
    <n v="412.01111111111112"/>
    <s v="Black"/>
    <x v="1"/>
    <n v="100000"/>
    <s v="Yes"/>
    <s v="HO14ODYBLA041"/>
  </r>
  <r>
    <s v="CR04PTC042"/>
    <s v="CR"/>
    <s v="Crystler"/>
    <s v="PTC"/>
    <s v="PT Cruiser"/>
    <s v="04"/>
    <s v="2004"/>
    <s v="19"/>
    <n v="64542"/>
    <n v="3396.9473684210525"/>
    <s v="Blue"/>
    <x v="0"/>
    <n v="75000"/>
    <s v="Yes"/>
    <s v="CR04PTCBLU042"/>
  </r>
  <r>
    <s v="CR07PTC043"/>
    <s v="CR"/>
    <s v="Crystler"/>
    <s v="PTC"/>
    <s v="PT Cruiser"/>
    <s v="07"/>
    <s v="2007"/>
    <s v="16"/>
    <n v="42074.2"/>
    <n v="2629.6374999999998"/>
    <s v="Green"/>
    <x v="16"/>
    <n v="75000"/>
    <s v="Yes"/>
    <s v="CR07PTCGRE043"/>
  </r>
  <r>
    <s v="CR11PTC044"/>
    <s v="CR"/>
    <s v="Crystler"/>
    <s v="PTC"/>
    <s v="PT Cruiser"/>
    <s v="11"/>
    <s v="2011"/>
    <s v="12"/>
    <n v="27394.2"/>
    <n v="2282.85"/>
    <s v="Black"/>
    <x v="8"/>
    <n v="75000"/>
    <s v="Yes"/>
    <s v="CR11PTCBLA044"/>
  </r>
  <r>
    <s v="CR99CAR045"/>
    <s v="CR"/>
    <s v="Crystler"/>
    <s v="CAR"/>
    <s v="Caravan"/>
    <s v="99"/>
    <s v="1999"/>
    <s v="24"/>
    <n v="79420.600000000006"/>
    <n v="3309.1916666666671"/>
    <s v="Green"/>
    <x v="13"/>
    <n v="75000"/>
    <s v="No"/>
    <s v="CR99CARGRE045"/>
  </r>
  <r>
    <s v="CR00CAR046"/>
    <s v="CR"/>
    <s v="Crystler"/>
    <s v="CAR"/>
    <s v="Caravan"/>
    <s v="00"/>
    <s v="2000"/>
    <s v="23"/>
    <n v="77243.100000000006"/>
    <n v="3358.3956521739133"/>
    <s v="Black"/>
    <x v="3"/>
    <n v="75000"/>
    <s v="No"/>
    <s v="CR00CARBLA046"/>
  </r>
  <r>
    <s v="CR04CAR047"/>
    <s v="CR"/>
    <s v="Crystler"/>
    <s v="CAR"/>
    <s v="Caravan"/>
    <s v="04"/>
    <s v="2004"/>
    <s v="19"/>
    <n v="72527.199999999997"/>
    <n v="3817.2210526315789"/>
    <s v="White"/>
    <x v="11"/>
    <n v="75000"/>
    <s v="Yes"/>
    <s v="CR04CARWHI047"/>
  </r>
  <r>
    <s v="CR04CAR048"/>
    <s v="CR"/>
    <s v="Crystler"/>
    <s v="CAR"/>
    <s v="Caravan"/>
    <s v="04"/>
    <s v="2004"/>
    <s v="19"/>
    <n v="52699.4"/>
    <n v="2773.6526315789474"/>
    <s v="Red"/>
    <x v="11"/>
    <n v="75000"/>
    <s v="Yes"/>
    <s v="CR04CARRED048"/>
  </r>
  <r>
    <s v="HY11ELA049"/>
    <s v="HY"/>
    <s v="Hyundai"/>
    <s v="ELA"/>
    <s v="Elantra"/>
    <s v="11"/>
    <s v="2011"/>
    <s v="12"/>
    <n v="29102.3"/>
    <n v="2425.1916666666666"/>
    <s v="Black"/>
    <x v="12"/>
    <n v="100000"/>
    <s v="Yes"/>
    <s v="HY11ELABLA049"/>
  </r>
  <r>
    <s v="HY12ELA050"/>
    <s v="HY"/>
    <s v="Hyundai"/>
    <s v="ELA"/>
    <s v="Elantra"/>
    <s v="12"/>
    <s v="2012"/>
    <s v="11"/>
    <n v="22282"/>
    <n v="2025.6363636363637"/>
    <s v="Blue"/>
    <x v="1"/>
    <n v="100000"/>
    <s v="Yes"/>
    <s v="HY12ELABLU050"/>
  </r>
  <r>
    <s v="HY13ELA051"/>
    <s v="HY"/>
    <s v="Hyundai"/>
    <s v="ELA"/>
    <s v="Elantra"/>
    <s v="13"/>
    <s v="2013"/>
    <s v="10"/>
    <n v="20223.900000000001"/>
    <n v="2022.39"/>
    <s v="Black"/>
    <x v="6"/>
    <n v="100000"/>
    <s v="Yes"/>
    <s v="HY13ELABLA051"/>
  </r>
  <r>
    <s v="HY13ELA052"/>
    <s v="HY"/>
    <s v="Hyundai"/>
    <s v="ELA"/>
    <s v="Elantra"/>
    <s v="13"/>
    <s v="2013"/>
    <s v="10"/>
    <n v="22188.5"/>
    <n v="2218.85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8" firstHeaderRow="1" firstDataRow="1" firstDataCol="1"/>
  <pivotFields count="11">
    <pivotField showAll="0"/>
    <pivotField numFmtId="167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topLeftCell="A2" zoomScaleNormal="100" workbookViewId="0">
      <selection activeCell="A2" sqref="A2:B25"/>
    </sheetView>
  </sheetViews>
  <sheetFormatPr defaultRowHeight="15"/>
  <cols>
    <col min="1" max="1" width="10.5703125" bestFit="1" customWidth="1"/>
    <col min="2" max="2" width="10.140625" bestFit="1" customWidth="1"/>
    <col min="3" max="4" width="8.140625" bestFit="1" customWidth="1"/>
    <col min="5" max="11" width="6.5703125" bestFit="1" customWidth="1"/>
    <col min="12" max="15" width="10.7109375" bestFit="1" customWidth="1"/>
    <col min="16" max="16" width="9.28515625" bestFit="1" customWidth="1"/>
    <col min="17" max="19" width="9" bestFit="1" customWidth="1"/>
    <col min="20" max="20" width="11.28515625" customWidth="1"/>
    <col min="21" max="23" width="10.7109375" bestFit="1" customWidth="1"/>
    <col min="24" max="24" width="10.5703125" bestFit="1" customWidth="1"/>
  </cols>
  <sheetData>
    <row r="1" spans="1:24" s="9" customForma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s="28" customFormat="1" ht="30">
      <c r="A2" s="19" t="s">
        <v>1</v>
      </c>
      <c r="B2" s="19" t="s">
        <v>2</v>
      </c>
      <c r="C2" s="19" t="s">
        <v>3</v>
      </c>
      <c r="D2" s="20" t="s">
        <v>4</v>
      </c>
      <c r="E2" s="21"/>
      <c r="F2" s="21"/>
      <c r="G2" s="21"/>
      <c r="H2" s="22" t="s">
        <v>12</v>
      </c>
      <c r="I2" s="23"/>
      <c r="J2" s="23"/>
      <c r="K2" s="23"/>
      <c r="L2" s="24" t="s">
        <v>9</v>
      </c>
      <c r="M2" s="24"/>
      <c r="N2" s="24"/>
      <c r="O2" s="24"/>
      <c r="P2" s="25" t="s">
        <v>11</v>
      </c>
      <c r="Q2" s="25"/>
      <c r="R2" s="25"/>
      <c r="S2" s="25"/>
      <c r="T2" s="26" t="s">
        <v>10</v>
      </c>
      <c r="U2" s="26"/>
      <c r="V2" s="26"/>
      <c r="W2" s="26"/>
      <c r="X2" s="27" t="s">
        <v>42</v>
      </c>
    </row>
    <row r="3" spans="1:24" s="1" customFormat="1">
      <c r="A3" s="10"/>
      <c r="B3" s="10"/>
      <c r="C3" s="10"/>
      <c r="D3" s="13">
        <v>44927</v>
      </c>
      <c r="E3" s="13">
        <f>D3+7</f>
        <v>44934</v>
      </c>
      <c r="F3" s="13">
        <f t="shared" ref="F3:G3" si="0">E3+7</f>
        <v>44941</v>
      </c>
      <c r="G3" s="13">
        <f t="shared" si="0"/>
        <v>44948</v>
      </c>
      <c r="H3" s="14">
        <v>44927</v>
      </c>
      <c r="I3" s="14">
        <f>H3+7</f>
        <v>44934</v>
      </c>
      <c r="J3" s="14">
        <f t="shared" ref="J3:K3" si="1">I3+7</f>
        <v>44941</v>
      </c>
      <c r="K3" s="14">
        <f t="shared" si="1"/>
        <v>44948</v>
      </c>
      <c r="L3" s="15">
        <v>44927</v>
      </c>
      <c r="M3" s="15">
        <f>L3+7</f>
        <v>44934</v>
      </c>
      <c r="N3" s="15">
        <f t="shared" ref="N3:O3" si="2">M3+7</f>
        <v>44941</v>
      </c>
      <c r="O3" s="15">
        <f t="shared" si="2"/>
        <v>44948</v>
      </c>
      <c r="P3" s="16">
        <v>44927</v>
      </c>
      <c r="Q3" s="16">
        <f>P3+7</f>
        <v>44934</v>
      </c>
      <c r="R3" s="16">
        <f t="shared" ref="R3:S3" si="3">Q3+7</f>
        <v>44941</v>
      </c>
      <c r="S3" s="16">
        <f t="shared" si="3"/>
        <v>44948</v>
      </c>
      <c r="T3" s="17">
        <v>44927</v>
      </c>
      <c r="U3" s="17">
        <f>T3+7</f>
        <v>44934</v>
      </c>
      <c r="V3" s="17">
        <f t="shared" ref="V3:W3" si="4">U3+7</f>
        <v>44941</v>
      </c>
      <c r="W3" s="17">
        <f t="shared" si="4"/>
        <v>44948</v>
      </c>
      <c r="X3" s="18"/>
    </row>
    <row r="4" spans="1:24">
      <c r="A4" s="10" t="s">
        <v>13</v>
      </c>
      <c r="B4" s="10" t="s">
        <v>14</v>
      </c>
      <c r="C4" s="11">
        <v>15.9</v>
      </c>
      <c r="D4" s="5">
        <v>41</v>
      </c>
      <c r="E4" s="5">
        <v>41</v>
      </c>
      <c r="F4" s="5">
        <v>39</v>
      </c>
      <c r="G4" s="5">
        <v>40</v>
      </c>
      <c r="H4" s="6">
        <f>IF(D4&gt;40,D4-40,0)</f>
        <v>1</v>
      </c>
      <c r="I4" s="6">
        <f t="shared" ref="I4:K4" si="5">IF(E4&gt;40,E4-40,0)</f>
        <v>1</v>
      </c>
      <c r="J4" s="6">
        <f t="shared" si="5"/>
        <v>0</v>
      </c>
      <c r="K4" s="6">
        <f t="shared" si="5"/>
        <v>0</v>
      </c>
      <c r="L4" s="8">
        <f>$C4*D4</f>
        <v>651.9</v>
      </c>
      <c r="M4" s="8">
        <f t="shared" ref="M4:O19" si="6">$C4*E4</f>
        <v>651.9</v>
      </c>
      <c r="N4" s="8">
        <f t="shared" si="6"/>
        <v>620.1</v>
      </c>
      <c r="O4" s="8">
        <f t="shared" si="6"/>
        <v>636</v>
      </c>
      <c r="P4" s="7">
        <f>IF(H4&gt;0,$C4*0.5*H4,H4)</f>
        <v>7.95</v>
      </c>
      <c r="Q4" s="7">
        <f t="shared" ref="Q4:S4" si="7">IF(I4&gt;0,$C4*0.5*I4,I4)</f>
        <v>7.95</v>
      </c>
      <c r="R4" s="7">
        <f t="shared" si="7"/>
        <v>0</v>
      </c>
      <c r="S4" s="7">
        <f t="shared" si="7"/>
        <v>0</v>
      </c>
      <c r="T4" s="12">
        <f>L4+P4</f>
        <v>659.85</v>
      </c>
      <c r="U4" s="12">
        <f>M4+Q4</f>
        <v>659.85</v>
      </c>
      <c r="V4" s="12">
        <f t="shared" ref="V4:W4" si="8">N4+R4</f>
        <v>620.1</v>
      </c>
      <c r="W4" s="12">
        <f t="shared" si="8"/>
        <v>636</v>
      </c>
      <c r="X4" s="18">
        <f>SUM(T4:W4)</f>
        <v>2575.8000000000002</v>
      </c>
    </row>
    <row r="5" spans="1:24">
      <c r="A5" s="10" t="s">
        <v>15</v>
      </c>
      <c r="B5" s="10" t="s">
        <v>16</v>
      </c>
      <c r="C5" s="11">
        <v>15.3</v>
      </c>
      <c r="D5" s="5">
        <v>41</v>
      </c>
      <c r="E5" s="5">
        <v>41</v>
      </c>
      <c r="F5" s="5">
        <v>41</v>
      </c>
      <c r="G5" s="5">
        <v>44</v>
      </c>
      <c r="H5" s="6">
        <f t="shared" ref="H5:H25" si="9">IF(D5&gt;40,D5-40,0)</f>
        <v>1</v>
      </c>
      <c r="I5" s="6">
        <f t="shared" ref="I5:I25" si="10">IF(E5&gt;40,E5-40,0)</f>
        <v>1</v>
      </c>
      <c r="J5" s="6">
        <f t="shared" ref="J5:J25" si="11">IF(F5&gt;40,F5-40,0)</f>
        <v>1</v>
      </c>
      <c r="K5" s="6">
        <f t="shared" ref="K5:K25" si="12">IF(G5&gt;40,G5-40,0)</f>
        <v>4</v>
      </c>
      <c r="L5" s="8">
        <f t="shared" ref="L5:O25" si="13">$C5*D5</f>
        <v>627.30000000000007</v>
      </c>
      <c r="M5" s="8">
        <f t="shared" si="6"/>
        <v>627.30000000000007</v>
      </c>
      <c r="N5" s="8">
        <f t="shared" si="6"/>
        <v>627.30000000000007</v>
      </c>
      <c r="O5" s="8">
        <f t="shared" si="6"/>
        <v>673.2</v>
      </c>
      <c r="P5" s="7">
        <f t="shared" ref="P5:P25" si="14">IF(H5&gt;0,$C5*0.5*H5,H5)</f>
        <v>7.65</v>
      </c>
      <c r="Q5" s="7">
        <f t="shared" ref="Q5:Q25" si="15">IF(I5&gt;0,$C5*0.5*I5,I5)</f>
        <v>7.65</v>
      </c>
      <c r="R5" s="7">
        <f t="shared" ref="R5:R25" si="16">IF(J5&gt;0,$C5*0.5*J5,J5)</f>
        <v>7.65</v>
      </c>
      <c r="S5" s="7">
        <f t="shared" ref="S5:S25" si="17">IF(K5&gt;0,$C5*0.5*K5,K5)</f>
        <v>30.6</v>
      </c>
      <c r="T5" s="12">
        <f t="shared" ref="T5:T25" si="18">L5+P5</f>
        <v>634.95000000000005</v>
      </c>
      <c r="U5" s="12">
        <f t="shared" ref="U5:U25" si="19">M5+Q5</f>
        <v>634.95000000000005</v>
      </c>
      <c r="V5" s="12">
        <f t="shared" ref="V5:V25" si="20">N5+R5</f>
        <v>634.95000000000005</v>
      </c>
      <c r="W5" s="12">
        <f t="shared" ref="W5:W25" si="21">O5+S5</f>
        <v>703.80000000000007</v>
      </c>
      <c r="X5" s="18">
        <f t="shared" ref="X5:X25" si="22">SUM(T5:W5)</f>
        <v>2608.65</v>
      </c>
    </row>
    <row r="6" spans="1:24">
      <c r="A6" s="10" t="s">
        <v>17</v>
      </c>
      <c r="B6" s="10" t="s">
        <v>18</v>
      </c>
      <c r="C6" s="11">
        <v>14.2</v>
      </c>
      <c r="D6" s="5">
        <v>43</v>
      </c>
      <c r="E6" s="5">
        <v>43</v>
      </c>
      <c r="F6" s="5">
        <v>32</v>
      </c>
      <c r="G6" s="5">
        <v>32</v>
      </c>
      <c r="H6" s="6">
        <f t="shared" si="9"/>
        <v>3</v>
      </c>
      <c r="I6" s="6">
        <f t="shared" si="10"/>
        <v>3</v>
      </c>
      <c r="J6" s="6">
        <f t="shared" si="11"/>
        <v>0</v>
      </c>
      <c r="K6" s="6">
        <f t="shared" si="12"/>
        <v>0</v>
      </c>
      <c r="L6" s="8">
        <f t="shared" si="13"/>
        <v>610.6</v>
      </c>
      <c r="M6" s="8">
        <f t="shared" si="6"/>
        <v>610.6</v>
      </c>
      <c r="N6" s="8">
        <f t="shared" si="6"/>
        <v>454.4</v>
      </c>
      <c r="O6" s="8">
        <f t="shared" si="6"/>
        <v>454.4</v>
      </c>
      <c r="P6" s="7">
        <f t="shared" si="14"/>
        <v>21.299999999999997</v>
      </c>
      <c r="Q6" s="7">
        <f t="shared" si="15"/>
        <v>21.299999999999997</v>
      </c>
      <c r="R6" s="7">
        <f t="shared" si="16"/>
        <v>0</v>
      </c>
      <c r="S6" s="7">
        <f t="shared" si="17"/>
        <v>0</v>
      </c>
      <c r="T6" s="12">
        <f t="shared" si="18"/>
        <v>631.9</v>
      </c>
      <c r="U6" s="12">
        <f t="shared" si="19"/>
        <v>631.9</v>
      </c>
      <c r="V6" s="12">
        <f t="shared" si="20"/>
        <v>454.4</v>
      </c>
      <c r="W6" s="12">
        <f t="shared" si="21"/>
        <v>454.4</v>
      </c>
      <c r="X6" s="18">
        <f t="shared" si="22"/>
        <v>2172.6</v>
      </c>
    </row>
    <row r="7" spans="1:24">
      <c r="A7" s="10" t="s">
        <v>19</v>
      </c>
      <c r="B7" s="10" t="s">
        <v>20</v>
      </c>
      <c r="C7" s="11">
        <v>25.65</v>
      </c>
      <c r="D7" s="5">
        <v>39</v>
      </c>
      <c r="E7" s="5">
        <v>39</v>
      </c>
      <c r="F7" s="5">
        <v>33</v>
      </c>
      <c r="G7" s="5">
        <v>52</v>
      </c>
      <c r="H7" s="6">
        <f t="shared" si="9"/>
        <v>0</v>
      </c>
      <c r="I7" s="6">
        <f t="shared" si="10"/>
        <v>0</v>
      </c>
      <c r="J7" s="6">
        <f t="shared" si="11"/>
        <v>0</v>
      </c>
      <c r="K7" s="6">
        <f t="shared" si="12"/>
        <v>12</v>
      </c>
      <c r="L7" s="8">
        <f t="shared" si="13"/>
        <v>1000.3499999999999</v>
      </c>
      <c r="M7" s="8">
        <f t="shared" si="6"/>
        <v>1000.3499999999999</v>
      </c>
      <c r="N7" s="8">
        <f t="shared" si="6"/>
        <v>846.44999999999993</v>
      </c>
      <c r="O7" s="8">
        <f t="shared" si="6"/>
        <v>1333.8</v>
      </c>
      <c r="P7" s="7">
        <f t="shared" si="14"/>
        <v>0</v>
      </c>
      <c r="Q7" s="7">
        <f t="shared" si="15"/>
        <v>0</v>
      </c>
      <c r="R7" s="7">
        <f t="shared" si="16"/>
        <v>0</v>
      </c>
      <c r="S7" s="7">
        <f t="shared" si="17"/>
        <v>153.89999999999998</v>
      </c>
      <c r="T7" s="12">
        <f t="shared" si="18"/>
        <v>1000.3499999999999</v>
      </c>
      <c r="U7" s="12">
        <f t="shared" si="19"/>
        <v>1000.3499999999999</v>
      </c>
      <c r="V7" s="12">
        <f t="shared" si="20"/>
        <v>846.44999999999993</v>
      </c>
      <c r="W7" s="12">
        <f t="shared" si="21"/>
        <v>1487.6999999999998</v>
      </c>
      <c r="X7" s="18">
        <f t="shared" si="22"/>
        <v>4334.8499999999995</v>
      </c>
    </row>
    <row r="8" spans="1:24">
      <c r="A8" s="10" t="s">
        <v>21</v>
      </c>
      <c r="B8" s="10" t="s">
        <v>22</v>
      </c>
      <c r="C8" s="11">
        <v>10.3</v>
      </c>
      <c r="D8" s="5">
        <v>41</v>
      </c>
      <c r="E8" s="5">
        <v>41</v>
      </c>
      <c r="F8" s="5">
        <v>29</v>
      </c>
      <c r="G8" s="5">
        <v>41</v>
      </c>
      <c r="H8" s="6">
        <f t="shared" si="9"/>
        <v>1</v>
      </c>
      <c r="I8" s="6">
        <f t="shared" si="10"/>
        <v>1</v>
      </c>
      <c r="J8" s="6">
        <f t="shared" si="11"/>
        <v>0</v>
      </c>
      <c r="K8" s="6">
        <f t="shared" si="12"/>
        <v>1</v>
      </c>
      <c r="L8" s="8">
        <f t="shared" si="13"/>
        <v>422.3</v>
      </c>
      <c r="M8" s="8">
        <f t="shared" si="6"/>
        <v>422.3</v>
      </c>
      <c r="N8" s="8">
        <f t="shared" si="6"/>
        <v>298.70000000000005</v>
      </c>
      <c r="O8" s="8">
        <f t="shared" si="6"/>
        <v>422.3</v>
      </c>
      <c r="P8" s="7">
        <f t="shared" si="14"/>
        <v>5.15</v>
      </c>
      <c r="Q8" s="7">
        <f t="shared" si="15"/>
        <v>5.15</v>
      </c>
      <c r="R8" s="7">
        <f t="shared" si="16"/>
        <v>0</v>
      </c>
      <c r="S8" s="7">
        <f t="shared" si="17"/>
        <v>5.15</v>
      </c>
      <c r="T8" s="12">
        <f t="shared" si="18"/>
        <v>427.45</v>
      </c>
      <c r="U8" s="12">
        <f t="shared" si="19"/>
        <v>427.45</v>
      </c>
      <c r="V8" s="12">
        <f t="shared" si="20"/>
        <v>298.70000000000005</v>
      </c>
      <c r="W8" s="12">
        <f t="shared" si="21"/>
        <v>427.45</v>
      </c>
      <c r="X8" s="18">
        <f t="shared" si="22"/>
        <v>1581.05</v>
      </c>
    </row>
    <row r="9" spans="1:24">
      <c r="A9" s="10" t="s">
        <v>23</v>
      </c>
      <c r="B9" s="10" t="s">
        <v>24</v>
      </c>
      <c r="C9" s="11">
        <v>20.5</v>
      </c>
      <c r="D9" s="5">
        <v>32</v>
      </c>
      <c r="E9" s="5">
        <v>32</v>
      </c>
      <c r="F9" s="5">
        <v>34</v>
      </c>
      <c r="G9" s="5">
        <v>32</v>
      </c>
      <c r="H9" s="6">
        <f t="shared" si="9"/>
        <v>0</v>
      </c>
      <c r="I9" s="6">
        <f t="shared" si="10"/>
        <v>0</v>
      </c>
      <c r="J9" s="6">
        <f t="shared" si="11"/>
        <v>0</v>
      </c>
      <c r="K9" s="6">
        <f t="shared" si="12"/>
        <v>0</v>
      </c>
      <c r="L9" s="8">
        <f t="shared" si="13"/>
        <v>656</v>
      </c>
      <c r="M9" s="8">
        <f t="shared" si="6"/>
        <v>656</v>
      </c>
      <c r="N9" s="8">
        <f t="shared" si="6"/>
        <v>697</v>
      </c>
      <c r="O9" s="8">
        <f t="shared" si="6"/>
        <v>656</v>
      </c>
      <c r="P9" s="7">
        <f t="shared" si="14"/>
        <v>0</v>
      </c>
      <c r="Q9" s="7">
        <f t="shared" si="15"/>
        <v>0</v>
      </c>
      <c r="R9" s="7">
        <f t="shared" si="16"/>
        <v>0</v>
      </c>
      <c r="S9" s="7">
        <f t="shared" si="17"/>
        <v>0</v>
      </c>
      <c r="T9" s="12">
        <f t="shared" si="18"/>
        <v>656</v>
      </c>
      <c r="U9" s="12">
        <f t="shared" si="19"/>
        <v>656</v>
      </c>
      <c r="V9" s="12">
        <f t="shared" si="20"/>
        <v>697</v>
      </c>
      <c r="W9" s="12">
        <f t="shared" si="21"/>
        <v>656</v>
      </c>
      <c r="X9" s="18">
        <f t="shared" si="22"/>
        <v>2665</v>
      </c>
    </row>
    <row r="10" spans="1:24">
      <c r="A10" s="10" t="s">
        <v>25</v>
      </c>
      <c r="B10" s="10" t="s">
        <v>20</v>
      </c>
      <c r="C10" s="11">
        <v>17.5</v>
      </c>
      <c r="D10" s="5">
        <v>33</v>
      </c>
      <c r="E10" s="5">
        <v>33</v>
      </c>
      <c r="F10" s="5">
        <v>38</v>
      </c>
      <c r="G10" s="5">
        <v>33</v>
      </c>
      <c r="H10" s="6">
        <f t="shared" si="9"/>
        <v>0</v>
      </c>
      <c r="I10" s="6">
        <f t="shared" si="10"/>
        <v>0</v>
      </c>
      <c r="J10" s="6">
        <f t="shared" si="11"/>
        <v>0</v>
      </c>
      <c r="K10" s="6">
        <f t="shared" si="12"/>
        <v>0</v>
      </c>
      <c r="L10" s="8">
        <f t="shared" si="13"/>
        <v>577.5</v>
      </c>
      <c r="M10" s="8">
        <f t="shared" si="6"/>
        <v>577.5</v>
      </c>
      <c r="N10" s="8">
        <f t="shared" si="6"/>
        <v>665</v>
      </c>
      <c r="O10" s="8">
        <f t="shared" si="6"/>
        <v>577.5</v>
      </c>
      <c r="P10" s="7">
        <f t="shared" si="14"/>
        <v>0</v>
      </c>
      <c r="Q10" s="7">
        <f t="shared" si="15"/>
        <v>0</v>
      </c>
      <c r="R10" s="7">
        <f t="shared" si="16"/>
        <v>0</v>
      </c>
      <c r="S10" s="7">
        <f t="shared" si="17"/>
        <v>0</v>
      </c>
      <c r="T10" s="12">
        <f t="shared" si="18"/>
        <v>577.5</v>
      </c>
      <c r="U10" s="12">
        <f t="shared" si="19"/>
        <v>577.5</v>
      </c>
      <c r="V10" s="12">
        <f t="shared" si="20"/>
        <v>665</v>
      </c>
      <c r="W10" s="12">
        <f t="shared" si="21"/>
        <v>577.5</v>
      </c>
      <c r="X10" s="18">
        <f t="shared" si="22"/>
        <v>2397.5</v>
      </c>
    </row>
    <row r="11" spans="1:24">
      <c r="A11" s="10" t="s">
        <v>26</v>
      </c>
      <c r="B11" s="10" t="s">
        <v>27</v>
      </c>
      <c r="C11" s="11">
        <v>16.100000000000001</v>
      </c>
      <c r="D11" s="5">
        <v>29</v>
      </c>
      <c r="E11" s="5">
        <v>29</v>
      </c>
      <c r="F11" s="5">
        <v>31</v>
      </c>
      <c r="G11" s="5">
        <v>29</v>
      </c>
      <c r="H11" s="6">
        <f t="shared" si="9"/>
        <v>0</v>
      </c>
      <c r="I11" s="6">
        <f t="shared" si="10"/>
        <v>0</v>
      </c>
      <c r="J11" s="6">
        <f t="shared" si="11"/>
        <v>0</v>
      </c>
      <c r="K11" s="6">
        <f t="shared" si="12"/>
        <v>0</v>
      </c>
      <c r="L11" s="8">
        <f t="shared" si="13"/>
        <v>466.90000000000003</v>
      </c>
      <c r="M11" s="8">
        <f t="shared" si="6"/>
        <v>466.90000000000003</v>
      </c>
      <c r="N11" s="8">
        <f t="shared" si="6"/>
        <v>499.1</v>
      </c>
      <c r="O11" s="8">
        <f t="shared" si="6"/>
        <v>466.90000000000003</v>
      </c>
      <c r="P11" s="7">
        <f t="shared" si="14"/>
        <v>0</v>
      </c>
      <c r="Q11" s="7">
        <f t="shared" si="15"/>
        <v>0</v>
      </c>
      <c r="R11" s="7">
        <f t="shared" si="16"/>
        <v>0</v>
      </c>
      <c r="S11" s="7">
        <f t="shared" si="17"/>
        <v>0</v>
      </c>
      <c r="T11" s="12">
        <f t="shared" si="18"/>
        <v>466.90000000000003</v>
      </c>
      <c r="U11" s="12">
        <f t="shared" si="19"/>
        <v>466.90000000000003</v>
      </c>
      <c r="V11" s="12">
        <f t="shared" si="20"/>
        <v>499.1</v>
      </c>
      <c r="W11" s="12">
        <f t="shared" si="21"/>
        <v>466.90000000000003</v>
      </c>
      <c r="X11" s="18">
        <f t="shared" si="22"/>
        <v>1899.8000000000002</v>
      </c>
    </row>
    <row r="12" spans="1:24">
      <c r="A12" s="10" t="s">
        <v>28</v>
      </c>
      <c r="B12" s="10" t="s">
        <v>16</v>
      </c>
      <c r="C12" s="11">
        <v>40.200000000000003</v>
      </c>
      <c r="D12" s="5">
        <v>34</v>
      </c>
      <c r="E12" s="5">
        <v>34</v>
      </c>
      <c r="F12" s="5">
        <v>55</v>
      </c>
      <c r="G12" s="5">
        <v>34</v>
      </c>
      <c r="H12" s="6">
        <f t="shared" si="9"/>
        <v>0</v>
      </c>
      <c r="I12" s="6">
        <f t="shared" si="10"/>
        <v>0</v>
      </c>
      <c r="J12" s="6">
        <f t="shared" si="11"/>
        <v>15</v>
      </c>
      <c r="K12" s="6">
        <f t="shared" si="12"/>
        <v>0</v>
      </c>
      <c r="L12" s="8">
        <f t="shared" si="13"/>
        <v>1366.8000000000002</v>
      </c>
      <c r="M12" s="8">
        <f t="shared" si="6"/>
        <v>1366.8000000000002</v>
      </c>
      <c r="N12" s="8">
        <f t="shared" si="6"/>
        <v>2211</v>
      </c>
      <c r="O12" s="8">
        <f t="shared" si="6"/>
        <v>1366.8000000000002</v>
      </c>
      <c r="P12" s="7">
        <f t="shared" si="14"/>
        <v>0</v>
      </c>
      <c r="Q12" s="7">
        <f t="shared" si="15"/>
        <v>0</v>
      </c>
      <c r="R12" s="7">
        <f t="shared" si="16"/>
        <v>301.5</v>
      </c>
      <c r="S12" s="7">
        <f t="shared" si="17"/>
        <v>0</v>
      </c>
      <c r="T12" s="12">
        <f t="shared" si="18"/>
        <v>1366.8000000000002</v>
      </c>
      <c r="U12" s="12">
        <f t="shared" si="19"/>
        <v>1366.8000000000002</v>
      </c>
      <c r="V12" s="12">
        <f t="shared" si="20"/>
        <v>2512.5</v>
      </c>
      <c r="W12" s="12">
        <f t="shared" si="21"/>
        <v>1366.8000000000002</v>
      </c>
      <c r="X12" s="18">
        <f t="shared" si="22"/>
        <v>6612.9000000000005</v>
      </c>
    </row>
    <row r="13" spans="1:24">
      <c r="A13" s="10" t="s">
        <v>29</v>
      </c>
      <c r="B13" s="10" t="s">
        <v>18</v>
      </c>
      <c r="C13" s="11">
        <v>36.979999999999997</v>
      </c>
      <c r="D13" s="5">
        <v>38</v>
      </c>
      <c r="E13" s="5">
        <v>34</v>
      </c>
      <c r="F13" s="5">
        <v>40</v>
      </c>
      <c r="G13" s="5">
        <v>34</v>
      </c>
      <c r="H13" s="6">
        <f t="shared" si="9"/>
        <v>0</v>
      </c>
      <c r="I13" s="6">
        <f t="shared" si="10"/>
        <v>0</v>
      </c>
      <c r="J13" s="6">
        <f t="shared" si="11"/>
        <v>0</v>
      </c>
      <c r="K13" s="6">
        <f t="shared" si="12"/>
        <v>0</v>
      </c>
      <c r="L13" s="8">
        <f t="shared" si="13"/>
        <v>1405.2399999999998</v>
      </c>
      <c r="M13" s="8">
        <f t="shared" si="6"/>
        <v>1257.32</v>
      </c>
      <c r="N13" s="8">
        <f t="shared" si="6"/>
        <v>1479.1999999999998</v>
      </c>
      <c r="O13" s="8">
        <f t="shared" si="6"/>
        <v>1257.32</v>
      </c>
      <c r="P13" s="7">
        <f t="shared" si="14"/>
        <v>0</v>
      </c>
      <c r="Q13" s="7">
        <f t="shared" si="15"/>
        <v>0</v>
      </c>
      <c r="R13" s="7">
        <f t="shared" si="16"/>
        <v>0</v>
      </c>
      <c r="S13" s="7">
        <f t="shared" si="17"/>
        <v>0</v>
      </c>
      <c r="T13" s="12">
        <f t="shared" si="18"/>
        <v>1405.2399999999998</v>
      </c>
      <c r="U13" s="12">
        <f t="shared" si="19"/>
        <v>1257.32</v>
      </c>
      <c r="V13" s="12">
        <f t="shared" si="20"/>
        <v>1479.1999999999998</v>
      </c>
      <c r="W13" s="12">
        <f t="shared" si="21"/>
        <v>1257.32</v>
      </c>
      <c r="X13" s="18">
        <f t="shared" si="22"/>
        <v>5399.079999999999</v>
      </c>
    </row>
    <row r="14" spans="1:24">
      <c r="A14" s="10" t="s">
        <v>30</v>
      </c>
      <c r="B14" s="10" t="s">
        <v>14</v>
      </c>
      <c r="C14" s="11">
        <v>14.75</v>
      </c>
      <c r="D14" s="5">
        <v>31</v>
      </c>
      <c r="E14" s="5">
        <v>38</v>
      </c>
      <c r="F14" s="5">
        <v>44</v>
      </c>
      <c r="G14" s="5">
        <v>38</v>
      </c>
      <c r="H14" s="6">
        <f t="shared" si="9"/>
        <v>0</v>
      </c>
      <c r="I14" s="6">
        <f t="shared" si="10"/>
        <v>0</v>
      </c>
      <c r="J14" s="6">
        <f t="shared" si="11"/>
        <v>4</v>
      </c>
      <c r="K14" s="6">
        <f t="shared" si="12"/>
        <v>0</v>
      </c>
      <c r="L14" s="8">
        <f t="shared" si="13"/>
        <v>457.25</v>
      </c>
      <c r="M14" s="8">
        <f t="shared" si="6"/>
        <v>560.5</v>
      </c>
      <c r="N14" s="8">
        <f t="shared" si="6"/>
        <v>649</v>
      </c>
      <c r="O14" s="8">
        <f t="shared" si="6"/>
        <v>560.5</v>
      </c>
      <c r="P14" s="7">
        <f t="shared" si="14"/>
        <v>0</v>
      </c>
      <c r="Q14" s="7">
        <f t="shared" si="15"/>
        <v>0</v>
      </c>
      <c r="R14" s="7">
        <f t="shared" si="16"/>
        <v>29.5</v>
      </c>
      <c r="S14" s="7">
        <f t="shared" si="17"/>
        <v>0</v>
      </c>
      <c r="T14" s="12">
        <f t="shared" si="18"/>
        <v>457.25</v>
      </c>
      <c r="U14" s="12">
        <f t="shared" si="19"/>
        <v>560.5</v>
      </c>
      <c r="V14" s="12">
        <f t="shared" si="20"/>
        <v>678.5</v>
      </c>
      <c r="W14" s="12">
        <f t="shared" si="21"/>
        <v>560.5</v>
      </c>
      <c r="X14" s="18">
        <f t="shared" si="22"/>
        <v>2256.75</v>
      </c>
    </row>
    <row r="15" spans="1:24">
      <c r="A15" s="10" t="s">
        <v>31</v>
      </c>
      <c r="B15" s="10" t="s">
        <v>20</v>
      </c>
      <c r="C15" s="11">
        <v>22.36</v>
      </c>
      <c r="D15" s="5">
        <v>55</v>
      </c>
      <c r="E15" s="5">
        <v>31</v>
      </c>
      <c r="F15" s="5">
        <v>32</v>
      </c>
      <c r="G15" s="5">
        <v>31</v>
      </c>
      <c r="H15" s="6">
        <f t="shared" si="9"/>
        <v>15</v>
      </c>
      <c r="I15" s="6">
        <f t="shared" si="10"/>
        <v>0</v>
      </c>
      <c r="J15" s="6">
        <f t="shared" si="11"/>
        <v>0</v>
      </c>
      <c r="K15" s="6">
        <f t="shared" si="12"/>
        <v>0</v>
      </c>
      <c r="L15" s="8">
        <f t="shared" si="13"/>
        <v>1229.8</v>
      </c>
      <c r="M15" s="8">
        <f t="shared" si="6"/>
        <v>693.16</v>
      </c>
      <c r="N15" s="8">
        <f t="shared" si="6"/>
        <v>715.52</v>
      </c>
      <c r="O15" s="8">
        <f t="shared" si="6"/>
        <v>693.16</v>
      </c>
      <c r="P15" s="7">
        <f t="shared" si="14"/>
        <v>167.7</v>
      </c>
      <c r="Q15" s="7">
        <f t="shared" si="15"/>
        <v>0</v>
      </c>
      <c r="R15" s="7">
        <f t="shared" si="16"/>
        <v>0</v>
      </c>
      <c r="S15" s="7">
        <f t="shared" si="17"/>
        <v>0</v>
      </c>
      <c r="T15" s="12">
        <f t="shared" si="18"/>
        <v>1397.5</v>
      </c>
      <c r="U15" s="12">
        <f t="shared" si="19"/>
        <v>693.16</v>
      </c>
      <c r="V15" s="12">
        <f t="shared" si="20"/>
        <v>715.52</v>
      </c>
      <c r="W15" s="12">
        <f t="shared" si="21"/>
        <v>693.16</v>
      </c>
      <c r="X15" s="18">
        <f t="shared" si="22"/>
        <v>3499.3399999999997</v>
      </c>
    </row>
    <row r="16" spans="1:24">
      <c r="A16" s="10" t="s">
        <v>32</v>
      </c>
      <c r="B16" s="10" t="s">
        <v>20</v>
      </c>
      <c r="C16" s="11">
        <v>14.8</v>
      </c>
      <c r="D16" s="5">
        <v>40</v>
      </c>
      <c r="E16" s="5">
        <v>55</v>
      </c>
      <c r="F16" s="5">
        <v>52</v>
      </c>
      <c r="G16" s="5">
        <v>34</v>
      </c>
      <c r="H16" s="6">
        <f t="shared" si="9"/>
        <v>0</v>
      </c>
      <c r="I16" s="6">
        <f t="shared" si="10"/>
        <v>15</v>
      </c>
      <c r="J16" s="6">
        <f t="shared" si="11"/>
        <v>12</v>
      </c>
      <c r="K16" s="6">
        <f t="shared" si="12"/>
        <v>0</v>
      </c>
      <c r="L16" s="8">
        <f t="shared" si="13"/>
        <v>592</v>
      </c>
      <c r="M16" s="8">
        <f t="shared" si="6"/>
        <v>814</v>
      </c>
      <c r="N16" s="8">
        <f t="shared" si="6"/>
        <v>769.6</v>
      </c>
      <c r="O16" s="8">
        <f t="shared" si="6"/>
        <v>503.20000000000005</v>
      </c>
      <c r="P16" s="7">
        <f t="shared" si="14"/>
        <v>0</v>
      </c>
      <c r="Q16" s="7">
        <f t="shared" si="15"/>
        <v>111</v>
      </c>
      <c r="R16" s="7">
        <f t="shared" si="16"/>
        <v>88.800000000000011</v>
      </c>
      <c r="S16" s="7">
        <f t="shared" si="17"/>
        <v>0</v>
      </c>
      <c r="T16" s="12">
        <f t="shared" si="18"/>
        <v>592</v>
      </c>
      <c r="U16" s="12">
        <f t="shared" si="19"/>
        <v>925</v>
      </c>
      <c r="V16" s="12">
        <f t="shared" si="20"/>
        <v>858.40000000000009</v>
      </c>
      <c r="W16" s="12">
        <f t="shared" si="21"/>
        <v>503.20000000000005</v>
      </c>
      <c r="X16" s="18">
        <f t="shared" si="22"/>
        <v>2878.6000000000004</v>
      </c>
    </row>
    <row r="17" spans="1:24">
      <c r="A17" s="10" t="s">
        <v>33</v>
      </c>
      <c r="B17" s="10" t="s">
        <v>18</v>
      </c>
      <c r="C17" s="11">
        <v>30.1</v>
      </c>
      <c r="D17" s="5">
        <v>44</v>
      </c>
      <c r="E17" s="5">
        <v>41</v>
      </c>
      <c r="F17" s="5">
        <v>41</v>
      </c>
      <c r="G17" s="5">
        <v>38</v>
      </c>
      <c r="H17" s="6">
        <f t="shared" si="9"/>
        <v>4</v>
      </c>
      <c r="I17" s="6">
        <f t="shared" si="10"/>
        <v>1</v>
      </c>
      <c r="J17" s="6">
        <f t="shared" si="11"/>
        <v>1</v>
      </c>
      <c r="K17" s="6">
        <f t="shared" si="12"/>
        <v>0</v>
      </c>
      <c r="L17" s="8">
        <f t="shared" si="13"/>
        <v>1324.4</v>
      </c>
      <c r="M17" s="8">
        <f t="shared" si="6"/>
        <v>1234.1000000000001</v>
      </c>
      <c r="N17" s="8">
        <f t="shared" si="6"/>
        <v>1234.1000000000001</v>
      </c>
      <c r="O17" s="8">
        <f t="shared" si="6"/>
        <v>1143.8</v>
      </c>
      <c r="P17" s="7">
        <f t="shared" si="14"/>
        <v>60.2</v>
      </c>
      <c r="Q17" s="7">
        <f t="shared" si="15"/>
        <v>15.05</v>
      </c>
      <c r="R17" s="7">
        <f t="shared" si="16"/>
        <v>15.05</v>
      </c>
      <c r="S17" s="7">
        <f t="shared" si="17"/>
        <v>0</v>
      </c>
      <c r="T17" s="12">
        <f t="shared" si="18"/>
        <v>1384.6000000000001</v>
      </c>
      <c r="U17" s="12">
        <f t="shared" si="19"/>
        <v>1249.1500000000001</v>
      </c>
      <c r="V17" s="12">
        <f t="shared" si="20"/>
        <v>1249.1500000000001</v>
      </c>
      <c r="W17" s="12">
        <f t="shared" si="21"/>
        <v>1143.8</v>
      </c>
      <c r="X17" s="18">
        <f t="shared" si="22"/>
        <v>5026.7</v>
      </c>
    </row>
    <row r="18" spans="1:24">
      <c r="A18" s="10" t="s">
        <v>34</v>
      </c>
      <c r="B18" s="10" t="s">
        <v>14</v>
      </c>
      <c r="C18" s="11">
        <v>25</v>
      </c>
      <c r="D18" s="5">
        <v>32</v>
      </c>
      <c r="E18" s="5">
        <v>41</v>
      </c>
      <c r="F18" s="5">
        <v>32</v>
      </c>
      <c r="G18" s="5">
        <v>31</v>
      </c>
      <c r="H18" s="6">
        <f t="shared" si="9"/>
        <v>0</v>
      </c>
      <c r="I18" s="6">
        <f t="shared" si="10"/>
        <v>1</v>
      </c>
      <c r="J18" s="6">
        <f t="shared" si="11"/>
        <v>0</v>
      </c>
      <c r="K18" s="6">
        <f t="shared" si="12"/>
        <v>0</v>
      </c>
      <c r="L18" s="8">
        <f t="shared" si="13"/>
        <v>800</v>
      </c>
      <c r="M18" s="8">
        <f t="shared" si="6"/>
        <v>1025</v>
      </c>
      <c r="N18" s="8">
        <f t="shared" si="6"/>
        <v>800</v>
      </c>
      <c r="O18" s="8">
        <f t="shared" si="6"/>
        <v>775</v>
      </c>
      <c r="P18" s="7">
        <f t="shared" si="14"/>
        <v>0</v>
      </c>
      <c r="Q18" s="7">
        <f t="shared" si="15"/>
        <v>12.5</v>
      </c>
      <c r="R18" s="7">
        <f t="shared" si="16"/>
        <v>0</v>
      </c>
      <c r="S18" s="7">
        <f t="shared" si="17"/>
        <v>0</v>
      </c>
      <c r="T18" s="12">
        <f t="shared" si="18"/>
        <v>800</v>
      </c>
      <c r="U18" s="12">
        <f t="shared" si="19"/>
        <v>1037.5</v>
      </c>
      <c r="V18" s="12">
        <f t="shared" si="20"/>
        <v>800</v>
      </c>
      <c r="W18" s="12">
        <f t="shared" si="21"/>
        <v>775</v>
      </c>
      <c r="X18" s="18">
        <f t="shared" si="22"/>
        <v>3412.5</v>
      </c>
    </row>
    <row r="19" spans="1:24">
      <c r="A19" s="10" t="s">
        <v>35</v>
      </c>
      <c r="B19" s="10" t="s">
        <v>20</v>
      </c>
      <c r="C19" s="11">
        <v>14.2</v>
      </c>
      <c r="D19" s="5">
        <v>52</v>
      </c>
      <c r="E19" s="5">
        <v>43</v>
      </c>
      <c r="F19" s="5">
        <v>33</v>
      </c>
      <c r="G19" s="5">
        <v>55</v>
      </c>
      <c r="H19" s="6">
        <f t="shared" si="9"/>
        <v>12</v>
      </c>
      <c r="I19" s="6">
        <f t="shared" si="10"/>
        <v>3</v>
      </c>
      <c r="J19" s="6">
        <f t="shared" si="11"/>
        <v>0</v>
      </c>
      <c r="K19" s="6">
        <f t="shared" si="12"/>
        <v>15</v>
      </c>
      <c r="L19" s="8">
        <f t="shared" si="13"/>
        <v>738.4</v>
      </c>
      <c r="M19" s="8">
        <f t="shared" si="6"/>
        <v>610.6</v>
      </c>
      <c r="N19" s="8">
        <f t="shared" si="6"/>
        <v>468.59999999999997</v>
      </c>
      <c r="O19" s="8">
        <f t="shared" si="6"/>
        <v>781</v>
      </c>
      <c r="P19" s="7">
        <f t="shared" si="14"/>
        <v>85.199999999999989</v>
      </c>
      <c r="Q19" s="7">
        <f t="shared" si="15"/>
        <v>21.299999999999997</v>
      </c>
      <c r="R19" s="7">
        <f t="shared" si="16"/>
        <v>0</v>
      </c>
      <c r="S19" s="7">
        <f t="shared" si="17"/>
        <v>106.5</v>
      </c>
      <c r="T19" s="12">
        <f t="shared" si="18"/>
        <v>823.59999999999991</v>
      </c>
      <c r="U19" s="12">
        <f t="shared" si="19"/>
        <v>631.9</v>
      </c>
      <c r="V19" s="12">
        <f t="shared" si="20"/>
        <v>468.59999999999997</v>
      </c>
      <c r="W19" s="12">
        <f t="shared" si="21"/>
        <v>887.5</v>
      </c>
      <c r="X19" s="18">
        <f t="shared" si="22"/>
        <v>2811.6</v>
      </c>
    </row>
    <row r="20" spans="1:24">
      <c r="A20" s="10" t="s">
        <v>36</v>
      </c>
      <c r="B20" s="10" t="s">
        <v>20</v>
      </c>
      <c r="C20" s="11">
        <v>44.6</v>
      </c>
      <c r="D20" s="5">
        <v>60</v>
      </c>
      <c r="E20" s="5">
        <v>39</v>
      </c>
      <c r="F20" s="5">
        <v>29</v>
      </c>
      <c r="G20" s="5">
        <v>40</v>
      </c>
      <c r="H20" s="6">
        <f t="shared" si="9"/>
        <v>20</v>
      </c>
      <c r="I20" s="6">
        <f t="shared" si="10"/>
        <v>0</v>
      </c>
      <c r="J20" s="6">
        <f t="shared" si="11"/>
        <v>0</v>
      </c>
      <c r="K20" s="6">
        <f t="shared" si="12"/>
        <v>0</v>
      </c>
      <c r="L20" s="8">
        <f t="shared" si="13"/>
        <v>2676</v>
      </c>
      <c r="M20" s="8">
        <f t="shared" si="13"/>
        <v>1739.4</v>
      </c>
      <c r="N20" s="8">
        <f t="shared" si="13"/>
        <v>1293.4000000000001</v>
      </c>
      <c r="O20" s="8">
        <f t="shared" si="13"/>
        <v>1784</v>
      </c>
      <c r="P20" s="7">
        <f t="shared" si="14"/>
        <v>446</v>
      </c>
      <c r="Q20" s="7">
        <f t="shared" si="15"/>
        <v>0</v>
      </c>
      <c r="R20" s="7">
        <f t="shared" si="16"/>
        <v>0</v>
      </c>
      <c r="S20" s="7">
        <f t="shared" si="17"/>
        <v>0</v>
      </c>
      <c r="T20" s="12">
        <f t="shared" si="18"/>
        <v>3122</v>
      </c>
      <c r="U20" s="12">
        <f t="shared" si="19"/>
        <v>1739.4</v>
      </c>
      <c r="V20" s="12">
        <f t="shared" si="20"/>
        <v>1293.4000000000001</v>
      </c>
      <c r="W20" s="12">
        <f t="shared" si="21"/>
        <v>1784</v>
      </c>
      <c r="X20" s="18">
        <f t="shared" si="22"/>
        <v>7938.7999999999993</v>
      </c>
    </row>
    <row r="21" spans="1:24">
      <c r="A21" s="10" t="s">
        <v>37</v>
      </c>
      <c r="B21" s="10" t="s">
        <v>14</v>
      </c>
      <c r="C21" s="11">
        <v>30.4</v>
      </c>
      <c r="D21" s="5">
        <v>45</v>
      </c>
      <c r="E21" s="5">
        <v>41</v>
      </c>
      <c r="F21" s="5">
        <v>34</v>
      </c>
      <c r="G21" s="5">
        <v>44</v>
      </c>
      <c r="H21" s="6">
        <f t="shared" si="9"/>
        <v>5</v>
      </c>
      <c r="I21" s="6">
        <f t="shared" si="10"/>
        <v>1</v>
      </c>
      <c r="J21" s="6">
        <f t="shared" si="11"/>
        <v>0</v>
      </c>
      <c r="K21" s="6">
        <f t="shared" si="12"/>
        <v>4</v>
      </c>
      <c r="L21" s="8">
        <f t="shared" si="13"/>
        <v>1368</v>
      </c>
      <c r="M21" s="8">
        <f t="shared" si="13"/>
        <v>1246.3999999999999</v>
      </c>
      <c r="N21" s="8">
        <f t="shared" si="13"/>
        <v>1033.5999999999999</v>
      </c>
      <c r="O21" s="8">
        <f t="shared" si="13"/>
        <v>1337.6</v>
      </c>
      <c r="P21" s="7">
        <f t="shared" si="14"/>
        <v>76</v>
      </c>
      <c r="Q21" s="7">
        <f t="shared" si="15"/>
        <v>15.2</v>
      </c>
      <c r="R21" s="7">
        <f t="shared" si="16"/>
        <v>0</v>
      </c>
      <c r="S21" s="7">
        <f t="shared" si="17"/>
        <v>60.8</v>
      </c>
      <c r="T21" s="12">
        <f t="shared" si="18"/>
        <v>1444</v>
      </c>
      <c r="U21" s="12">
        <f t="shared" si="19"/>
        <v>1261.5999999999999</v>
      </c>
      <c r="V21" s="12">
        <f t="shared" si="20"/>
        <v>1033.5999999999999</v>
      </c>
      <c r="W21" s="12">
        <f t="shared" si="21"/>
        <v>1398.3999999999999</v>
      </c>
      <c r="X21" s="18">
        <f t="shared" si="22"/>
        <v>5137.5999999999995</v>
      </c>
    </row>
    <row r="22" spans="1:24">
      <c r="A22" s="10" t="s">
        <v>38</v>
      </c>
      <c r="B22" s="10" t="s">
        <v>18</v>
      </c>
      <c r="C22" s="11">
        <v>14.75</v>
      </c>
      <c r="D22" s="5">
        <v>52</v>
      </c>
      <c r="E22" s="5">
        <v>32</v>
      </c>
      <c r="F22" s="5">
        <v>34</v>
      </c>
      <c r="G22" s="5">
        <v>32</v>
      </c>
      <c r="H22" s="6">
        <f t="shared" si="9"/>
        <v>12</v>
      </c>
      <c r="I22" s="6">
        <f t="shared" si="10"/>
        <v>0</v>
      </c>
      <c r="J22" s="6">
        <f t="shared" si="11"/>
        <v>0</v>
      </c>
      <c r="K22" s="6">
        <f t="shared" si="12"/>
        <v>0</v>
      </c>
      <c r="L22" s="8">
        <f t="shared" si="13"/>
        <v>767</v>
      </c>
      <c r="M22" s="8">
        <f t="shared" si="13"/>
        <v>472</v>
      </c>
      <c r="N22" s="8">
        <f t="shared" si="13"/>
        <v>501.5</v>
      </c>
      <c r="O22" s="8">
        <f t="shared" si="13"/>
        <v>472</v>
      </c>
      <c r="P22" s="7">
        <f t="shared" si="14"/>
        <v>88.5</v>
      </c>
      <c r="Q22" s="7">
        <f t="shared" si="15"/>
        <v>0</v>
      </c>
      <c r="R22" s="7">
        <f t="shared" si="16"/>
        <v>0</v>
      </c>
      <c r="S22" s="7">
        <f t="shared" si="17"/>
        <v>0</v>
      </c>
      <c r="T22" s="12">
        <f t="shared" si="18"/>
        <v>855.5</v>
      </c>
      <c r="U22" s="12">
        <f t="shared" si="19"/>
        <v>472</v>
      </c>
      <c r="V22" s="12">
        <f t="shared" si="20"/>
        <v>501.5</v>
      </c>
      <c r="W22" s="12">
        <f t="shared" si="21"/>
        <v>472</v>
      </c>
      <c r="X22" s="18">
        <f t="shared" si="22"/>
        <v>2301</v>
      </c>
    </row>
    <row r="23" spans="1:24">
      <c r="A23" s="10" t="s">
        <v>39</v>
      </c>
      <c r="B23" s="10" t="s">
        <v>20</v>
      </c>
      <c r="C23" s="11">
        <v>16.8</v>
      </c>
      <c r="D23" s="5">
        <v>42</v>
      </c>
      <c r="E23" s="5">
        <v>33</v>
      </c>
      <c r="F23" s="5">
        <v>38</v>
      </c>
      <c r="G23" s="5">
        <v>52</v>
      </c>
      <c r="H23" s="6">
        <f t="shared" si="9"/>
        <v>2</v>
      </c>
      <c r="I23" s="6">
        <f t="shared" si="10"/>
        <v>0</v>
      </c>
      <c r="J23" s="6">
        <f t="shared" si="11"/>
        <v>0</v>
      </c>
      <c r="K23" s="6">
        <f t="shared" si="12"/>
        <v>12</v>
      </c>
      <c r="L23" s="8">
        <f t="shared" si="13"/>
        <v>705.6</v>
      </c>
      <c r="M23" s="8">
        <f t="shared" si="13"/>
        <v>554.4</v>
      </c>
      <c r="N23" s="8">
        <f t="shared" si="13"/>
        <v>638.4</v>
      </c>
      <c r="O23" s="8">
        <f t="shared" si="13"/>
        <v>873.6</v>
      </c>
      <c r="P23" s="7">
        <f t="shared" si="14"/>
        <v>16.8</v>
      </c>
      <c r="Q23" s="7">
        <f t="shared" si="15"/>
        <v>0</v>
      </c>
      <c r="R23" s="7">
        <f t="shared" si="16"/>
        <v>0</v>
      </c>
      <c r="S23" s="7">
        <f t="shared" si="17"/>
        <v>100.80000000000001</v>
      </c>
      <c r="T23" s="12">
        <f t="shared" si="18"/>
        <v>722.4</v>
      </c>
      <c r="U23" s="12">
        <f t="shared" si="19"/>
        <v>554.4</v>
      </c>
      <c r="V23" s="12">
        <f t="shared" si="20"/>
        <v>638.4</v>
      </c>
      <c r="W23" s="12">
        <f t="shared" si="21"/>
        <v>974.40000000000009</v>
      </c>
      <c r="X23" s="18">
        <f t="shared" si="22"/>
        <v>2889.6</v>
      </c>
    </row>
    <row r="24" spans="1:24">
      <c r="A24" s="10" t="s">
        <v>40</v>
      </c>
      <c r="B24" s="10" t="s">
        <v>20</v>
      </c>
      <c r="C24" s="11">
        <v>15</v>
      </c>
      <c r="D24" s="5">
        <v>35</v>
      </c>
      <c r="E24" s="5">
        <v>29</v>
      </c>
      <c r="F24" s="5">
        <v>31</v>
      </c>
      <c r="G24" s="5">
        <v>60</v>
      </c>
      <c r="H24" s="6">
        <f t="shared" si="9"/>
        <v>0</v>
      </c>
      <c r="I24" s="6">
        <f t="shared" si="10"/>
        <v>0</v>
      </c>
      <c r="J24" s="6">
        <f t="shared" si="11"/>
        <v>0</v>
      </c>
      <c r="K24" s="6">
        <f t="shared" si="12"/>
        <v>20</v>
      </c>
      <c r="L24" s="8">
        <f t="shared" si="13"/>
        <v>525</v>
      </c>
      <c r="M24" s="8">
        <f t="shared" si="13"/>
        <v>435</v>
      </c>
      <c r="N24" s="8">
        <f t="shared" si="13"/>
        <v>465</v>
      </c>
      <c r="O24" s="8">
        <f t="shared" si="13"/>
        <v>900</v>
      </c>
      <c r="P24" s="7">
        <f t="shared" si="14"/>
        <v>0</v>
      </c>
      <c r="Q24" s="7">
        <f t="shared" si="15"/>
        <v>0</v>
      </c>
      <c r="R24" s="7">
        <f t="shared" si="16"/>
        <v>0</v>
      </c>
      <c r="S24" s="7">
        <f t="shared" si="17"/>
        <v>150</v>
      </c>
      <c r="T24" s="12">
        <f t="shared" si="18"/>
        <v>525</v>
      </c>
      <c r="U24" s="12">
        <f t="shared" si="19"/>
        <v>435</v>
      </c>
      <c r="V24" s="12">
        <f t="shared" si="20"/>
        <v>465</v>
      </c>
      <c r="W24" s="12">
        <f t="shared" si="21"/>
        <v>1050</v>
      </c>
      <c r="X24" s="18">
        <f t="shared" si="22"/>
        <v>2475</v>
      </c>
    </row>
    <row r="25" spans="1:24">
      <c r="A25" s="10" t="s">
        <v>41</v>
      </c>
      <c r="B25" s="10" t="s">
        <v>18</v>
      </c>
      <c r="C25" s="11">
        <v>42.1</v>
      </c>
      <c r="D25" s="5">
        <v>29</v>
      </c>
      <c r="E25" s="5">
        <v>34</v>
      </c>
      <c r="F25" s="5">
        <v>55</v>
      </c>
      <c r="G25" s="5">
        <v>45</v>
      </c>
      <c r="H25" s="6">
        <f t="shared" si="9"/>
        <v>0</v>
      </c>
      <c r="I25" s="6">
        <f t="shared" si="10"/>
        <v>0</v>
      </c>
      <c r="J25" s="6">
        <f t="shared" si="11"/>
        <v>15</v>
      </c>
      <c r="K25" s="6">
        <f t="shared" si="12"/>
        <v>5</v>
      </c>
      <c r="L25" s="8">
        <f t="shared" si="13"/>
        <v>1220.9000000000001</v>
      </c>
      <c r="M25" s="8">
        <f t="shared" si="13"/>
        <v>1431.4</v>
      </c>
      <c r="N25" s="8">
        <f t="shared" si="13"/>
        <v>2315.5</v>
      </c>
      <c r="O25" s="8">
        <f t="shared" si="13"/>
        <v>1894.5</v>
      </c>
      <c r="P25" s="7">
        <f t="shared" si="14"/>
        <v>0</v>
      </c>
      <c r="Q25" s="7">
        <f t="shared" si="15"/>
        <v>0</v>
      </c>
      <c r="R25" s="7">
        <f t="shared" si="16"/>
        <v>315.75</v>
      </c>
      <c r="S25" s="7">
        <f t="shared" si="17"/>
        <v>105.25</v>
      </c>
      <c r="T25" s="12">
        <f t="shared" si="18"/>
        <v>1220.9000000000001</v>
      </c>
      <c r="U25" s="12">
        <f t="shared" si="19"/>
        <v>1431.4</v>
      </c>
      <c r="V25" s="12">
        <f t="shared" si="20"/>
        <v>2631.25</v>
      </c>
      <c r="W25" s="12">
        <f t="shared" si="21"/>
        <v>1999.75</v>
      </c>
      <c r="X25" s="18">
        <f t="shared" si="22"/>
        <v>7283.3</v>
      </c>
    </row>
    <row r="27" spans="1:24">
      <c r="A27" t="s">
        <v>5</v>
      </c>
      <c r="C27" s="2">
        <f>MAX(C4:C25)</f>
        <v>44.6</v>
      </c>
      <c r="D27" s="4">
        <f t="shared" ref="D27:L27" si="23">MAX(D4:D25)</f>
        <v>60</v>
      </c>
      <c r="E27" s="4"/>
      <c r="F27" s="4"/>
      <c r="G27" s="4"/>
      <c r="H27" s="4"/>
      <c r="I27" s="4"/>
      <c r="J27" s="4"/>
      <c r="K27" s="4"/>
      <c r="L27" s="2">
        <f t="shared" si="23"/>
        <v>2676</v>
      </c>
      <c r="M27" s="2">
        <f t="shared" ref="M27:W27" si="24">MAX(M4:M25)</f>
        <v>1739.4</v>
      </c>
      <c r="N27" s="2">
        <f t="shared" si="24"/>
        <v>2315.5</v>
      </c>
      <c r="O27" s="2">
        <f t="shared" si="24"/>
        <v>1894.5</v>
      </c>
      <c r="P27" s="2">
        <f t="shared" si="24"/>
        <v>446</v>
      </c>
      <c r="Q27" s="2">
        <f t="shared" si="24"/>
        <v>111</v>
      </c>
      <c r="R27" s="2">
        <f t="shared" si="24"/>
        <v>315.75</v>
      </c>
      <c r="S27" s="2">
        <f t="shared" si="24"/>
        <v>153.89999999999998</v>
      </c>
      <c r="T27" s="2">
        <f t="shared" si="24"/>
        <v>3122</v>
      </c>
      <c r="U27" s="2">
        <f t="shared" si="24"/>
        <v>1739.4</v>
      </c>
      <c r="V27" s="2">
        <f t="shared" si="24"/>
        <v>2631.25</v>
      </c>
      <c r="W27" s="2">
        <f t="shared" si="24"/>
        <v>1999.75</v>
      </c>
    </row>
    <row r="28" spans="1:24">
      <c r="A28" t="s">
        <v>6</v>
      </c>
      <c r="C28" s="2">
        <f>MIN(C4:C25)</f>
        <v>10.3</v>
      </c>
      <c r="D28" s="4">
        <f t="shared" ref="D28:L28" si="25">MIN(D4:D25)</f>
        <v>29</v>
      </c>
      <c r="E28" s="4"/>
      <c r="F28" s="4"/>
      <c r="G28" s="4"/>
      <c r="H28" s="4"/>
      <c r="I28" s="4"/>
      <c r="J28" s="4"/>
      <c r="K28" s="4"/>
      <c r="L28" s="2">
        <f t="shared" si="25"/>
        <v>422.3</v>
      </c>
      <c r="M28" s="2">
        <f t="shared" ref="M28:W28" si="26">MIN(M4:M25)</f>
        <v>422.3</v>
      </c>
      <c r="N28" s="2">
        <f t="shared" si="26"/>
        <v>298.70000000000005</v>
      </c>
      <c r="O28" s="2">
        <f t="shared" si="26"/>
        <v>422.3</v>
      </c>
      <c r="P28" s="2">
        <f t="shared" si="26"/>
        <v>0</v>
      </c>
      <c r="Q28" s="2">
        <f t="shared" si="26"/>
        <v>0</v>
      </c>
      <c r="R28" s="2">
        <f t="shared" si="26"/>
        <v>0</v>
      </c>
      <c r="S28" s="2">
        <f t="shared" si="26"/>
        <v>0</v>
      </c>
      <c r="T28" s="2">
        <f t="shared" si="26"/>
        <v>427.45</v>
      </c>
      <c r="U28" s="2">
        <f t="shared" si="26"/>
        <v>427.45</v>
      </c>
      <c r="V28" s="2">
        <f t="shared" si="26"/>
        <v>298.70000000000005</v>
      </c>
      <c r="W28" s="2">
        <f t="shared" si="26"/>
        <v>427.45</v>
      </c>
    </row>
    <row r="29" spans="1:24">
      <c r="A29" t="s">
        <v>7</v>
      </c>
      <c r="C29" s="2">
        <f>AVERAGE(C4:C25)</f>
        <v>22.613181818181822</v>
      </c>
      <c r="D29" s="4">
        <f t="shared" ref="D29:L29" si="27">AVERAGE(D4:D25)</f>
        <v>40.363636363636367</v>
      </c>
      <c r="E29" s="4"/>
      <c r="F29" s="4"/>
      <c r="G29" s="4"/>
      <c r="H29" s="4"/>
      <c r="I29" s="4"/>
      <c r="J29" s="4"/>
      <c r="K29" s="4"/>
      <c r="L29" s="2">
        <f t="shared" si="27"/>
        <v>917.69272727272721</v>
      </c>
      <c r="M29" s="2">
        <f t="shared" ref="M29:W29" si="28">AVERAGE(M4:M25)</f>
        <v>838.76954545454566</v>
      </c>
      <c r="N29" s="2">
        <f t="shared" si="28"/>
        <v>876.47590909090911</v>
      </c>
      <c r="O29" s="2">
        <f t="shared" si="28"/>
        <v>889.20818181818174</v>
      </c>
      <c r="P29" s="2">
        <f t="shared" si="28"/>
        <v>44.656818181818181</v>
      </c>
      <c r="Q29" s="2">
        <f t="shared" si="28"/>
        <v>9.8681818181818191</v>
      </c>
      <c r="R29" s="2">
        <f t="shared" si="28"/>
        <v>34.465909090909093</v>
      </c>
      <c r="S29" s="2">
        <f t="shared" si="28"/>
        <v>32.409090909090907</v>
      </c>
      <c r="T29" s="2">
        <f t="shared" si="28"/>
        <v>962.34954545454559</v>
      </c>
      <c r="U29" s="2">
        <f t="shared" si="28"/>
        <v>848.63772727272737</v>
      </c>
      <c r="V29" s="2">
        <f t="shared" si="28"/>
        <v>910.94181818181823</v>
      </c>
      <c r="W29" s="2">
        <f t="shared" si="28"/>
        <v>921.61727272727262</v>
      </c>
    </row>
    <row r="30" spans="1:24">
      <c r="A30" t="s">
        <v>8</v>
      </c>
      <c r="C30" s="2">
        <f>SUM(C4:C25)</f>
        <v>497.49000000000007</v>
      </c>
      <c r="D30" s="3">
        <f t="shared" ref="D30:L30" si="29">SUM(D4:D25)</f>
        <v>888</v>
      </c>
      <c r="E30" s="3"/>
      <c r="F30" s="3"/>
      <c r="G30" s="3"/>
      <c r="H30" s="3"/>
      <c r="I30" s="3"/>
      <c r="J30" s="3"/>
      <c r="K30" s="3"/>
      <c r="L30" s="2">
        <f t="shared" si="29"/>
        <v>20189.239999999998</v>
      </c>
      <c r="M30" s="2">
        <f t="shared" ref="M30:W30" si="30">SUM(M4:M25)</f>
        <v>18452.930000000004</v>
      </c>
      <c r="N30" s="2">
        <f t="shared" si="30"/>
        <v>19282.47</v>
      </c>
      <c r="O30" s="2">
        <f t="shared" si="30"/>
        <v>19562.579999999998</v>
      </c>
      <c r="P30" s="2">
        <f t="shared" si="30"/>
        <v>982.44999999999993</v>
      </c>
      <c r="Q30" s="2">
        <f t="shared" si="30"/>
        <v>217.10000000000002</v>
      </c>
      <c r="R30" s="2">
        <f t="shared" si="30"/>
        <v>758.25</v>
      </c>
      <c r="S30" s="2">
        <f t="shared" si="30"/>
        <v>713</v>
      </c>
      <c r="T30" s="2">
        <f t="shared" si="30"/>
        <v>21171.690000000002</v>
      </c>
      <c r="U30" s="2">
        <f t="shared" si="30"/>
        <v>18670.030000000002</v>
      </c>
      <c r="V30" s="2">
        <f t="shared" si="30"/>
        <v>20040.72</v>
      </c>
      <c r="W30" s="2">
        <f t="shared" si="30"/>
        <v>20275.579999999998</v>
      </c>
    </row>
  </sheetData>
  <mergeCells count="1">
    <mergeCell ref="A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8"/>
  <sheetViews>
    <sheetView workbookViewId="0">
      <selection activeCell="H8" sqref="H8"/>
    </sheetView>
  </sheetViews>
  <sheetFormatPr defaultRowHeight="15"/>
  <cols>
    <col min="1" max="1" width="10.5703125" bestFit="1" customWidth="1"/>
    <col min="2" max="2" width="14.5703125" bestFit="1" customWidth="1"/>
    <col min="3" max="3" width="5.28515625" bestFit="1" customWidth="1"/>
    <col min="4" max="6" width="3.7109375" bestFit="1" customWidth="1"/>
    <col min="8" max="9" width="5.5703125" bestFit="1" customWidth="1"/>
    <col min="10" max="10" width="4.5703125" bestFit="1" customWidth="1"/>
    <col min="11" max="11" width="5.5703125" bestFit="1" customWidth="1"/>
  </cols>
  <sheetData>
    <row r="2" spans="1:12" ht="123.75">
      <c r="C2" s="30" t="s">
        <v>43</v>
      </c>
      <c r="D2" s="30" t="s">
        <v>45</v>
      </c>
      <c r="E2" s="30" t="s">
        <v>46</v>
      </c>
      <c r="F2" s="30" t="s">
        <v>44</v>
      </c>
      <c r="H2" s="30" t="s">
        <v>43</v>
      </c>
      <c r="I2" s="30" t="s">
        <v>45</v>
      </c>
      <c r="J2" s="30" t="s">
        <v>46</v>
      </c>
      <c r="K2" s="30" t="s">
        <v>44</v>
      </c>
      <c r="L2" s="30" t="s">
        <v>48</v>
      </c>
    </row>
    <row r="3" spans="1:12">
      <c r="C3" s="30"/>
      <c r="D3" s="30"/>
      <c r="E3" s="30"/>
      <c r="F3" s="30"/>
      <c r="H3" s="30"/>
      <c r="I3" s="30"/>
      <c r="J3" s="30"/>
      <c r="K3" s="30"/>
      <c r="L3" s="30"/>
    </row>
    <row r="4" spans="1:12">
      <c r="B4" t="s">
        <v>47</v>
      </c>
      <c r="C4" s="29">
        <v>10</v>
      </c>
      <c r="D4" s="29">
        <v>20</v>
      </c>
      <c r="E4" s="29">
        <v>100</v>
      </c>
      <c r="F4" s="29">
        <v>1</v>
      </c>
    </row>
    <row r="5" spans="1:12">
      <c r="A5" t="s">
        <v>1</v>
      </c>
      <c r="B5" t="s">
        <v>2</v>
      </c>
      <c r="C5" s="29"/>
      <c r="D5" s="29"/>
      <c r="E5" s="29"/>
      <c r="F5" s="29"/>
    </row>
    <row r="6" spans="1:12">
      <c r="A6" t="s">
        <v>50</v>
      </c>
      <c r="B6" t="s">
        <v>49</v>
      </c>
      <c r="C6">
        <v>10</v>
      </c>
      <c r="D6">
        <v>19</v>
      </c>
      <c r="E6">
        <v>89</v>
      </c>
      <c r="F6">
        <v>1</v>
      </c>
      <c r="H6" s="31">
        <f>C6/C$4</f>
        <v>1</v>
      </c>
      <c r="I6" s="31">
        <f t="shared" ref="I6:K6" si="0">D6/D$4</f>
        <v>0.95</v>
      </c>
      <c r="J6" s="31">
        <f t="shared" si="0"/>
        <v>0.89</v>
      </c>
      <c r="K6" s="31">
        <f t="shared" si="0"/>
        <v>1</v>
      </c>
      <c r="L6" s="31" t="b">
        <f>OR(H6&gt;0.5,I6&gt;0.5,J6&gt;0.5,K6&gt;0.5)</f>
        <v>1</v>
      </c>
    </row>
    <row r="7" spans="1:12">
      <c r="A7" t="s">
        <v>13</v>
      </c>
      <c r="B7" t="s">
        <v>14</v>
      </c>
      <c r="C7">
        <v>5</v>
      </c>
      <c r="D7">
        <v>15</v>
      </c>
      <c r="E7">
        <v>50</v>
      </c>
      <c r="F7">
        <v>1</v>
      </c>
      <c r="H7" s="31">
        <f t="shared" ref="H7:H28" si="1">C7/C$4</f>
        <v>0.5</v>
      </c>
      <c r="I7" s="31">
        <f t="shared" ref="I7:I28" si="2">D7/D$4</f>
        <v>0.75</v>
      </c>
      <c r="J7" s="31">
        <f t="shared" ref="J7:J28" si="3">E7/E$4</f>
        <v>0.5</v>
      </c>
      <c r="K7" s="31">
        <f t="shared" ref="K7:K28" si="4">F7/F$4</f>
        <v>1</v>
      </c>
      <c r="L7" s="31" t="b">
        <f t="shared" ref="L7:L28" si="5">OR(H7&gt;0.5,I7&gt;0.5,J7&gt;0.5,K7&gt;0.5)</f>
        <v>1</v>
      </c>
    </row>
    <row r="8" spans="1:12">
      <c r="A8" t="s">
        <v>15</v>
      </c>
      <c r="B8" t="s">
        <v>16</v>
      </c>
      <c r="C8">
        <v>6</v>
      </c>
      <c r="D8">
        <v>14</v>
      </c>
      <c r="E8">
        <v>5</v>
      </c>
      <c r="F8">
        <v>1</v>
      </c>
      <c r="H8" s="31">
        <f t="shared" si="1"/>
        <v>0.6</v>
      </c>
      <c r="I8" s="31">
        <f t="shared" si="2"/>
        <v>0.7</v>
      </c>
      <c r="J8" s="31">
        <f t="shared" si="3"/>
        <v>0.05</v>
      </c>
      <c r="K8" s="31">
        <f t="shared" si="4"/>
        <v>1</v>
      </c>
      <c r="L8" s="31" t="b">
        <f t="shared" si="5"/>
        <v>1</v>
      </c>
    </row>
    <row r="9" spans="1:12">
      <c r="A9" t="s">
        <v>17</v>
      </c>
      <c r="B9" t="s">
        <v>18</v>
      </c>
      <c r="C9">
        <v>9</v>
      </c>
      <c r="D9">
        <v>10</v>
      </c>
      <c r="E9">
        <v>45</v>
      </c>
      <c r="F9">
        <v>0</v>
      </c>
      <c r="H9" s="31">
        <f t="shared" si="1"/>
        <v>0.9</v>
      </c>
      <c r="I9" s="31">
        <f t="shared" si="2"/>
        <v>0.5</v>
      </c>
      <c r="J9" s="31">
        <f t="shared" si="3"/>
        <v>0.45</v>
      </c>
      <c r="K9" s="31">
        <f t="shared" si="4"/>
        <v>0</v>
      </c>
      <c r="L9" s="31" t="b">
        <f t="shared" si="5"/>
        <v>1</v>
      </c>
    </row>
    <row r="10" spans="1:12">
      <c r="A10" t="s">
        <v>19</v>
      </c>
      <c r="B10" t="s">
        <v>20</v>
      </c>
      <c r="C10">
        <v>8</v>
      </c>
      <c r="D10">
        <v>11</v>
      </c>
      <c r="E10">
        <v>68</v>
      </c>
      <c r="F10">
        <v>1</v>
      </c>
      <c r="H10" s="31">
        <f t="shared" si="1"/>
        <v>0.8</v>
      </c>
      <c r="I10" s="31">
        <f t="shared" si="2"/>
        <v>0.55000000000000004</v>
      </c>
      <c r="J10" s="31">
        <f t="shared" si="3"/>
        <v>0.68</v>
      </c>
      <c r="K10" s="31">
        <f t="shared" si="4"/>
        <v>1</v>
      </c>
      <c r="L10" s="31" t="b">
        <f t="shared" si="5"/>
        <v>1</v>
      </c>
    </row>
    <row r="11" spans="1:12">
      <c r="A11" t="s">
        <v>21</v>
      </c>
      <c r="B11" t="s">
        <v>22</v>
      </c>
      <c r="C11">
        <v>2</v>
      </c>
      <c r="D11">
        <v>19</v>
      </c>
      <c r="E11">
        <v>32</v>
      </c>
      <c r="F11">
        <v>1</v>
      </c>
      <c r="H11" s="31">
        <f t="shared" si="1"/>
        <v>0.2</v>
      </c>
      <c r="I11" s="31">
        <f t="shared" si="2"/>
        <v>0.95</v>
      </c>
      <c r="J11" s="31">
        <f t="shared" si="3"/>
        <v>0.32</v>
      </c>
      <c r="K11" s="31">
        <f t="shared" si="4"/>
        <v>1</v>
      </c>
      <c r="L11" s="31" t="b">
        <f t="shared" si="5"/>
        <v>1</v>
      </c>
    </row>
    <row r="12" spans="1:12">
      <c r="A12" t="s">
        <v>23</v>
      </c>
      <c r="B12" t="s">
        <v>24</v>
      </c>
      <c r="C12">
        <v>11</v>
      </c>
      <c r="D12">
        <v>12</v>
      </c>
      <c r="E12">
        <v>96</v>
      </c>
      <c r="F12">
        <v>1</v>
      </c>
      <c r="H12" s="31">
        <f t="shared" si="1"/>
        <v>1.1000000000000001</v>
      </c>
      <c r="I12" s="31">
        <f t="shared" si="2"/>
        <v>0.6</v>
      </c>
      <c r="J12" s="31">
        <f t="shared" si="3"/>
        <v>0.96</v>
      </c>
      <c r="K12" s="31">
        <f t="shared" si="4"/>
        <v>1</v>
      </c>
      <c r="L12" s="31" t="b">
        <f t="shared" si="5"/>
        <v>1</v>
      </c>
    </row>
    <row r="13" spans="1:12">
      <c r="A13" t="s">
        <v>25</v>
      </c>
      <c r="B13" t="s">
        <v>20</v>
      </c>
      <c r="C13">
        <v>1</v>
      </c>
      <c r="D13">
        <v>9</v>
      </c>
      <c r="E13">
        <v>12</v>
      </c>
      <c r="F13">
        <v>0</v>
      </c>
      <c r="H13" s="31">
        <f t="shared" si="1"/>
        <v>0.1</v>
      </c>
      <c r="I13" s="31">
        <f t="shared" si="2"/>
        <v>0.45</v>
      </c>
      <c r="J13" s="31">
        <f t="shared" si="3"/>
        <v>0.12</v>
      </c>
      <c r="K13" s="31">
        <f t="shared" si="4"/>
        <v>0</v>
      </c>
      <c r="L13" s="31" t="b">
        <f t="shared" si="5"/>
        <v>0</v>
      </c>
    </row>
    <row r="14" spans="1:12">
      <c r="A14" t="s">
        <v>26</v>
      </c>
      <c r="B14" t="s">
        <v>27</v>
      </c>
      <c r="C14">
        <v>5</v>
      </c>
      <c r="D14">
        <v>20</v>
      </c>
      <c r="E14">
        <v>78</v>
      </c>
      <c r="F14">
        <v>1</v>
      </c>
      <c r="H14" s="31">
        <f t="shared" si="1"/>
        <v>0.5</v>
      </c>
      <c r="I14" s="31">
        <f t="shared" si="2"/>
        <v>1</v>
      </c>
      <c r="J14" s="31">
        <f t="shared" si="3"/>
        <v>0.78</v>
      </c>
      <c r="K14" s="31">
        <f t="shared" si="4"/>
        <v>1</v>
      </c>
      <c r="L14" s="31" t="b">
        <f t="shared" si="5"/>
        <v>1</v>
      </c>
    </row>
    <row r="15" spans="1:12">
      <c r="A15" t="s">
        <v>28</v>
      </c>
      <c r="B15" t="s">
        <v>16</v>
      </c>
      <c r="C15">
        <v>8</v>
      </c>
      <c r="D15">
        <v>14</v>
      </c>
      <c r="E15">
        <v>14</v>
      </c>
      <c r="F15">
        <v>1</v>
      </c>
      <c r="H15" s="31">
        <f t="shared" si="1"/>
        <v>0.8</v>
      </c>
      <c r="I15" s="31">
        <f t="shared" si="2"/>
        <v>0.7</v>
      </c>
      <c r="J15" s="31">
        <f t="shared" si="3"/>
        <v>0.14000000000000001</v>
      </c>
      <c r="K15" s="31">
        <f t="shared" si="4"/>
        <v>1</v>
      </c>
      <c r="L15" s="31" t="b">
        <f t="shared" si="5"/>
        <v>1</v>
      </c>
    </row>
    <row r="16" spans="1:12">
      <c r="A16" t="s">
        <v>29</v>
      </c>
      <c r="B16" t="s">
        <v>18</v>
      </c>
      <c r="C16">
        <v>9</v>
      </c>
      <c r="D16">
        <v>4</v>
      </c>
      <c r="E16">
        <v>20</v>
      </c>
      <c r="F16">
        <v>1</v>
      </c>
      <c r="H16" s="31">
        <f t="shared" si="1"/>
        <v>0.9</v>
      </c>
      <c r="I16" s="31">
        <f t="shared" si="2"/>
        <v>0.2</v>
      </c>
      <c r="J16" s="31">
        <f t="shared" si="3"/>
        <v>0.2</v>
      </c>
      <c r="K16" s="31">
        <f t="shared" si="4"/>
        <v>1</v>
      </c>
      <c r="L16" s="31" t="b">
        <f t="shared" si="5"/>
        <v>1</v>
      </c>
    </row>
    <row r="17" spans="1:12">
      <c r="A17" t="s">
        <v>30</v>
      </c>
      <c r="B17" t="s">
        <v>14</v>
      </c>
      <c r="C17">
        <v>6</v>
      </c>
      <c r="D17">
        <v>16</v>
      </c>
      <c r="E17">
        <v>58</v>
      </c>
      <c r="F17">
        <v>0</v>
      </c>
      <c r="H17" s="31">
        <f t="shared" si="1"/>
        <v>0.6</v>
      </c>
      <c r="I17" s="31">
        <f t="shared" si="2"/>
        <v>0.8</v>
      </c>
      <c r="J17" s="31">
        <f t="shared" si="3"/>
        <v>0.57999999999999996</v>
      </c>
      <c r="K17" s="31">
        <f t="shared" si="4"/>
        <v>0</v>
      </c>
      <c r="L17" s="31" t="b">
        <f t="shared" si="5"/>
        <v>1</v>
      </c>
    </row>
    <row r="18" spans="1:12">
      <c r="A18" t="s">
        <v>31</v>
      </c>
      <c r="B18" t="s">
        <v>20</v>
      </c>
      <c r="C18">
        <v>3</v>
      </c>
      <c r="D18">
        <v>18</v>
      </c>
      <c r="E18">
        <v>69</v>
      </c>
      <c r="F18">
        <v>1</v>
      </c>
      <c r="H18" s="31">
        <f t="shared" si="1"/>
        <v>0.3</v>
      </c>
      <c r="I18" s="31">
        <f t="shared" si="2"/>
        <v>0.9</v>
      </c>
      <c r="J18" s="31">
        <f t="shared" si="3"/>
        <v>0.69</v>
      </c>
      <c r="K18" s="31">
        <f t="shared" si="4"/>
        <v>1</v>
      </c>
      <c r="L18" s="31" t="b">
        <f t="shared" si="5"/>
        <v>1</v>
      </c>
    </row>
    <row r="19" spans="1:12">
      <c r="A19" t="s">
        <v>32</v>
      </c>
      <c r="B19" t="s">
        <v>20</v>
      </c>
      <c r="C19">
        <v>2</v>
      </c>
      <c r="D19">
        <v>6</v>
      </c>
      <c r="E19">
        <v>56</v>
      </c>
      <c r="F19">
        <v>1</v>
      </c>
      <c r="H19" s="31">
        <f t="shared" si="1"/>
        <v>0.2</v>
      </c>
      <c r="I19" s="31">
        <f t="shared" si="2"/>
        <v>0.3</v>
      </c>
      <c r="J19" s="31">
        <f t="shared" si="3"/>
        <v>0.56000000000000005</v>
      </c>
      <c r="K19" s="31">
        <f t="shared" si="4"/>
        <v>1</v>
      </c>
      <c r="L19" s="31" t="b">
        <f t="shared" si="5"/>
        <v>1</v>
      </c>
    </row>
    <row r="20" spans="1:12">
      <c r="A20" t="s">
        <v>33</v>
      </c>
      <c r="B20" t="s">
        <v>18</v>
      </c>
      <c r="C20">
        <v>5</v>
      </c>
      <c r="D20">
        <v>17</v>
      </c>
      <c r="E20">
        <v>89</v>
      </c>
      <c r="F20">
        <v>1</v>
      </c>
      <c r="H20" s="31">
        <f t="shared" si="1"/>
        <v>0.5</v>
      </c>
      <c r="I20" s="31">
        <f t="shared" si="2"/>
        <v>0.85</v>
      </c>
      <c r="J20" s="31">
        <f t="shared" si="3"/>
        <v>0.89</v>
      </c>
      <c r="K20" s="31">
        <f t="shared" si="4"/>
        <v>1</v>
      </c>
      <c r="L20" s="31" t="b">
        <f t="shared" si="5"/>
        <v>1</v>
      </c>
    </row>
    <row r="21" spans="1:12">
      <c r="A21" t="s">
        <v>34</v>
      </c>
      <c r="B21" t="s">
        <v>14</v>
      </c>
      <c r="C21">
        <v>4</v>
      </c>
      <c r="D21">
        <v>13</v>
      </c>
      <c r="E21">
        <v>65</v>
      </c>
      <c r="F21">
        <v>1</v>
      </c>
      <c r="H21" s="31">
        <f t="shared" si="1"/>
        <v>0.4</v>
      </c>
      <c r="I21" s="31">
        <f t="shared" si="2"/>
        <v>0.65</v>
      </c>
      <c r="J21" s="31">
        <f t="shared" si="3"/>
        <v>0.65</v>
      </c>
      <c r="K21" s="31">
        <f t="shared" si="4"/>
        <v>1</v>
      </c>
      <c r="L21" s="31" t="b">
        <f t="shared" si="5"/>
        <v>1</v>
      </c>
    </row>
    <row r="22" spans="1:12">
      <c r="A22" t="s">
        <v>35</v>
      </c>
      <c r="B22" t="s">
        <v>20</v>
      </c>
      <c r="C22">
        <v>7</v>
      </c>
      <c r="D22">
        <v>10</v>
      </c>
      <c r="E22">
        <v>98</v>
      </c>
      <c r="F22">
        <v>1</v>
      </c>
      <c r="H22" s="31">
        <f t="shared" si="1"/>
        <v>0.7</v>
      </c>
      <c r="I22" s="31">
        <f t="shared" si="2"/>
        <v>0.5</v>
      </c>
      <c r="J22" s="31">
        <f t="shared" si="3"/>
        <v>0.98</v>
      </c>
      <c r="K22" s="31">
        <f t="shared" si="4"/>
        <v>1</v>
      </c>
      <c r="L22" s="31" t="b">
        <f t="shared" si="5"/>
        <v>1</v>
      </c>
    </row>
    <row r="23" spans="1:12">
      <c r="A23" t="s">
        <v>36</v>
      </c>
      <c r="B23" t="s">
        <v>20</v>
      </c>
      <c r="C23">
        <v>3</v>
      </c>
      <c r="D23">
        <v>11</v>
      </c>
      <c r="E23">
        <v>54</v>
      </c>
      <c r="F23">
        <v>1</v>
      </c>
      <c r="H23" s="31">
        <f t="shared" si="1"/>
        <v>0.3</v>
      </c>
      <c r="I23" s="31">
        <f t="shared" si="2"/>
        <v>0.55000000000000004</v>
      </c>
      <c r="J23" s="31">
        <f t="shared" si="3"/>
        <v>0.54</v>
      </c>
      <c r="K23" s="31">
        <f t="shared" si="4"/>
        <v>1</v>
      </c>
      <c r="L23" s="31" t="b">
        <f t="shared" si="5"/>
        <v>1</v>
      </c>
    </row>
    <row r="24" spans="1:12">
      <c r="A24" t="s">
        <v>37</v>
      </c>
      <c r="B24" t="s">
        <v>14</v>
      </c>
      <c r="C24">
        <v>6</v>
      </c>
      <c r="D24">
        <v>20</v>
      </c>
      <c r="E24">
        <v>32</v>
      </c>
      <c r="F24">
        <v>1</v>
      </c>
      <c r="H24" s="31">
        <f t="shared" si="1"/>
        <v>0.6</v>
      </c>
      <c r="I24" s="31">
        <f t="shared" si="2"/>
        <v>1</v>
      </c>
      <c r="J24" s="31">
        <f t="shared" si="3"/>
        <v>0.32</v>
      </c>
      <c r="K24" s="31">
        <f t="shared" si="4"/>
        <v>1</v>
      </c>
      <c r="L24" s="31" t="b">
        <f t="shared" si="5"/>
        <v>1</v>
      </c>
    </row>
    <row r="25" spans="1:12">
      <c r="A25" t="s">
        <v>38</v>
      </c>
      <c r="B25" t="s">
        <v>18</v>
      </c>
      <c r="C25">
        <v>9</v>
      </c>
      <c r="D25">
        <v>19</v>
      </c>
      <c r="E25">
        <v>21</v>
      </c>
      <c r="F25">
        <v>1</v>
      </c>
      <c r="H25" s="31">
        <f t="shared" si="1"/>
        <v>0.9</v>
      </c>
      <c r="I25" s="31">
        <f t="shared" si="2"/>
        <v>0.95</v>
      </c>
      <c r="J25" s="31">
        <f t="shared" si="3"/>
        <v>0.21</v>
      </c>
      <c r="K25" s="31">
        <f t="shared" si="4"/>
        <v>1</v>
      </c>
      <c r="L25" s="31" t="b">
        <f t="shared" si="5"/>
        <v>1</v>
      </c>
    </row>
    <row r="26" spans="1:12">
      <c r="A26" t="s">
        <v>39</v>
      </c>
      <c r="B26" t="s">
        <v>20</v>
      </c>
      <c r="C26">
        <v>5</v>
      </c>
      <c r="D26">
        <v>18</v>
      </c>
      <c r="E26">
        <v>30</v>
      </c>
      <c r="F26">
        <v>1</v>
      </c>
      <c r="H26" s="31">
        <f t="shared" si="1"/>
        <v>0.5</v>
      </c>
      <c r="I26" s="31">
        <f t="shared" si="2"/>
        <v>0.9</v>
      </c>
      <c r="J26" s="31">
        <f t="shared" si="3"/>
        <v>0.3</v>
      </c>
      <c r="K26" s="31">
        <f t="shared" si="4"/>
        <v>1</v>
      </c>
      <c r="L26" s="31" t="b">
        <f t="shared" si="5"/>
        <v>1</v>
      </c>
    </row>
    <row r="27" spans="1:12">
      <c r="A27" t="s">
        <v>40</v>
      </c>
      <c r="B27" t="s">
        <v>20</v>
      </c>
      <c r="C27">
        <v>2</v>
      </c>
      <c r="D27">
        <v>13</v>
      </c>
      <c r="E27">
        <v>98</v>
      </c>
      <c r="F27">
        <v>1</v>
      </c>
      <c r="H27" s="31">
        <f t="shared" si="1"/>
        <v>0.2</v>
      </c>
      <c r="I27" s="31">
        <f t="shared" si="2"/>
        <v>0.65</v>
      </c>
      <c r="J27" s="31">
        <f t="shared" si="3"/>
        <v>0.98</v>
      </c>
      <c r="K27" s="31">
        <f t="shared" si="4"/>
        <v>1</v>
      </c>
      <c r="L27" s="31" t="b">
        <f t="shared" si="5"/>
        <v>1</v>
      </c>
    </row>
    <row r="28" spans="1:12">
      <c r="A28" t="s">
        <v>41</v>
      </c>
      <c r="B28" t="s">
        <v>18</v>
      </c>
      <c r="C28">
        <v>10</v>
      </c>
      <c r="D28">
        <v>12</v>
      </c>
      <c r="E28">
        <v>78</v>
      </c>
      <c r="F28">
        <v>1</v>
      </c>
      <c r="H28" s="31">
        <f t="shared" si="1"/>
        <v>1</v>
      </c>
      <c r="I28" s="31">
        <f t="shared" si="2"/>
        <v>0.6</v>
      </c>
      <c r="J28" s="31">
        <f t="shared" si="3"/>
        <v>0.78</v>
      </c>
      <c r="K28" s="31">
        <f t="shared" si="4"/>
        <v>1</v>
      </c>
      <c r="L28" s="31" t="b">
        <f t="shared" si="5"/>
        <v>1</v>
      </c>
    </row>
  </sheetData>
  <conditionalFormatting sqref="C6:C28">
    <cfRule type="iconSet" priority="6">
      <iconSet>
        <cfvo type="percent" val="0"/>
        <cfvo type="percent" val="33"/>
        <cfvo type="percent" val="67"/>
      </iconSet>
    </cfRule>
  </conditionalFormatting>
  <conditionalFormatting sqref="D6:D28">
    <cfRule type="iconSet" priority="5">
      <iconSet>
        <cfvo type="percent" val="0"/>
        <cfvo type="percent" val="33"/>
        <cfvo type="percent" val="67"/>
      </iconSet>
    </cfRule>
  </conditionalFormatting>
  <conditionalFormatting sqref="E6:E28">
    <cfRule type="iconSet" priority="4">
      <iconSet>
        <cfvo type="percent" val="0"/>
        <cfvo type="percent" val="33"/>
        <cfvo type="percent" val="67"/>
      </iconSet>
    </cfRule>
  </conditionalFormatting>
  <conditionalFormatting sqref="F6:F28">
    <cfRule type="iconSet" priority="3">
      <iconSet>
        <cfvo type="percent" val="0"/>
        <cfvo type="percent" val="33"/>
        <cfvo type="percent" val="67"/>
      </iconSet>
    </cfRule>
  </conditionalFormatting>
  <conditionalFormatting sqref="H6:L28">
    <cfRule type="cellIs" dxfId="3" priority="2" operator="lessThan">
      <formula>0.5</formula>
    </cfRule>
  </conditionalFormatting>
  <conditionalFormatting sqref="L6:L28">
    <cfRule type="cellIs" dxfId="2" priority="1" operator="equal">
      <formula>$L$13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8"/>
  <sheetViews>
    <sheetView workbookViewId="0">
      <selection activeCell="M10" sqref="M10"/>
    </sheetView>
  </sheetViews>
  <sheetFormatPr defaultRowHeight="15"/>
  <cols>
    <col min="1" max="1" width="6.85546875" bestFit="1" customWidth="1"/>
    <col min="2" max="2" width="19.140625" bestFit="1" customWidth="1"/>
    <col min="3" max="3" width="12.85546875" bestFit="1" customWidth="1"/>
    <col min="9" max="9" width="15.140625" bestFit="1" customWidth="1"/>
    <col min="10" max="10" width="15.140625" customWidth="1"/>
  </cols>
  <sheetData>
    <row r="1" spans="1:11" ht="135">
      <c r="A1" s="28" t="s">
        <v>51</v>
      </c>
      <c r="B1" s="28" t="s">
        <v>52</v>
      </c>
      <c r="C1" s="28" t="s">
        <v>53</v>
      </c>
      <c r="D1" s="28" t="s">
        <v>54</v>
      </c>
      <c r="E1" s="28" t="s">
        <v>55</v>
      </c>
      <c r="F1" s="28" t="s">
        <v>56</v>
      </c>
      <c r="G1" s="28" t="s">
        <v>57</v>
      </c>
      <c r="H1" s="28" t="s">
        <v>95</v>
      </c>
      <c r="I1" s="28" t="s">
        <v>1</v>
      </c>
      <c r="J1" s="28" t="s">
        <v>2</v>
      </c>
      <c r="K1" s="28" t="s">
        <v>58</v>
      </c>
    </row>
    <row r="2" spans="1:11">
      <c r="A2" s="32" t="s">
        <v>59</v>
      </c>
      <c r="B2" s="33">
        <v>1001</v>
      </c>
      <c r="C2">
        <v>9822</v>
      </c>
      <c r="D2" t="s">
        <v>60</v>
      </c>
      <c r="E2">
        <v>58.3</v>
      </c>
      <c r="F2">
        <v>98.4</v>
      </c>
      <c r="G2">
        <f t="shared" ref="G2:G33" si="0">F2-E2</f>
        <v>40.100000000000009</v>
      </c>
      <c r="H2">
        <f t="shared" ref="H2:H33" si="1">IF(F2&gt;50,G2*0.2,G2*0.1)</f>
        <v>8.0200000000000014</v>
      </c>
      <c r="I2" t="s">
        <v>87</v>
      </c>
      <c r="J2" t="s">
        <v>88</v>
      </c>
      <c r="K2" t="s">
        <v>61</v>
      </c>
    </row>
    <row r="3" spans="1:11">
      <c r="A3" s="32" t="s">
        <v>59</v>
      </c>
      <c r="B3" s="33">
        <v>1002</v>
      </c>
      <c r="C3">
        <v>2877</v>
      </c>
      <c r="D3" t="s">
        <v>62</v>
      </c>
      <c r="E3">
        <v>11.4</v>
      </c>
      <c r="F3">
        <v>16.3</v>
      </c>
      <c r="G3">
        <f t="shared" si="0"/>
        <v>4.9000000000000004</v>
      </c>
      <c r="H3">
        <f t="shared" si="1"/>
        <v>0.49000000000000005</v>
      </c>
      <c r="I3" t="s">
        <v>89</v>
      </c>
      <c r="J3" t="s">
        <v>90</v>
      </c>
      <c r="K3" t="s">
        <v>63</v>
      </c>
    </row>
    <row r="4" spans="1:11">
      <c r="A4" s="32" t="s">
        <v>59</v>
      </c>
      <c r="B4" s="33">
        <v>1003</v>
      </c>
      <c r="C4">
        <v>2499</v>
      </c>
      <c r="D4" t="s">
        <v>64</v>
      </c>
      <c r="E4">
        <v>6.2</v>
      </c>
      <c r="F4">
        <v>9.1999999999999993</v>
      </c>
      <c r="G4">
        <f t="shared" si="0"/>
        <v>2.9999999999999991</v>
      </c>
      <c r="H4">
        <f t="shared" si="1"/>
        <v>0.29999999999999993</v>
      </c>
      <c r="I4" t="s">
        <v>91</v>
      </c>
      <c r="J4" t="s">
        <v>92</v>
      </c>
      <c r="K4" t="s">
        <v>65</v>
      </c>
    </row>
    <row r="5" spans="1:11">
      <c r="A5" s="32" t="s">
        <v>59</v>
      </c>
      <c r="B5" s="33">
        <v>1004</v>
      </c>
      <c r="C5">
        <v>8722</v>
      </c>
      <c r="D5" t="s">
        <v>66</v>
      </c>
      <c r="E5">
        <v>344</v>
      </c>
      <c r="F5">
        <v>502</v>
      </c>
      <c r="G5">
        <f t="shared" si="0"/>
        <v>158</v>
      </c>
      <c r="H5">
        <f t="shared" si="1"/>
        <v>31.6</v>
      </c>
      <c r="I5" t="s">
        <v>87</v>
      </c>
      <c r="J5" t="s">
        <v>88</v>
      </c>
      <c r="K5" t="s">
        <v>65</v>
      </c>
    </row>
    <row r="6" spans="1:11">
      <c r="A6" s="32" t="s">
        <v>59</v>
      </c>
      <c r="B6" s="33">
        <v>1005</v>
      </c>
      <c r="C6">
        <v>1109</v>
      </c>
      <c r="D6" t="s">
        <v>67</v>
      </c>
      <c r="E6">
        <v>3</v>
      </c>
      <c r="F6">
        <v>8</v>
      </c>
      <c r="G6">
        <f t="shared" si="0"/>
        <v>5</v>
      </c>
      <c r="H6">
        <f t="shared" si="1"/>
        <v>0.5</v>
      </c>
      <c r="I6" t="s">
        <v>91</v>
      </c>
      <c r="J6" t="s">
        <v>92</v>
      </c>
      <c r="K6" t="s">
        <v>65</v>
      </c>
    </row>
    <row r="7" spans="1:11">
      <c r="A7" s="32" t="s">
        <v>59</v>
      </c>
      <c r="B7" s="33">
        <v>1006</v>
      </c>
      <c r="C7">
        <v>9822</v>
      </c>
      <c r="D7" t="s">
        <v>60</v>
      </c>
      <c r="E7">
        <v>58.3</v>
      </c>
      <c r="F7">
        <v>98.4</v>
      </c>
      <c r="G7">
        <f t="shared" si="0"/>
        <v>40.100000000000009</v>
      </c>
      <c r="H7">
        <f t="shared" si="1"/>
        <v>8.0200000000000014</v>
      </c>
      <c r="I7" t="s">
        <v>91</v>
      </c>
      <c r="J7" t="s">
        <v>92</v>
      </c>
      <c r="K7" t="s">
        <v>65</v>
      </c>
    </row>
    <row r="8" spans="1:11">
      <c r="A8" s="32" t="s">
        <v>59</v>
      </c>
      <c r="B8" s="33">
        <v>1007</v>
      </c>
      <c r="C8">
        <v>1109</v>
      </c>
      <c r="D8" t="s">
        <v>67</v>
      </c>
      <c r="E8">
        <v>3</v>
      </c>
      <c r="F8">
        <v>8</v>
      </c>
      <c r="G8">
        <f t="shared" si="0"/>
        <v>5</v>
      </c>
      <c r="H8">
        <f t="shared" si="1"/>
        <v>0.5</v>
      </c>
      <c r="I8" t="s">
        <v>93</v>
      </c>
      <c r="J8" t="s">
        <v>94</v>
      </c>
      <c r="K8" t="s">
        <v>61</v>
      </c>
    </row>
    <row r="9" spans="1:11">
      <c r="A9" s="32" t="s">
        <v>59</v>
      </c>
      <c r="B9" s="33">
        <v>1008</v>
      </c>
      <c r="C9">
        <v>2877</v>
      </c>
      <c r="D9" t="s">
        <v>62</v>
      </c>
      <c r="E9">
        <v>11.4</v>
      </c>
      <c r="F9">
        <v>16.3</v>
      </c>
      <c r="G9">
        <f t="shared" si="0"/>
        <v>4.9000000000000004</v>
      </c>
      <c r="H9">
        <f t="shared" si="1"/>
        <v>0.49000000000000005</v>
      </c>
      <c r="I9" t="s">
        <v>91</v>
      </c>
      <c r="J9" t="s">
        <v>92</v>
      </c>
      <c r="K9" t="s">
        <v>61</v>
      </c>
    </row>
    <row r="10" spans="1:11">
      <c r="A10" s="32" t="s">
        <v>59</v>
      </c>
      <c r="B10" s="33">
        <v>1009</v>
      </c>
      <c r="C10">
        <v>1109</v>
      </c>
      <c r="D10" t="s">
        <v>67</v>
      </c>
      <c r="E10">
        <v>3</v>
      </c>
      <c r="F10">
        <v>8</v>
      </c>
      <c r="G10">
        <f t="shared" si="0"/>
        <v>5</v>
      </c>
      <c r="H10">
        <f t="shared" si="1"/>
        <v>0.5</v>
      </c>
      <c r="I10" t="s">
        <v>91</v>
      </c>
      <c r="J10" t="s">
        <v>92</v>
      </c>
      <c r="K10" t="s">
        <v>65</v>
      </c>
    </row>
    <row r="11" spans="1:11">
      <c r="A11" s="32" t="s">
        <v>59</v>
      </c>
      <c r="B11" s="33">
        <v>1010</v>
      </c>
      <c r="C11">
        <v>2877</v>
      </c>
      <c r="D11" t="s">
        <v>62</v>
      </c>
      <c r="E11">
        <v>11.4</v>
      </c>
      <c r="F11">
        <v>16.3</v>
      </c>
      <c r="G11">
        <f t="shared" si="0"/>
        <v>4.9000000000000004</v>
      </c>
      <c r="H11">
        <f t="shared" si="1"/>
        <v>0.49000000000000005</v>
      </c>
      <c r="I11" t="s">
        <v>89</v>
      </c>
      <c r="J11" t="s">
        <v>90</v>
      </c>
      <c r="K11" t="s">
        <v>68</v>
      </c>
    </row>
    <row r="12" spans="1:11">
      <c r="A12" s="32" t="s">
        <v>59</v>
      </c>
      <c r="B12" s="33">
        <v>1011</v>
      </c>
      <c r="C12">
        <v>2877</v>
      </c>
      <c r="D12" t="s">
        <v>62</v>
      </c>
      <c r="E12">
        <v>11.4</v>
      </c>
      <c r="F12">
        <v>16.3</v>
      </c>
      <c r="G12">
        <f t="shared" si="0"/>
        <v>4.9000000000000004</v>
      </c>
      <c r="H12">
        <f t="shared" si="1"/>
        <v>0.49000000000000005</v>
      </c>
      <c r="I12" t="s">
        <v>89</v>
      </c>
      <c r="J12" t="s">
        <v>90</v>
      </c>
      <c r="K12" t="s">
        <v>65</v>
      </c>
    </row>
    <row r="13" spans="1:11">
      <c r="A13" s="32" t="s">
        <v>59</v>
      </c>
      <c r="B13" s="33">
        <v>1012</v>
      </c>
      <c r="C13">
        <v>4421</v>
      </c>
      <c r="D13" t="s">
        <v>69</v>
      </c>
      <c r="E13">
        <v>45</v>
      </c>
      <c r="F13">
        <v>87</v>
      </c>
      <c r="G13">
        <f t="shared" si="0"/>
        <v>42</v>
      </c>
      <c r="H13">
        <f t="shared" si="1"/>
        <v>8.4</v>
      </c>
      <c r="I13" t="s">
        <v>91</v>
      </c>
      <c r="J13" t="s">
        <v>92</v>
      </c>
      <c r="K13" t="s">
        <v>61</v>
      </c>
    </row>
    <row r="14" spans="1:11">
      <c r="A14" s="32" t="s">
        <v>59</v>
      </c>
      <c r="B14" s="33">
        <v>1013</v>
      </c>
      <c r="C14">
        <v>9212</v>
      </c>
      <c r="D14" t="s">
        <v>70</v>
      </c>
      <c r="E14">
        <v>4</v>
      </c>
      <c r="F14">
        <v>7</v>
      </c>
      <c r="G14">
        <f t="shared" si="0"/>
        <v>3</v>
      </c>
      <c r="H14">
        <f t="shared" si="1"/>
        <v>0.30000000000000004</v>
      </c>
      <c r="I14" t="s">
        <v>93</v>
      </c>
      <c r="J14" t="s">
        <v>94</v>
      </c>
      <c r="K14" t="s">
        <v>68</v>
      </c>
    </row>
    <row r="15" spans="1:11">
      <c r="A15" s="32" t="s">
        <v>59</v>
      </c>
      <c r="B15" s="33">
        <v>1014</v>
      </c>
      <c r="C15">
        <v>8722</v>
      </c>
      <c r="D15" t="s">
        <v>66</v>
      </c>
      <c r="E15">
        <v>344</v>
      </c>
      <c r="F15">
        <v>502</v>
      </c>
      <c r="G15">
        <f t="shared" si="0"/>
        <v>158</v>
      </c>
      <c r="H15">
        <f t="shared" si="1"/>
        <v>31.6</v>
      </c>
      <c r="I15" t="s">
        <v>87</v>
      </c>
      <c r="J15" t="s">
        <v>88</v>
      </c>
      <c r="K15" t="s">
        <v>63</v>
      </c>
    </row>
    <row r="16" spans="1:11">
      <c r="A16" s="32" t="s">
        <v>59</v>
      </c>
      <c r="B16" s="33">
        <v>1015</v>
      </c>
      <c r="C16">
        <v>2877</v>
      </c>
      <c r="D16" t="s">
        <v>62</v>
      </c>
      <c r="E16">
        <v>11.4</v>
      </c>
      <c r="F16">
        <v>16.3</v>
      </c>
      <c r="G16">
        <f t="shared" si="0"/>
        <v>4.9000000000000004</v>
      </c>
      <c r="H16">
        <f t="shared" si="1"/>
        <v>0.49000000000000005</v>
      </c>
      <c r="I16" t="s">
        <v>93</v>
      </c>
      <c r="J16" t="s">
        <v>94</v>
      </c>
      <c r="K16" t="s">
        <v>65</v>
      </c>
    </row>
    <row r="17" spans="1:11">
      <c r="A17" s="32" t="s">
        <v>59</v>
      </c>
      <c r="B17" s="33">
        <v>1016</v>
      </c>
      <c r="C17">
        <v>2499</v>
      </c>
      <c r="D17" t="s">
        <v>64</v>
      </c>
      <c r="E17">
        <v>6.2</v>
      </c>
      <c r="F17">
        <v>9.1999999999999993</v>
      </c>
      <c r="G17">
        <f t="shared" si="0"/>
        <v>2.9999999999999991</v>
      </c>
      <c r="H17">
        <f t="shared" si="1"/>
        <v>0.29999999999999993</v>
      </c>
      <c r="I17" t="s">
        <v>91</v>
      </c>
      <c r="J17" t="s">
        <v>92</v>
      </c>
      <c r="K17" t="s">
        <v>63</v>
      </c>
    </row>
    <row r="18" spans="1:11">
      <c r="A18" s="32" t="s">
        <v>71</v>
      </c>
      <c r="B18" s="33">
        <v>1017</v>
      </c>
      <c r="C18">
        <v>2242</v>
      </c>
      <c r="D18" t="s">
        <v>72</v>
      </c>
      <c r="E18">
        <v>60</v>
      </c>
      <c r="F18">
        <v>124</v>
      </c>
      <c r="G18">
        <f t="shared" si="0"/>
        <v>64</v>
      </c>
      <c r="H18">
        <f t="shared" si="1"/>
        <v>12.8</v>
      </c>
      <c r="I18" t="s">
        <v>89</v>
      </c>
      <c r="J18" t="s">
        <v>90</v>
      </c>
      <c r="K18" t="s">
        <v>61</v>
      </c>
    </row>
    <row r="19" spans="1:11">
      <c r="A19" s="32" t="s">
        <v>71</v>
      </c>
      <c r="B19" s="33">
        <v>1018</v>
      </c>
      <c r="C19">
        <v>1109</v>
      </c>
      <c r="D19" t="s">
        <v>67</v>
      </c>
      <c r="E19">
        <v>3</v>
      </c>
      <c r="F19">
        <v>8</v>
      </c>
      <c r="G19">
        <f t="shared" si="0"/>
        <v>5</v>
      </c>
      <c r="H19">
        <f t="shared" si="1"/>
        <v>0.5</v>
      </c>
      <c r="I19" t="s">
        <v>91</v>
      </c>
      <c r="J19" t="s">
        <v>92</v>
      </c>
      <c r="K19" t="s">
        <v>63</v>
      </c>
    </row>
    <row r="20" spans="1:11">
      <c r="A20" s="32" t="s">
        <v>71</v>
      </c>
      <c r="B20" s="33">
        <v>1019</v>
      </c>
      <c r="C20">
        <v>2499</v>
      </c>
      <c r="D20" t="s">
        <v>64</v>
      </c>
      <c r="E20">
        <v>6.2</v>
      </c>
      <c r="F20">
        <v>9.1999999999999993</v>
      </c>
      <c r="G20">
        <f t="shared" si="0"/>
        <v>2.9999999999999991</v>
      </c>
      <c r="H20">
        <f t="shared" si="1"/>
        <v>0.29999999999999993</v>
      </c>
      <c r="I20" t="s">
        <v>91</v>
      </c>
      <c r="J20" t="s">
        <v>92</v>
      </c>
      <c r="K20" t="s">
        <v>68</v>
      </c>
    </row>
    <row r="21" spans="1:11">
      <c r="A21" s="32" t="s">
        <v>71</v>
      </c>
      <c r="B21" s="33">
        <v>1020</v>
      </c>
      <c r="C21">
        <v>2499</v>
      </c>
      <c r="D21" t="s">
        <v>64</v>
      </c>
      <c r="E21">
        <v>6.2</v>
      </c>
      <c r="F21">
        <v>9.1999999999999993</v>
      </c>
      <c r="G21">
        <f t="shared" si="0"/>
        <v>2.9999999999999991</v>
      </c>
      <c r="H21">
        <f t="shared" si="1"/>
        <v>0.29999999999999993</v>
      </c>
      <c r="I21" t="s">
        <v>91</v>
      </c>
      <c r="J21" t="s">
        <v>92</v>
      </c>
      <c r="K21" t="s">
        <v>73</v>
      </c>
    </row>
    <row r="22" spans="1:11">
      <c r="A22" s="32" t="s">
        <v>71</v>
      </c>
      <c r="B22" s="33">
        <v>1021</v>
      </c>
      <c r="C22">
        <v>1109</v>
      </c>
      <c r="D22" t="s">
        <v>67</v>
      </c>
      <c r="E22">
        <v>3</v>
      </c>
      <c r="F22">
        <v>8</v>
      </c>
      <c r="G22">
        <f t="shared" si="0"/>
        <v>5</v>
      </c>
      <c r="H22">
        <f t="shared" si="1"/>
        <v>0.5</v>
      </c>
      <c r="I22" t="s">
        <v>89</v>
      </c>
      <c r="J22" t="s">
        <v>90</v>
      </c>
      <c r="K22" t="s">
        <v>68</v>
      </c>
    </row>
    <row r="23" spans="1:11">
      <c r="A23" s="32" t="s">
        <v>71</v>
      </c>
      <c r="B23" s="33">
        <v>1022</v>
      </c>
      <c r="C23">
        <v>2877</v>
      </c>
      <c r="D23" t="s">
        <v>62</v>
      </c>
      <c r="E23">
        <v>11.4</v>
      </c>
      <c r="F23">
        <v>16.3</v>
      </c>
      <c r="G23">
        <f t="shared" si="0"/>
        <v>4.9000000000000004</v>
      </c>
      <c r="H23">
        <f t="shared" si="1"/>
        <v>0.49000000000000005</v>
      </c>
      <c r="I23" t="s">
        <v>91</v>
      </c>
      <c r="J23" t="s">
        <v>92</v>
      </c>
      <c r="K23" t="s">
        <v>74</v>
      </c>
    </row>
    <row r="24" spans="1:11">
      <c r="A24" s="32" t="s">
        <v>71</v>
      </c>
      <c r="B24" s="33">
        <v>1023</v>
      </c>
      <c r="C24">
        <v>1109</v>
      </c>
      <c r="D24" t="s">
        <v>67</v>
      </c>
      <c r="E24">
        <v>3</v>
      </c>
      <c r="F24">
        <v>8</v>
      </c>
      <c r="G24">
        <f t="shared" si="0"/>
        <v>5</v>
      </c>
      <c r="H24">
        <f t="shared" si="1"/>
        <v>0.5</v>
      </c>
      <c r="I24" t="s">
        <v>93</v>
      </c>
      <c r="J24" t="s">
        <v>94</v>
      </c>
      <c r="K24" t="s">
        <v>61</v>
      </c>
    </row>
    <row r="25" spans="1:11">
      <c r="A25" s="32" t="s">
        <v>71</v>
      </c>
      <c r="B25" s="33">
        <v>1024</v>
      </c>
      <c r="C25">
        <v>9212</v>
      </c>
      <c r="D25" t="s">
        <v>70</v>
      </c>
      <c r="E25">
        <v>4</v>
      </c>
      <c r="F25">
        <v>7</v>
      </c>
      <c r="G25">
        <f t="shared" si="0"/>
        <v>3</v>
      </c>
      <c r="H25">
        <f t="shared" si="1"/>
        <v>0.30000000000000004</v>
      </c>
      <c r="I25" t="s">
        <v>89</v>
      </c>
      <c r="J25" t="s">
        <v>90</v>
      </c>
      <c r="K25" t="s">
        <v>74</v>
      </c>
    </row>
    <row r="26" spans="1:11">
      <c r="A26" s="32" t="s">
        <v>71</v>
      </c>
      <c r="B26" s="33">
        <v>1025</v>
      </c>
      <c r="C26">
        <v>2877</v>
      </c>
      <c r="D26" t="s">
        <v>62</v>
      </c>
      <c r="E26">
        <v>11.4</v>
      </c>
      <c r="F26">
        <v>16.3</v>
      </c>
      <c r="G26">
        <f t="shared" si="0"/>
        <v>4.9000000000000004</v>
      </c>
      <c r="H26">
        <f t="shared" si="1"/>
        <v>0.49000000000000005</v>
      </c>
      <c r="I26" t="s">
        <v>93</v>
      </c>
      <c r="J26" t="s">
        <v>94</v>
      </c>
      <c r="K26" t="s">
        <v>73</v>
      </c>
    </row>
    <row r="27" spans="1:11">
      <c r="A27" s="32" t="s">
        <v>71</v>
      </c>
      <c r="B27" s="33">
        <v>1026</v>
      </c>
      <c r="C27">
        <v>6119</v>
      </c>
      <c r="D27" t="s">
        <v>75</v>
      </c>
      <c r="E27">
        <v>9</v>
      </c>
      <c r="F27">
        <v>14</v>
      </c>
      <c r="G27">
        <f t="shared" si="0"/>
        <v>5</v>
      </c>
      <c r="H27">
        <f t="shared" si="1"/>
        <v>0.5</v>
      </c>
      <c r="I27" t="s">
        <v>93</v>
      </c>
      <c r="J27" t="s">
        <v>94</v>
      </c>
      <c r="K27" t="s">
        <v>61</v>
      </c>
    </row>
    <row r="28" spans="1:11">
      <c r="A28" s="32" t="s">
        <v>71</v>
      </c>
      <c r="B28" s="33">
        <v>1027</v>
      </c>
      <c r="C28">
        <v>6119</v>
      </c>
      <c r="D28" t="s">
        <v>75</v>
      </c>
      <c r="E28">
        <v>9</v>
      </c>
      <c r="F28">
        <v>14</v>
      </c>
      <c r="G28">
        <f t="shared" si="0"/>
        <v>5</v>
      </c>
      <c r="H28">
        <f t="shared" si="1"/>
        <v>0.5</v>
      </c>
      <c r="I28" t="s">
        <v>87</v>
      </c>
      <c r="J28" t="s">
        <v>88</v>
      </c>
      <c r="K28" t="s">
        <v>73</v>
      </c>
    </row>
    <row r="29" spans="1:11">
      <c r="A29" s="32" t="s">
        <v>71</v>
      </c>
      <c r="B29" s="33">
        <v>1028</v>
      </c>
      <c r="C29">
        <v>8722</v>
      </c>
      <c r="D29" t="s">
        <v>66</v>
      </c>
      <c r="E29">
        <v>344</v>
      </c>
      <c r="F29">
        <v>502</v>
      </c>
      <c r="G29">
        <f t="shared" si="0"/>
        <v>158</v>
      </c>
      <c r="H29">
        <f t="shared" si="1"/>
        <v>31.6</v>
      </c>
      <c r="I29" t="s">
        <v>87</v>
      </c>
      <c r="J29" t="s">
        <v>88</v>
      </c>
      <c r="K29" t="s">
        <v>65</v>
      </c>
    </row>
    <row r="30" spans="1:11">
      <c r="A30" s="32" t="s">
        <v>71</v>
      </c>
      <c r="B30" s="33">
        <v>1029</v>
      </c>
      <c r="C30">
        <v>2499</v>
      </c>
      <c r="D30" t="s">
        <v>64</v>
      </c>
      <c r="E30">
        <v>6.2</v>
      </c>
      <c r="F30">
        <v>9.1999999999999993</v>
      </c>
      <c r="G30">
        <f t="shared" si="0"/>
        <v>2.9999999999999991</v>
      </c>
      <c r="H30">
        <f t="shared" si="1"/>
        <v>0.29999999999999993</v>
      </c>
      <c r="I30" t="s">
        <v>89</v>
      </c>
      <c r="J30" t="s">
        <v>90</v>
      </c>
      <c r="K30" t="s">
        <v>65</v>
      </c>
    </row>
    <row r="31" spans="1:11">
      <c r="A31" s="32" t="s">
        <v>71</v>
      </c>
      <c r="B31" s="33">
        <v>1030</v>
      </c>
      <c r="C31">
        <v>4421</v>
      </c>
      <c r="D31" t="s">
        <v>69</v>
      </c>
      <c r="E31">
        <v>45</v>
      </c>
      <c r="F31">
        <v>87</v>
      </c>
      <c r="G31">
        <f t="shared" si="0"/>
        <v>42</v>
      </c>
      <c r="H31">
        <f t="shared" si="1"/>
        <v>8.4</v>
      </c>
      <c r="I31" t="s">
        <v>89</v>
      </c>
      <c r="J31" t="s">
        <v>90</v>
      </c>
      <c r="K31" t="s">
        <v>73</v>
      </c>
    </row>
    <row r="32" spans="1:11">
      <c r="A32" s="32" t="s">
        <v>71</v>
      </c>
      <c r="B32" s="33">
        <v>1031</v>
      </c>
      <c r="C32">
        <v>1109</v>
      </c>
      <c r="D32" t="s">
        <v>67</v>
      </c>
      <c r="E32">
        <v>3</v>
      </c>
      <c r="F32">
        <v>8</v>
      </c>
      <c r="G32">
        <f t="shared" si="0"/>
        <v>5</v>
      </c>
      <c r="H32">
        <f t="shared" si="1"/>
        <v>0.5</v>
      </c>
      <c r="I32" t="s">
        <v>89</v>
      </c>
      <c r="J32" t="s">
        <v>90</v>
      </c>
      <c r="K32" t="s">
        <v>63</v>
      </c>
    </row>
    <row r="33" spans="1:11">
      <c r="A33" s="32" t="s">
        <v>71</v>
      </c>
      <c r="B33" s="33">
        <v>1032</v>
      </c>
      <c r="C33">
        <v>2877</v>
      </c>
      <c r="D33" t="s">
        <v>62</v>
      </c>
      <c r="E33">
        <v>11.4</v>
      </c>
      <c r="F33">
        <v>16.3</v>
      </c>
      <c r="G33">
        <f t="shared" si="0"/>
        <v>4.9000000000000004</v>
      </c>
      <c r="H33">
        <f t="shared" si="1"/>
        <v>0.49000000000000005</v>
      </c>
      <c r="I33" t="s">
        <v>87</v>
      </c>
      <c r="J33" t="s">
        <v>88</v>
      </c>
      <c r="K33" t="s">
        <v>65</v>
      </c>
    </row>
    <row r="34" spans="1:11">
      <c r="A34" s="32" t="s">
        <v>71</v>
      </c>
      <c r="B34" s="33">
        <v>1033</v>
      </c>
      <c r="C34">
        <v>9822</v>
      </c>
      <c r="D34" t="s">
        <v>60</v>
      </c>
      <c r="E34">
        <v>58.3</v>
      </c>
      <c r="F34">
        <v>98.4</v>
      </c>
      <c r="G34">
        <f t="shared" ref="G34:G65" si="2">F34-E34</f>
        <v>40.100000000000009</v>
      </c>
      <c r="H34">
        <f t="shared" ref="H34:H65" si="3">IF(F34&gt;50,G34*0.2,G34*0.1)</f>
        <v>8.0200000000000014</v>
      </c>
      <c r="I34" t="s">
        <v>89</v>
      </c>
      <c r="J34" t="s">
        <v>90</v>
      </c>
      <c r="K34" t="s">
        <v>63</v>
      </c>
    </row>
    <row r="35" spans="1:11">
      <c r="A35" s="32" t="s">
        <v>71</v>
      </c>
      <c r="B35" s="33">
        <v>1034</v>
      </c>
      <c r="C35">
        <v>2877</v>
      </c>
      <c r="D35" t="s">
        <v>62</v>
      </c>
      <c r="E35">
        <v>11.4</v>
      </c>
      <c r="F35">
        <v>16.3</v>
      </c>
      <c r="G35">
        <f t="shared" si="2"/>
        <v>4.9000000000000004</v>
      </c>
      <c r="H35">
        <f t="shared" si="3"/>
        <v>0.49000000000000005</v>
      </c>
      <c r="I35" t="s">
        <v>89</v>
      </c>
      <c r="J35" t="s">
        <v>90</v>
      </c>
      <c r="K35" t="s">
        <v>68</v>
      </c>
    </row>
    <row r="36" spans="1:11">
      <c r="A36" s="32" t="s">
        <v>76</v>
      </c>
      <c r="B36" s="33">
        <v>1035</v>
      </c>
      <c r="C36">
        <v>2499</v>
      </c>
      <c r="D36" t="s">
        <v>64</v>
      </c>
      <c r="E36">
        <v>6.2</v>
      </c>
      <c r="F36">
        <v>9.1999999999999993</v>
      </c>
      <c r="G36">
        <f t="shared" si="2"/>
        <v>2.9999999999999991</v>
      </c>
      <c r="H36">
        <f t="shared" si="3"/>
        <v>0.29999999999999993</v>
      </c>
      <c r="I36" t="s">
        <v>93</v>
      </c>
      <c r="J36" t="s">
        <v>94</v>
      </c>
      <c r="K36" t="s">
        <v>63</v>
      </c>
    </row>
    <row r="37" spans="1:11">
      <c r="A37" s="32" t="s">
        <v>76</v>
      </c>
      <c r="B37" s="33">
        <v>1036</v>
      </c>
      <c r="C37">
        <v>2499</v>
      </c>
      <c r="D37" t="s">
        <v>64</v>
      </c>
      <c r="E37">
        <v>6.2</v>
      </c>
      <c r="F37">
        <v>9.1999999999999993</v>
      </c>
      <c r="G37">
        <f t="shared" si="2"/>
        <v>2.9999999999999991</v>
      </c>
      <c r="H37">
        <f t="shared" si="3"/>
        <v>0.29999999999999993</v>
      </c>
      <c r="I37" t="s">
        <v>89</v>
      </c>
      <c r="J37" t="s">
        <v>90</v>
      </c>
      <c r="K37" t="s">
        <v>73</v>
      </c>
    </row>
    <row r="38" spans="1:11">
      <c r="A38" s="32" t="s">
        <v>76</v>
      </c>
      <c r="B38" s="33">
        <v>1037</v>
      </c>
      <c r="C38">
        <v>6622</v>
      </c>
      <c r="D38" t="s">
        <v>77</v>
      </c>
      <c r="E38">
        <v>42</v>
      </c>
      <c r="F38">
        <v>77</v>
      </c>
      <c r="G38">
        <f t="shared" si="2"/>
        <v>35</v>
      </c>
      <c r="H38">
        <f t="shared" si="3"/>
        <v>7</v>
      </c>
      <c r="I38" t="s">
        <v>89</v>
      </c>
      <c r="J38" t="s">
        <v>90</v>
      </c>
      <c r="K38" t="s">
        <v>73</v>
      </c>
    </row>
    <row r="39" spans="1:11">
      <c r="A39" s="32" t="s">
        <v>76</v>
      </c>
      <c r="B39" s="33">
        <v>1038</v>
      </c>
      <c r="C39">
        <v>2499</v>
      </c>
      <c r="D39" t="s">
        <v>64</v>
      </c>
      <c r="E39">
        <v>6.2</v>
      </c>
      <c r="F39">
        <v>9.1999999999999993</v>
      </c>
      <c r="G39">
        <f t="shared" si="2"/>
        <v>2.9999999999999991</v>
      </c>
      <c r="H39">
        <f t="shared" si="3"/>
        <v>0.29999999999999993</v>
      </c>
      <c r="I39" t="s">
        <v>89</v>
      </c>
      <c r="J39" t="s">
        <v>90</v>
      </c>
      <c r="K39" t="s">
        <v>73</v>
      </c>
    </row>
    <row r="40" spans="1:11">
      <c r="A40" s="32" t="s">
        <v>76</v>
      </c>
      <c r="B40" s="33">
        <v>1039</v>
      </c>
      <c r="C40">
        <v>2877</v>
      </c>
      <c r="D40" t="s">
        <v>62</v>
      </c>
      <c r="E40">
        <v>11.4</v>
      </c>
      <c r="F40">
        <v>16.3</v>
      </c>
      <c r="G40">
        <f t="shared" si="2"/>
        <v>4.9000000000000004</v>
      </c>
      <c r="H40">
        <f t="shared" si="3"/>
        <v>0.49000000000000005</v>
      </c>
      <c r="I40" t="s">
        <v>89</v>
      </c>
      <c r="J40" t="s">
        <v>90</v>
      </c>
      <c r="K40" t="s">
        <v>63</v>
      </c>
    </row>
    <row r="41" spans="1:11">
      <c r="A41" s="32" t="s">
        <v>76</v>
      </c>
      <c r="B41" s="33">
        <v>1040</v>
      </c>
      <c r="C41">
        <v>1109</v>
      </c>
      <c r="D41" t="s">
        <v>67</v>
      </c>
      <c r="E41">
        <v>3</v>
      </c>
      <c r="F41">
        <v>8</v>
      </c>
      <c r="G41">
        <f t="shared" si="2"/>
        <v>5</v>
      </c>
      <c r="H41">
        <f t="shared" si="3"/>
        <v>0.5</v>
      </c>
      <c r="I41" t="s">
        <v>89</v>
      </c>
      <c r="J41" t="s">
        <v>90</v>
      </c>
      <c r="K41" t="s">
        <v>65</v>
      </c>
    </row>
    <row r="42" spans="1:11">
      <c r="A42" s="32" t="s">
        <v>76</v>
      </c>
      <c r="B42" s="33">
        <v>1041</v>
      </c>
      <c r="C42">
        <v>2499</v>
      </c>
      <c r="D42" t="s">
        <v>64</v>
      </c>
      <c r="E42">
        <v>6.2</v>
      </c>
      <c r="F42">
        <v>9.1999999999999993</v>
      </c>
      <c r="G42">
        <f t="shared" si="2"/>
        <v>2.9999999999999991</v>
      </c>
      <c r="H42">
        <f t="shared" si="3"/>
        <v>0.29999999999999993</v>
      </c>
      <c r="I42" t="s">
        <v>87</v>
      </c>
      <c r="J42" t="s">
        <v>88</v>
      </c>
      <c r="K42" t="s">
        <v>61</v>
      </c>
    </row>
    <row r="43" spans="1:11">
      <c r="A43" s="32" t="s">
        <v>76</v>
      </c>
      <c r="B43" s="33">
        <v>1042</v>
      </c>
      <c r="C43">
        <v>8722</v>
      </c>
      <c r="D43" t="s">
        <v>66</v>
      </c>
      <c r="E43">
        <v>344</v>
      </c>
      <c r="F43">
        <v>502</v>
      </c>
      <c r="G43">
        <f t="shared" si="2"/>
        <v>158</v>
      </c>
      <c r="H43">
        <f t="shared" si="3"/>
        <v>31.6</v>
      </c>
      <c r="I43" t="s">
        <v>91</v>
      </c>
      <c r="J43" t="s">
        <v>92</v>
      </c>
      <c r="K43" t="s">
        <v>61</v>
      </c>
    </row>
    <row r="44" spans="1:11">
      <c r="A44" s="32" t="s">
        <v>76</v>
      </c>
      <c r="B44" s="33">
        <v>1043</v>
      </c>
      <c r="C44">
        <v>2242</v>
      </c>
      <c r="D44" t="s">
        <v>72</v>
      </c>
      <c r="E44">
        <v>60</v>
      </c>
      <c r="F44">
        <v>124</v>
      </c>
      <c r="G44">
        <f t="shared" si="2"/>
        <v>64</v>
      </c>
      <c r="H44">
        <f t="shared" si="3"/>
        <v>12.8</v>
      </c>
      <c r="I44" t="s">
        <v>91</v>
      </c>
      <c r="J44" t="s">
        <v>92</v>
      </c>
      <c r="K44" t="s">
        <v>63</v>
      </c>
    </row>
    <row r="45" spans="1:11">
      <c r="A45" s="32" t="s">
        <v>76</v>
      </c>
      <c r="B45" s="33">
        <v>1044</v>
      </c>
      <c r="C45">
        <v>2877</v>
      </c>
      <c r="D45" t="s">
        <v>62</v>
      </c>
      <c r="E45">
        <v>11.4</v>
      </c>
      <c r="F45">
        <v>16.3</v>
      </c>
      <c r="G45">
        <f t="shared" si="2"/>
        <v>4.9000000000000004</v>
      </c>
      <c r="H45">
        <f t="shared" si="3"/>
        <v>0.49000000000000005</v>
      </c>
      <c r="I45" t="s">
        <v>91</v>
      </c>
      <c r="J45" t="s">
        <v>92</v>
      </c>
      <c r="K45" t="s">
        <v>63</v>
      </c>
    </row>
    <row r="46" spans="1:11">
      <c r="A46" s="32" t="s">
        <v>76</v>
      </c>
      <c r="B46" s="33">
        <v>1045</v>
      </c>
      <c r="C46">
        <v>8722</v>
      </c>
      <c r="D46" t="s">
        <v>66</v>
      </c>
      <c r="E46">
        <v>344</v>
      </c>
      <c r="F46">
        <v>502</v>
      </c>
      <c r="G46">
        <f t="shared" si="2"/>
        <v>158</v>
      </c>
      <c r="H46">
        <f t="shared" si="3"/>
        <v>31.6</v>
      </c>
      <c r="I46" t="s">
        <v>93</v>
      </c>
      <c r="J46" t="s">
        <v>94</v>
      </c>
      <c r="K46" t="s">
        <v>65</v>
      </c>
    </row>
    <row r="47" spans="1:11">
      <c r="A47" s="32" t="s">
        <v>76</v>
      </c>
      <c r="B47" s="33">
        <v>1046</v>
      </c>
      <c r="C47">
        <v>6119</v>
      </c>
      <c r="D47" t="s">
        <v>75</v>
      </c>
      <c r="E47">
        <v>9</v>
      </c>
      <c r="F47">
        <v>14</v>
      </c>
      <c r="G47">
        <f t="shared" si="2"/>
        <v>5</v>
      </c>
      <c r="H47">
        <f t="shared" si="3"/>
        <v>0.5</v>
      </c>
      <c r="I47" t="s">
        <v>89</v>
      </c>
      <c r="J47" t="s">
        <v>90</v>
      </c>
      <c r="K47" t="s">
        <v>74</v>
      </c>
    </row>
    <row r="48" spans="1:11">
      <c r="A48" s="32" t="s">
        <v>76</v>
      </c>
      <c r="B48" s="33">
        <v>1047</v>
      </c>
      <c r="C48">
        <v>6622</v>
      </c>
      <c r="D48" t="s">
        <v>77</v>
      </c>
      <c r="E48">
        <v>42</v>
      </c>
      <c r="F48">
        <v>77</v>
      </c>
      <c r="G48">
        <f t="shared" si="2"/>
        <v>35</v>
      </c>
      <c r="H48">
        <f t="shared" si="3"/>
        <v>7</v>
      </c>
      <c r="I48" t="s">
        <v>93</v>
      </c>
      <c r="J48" t="s">
        <v>94</v>
      </c>
      <c r="K48" t="s">
        <v>65</v>
      </c>
    </row>
    <row r="49" spans="1:11">
      <c r="A49" s="32" t="s">
        <v>76</v>
      </c>
      <c r="B49" s="33">
        <v>1048</v>
      </c>
      <c r="C49">
        <v>8722</v>
      </c>
      <c r="D49" t="s">
        <v>66</v>
      </c>
      <c r="E49">
        <v>344</v>
      </c>
      <c r="F49">
        <v>502</v>
      </c>
      <c r="G49">
        <f t="shared" si="2"/>
        <v>158</v>
      </c>
      <c r="H49">
        <f t="shared" si="3"/>
        <v>31.6</v>
      </c>
      <c r="I49" t="s">
        <v>87</v>
      </c>
      <c r="J49" t="s">
        <v>88</v>
      </c>
      <c r="K49" t="s">
        <v>65</v>
      </c>
    </row>
    <row r="50" spans="1:11">
      <c r="A50" s="32" t="s">
        <v>78</v>
      </c>
      <c r="B50" s="33">
        <v>1049</v>
      </c>
      <c r="C50">
        <v>2499</v>
      </c>
      <c r="D50" t="s">
        <v>64</v>
      </c>
      <c r="E50">
        <v>6.2</v>
      </c>
      <c r="F50">
        <v>9.1999999999999993</v>
      </c>
      <c r="G50">
        <f t="shared" si="2"/>
        <v>2.9999999999999991</v>
      </c>
      <c r="H50">
        <f t="shared" si="3"/>
        <v>0.29999999999999993</v>
      </c>
      <c r="I50" t="s">
        <v>87</v>
      </c>
      <c r="J50" t="s">
        <v>88</v>
      </c>
      <c r="K50" t="s">
        <v>68</v>
      </c>
    </row>
    <row r="51" spans="1:11">
      <c r="A51" s="32" t="s">
        <v>78</v>
      </c>
      <c r="B51" s="33">
        <v>1050</v>
      </c>
      <c r="C51">
        <v>2877</v>
      </c>
      <c r="D51" t="s">
        <v>62</v>
      </c>
      <c r="E51">
        <v>11.4</v>
      </c>
      <c r="F51">
        <v>16.3</v>
      </c>
      <c r="G51">
        <f t="shared" si="2"/>
        <v>4.9000000000000004</v>
      </c>
      <c r="H51">
        <f t="shared" si="3"/>
        <v>0.49000000000000005</v>
      </c>
      <c r="I51" t="s">
        <v>87</v>
      </c>
      <c r="J51" t="s">
        <v>88</v>
      </c>
      <c r="K51" t="s">
        <v>65</v>
      </c>
    </row>
    <row r="52" spans="1:11">
      <c r="A52" s="32" t="s">
        <v>78</v>
      </c>
      <c r="B52" s="33">
        <v>1051</v>
      </c>
      <c r="C52">
        <v>6119</v>
      </c>
      <c r="D52" t="s">
        <v>75</v>
      </c>
      <c r="E52">
        <v>9</v>
      </c>
      <c r="F52">
        <v>14</v>
      </c>
      <c r="G52">
        <f t="shared" si="2"/>
        <v>5</v>
      </c>
      <c r="H52">
        <f t="shared" si="3"/>
        <v>0.5</v>
      </c>
      <c r="I52" t="s">
        <v>91</v>
      </c>
      <c r="J52" t="s">
        <v>92</v>
      </c>
      <c r="K52" t="s">
        <v>74</v>
      </c>
    </row>
    <row r="53" spans="1:11">
      <c r="A53" s="32" t="s">
        <v>78</v>
      </c>
      <c r="B53" s="33">
        <v>1052</v>
      </c>
      <c r="C53">
        <v>6622</v>
      </c>
      <c r="D53" t="s">
        <v>77</v>
      </c>
      <c r="E53">
        <v>42</v>
      </c>
      <c r="F53">
        <v>77</v>
      </c>
      <c r="G53">
        <f t="shared" si="2"/>
        <v>35</v>
      </c>
      <c r="H53">
        <f t="shared" si="3"/>
        <v>7</v>
      </c>
      <c r="I53" t="s">
        <v>91</v>
      </c>
      <c r="J53" t="s">
        <v>92</v>
      </c>
      <c r="K53" t="s">
        <v>65</v>
      </c>
    </row>
    <row r="54" spans="1:11">
      <c r="A54" s="32" t="s">
        <v>78</v>
      </c>
      <c r="B54" s="33">
        <v>1053</v>
      </c>
      <c r="C54">
        <v>2242</v>
      </c>
      <c r="D54" t="s">
        <v>72</v>
      </c>
      <c r="E54">
        <v>60</v>
      </c>
      <c r="F54">
        <v>124</v>
      </c>
      <c r="G54">
        <f t="shared" si="2"/>
        <v>64</v>
      </c>
      <c r="H54">
        <f t="shared" si="3"/>
        <v>12.8</v>
      </c>
      <c r="I54" t="s">
        <v>87</v>
      </c>
      <c r="J54" t="s">
        <v>88</v>
      </c>
      <c r="K54" t="s">
        <v>63</v>
      </c>
    </row>
    <row r="55" spans="1:11">
      <c r="A55" s="32" t="s">
        <v>78</v>
      </c>
      <c r="B55" s="33">
        <v>1054</v>
      </c>
      <c r="C55">
        <v>4421</v>
      </c>
      <c r="D55" t="s">
        <v>69</v>
      </c>
      <c r="E55">
        <v>45</v>
      </c>
      <c r="F55">
        <v>87</v>
      </c>
      <c r="G55">
        <f t="shared" si="2"/>
        <v>42</v>
      </c>
      <c r="H55">
        <f t="shared" si="3"/>
        <v>8.4</v>
      </c>
      <c r="I55" t="s">
        <v>91</v>
      </c>
      <c r="J55" t="s">
        <v>92</v>
      </c>
      <c r="K55" t="s">
        <v>73</v>
      </c>
    </row>
    <row r="56" spans="1:11">
      <c r="A56" s="32" t="s">
        <v>78</v>
      </c>
      <c r="B56" s="33">
        <v>1055</v>
      </c>
      <c r="C56">
        <v>6119</v>
      </c>
      <c r="D56" t="s">
        <v>75</v>
      </c>
      <c r="E56">
        <v>9</v>
      </c>
      <c r="F56">
        <v>14</v>
      </c>
      <c r="G56">
        <f t="shared" si="2"/>
        <v>5</v>
      </c>
      <c r="H56">
        <f t="shared" si="3"/>
        <v>0.5</v>
      </c>
      <c r="I56" t="s">
        <v>89</v>
      </c>
      <c r="J56" t="s">
        <v>90</v>
      </c>
      <c r="K56" t="s">
        <v>73</v>
      </c>
    </row>
    <row r="57" spans="1:11">
      <c r="A57" s="32" t="s">
        <v>78</v>
      </c>
      <c r="B57" s="33">
        <v>1056</v>
      </c>
      <c r="C57">
        <v>1109</v>
      </c>
      <c r="D57" t="s">
        <v>67</v>
      </c>
      <c r="E57">
        <v>3</v>
      </c>
      <c r="F57">
        <v>8</v>
      </c>
      <c r="G57">
        <f t="shared" si="2"/>
        <v>5</v>
      </c>
      <c r="H57">
        <f t="shared" si="3"/>
        <v>0.5</v>
      </c>
      <c r="I57" t="s">
        <v>91</v>
      </c>
      <c r="J57" t="s">
        <v>92</v>
      </c>
      <c r="K57" t="s">
        <v>63</v>
      </c>
    </row>
    <row r="58" spans="1:11">
      <c r="A58" s="32" t="s">
        <v>78</v>
      </c>
      <c r="B58" s="33">
        <v>1057</v>
      </c>
      <c r="C58">
        <v>2499</v>
      </c>
      <c r="D58" t="s">
        <v>64</v>
      </c>
      <c r="E58">
        <v>6.2</v>
      </c>
      <c r="F58">
        <v>9.1999999999999993</v>
      </c>
      <c r="G58">
        <f t="shared" si="2"/>
        <v>2.9999999999999991</v>
      </c>
      <c r="H58">
        <f t="shared" si="3"/>
        <v>0.29999999999999993</v>
      </c>
      <c r="I58" t="s">
        <v>89</v>
      </c>
      <c r="J58" t="s">
        <v>90</v>
      </c>
      <c r="K58" t="s">
        <v>63</v>
      </c>
    </row>
    <row r="59" spans="1:11">
      <c r="A59" s="32" t="s">
        <v>78</v>
      </c>
      <c r="B59" s="33">
        <v>1058</v>
      </c>
      <c r="C59">
        <v>6119</v>
      </c>
      <c r="D59" t="s">
        <v>75</v>
      </c>
      <c r="E59">
        <v>9</v>
      </c>
      <c r="F59">
        <v>14</v>
      </c>
      <c r="G59">
        <f t="shared" si="2"/>
        <v>5</v>
      </c>
      <c r="H59">
        <f t="shared" si="3"/>
        <v>0.5</v>
      </c>
      <c r="I59" t="s">
        <v>93</v>
      </c>
      <c r="J59" t="s">
        <v>94</v>
      </c>
      <c r="K59" t="s">
        <v>65</v>
      </c>
    </row>
    <row r="60" spans="1:11">
      <c r="A60" s="32" t="s">
        <v>78</v>
      </c>
      <c r="B60" s="33">
        <v>1059</v>
      </c>
      <c r="C60">
        <v>2242</v>
      </c>
      <c r="D60" t="s">
        <v>72</v>
      </c>
      <c r="E60">
        <v>60</v>
      </c>
      <c r="F60">
        <v>124</v>
      </c>
      <c r="G60">
        <f t="shared" si="2"/>
        <v>64</v>
      </c>
      <c r="H60">
        <f t="shared" si="3"/>
        <v>12.8</v>
      </c>
      <c r="I60" t="s">
        <v>91</v>
      </c>
      <c r="J60" t="s">
        <v>92</v>
      </c>
      <c r="K60" t="s">
        <v>65</v>
      </c>
    </row>
    <row r="61" spans="1:11">
      <c r="A61" s="32" t="s">
        <v>78</v>
      </c>
      <c r="B61" s="33">
        <v>1060</v>
      </c>
      <c r="C61">
        <v>6119</v>
      </c>
      <c r="D61" t="s">
        <v>75</v>
      </c>
      <c r="E61">
        <v>9</v>
      </c>
      <c r="F61">
        <v>14</v>
      </c>
      <c r="G61">
        <f t="shared" si="2"/>
        <v>5</v>
      </c>
      <c r="H61">
        <f t="shared" si="3"/>
        <v>0.5</v>
      </c>
      <c r="I61" t="s">
        <v>91</v>
      </c>
      <c r="J61" t="s">
        <v>92</v>
      </c>
      <c r="K61" t="s">
        <v>73</v>
      </c>
    </row>
    <row r="62" spans="1:11">
      <c r="A62" s="32" t="s">
        <v>79</v>
      </c>
      <c r="B62" s="33">
        <v>1061</v>
      </c>
      <c r="C62">
        <v>1109</v>
      </c>
      <c r="D62" t="s">
        <v>67</v>
      </c>
      <c r="E62">
        <v>3</v>
      </c>
      <c r="F62">
        <v>8</v>
      </c>
      <c r="G62">
        <f t="shared" si="2"/>
        <v>5</v>
      </c>
      <c r="H62">
        <f t="shared" si="3"/>
        <v>0.5</v>
      </c>
      <c r="I62" t="s">
        <v>91</v>
      </c>
      <c r="J62" t="s">
        <v>92</v>
      </c>
      <c r="K62" t="s">
        <v>73</v>
      </c>
    </row>
    <row r="63" spans="1:11">
      <c r="A63" s="32" t="s">
        <v>79</v>
      </c>
      <c r="B63" s="33">
        <v>1062</v>
      </c>
      <c r="C63">
        <v>2499</v>
      </c>
      <c r="D63" t="s">
        <v>64</v>
      </c>
      <c r="E63">
        <v>6.2</v>
      </c>
      <c r="F63">
        <v>9.1999999999999993</v>
      </c>
      <c r="G63">
        <f t="shared" si="2"/>
        <v>2.9999999999999991</v>
      </c>
      <c r="H63">
        <f t="shared" si="3"/>
        <v>0.29999999999999993</v>
      </c>
      <c r="I63" t="s">
        <v>87</v>
      </c>
      <c r="J63" t="s">
        <v>88</v>
      </c>
      <c r="K63" t="s">
        <v>65</v>
      </c>
    </row>
    <row r="64" spans="1:11">
      <c r="A64" s="32" t="s">
        <v>79</v>
      </c>
      <c r="B64" s="33">
        <v>1063</v>
      </c>
      <c r="C64">
        <v>1109</v>
      </c>
      <c r="D64" t="s">
        <v>67</v>
      </c>
      <c r="E64">
        <v>3</v>
      </c>
      <c r="F64">
        <v>8</v>
      </c>
      <c r="G64">
        <f t="shared" si="2"/>
        <v>5</v>
      </c>
      <c r="H64">
        <f t="shared" si="3"/>
        <v>0.5</v>
      </c>
      <c r="I64" t="s">
        <v>91</v>
      </c>
      <c r="J64" t="s">
        <v>92</v>
      </c>
      <c r="K64" t="s">
        <v>63</v>
      </c>
    </row>
    <row r="65" spans="1:11">
      <c r="A65" s="32" t="s">
        <v>79</v>
      </c>
      <c r="B65" s="33">
        <v>1064</v>
      </c>
      <c r="C65">
        <v>2499</v>
      </c>
      <c r="D65" t="s">
        <v>64</v>
      </c>
      <c r="E65">
        <v>6.2</v>
      </c>
      <c r="F65">
        <v>9.1999999999999993</v>
      </c>
      <c r="G65">
        <f t="shared" si="2"/>
        <v>2.9999999999999991</v>
      </c>
      <c r="H65">
        <f t="shared" si="3"/>
        <v>0.29999999999999993</v>
      </c>
      <c r="I65" t="s">
        <v>93</v>
      </c>
      <c r="J65" t="s">
        <v>94</v>
      </c>
      <c r="K65" t="s">
        <v>65</v>
      </c>
    </row>
    <row r="66" spans="1:11">
      <c r="A66" s="32" t="s">
        <v>79</v>
      </c>
      <c r="B66" s="33">
        <v>1065</v>
      </c>
      <c r="C66">
        <v>2499</v>
      </c>
      <c r="D66" t="s">
        <v>64</v>
      </c>
      <c r="E66">
        <v>6.2</v>
      </c>
      <c r="F66">
        <v>9.1999999999999993</v>
      </c>
      <c r="G66">
        <f t="shared" ref="G66:G97" si="4">F66-E66</f>
        <v>2.9999999999999991</v>
      </c>
      <c r="H66">
        <f t="shared" ref="H66:H97" si="5">IF(F66&gt;50,G66*0.2,G66*0.1)</f>
        <v>0.29999999999999993</v>
      </c>
      <c r="I66" t="s">
        <v>91</v>
      </c>
      <c r="J66" t="s">
        <v>92</v>
      </c>
      <c r="K66" t="s">
        <v>61</v>
      </c>
    </row>
    <row r="67" spans="1:11">
      <c r="A67" s="32" t="s">
        <v>79</v>
      </c>
      <c r="B67" s="33">
        <v>1066</v>
      </c>
      <c r="C67">
        <v>2877</v>
      </c>
      <c r="D67" t="s">
        <v>62</v>
      </c>
      <c r="E67">
        <v>11.4</v>
      </c>
      <c r="F67">
        <v>16.3</v>
      </c>
      <c r="G67">
        <f t="shared" si="4"/>
        <v>4.9000000000000004</v>
      </c>
      <c r="H67">
        <f t="shared" si="5"/>
        <v>0.49000000000000005</v>
      </c>
      <c r="I67" t="s">
        <v>91</v>
      </c>
      <c r="J67" t="s">
        <v>92</v>
      </c>
      <c r="K67" t="s">
        <v>73</v>
      </c>
    </row>
    <row r="68" spans="1:11">
      <c r="A68" s="32" t="s">
        <v>79</v>
      </c>
      <c r="B68" s="33">
        <v>1067</v>
      </c>
      <c r="C68">
        <v>2877</v>
      </c>
      <c r="D68" t="s">
        <v>62</v>
      </c>
      <c r="E68">
        <v>11.4</v>
      </c>
      <c r="F68">
        <v>16.3</v>
      </c>
      <c r="G68">
        <f t="shared" si="4"/>
        <v>4.9000000000000004</v>
      </c>
      <c r="H68">
        <f t="shared" si="5"/>
        <v>0.49000000000000005</v>
      </c>
      <c r="I68" t="s">
        <v>91</v>
      </c>
      <c r="J68" t="s">
        <v>92</v>
      </c>
      <c r="K68" t="s">
        <v>74</v>
      </c>
    </row>
    <row r="69" spans="1:11">
      <c r="A69" s="32" t="s">
        <v>79</v>
      </c>
      <c r="B69" s="33">
        <v>1068</v>
      </c>
      <c r="C69">
        <v>6119</v>
      </c>
      <c r="D69" t="s">
        <v>75</v>
      </c>
      <c r="E69">
        <v>9</v>
      </c>
      <c r="F69">
        <v>14</v>
      </c>
      <c r="G69">
        <f t="shared" si="4"/>
        <v>5</v>
      </c>
      <c r="H69">
        <f t="shared" si="5"/>
        <v>0.5</v>
      </c>
      <c r="I69" t="s">
        <v>89</v>
      </c>
      <c r="J69" t="s">
        <v>90</v>
      </c>
      <c r="K69" t="s">
        <v>63</v>
      </c>
    </row>
    <row r="70" spans="1:11">
      <c r="A70" s="32" t="s">
        <v>79</v>
      </c>
      <c r="B70" s="33">
        <v>1069</v>
      </c>
      <c r="C70">
        <v>1109</v>
      </c>
      <c r="D70" t="s">
        <v>67</v>
      </c>
      <c r="E70">
        <v>3</v>
      </c>
      <c r="F70">
        <v>8</v>
      </c>
      <c r="G70">
        <f t="shared" si="4"/>
        <v>5</v>
      </c>
      <c r="H70">
        <f t="shared" si="5"/>
        <v>0.5</v>
      </c>
      <c r="I70" t="s">
        <v>91</v>
      </c>
      <c r="J70" t="s">
        <v>92</v>
      </c>
      <c r="K70" t="s">
        <v>65</v>
      </c>
    </row>
    <row r="71" spans="1:11">
      <c r="A71" s="32" t="s">
        <v>79</v>
      </c>
      <c r="B71" s="33">
        <v>1070</v>
      </c>
      <c r="C71">
        <v>2499</v>
      </c>
      <c r="D71" t="s">
        <v>64</v>
      </c>
      <c r="E71">
        <v>6.2</v>
      </c>
      <c r="F71">
        <v>9.1999999999999993</v>
      </c>
      <c r="G71">
        <f t="shared" si="4"/>
        <v>2.9999999999999991</v>
      </c>
      <c r="H71">
        <f t="shared" si="5"/>
        <v>0.29999999999999993</v>
      </c>
      <c r="I71" t="s">
        <v>93</v>
      </c>
      <c r="J71" t="s">
        <v>94</v>
      </c>
      <c r="K71" t="s">
        <v>65</v>
      </c>
    </row>
    <row r="72" spans="1:11">
      <c r="A72" s="32" t="s">
        <v>79</v>
      </c>
      <c r="B72" s="33">
        <v>1071</v>
      </c>
      <c r="C72">
        <v>1109</v>
      </c>
      <c r="D72" t="s">
        <v>67</v>
      </c>
      <c r="E72">
        <v>3</v>
      </c>
      <c r="F72">
        <v>8</v>
      </c>
      <c r="G72">
        <f t="shared" si="4"/>
        <v>5</v>
      </c>
      <c r="H72">
        <f t="shared" si="5"/>
        <v>0.5</v>
      </c>
      <c r="I72" t="s">
        <v>87</v>
      </c>
      <c r="J72" t="s">
        <v>88</v>
      </c>
      <c r="K72" t="s">
        <v>65</v>
      </c>
    </row>
    <row r="73" spans="1:11">
      <c r="A73" s="32" t="s">
        <v>79</v>
      </c>
      <c r="B73" s="33">
        <v>1072</v>
      </c>
      <c r="C73">
        <v>1109</v>
      </c>
      <c r="D73" t="s">
        <v>67</v>
      </c>
      <c r="E73">
        <v>3</v>
      </c>
      <c r="F73">
        <v>8</v>
      </c>
      <c r="G73">
        <f t="shared" si="4"/>
        <v>5</v>
      </c>
      <c r="H73">
        <f t="shared" si="5"/>
        <v>0.5</v>
      </c>
      <c r="I73" t="s">
        <v>91</v>
      </c>
      <c r="J73" t="s">
        <v>92</v>
      </c>
      <c r="K73" t="s">
        <v>73</v>
      </c>
    </row>
    <row r="74" spans="1:11">
      <c r="A74" s="32" t="s">
        <v>79</v>
      </c>
      <c r="B74" s="33">
        <v>1073</v>
      </c>
      <c r="C74">
        <v>6622</v>
      </c>
      <c r="D74" t="s">
        <v>77</v>
      </c>
      <c r="E74">
        <v>42</v>
      </c>
      <c r="F74">
        <v>77</v>
      </c>
      <c r="G74">
        <f t="shared" si="4"/>
        <v>35</v>
      </c>
      <c r="H74">
        <f t="shared" si="5"/>
        <v>7</v>
      </c>
      <c r="I74" t="s">
        <v>91</v>
      </c>
      <c r="J74" t="s">
        <v>92</v>
      </c>
      <c r="K74" t="s">
        <v>63</v>
      </c>
    </row>
    <row r="75" spans="1:11">
      <c r="A75" s="32" t="s">
        <v>79</v>
      </c>
      <c r="B75" s="33">
        <v>1074</v>
      </c>
      <c r="C75">
        <v>2877</v>
      </c>
      <c r="D75" t="s">
        <v>62</v>
      </c>
      <c r="E75">
        <v>11.4</v>
      </c>
      <c r="F75">
        <v>16.3</v>
      </c>
      <c r="G75">
        <f t="shared" si="4"/>
        <v>4.9000000000000004</v>
      </c>
      <c r="H75">
        <f t="shared" si="5"/>
        <v>0.49000000000000005</v>
      </c>
      <c r="I75" t="s">
        <v>91</v>
      </c>
      <c r="J75" t="s">
        <v>92</v>
      </c>
      <c r="K75" t="s">
        <v>65</v>
      </c>
    </row>
    <row r="76" spans="1:11">
      <c r="A76" s="32" t="s">
        <v>79</v>
      </c>
      <c r="B76" s="33">
        <v>1075</v>
      </c>
      <c r="C76">
        <v>1109</v>
      </c>
      <c r="D76" t="s">
        <v>67</v>
      </c>
      <c r="E76">
        <v>3</v>
      </c>
      <c r="F76">
        <v>8</v>
      </c>
      <c r="G76">
        <f t="shared" si="4"/>
        <v>5</v>
      </c>
      <c r="H76">
        <f t="shared" si="5"/>
        <v>0.5</v>
      </c>
      <c r="I76" t="s">
        <v>93</v>
      </c>
      <c r="J76" t="s">
        <v>94</v>
      </c>
      <c r="K76" t="s">
        <v>63</v>
      </c>
    </row>
    <row r="77" spans="1:11">
      <c r="A77" s="32" t="s">
        <v>79</v>
      </c>
      <c r="B77" s="33">
        <v>1076</v>
      </c>
      <c r="C77">
        <v>1109</v>
      </c>
      <c r="D77" t="s">
        <v>67</v>
      </c>
      <c r="E77">
        <v>3</v>
      </c>
      <c r="F77">
        <v>8</v>
      </c>
      <c r="G77">
        <f t="shared" si="4"/>
        <v>5</v>
      </c>
      <c r="H77">
        <f t="shared" si="5"/>
        <v>0.5</v>
      </c>
      <c r="I77" t="s">
        <v>89</v>
      </c>
      <c r="J77" t="s">
        <v>90</v>
      </c>
      <c r="K77" t="s">
        <v>65</v>
      </c>
    </row>
    <row r="78" spans="1:11">
      <c r="A78" s="32" t="s">
        <v>79</v>
      </c>
      <c r="B78" s="33">
        <v>1077</v>
      </c>
      <c r="C78">
        <v>9822</v>
      </c>
      <c r="D78" t="s">
        <v>60</v>
      </c>
      <c r="E78">
        <v>58.3</v>
      </c>
      <c r="F78">
        <v>98.4</v>
      </c>
      <c r="G78">
        <f t="shared" si="4"/>
        <v>40.100000000000009</v>
      </c>
      <c r="H78">
        <f t="shared" si="5"/>
        <v>8.0200000000000014</v>
      </c>
      <c r="I78" t="s">
        <v>93</v>
      </c>
      <c r="J78" t="s">
        <v>94</v>
      </c>
      <c r="K78" t="s">
        <v>65</v>
      </c>
    </row>
    <row r="79" spans="1:11">
      <c r="A79" s="32" t="s">
        <v>79</v>
      </c>
      <c r="B79" s="33">
        <v>1078</v>
      </c>
      <c r="C79">
        <v>2877</v>
      </c>
      <c r="D79" t="s">
        <v>62</v>
      </c>
      <c r="E79">
        <v>11.4</v>
      </c>
      <c r="F79">
        <v>16.3</v>
      </c>
      <c r="G79">
        <f t="shared" si="4"/>
        <v>4.9000000000000004</v>
      </c>
      <c r="H79">
        <f t="shared" si="5"/>
        <v>0.49000000000000005</v>
      </c>
      <c r="I79" t="s">
        <v>89</v>
      </c>
      <c r="J79" t="s">
        <v>90</v>
      </c>
      <c r="K79" t="s">
        <v>73</v>
      </c>
    </row>
    <row r="80" spans="1:11">
      <c r="A80" s="32" t="s">
        <v>80</v>
      </c>
      <c r="B80" s="33">
        <v>1079</v>
      </c>
      <c r="C80">
        <v>2877</v>
      </c>
      <c r="D80" t="s">
        <v>62</v>
      </c>
      <c r="E80">
        <v>11.4</v>
      </c>
      <c r="F80">
        <v>16.3</v>
      </c>
      <c r="G80">
        <f t="shared" si="4"/>
        <v>4.9000000000000004</v>
      </c>
      <c r="H80">
        <f t="shared" si="5"/>
        <v>0.49000000000000005</v>
      </c>
      <c r="I80" t="s">
        <v>89</v>
      </c>
      <c r="J80" t="s">
        <v>90</v>
      </c>
      <c r="K80" t="s">
        <v>61</v>
      </c>
    </row>
    <row r="81" spans="1:11">
      <c r="A81" s="32" t="s">
        <v>80</v>
      </c>
      <c r="B81" s="33">
        <v>1080</v>
      </c>
      <c r="C81">
        <v>4421</v>
      </c>
      <c r="D81" t="s">
        <v>69</v>
      </c>
      <c r="E81">
        <v>45</v>
      </c>
      <c r="F81">
        <v>87</v>
      </c>
      <c r="G81">
        <f t="shared" si="4"/>
        <v>42</v>
      </c>
      <c r="H81">
        <f t="shared" si="5"/>
        <v>8.4</v>
      </c>
      <c r="I81" t="s">
        <v>91</v>
      </c>
      <c r="J81" t="s">
        <v>92</v>
      </c>
      <c r="K81" t="s">
        <v>63</v>
      </c>
    </row>
    <row r="82" spans="1:11">
      <c r="A82" s="32" t="s">
        <v>80</v>
      </c>
      <c r="B82" s="33">
        <v>1081</v>
      </c>
      <c r="C82">
        <v>6119</v>
      </c>
      <c r="D82" t="s">
        <v>75</v>
      </c>
      <c r="E82">
        <v>9</v>
      </c>
      <c r="F82">
        <v>14</v>
      </c>
      <c r="G82">
        <f t="shared" si="4"/>
        <v>5</v>
      </c>
      <c r="H82">
        <f t="shared" si="5"/>
        <v>0.5</v>
      </c>
      <c r="I82" t="s">
        <v>91</v>
      </c>
      <c r="J82" t="s">
        <v>92</v>
      </c>
      <c r="K82" t="s">
        <v>74</v>
      </c>
    </row>
    <row r="83" spans="1:11">
      <c r="A83" s="32" t="s">
        <v>80</v>
      </c>
      <c r="B83" s="33">
        <v>1082</v>
      </c>
      <c r="C83">
        <v>1109</v>
      </c>
      <c r="D83" t="s">
        <v>67</v>
      </c>
      <c r="E83">
        <v>3</v>
      </c>
      <c r="F83">
        <v>8</v>
      </c>
      <c r="G83">
        <f t="shared" si="4"/>
        <v>5</v>
      </c>
      <c r="H83">
        <f t="shared" si="5"/>
        <v>0.5</v>
      </c>
      <c r="I83" t="s">
        <v>87</v>
      </c>
      <c r="J83" t="s">
        <v>88</v>
      </c>
      <c r="K83" t="s">
        <v>63</v>
      </c>
    </row>
    <row r="84" spans="1:11">
      <c r="A84" s="32" t="s">
        <v>80</v>
      </c>
      <c r="B84" s="33">
        <v>1083</v>
      </c>
      <c r="C84">
        <v>1109</v>
      </c>
      <c r="D84" t="s">
        <v>67</v>
      </c>
      <c r="E84">
        <v>3</v>
      </c>
      <c r="F84">
        <v>8</v>
      </c>
      <c r="G84">
        <f t="shared" si="4"/>
        <v>5</v>
      </c>
      <c r="H84">
        <f t="shared" si="5"/>
        <v>0.5</v>
      </c>
      <c r="I84" t="s">
        <v>87</v>
      </c>
      <c r="J84" t="s">
        <v>88</v>
      </c>
      <c r="K84" t="s">
        <v>73</v>
      </c>
    </row>
    <row r="85" spans="1:11">
      <c r="A85" s="32" t="s">
        <v>80</v>
      </c>
      <c r="B85" s="33">
        <v>1084</v>
      </c>
      <c r="C85">
        <v>6119</v>
      </c>
      <c r="D85" t="s">
        <v>75</v>
      </c>
      <c r="E85">
        <v>9</v>
      </c>
      <c r="F85">
        <v>14</v>
      </c>
      <c r="G85">
        <f t="shared" si="4"/>
        <v>5</v>
      </c>
      <c r="H85">
        <f t="shared" si="5"/>
        <v>0.5</v>
      </c>
      <c r="I85" t="s">
        <v>87</v>
      </c>
      <c r="J85" t="s">
        <v>88</v>
      </c>
      <c r="K85" t="s">
        <v>65</v>
      </c>
    </row>
    <row r="86" spans="1:11">
      <c r="A86" s="32" t="s">
        <v>80</v>
      </c>
      <c r="B86" s="33">
        <v>1085</v>
      </c>
      <c r="C86">
        <v>9822</v>
      </c>
      <c r="D86" t="s">
        <v>60</v>
      </c>
      <c r="E86">
        <v>58.3</v>
      </c>
      <c r="F86">
        <v>98.4</v>
      </c>
      <c r="G86">
        <f t="shared" si="4"/>
        <v>40.100000000000009</v>
      </c>
      <c r="H86">
        <f t="shared" si="5"/>
        <v>8.0200000000000014</v>
      </c>
      <c r="I86" t="s">
        <v>91</v>
      </c>
      <c r="J86" t="s">
        <v>92</v>
      </c>
      <c r="K86" t="s">
        <v>73</v>
      </c>
    </row>
    <row r="87" spans="1:11">
      <c r="A87" s="32" t="s">
        <v>80</v>
      </c>
      <c r="B87" s="33">
        <v>1086</v>
      </c>
      <c r="C87">
        <v>1109</v>
      </c>
      <c r="D87" t="s">
        <v>67</v>
      </c>
      <c r="E87">
        <v>3</v>
      </c>
      <c r="F87">
        <v>8</v>
      </c>
      <c r="G87">
        <f t="shared" si="4"/>
        <v>5</v>
      </c>
      <c r="H87">
        <f t="shared" si="5"/>
        <v>0.5</v>
      </c>
      <c r="I87" t="s">
        <v>93</v>
      </c>
      <c r="J87" t="s">
        <v>94</v>
      </c>
      <c r="K87" t="s">
        <v>65</v>
      </c>
    </row>
    <row r="88" spans="1:11">
      <c r="A88" s="32" t="s">
        <v>80</v>
      </c>
      <c r="B88" s="33">
        <v>1087</v>
      </c>
      <c r="C88">
        <v>2499</v>
      </c>
      <c r="D88" t="s">
        <v>64</v>
      </c>
      <c r="E88">
        <v>6.2</v>
      </c>
      <c r="F88">
        <v>9.1999999999999993</v>
      </c>
      <c r="G88">
        <f t="shared" si="4"/>
        <v>2.9999999999999991</v>
      </c>
      <c r="H88">
        <f t="shared" si="5"/>
        <v>0.29999999999999993</v>
      </c>
      <c r="I88" t="s">
        <v>87</v>
      </c>
      <c r="J88" t="s">
        <v>88</v>
      </c>
      <c r="K88" t="s">
        <v>63</v>
      </c>
    </row>
    <row r="89" spans="1:11">
      <c r="A89" s="32" t="s">
        <v>80</v>
      </c>
      <c r="B89" s="33">
        <v>1088</v>
      </c>
      <c r="C89">
        <v>2499</v>
      </c>
      <c r="D89" t="s">
        <v>64</v>
      </c>
      <c r="E89">
        <v>6.2</v>
      </c>
      <c r="F89">
        <v>9.1999999999999993</v>
      </c>
      <c r="G89">
        <f t="shared" si="4"/>
        <v>2.9999999999999991</v>
      </c>
      <c r="H89">
        <f t="shared" si="5"/>
        <v>0.29999999999999993</v>
      </c>
      <c r="I89" t="s">
        <v>87</v>
      </c>
      <c r="J89" t="s">
        <v>88</v>
      </c>
      <c r="K89" t="s">
        <v>61</v>
      </c>
    </row>
    <row r="90" spans="1:11">
      <c r="A90" s="32" t="s">
        <v>80</v>
      </c>
      <c r="B90" s="33">
        <v>1089</v>
      </c>
      <c r="C90">
        <v>6119</v>
      </c>
      <c r="D90" t="s">
        <v>75</v>
      </c>
      <c r="E90">
        <v>9</v>
      </c>
      <c r="F90">
        <v>14</v>
      </c>
      <c r="G90">
        <f t="shared" si="4"/>
        <v>5</v>
      </c>
      <c r="H90">
        <f t="shared" si="5"/>
        <v>0.5</v>
      </c>
      <c r="I90" t="s">
        <v>91</v>
      </c>
      <c r="J90" t="s">
        <v>92</v>
      </c>
      <c r="K90" t="s">
        <v>73</v>
      </c>
    </row>
    <row r="91" spans="1:11">
      <c r="A91" s="32" t="s">
        <v>80</v>
      </c>
      <c r="B91" s="33">
        <v>1090</v>
      </c>
      <c r="C91">
        <v>2877</v>
      </c>
      <c r="D91" t="s">
        <v>62</v>
      </c>
      <c r="E91">
        <v>11.4</v>
      </c>
      <c r="F91">
        <v>16.3</v>
      </c>
      <c r="G91">
        <f t="shared" si="4"/>
        <v>4.9000000000000004</v>
      </c>
      <c r="H91">
        <f t="shared" si="5"/>
        <v>0.49000000000000005</v>
      </c>
      <c r="I91" t="s">
        <v>87</v>
      </c>
      <c r="J91" t="s">
        <v>88</v>
      </c>
      <c r="K91" t="s">
        <v>63</v>
      </c>
    </row>
    <row r="92" spans="1:11">
      <c r="A92" s="32" t="s">
        <v>80</v>
      </c>
      <c r="B92" s="33">
        <v>1091</v>
      </c>
      <c r="C92">
        <v>2877</v>
      </c>
      <c r="D92" t="s">
        <v>62</v>
      </c>
      <c r="E92">
        <v>11.4</v>
      </c>
      <c r="F92">
        <v>16.3</v>
      </c>
      <c r="G92">
        <f t="shared" si="4"/>
        <v>4.9000000000000004</v>
      </c>
      <c r="H92">
        <f t="shared" si="5"/>
        <v>0.49000000000000005</v>
      </c>
      <c r="I92" t="s">
        <v>93</v>
      </c>
      <c r="J92" t="s">
        <v>94</v>
      </c>
      <c r="K92" t="s">
        <v>73</v>
      </c>
    </row>
    <row r="93" spans="1:11">
      <c r="A93" s="32" t="s">
        <v>80</v>
      </c>
      <c r="B93" s="33">
        <v>1092</v>
      </c>
      <c r="C93">
        <v>2877</v>
      </c>
      <c r="D93" t="s">
        <v>62</v>
      </c>
      <c r="E93">
        <v>11.4</v>
      </c>
      <c r="F93">
        <v>16.3</v>
      </c>
      <c r="G93">
        <f t="shared" si="4"/>
        <v>4.9000000000000004</v>
      </c>
      <c r="H93">
        <f t="shared" si="5"/>
        <v>0.49000000000000005</v>
      </c>
      <c r="I93" t="s">
        <v>91</v>
      </c>
      <c r="J93" t="s">
        <v>92</v>
      </c>
      <c r="K93" t="s">
        <v>63</v>
      </c>
    </row>
    <row r="94" spans="1:11">
      <c r="A94" s="32" t="s">
        <v>80</v>
      </c>
      <c r="B94" s="33">
        <v>1093</v>
      </c>
      <c r="C94">
        <v>6119</v>
      </c>
      <c r="D94" t="s">
        <v>75</v>
      </c>
      <c r="E94">
        <v>9</v>
      </c>
      <c r="F94">
        <v>14</v>
      </c>
      <c r="G94">
        <f t="shared" si="4"/>
        <v>5</v>
      </c>
      <c r="H94">
        <f t="shared" si="5"/>
        <v>0.5</v>
      </c>
      <c r="I94" t="s">
        <v>89</v>
      </c>
      <c r="J94" t="s">
        <v>90</v>
      </c>
      <c r="K94" t="s">
        <v>65</v>
      </c>
    </row>
    <row r="95" spans="1:11">
      <c r="A95" s="32" t="s">
        <v>80</v>
      </c>
      <c r="B95" s="33">
        <v>1094</v>
      </c>
      <c r="C95">
        <v>6119</v>
      </c>
      <c r="D95" t="s">
        <v>75</v>
      </c>
      <c r="E95">
        <v>9</v>
      </c>
      <c r="F95">
        <v>14</v>
      </c>
      <c r="G95">
        <f t="shared" si="4"/>
        <v>5</v>
      </c>
      <c r="H95">
        <f t="shared" si="5"/>
        <v>0.5</v>
      </c>
      <c r="I95" t="s">
        <v>91</v>
      </c>
      <c r="J95" t="s">
        <v>92</v>
      </c>
      <c r="K95" t="s">
        <v>63</v>
      </c>
    </row>
    <row r="96" spans="1:11">
      <c r="A96" s="32" t="s">
        <v>80</v>
      </c>
      <c r="B96" s="33">
        <v>1095</v>
      </c>
      <c r="C96">
        <v>2499</v>
      </c>
      <c r="D96" t="s">
        <v>64</v>
      </c>
      <c r="E96">
        <v>6.2</v>
      </c>
      <c r="F96">
        <v>9.1999999999999993</v>
      </c>
      <c r="G96">
        <f t="shared" si="4"/>
        <v>2.9999999999999991</v>
      </c>
      <c r="H96">
        <f t="shared" si="5"/>
        <v>0.29999999999999993</v>
      </c>
      <c r="I96" t="s">
        <v>93</v>
      </c>
      <c r="J96" t="s">
        <v>94</v>
      </c>
      <c r="K96" t="s">
        <v>65</v>
      </c>
    </row>
    <row r="97" spans="1:11">
      <c r="A97" s="32" t="s">
        <v>80</v>
      </c>
      <c r="B97" s="33">
        <v>1096</v>
      </c>
      <c r="C97">
        <v>6119</v>
      </c>
      <c r="D97" t="s">
        <v>75</v>
      </c>
      <c r="E97">
        <v>9</v>
      </c>
      <c r="F97">
        <v>14</v>
      </c>
      <c r="G97">
        <f t="shared" si="4"/>
        <v>5</v>
      </c>
      <c r="H97">
        <f t="shared" si="5"/>
        <v>0.5</v>
      </c>
      <c r="I97" t="s">
        <v>91</v>
      </c>
      <c r="J97" t="s">
        <v>92</v>
      </c>
      <c r="K97" t="s">
        <v>65</v>
      </c>
    </row>
    <row r="98" spans="1:11">
      <c r="A98" s="32" t="s">
        <v>80</v>
      </c>
      <c r="B98" s="33">
        <v>1097</v>
      </c>
      <c r="C98">
        <v>9212</v>
      </c>
      <c r="D98" t="s">
        <v>70</v>
      </c>
      <c r="E98">
        <v>4</v>
      </c>
      <c r="F98">
        <v>7</v>
      </c>
      <c r="G98">
        <f t="shared" ref="G98:G129" si="6">F98-E98</f>
        <v>3</v>
      </c>
      <c r="H98">
        <f t="shared" ref="H98:H129" si="7">IF(F98&gt;50,G98*0.2,G98*0.1)</f>
        <v>0.30000000000000004</v>
      </c>
      <c r="I98" t="s">
        <v>93</v>
      </c>
      <c r="J98" t="s">
        <v>94</v>
      </c>
      <c r="K98" t="s">
        <v>73</v>
      </c>
    </row>
    <row r="99" spans="1:11">
      <c r="A99" s="32" t="s">
        <v>80</v>
      </c>
      <c r="B99" s="33">
        <v>1098</v>
      </c>
      <c r="C99">
        <v>2877</v>
      </c>
      <c r="D99" t="s">
        <v>62</v>
      </c>
      <c r="E99">
        <v>11.4</v>
      </c>
      <c r="F99">
        <v>16.3</v>
      </c>
      <c r="G99">
        <f t="shared" si="6"/>
        <v>4.9000000000000004</v>
      </c>
      <c r="H99">
        <f t="shared" si="7"/>
        <v>0.49000000000000005</v>
      </c>
      <c r="I99" t="s">
        <v>89</v>
      </c>
      <c r="J99" t="s">
        <v>90</v>
      </c>
      <c r="K99" t="s">
        <v>61</v>
      </c>
    </row>
    <row r="100" spans="1:11">
      <c r="A100" s="32" t="s">
        <v>81</v>
      </c>
      <c r="B100" s="33">
        <v>1099</v>
      </c>
      <c r="C100">
        <v>2877</v>
      </c>
      <c r="D100" t="s">
        <v>62</v>
      </c>
      <c r="E100">
        <v>11.4</v>
      </c>
      <c r="F100">
        <v>16.3</v>
      </c>
      <c r="G100">
        <f t="shared" si="6"/>
        <v>4.9000000000000004</v>
      </c>
      <c r="H100">
        <f t="shared" si="7"/>
        <v>0.49000000000000005</v>
      </c>
      <c r="I100" t="s">
        <v>91</v>
      </c>
      <c r="J100" t="s">
        <v>92</v>
      </c>
      <c r="K100" t="s">
        <v>63</v>
      </c>
    </row>
    <row r="101" spans="1:11">
      <c r="A101" s="32" t="s">
        <v>81</v>
      </c>
      <c r="B101" s="33">
        <v>1100</v>
      </c>
      <c r="C101">
        <v>6119</v>
      </c>
      <c r="D101" t="s">
        <v>75</v>
      </c>
      <c r="E101">
        <v>9</v>
      </c>
      <c r="F101">
        <v>14</v>
      </c>
      <c r="G101">
        <f t="shared" si="6"/>
        <v>5</v>
      </c>
      <c r="H101">
        <f t="shared" si="7"/>
        <v>0.5</v>
      </c>
      <c r="I101" t="s">
        <v>87</v>
      </c>
      <c r="J101" t="s">
        <v>88</v>
      </c>
      <c r="K101" t="s">
        <v>74</v>
      </c>
    </row>
    <row r="102" spans="1:11">
      <c r="A102" s="32" t="s">
        <v>81</v>
      </c>
      <c r="B102" s="33">
        <v>1101</v>
      </c>
      <c r="C102">
        <v>2499</v>
      </c>
      <c r="D102" t="s">
        <v>64</v>
      </c>
      <c r="E102">
        <v>6.2</v>
      </c>
      <c r="F102">
        <v>9.1999999999999993</v>
      </c>
      <c r="G102">
        <f t="shared" si="6"/>
        <v>2.9999999999999991</v>
      </c>
      <c r="H102">
        <f t="shared" si="7"/>
        <v>0.29999999999999993</v>
      </c>
      <c r="I102" t="s">
        <v>91</v>
      </c>
      <c r="J102" t="s">
        <v>92</v>
      </c>
      <c r="K102" t="s">
        <v>63</v>
      </c>
    </row>
    <row r="103" spans="1:11">
      <c r="A103" s="32" t="s">
        <v>81</v>
      </c>
      <c r="B103" s="33">
        <v>1102</v>
      </c>
      <c r="C103">
        <v>2242</v>
      </c>
      <c r="D103" t="s">
        <v>72</v>
      </c>
      <c r="E103">
        <v>60</v>
      </c>
      <c r="F103">
        <v>124</v>
      </c>
      <c r="G103">
        <f t="shared" si="6"/>
        <v>64</v>
      </c>
      <c r="H103">
        <f t="shared" si="7"/>
        <v>12.8</v>
      </c>
      <c r="I103" t="s">
        <v>89</v>
      </c>
      <c r="J103" t="s">
        <v>90</v>
      </c>
      <c r="K103" t="s">
        <v>73</v>
      </c>
    </row>
    <row r="104" spans="1:11">
      <c r="A104" s="32" t="s">
        <v>81</v>
      </c>
      <c r="B104" s="33">
        <v>1103</v>
      </c>
      <c r="C104">
        <v>2877</v>
      </c>
      <c r="D104" t="s">
        <v>62</v>
      </c>
      <c r="E104">
        <v>11.4</v>
      </c>
      <c r="F104">
        <v>16.3</v>
      </c>
      <c r="G104">
        <f t="shared" si="6"/>
        <v>4.9000000000000004</v>
      </c>
      <c r="H104">
        <f t="shared" si="7"/>
        <v>0.49000000000000005</v>
      </c>
      <c r="I104" t="s">
        <v>89</v>
      </c>
      <c r="J104" t="s">
        <v>90</v>
      </c>
      <c r="K104" t="s">
        <v>65</v>
      </c>
    </row>
    <row r="105" spans="1:11">
      <c r="A105" s="32" t="s">
        <v>81</v>
      </c>
      <c r="B105" s="33">
        <v>1104</v>
      </c>
      <c r="C105">
        <v>2877</v>
      </c>
      <c r="D105" t="s">
        <v>62</v>
      </c>
      <c r="E105">
        <v>11.4</v>
      </c>
      <c r="F105">
        <v>16.3</v>
      </c>
      <c r="G105">
        <f t="shared" si="6"/>
        <v>4.9000000000000004</v>
      </c>
      <c r="H105">
        <f t="shared" si="7"/>
        <v>0.49000000000000005</v>
      </c>
      <c r="I105" t="s">
        <v>91</v>
      </c>
      <c r="J105" t="s">
        <v>92</v>
      </c>
      <c r="K105" t="s">
        <v>73</v>
      </c>
    </row>
    <row r="106" spans="1:11">
      <c r="A106" s="32" t="s">
        <v>81</v>
      </c>
      <c r="B106" s="33">
        <v>1105</v>
      </c>
      <c r="C106">
        <v>2499</v>
      </c>
      <c r="D106" t="s">
        <v>64</v>
      </c>
      <c r="E106">
        <v>6.2</v>
      </c>
      <c r="F106">
        <v>9.1999999999999993</v>
      </c>
      <c r="G106">
        <f t="shared" si="6"/>
        <v>2.9999999999999991</v>
      </c>
      <c r="H106">
        <f t="shared" si="7"/>
        <v>0.29999999999999993</v>
      </c>
      <c r="I106" t="s">
        <v>89</v>
      </c>
      <c r="J106" t="s">
        <v>90</v>
      </c>
      <c r="K106" t="s">
        <v>65</v>
      </c>
    </row>
    <row r="107" spans="1:11">
      <c r="A107" s="32" t="s">
        <v>81</v>
      </c>
      <c r="B107" s="33">
        <v>1106</v>
      </c>
      <c r="C107">
        <v>9822</v>
      </c>
      <c r="D107" t="s">
        <v>60</v>
      </c>
      <c r="E107">
        <v>58.3</v>
      </c>
      <c r="F107">
        <v>98.4</v>
      </c>
      <c r="G107">
        <f t="shared" si="6"/>
        <v>40.100000000000009</v>
      </c>
      <c r="H107">
        <f t="shared" si="7"/>
        <v>8.0200000000000014</v>
      </c>
      <c r="I107" t="s">
        <v>89</v>
      </c>
      <c r="J107" t="s">
        <v>90</v>
      </c>
      <c r="K107" t="s">
        <v>63</v>
      </c>
    </row>
    <row r="108" spans="1:11">
      <c r="A108" s="32" t="s">
        <v>81</v>
      </c>
      <c r="B108" s="33">
        <v>1107</v>
      </c>
      <c r="C108">
        <v>1109</v>
      </c>
      <c r="D108" t="s">
        <v>67</v>
      </c>
      <c r="E108">
        <v>3</v>
      </c>
      <c r="F108">
        <v>8</v>
      </c>
      <c r="G108">
        <f t="shared" si="6"/>
        <v>5</v>
      </c>
      <c r="H108">
        <f t="shared" si="7"/>
        <v>0.5</v>
      </c>
      <c r="I108" t="s">
        <v>93</v>
      </c>
      <c r="J108" t="s">
        <v>94</v>
      </c>
      <c r="K108" t="s">
        <v>61</v>
      </c>
    </row>
    <row r="109" spans="1:11">
      <c r="A109" s="32" t="s">
        <v>81</v>
      </c>
      <c r="B109" s="33">
        <v>1108</v>
      </c>
      <c r="C109">
        <v>9822</v>
      </c>
      <c r="D109" t="s">
        <v>60</v>
      </c>
      <c r="E109">
        <v>58.3</v>
      </c>
      <c r="F109">
        <v>98.4</v>
      </c>
      <c r="G109">
        <f t="shared" si="6"/>
        <v>40.100000000000009</v>
      </c>
      <c r="H109">
        <f t="shared" si="7"/>
        <v>8.0200000000000014</v>
      </c>
      <c r="I109" t="s">
        <v>91</v>
      </c>
      <c r="J109" t="s">
        <v>92</v>
      </c>
      <c r="K109" t="s">
        <v>73</v>
      </c>
    </row>
    <row r="110" spans="1:11">
      <c r="A110" s="32" t="s">
        <v>81</v>
      </c>
      <c r="B110" s="33">
        <v>1109</v>
      </c>
      <c r="C110">
        <v>8722</v>
      </c>
      <c r="D110" t="s">
        <v>66</v>
      </c>
      <c r="E110">
        <v>344</v>
      </c>
      <c r="F110">
        <v>502</v>
      </c>
      <c r="G110">
        <f t="shared" si="6"/>
        <v>158</v>
      </c>
      <c r="H110">
        <f t="shared" si="7"/>
        <v>31.6</v>
      </c>
      <c r="I110" t="s">
        <v>89</v>
      </c>
      <c r="J110" t="s">
        <v>90</v>
      </c>
      <c r="K110" t="s">
        <v>63</v>
      </c>
    </row>
    <row r="111" spans="1:11">
      <c r="A111" s="32" t="s">
        <v>81</v>
      </c>
      <c r="B111" s="33">
        <v>1110</v>
      </c>
      <c r="C111">
        <v>8722</v>
      </c>
      <c r="D111" t="s">
        <v>66</v>
      </c>
      <c r="E111">
        <v>344</v>
      </c>
      <c r="F111">
        <v>502</v>
      </c>
      <c r="G111">
        <f t="shared" si="6"/>
        <v>158</v>
      </c>
      <c r="H111">
        <f t="shared" si="7"/>
        <v>31.6</v>
      </c>
      <c r="I111" t="s">
        <v>93</v>
      </c>
      <c r="J111" t="s">
        <v>94</v>
      </c>
      <c r="K111" t="s">
        <v>73</v>
      </c>
    </row>
    <row r="112" spans="1:11">
      <c r="A112" s="32" t="s">
        <v>81</v>
      </c>
      <c r="B112" s="33">
        <v>1111</v>
      </c>
      <c r="C112">
        <v>6622</v>
      </c>
      <c r="D112" t="s">
        <v>77</v>
      </c>
      <c r="E112">
        <v>42</v>
      </c>
      <c r="F112">
        <v>77</v>
      </c>
      <c r="G112">
        <f t="shared" si="6"/>
        <v>35</v>
      </c>
      <c r="H112">
        <f t="shared" si="7"/>
        <v>7</v>
      </c>
      <c r="I112" t="s">
        <v>93</v>
      </c>
      <c r="J112" t="s">
        <v>94</v>
      </c>
      <c r="K112" t="s">
        <v>63</v>
      </c>
    </row>
    <row r="113" spans="1:11">
      <c r="A113" s="32" t="s">
        <v>81</v>
      </c>
      <c r="B113" s="33">
        <v>1112</v>
      </c>
      <c r="C113">
        <v>6622</v>
      </c>
      <c r="D113" t="s">
        <v>77</v>
      </c>
      <c r="E113">
        <v>42</v>
      </c>
      <c r="F113">
        <v>77</v>
      </c>
      <c r="G113">
        <f t="shared" si="6"/>
        <v>35</v>
      </c>
      <c r="H113">
        <f t="shared" si="7"/>
        <v>7</v>
      </c>
      <c r="I113" t="s">
        <v>91</v>
      </c>
      <c r="J113" t="s">
        <v>92</v>
      </c>
      <c r="K113" t="s">
        <v>65</v>
      </c>
    </row>
    <row r="114" spans="1:11">
      <c r="A114" s="32" t="s">
        <v>81</v>
      </c>
      <c r="B114" s="33">
        <v>1113</v>
      </c>
      <c r="C114">
        <v>9822</v>
      </c>
      <c r="D114" t="s">
        <v>60</v>
      </c>
      <c r="E114">
        <v>58.3</v>
      </c>
      <c r="F114">
        <v>98.4</v>
      </c>
      <c r="G114">
        <f t="shared" si="6"/>
        <v>40.100000000000009</v>
      </c>
      <c r="H114">
        <f t="shared" si="7"/>
        <v>8.0200000000000014</v>
      </c>
      <c r="I114" t="s">
        <v>87</v>
      </c>
      <c r="J114" t="s">
        <v>88</v>
      </c>
      <c r="K114" t="s">
        <v>63</v>
      </c>
    </row>
    <row r="115" spans="1:11">
      <c r="A115" s="32" t="s">
        <v>81</v>
      </c>
      <c r="B115" s="33">
        <v>1114</v>
      </c>
      <c r="C115">
        <v>2242</v>
      </c>
      <c r="D115" t="s">
        <v>72</v>
      </c>
      <c r="E115">
        <v>60</v>
      </c>
      <c r="F115">
        <v>124</v>
      </c>
      <c r="G115">
        <f t="shared" si="6"/>
        <v>64</v>
      </c>
      <c r="H115">
        <f t="shared" si="7"/>
        <v>12.8</v>
      </c>
      <c r="I115" t="s">
        <v>89</v>
      </c>
      <c r="J115" t="s">
        <v>90</v>
      </c>
      <c r="K115" t="s">
        <v>65</v>
      </c>
    </row>
    <row r="116" spans="1:11">
      <c r="A116" s="32" t="s">
        <v>81</v>
      </c>
      <c r="B116" s="33">
        <v>1115</v>
      </c>
      <c r="C116">
        <v>8722</v>
      </c>
      <c r="D116" t="s">
        <v>66</v>
      </c>
      <c r="E116">
        <v>344</v>
      </c>
      <c r="F116">
        <v>502</v>
      </c>
      <c r="G116">
        <f t="shared" si="6"/>
        <v>158</v>
      </c>
      <c r="H116">
        <f t="shared" si="7"/>
        <v>31.6</v>
      </c>
      <c r="I116" t="s">
        <v>87</v>
      </c>
      <c r="J116" t="s">
        <v>88</v>
      </c>
      <c r="K116" t="s">
        <v>65</v>
      </c>
    </row>
    <row r="117" spans="1:11">
      <c r="A117" s="32" t="s">
        <v>81</v>
      </c>
      <c r="B117" s="33">
        <v>1116</v>
      </c>
      <c r="C117">
        <v>6622</v>
      </c>
      <c r="D117" t="s">
        <v>77</v>
      </c>
      <c r="E117">
        <v>42</v>
      </c>
      <c r="F117">
        <v>77</v>
      </c>
      <c r="G117">
        <f t="shared" si="6"/>
        <v>35</v>
      </c>
      <c r="H117">
        <f t="shared" si="7"/>
        <v>7</v>
      </c>
      <c r="I117" t="s">
        <v>91</v>
      </c>
      <c r="J117" t="s">
        <v>92</v>
      </c>
      <c r="K117" t="s">
        <v>73</v>
      </c>
    </row>
    <row r="118" spans="1:11">
      <c r="A118" s="32" t="s">
        <v>81</v>
      </c>
      <c r="B118" s="33">
        <v>1117</v>
      </c>
      <c r="C118">
        <v>8722</v>
      </c>
      <c r="D118" t="s">
        <v>66</v>
      </c>
      <c r="E118">
        <v>344</v>
      </c>
      <c r="F118">
        <v>502</v>
      </c>
      <c r="G118">
        <f t="shared" si="6"/>
        <v>158</v>
      </c>
      <c r="H118">
        <f t="shared" si="7"/>
        <v>31.6</v>
      </c>
      <c r="I118" t="s">
        <v>93</v>
      </c>
      <c r="J118" t="s">
        <v>94</v>
      </c>
      <c r="K118" t="s">
        <v>61</v>
      </c>
    </row>
    <row r="119" spans="1:11">
      <c r="A119" s="32" t="s">
        <v>81</v>
      </c>
      <c r="B119" s="33">
        <v>1118</v>
      </c>
      <c r="C119">
        <v>9822</v>
      </c>
      <c r="D119" t="s">
        <v>60</v>
      </c>
      <c r="E119">
        <v>58.3</v>
      </c>
      <c r="F119">
        <v>98.4</v>
      </c>
      <c r="G119">
        <f t="shared" si="6"/>
        <v>40.100000000000009</v>
      </c>
      <c r="H119">
        <f t="shared" si="7"/>
        <v>8.0200000000000014</v>
      </c>
      <c r="I119" t="s">
        <v>89</v>
      </c>
      <c r="J119" t="s">
        <v>90</v>
      </c>
      <c r="K119" t="s">
        <v>63</v>
      </c>
    </row>
    <row r="120" spans="1:11">
      <c r="A120" s="32" t="s">
        <v>81</v>
      </c>
      <c r="B120" s="33">
        <v>1119</v>
      </c>
      <c r="C120">
        <v>2242</v>
      </c>
      <c r="D120" t="s">
        <v>72</v>
      </c>
      <c r="E120">
        <v>60</v>
      </c>
      <c r="F120">
        <v>124</v>
      </c>
      <c r="G120">
        <f t="shared" si="6"/>
        <v>64</v>
      </c>
      <c r="H120">
        <f t="shared" si="7"/>
        <v>12.8</v>
      </c>
      <c r="I120" t="s">
        <v>87</v>
      </c>
      <c r="J120" t="s">
        <v>88</v>
      </c>
      <c r="K120" t="s">
        <v>74</v>
      </c>
    </row>
    <row r="121" spans="1:11">
      <c r="A121" s="32" t="s">
        <v>81</v>
      </c>
      <c r="B121" s="33">
        <v>1120</v>
      </c>
      <c r="C121">
        <v>2242</v>
      </c>
      <c r="D121" t="s">
        <v>72</v>
      </c>
      <c r="E121">
        <v>60</v>
      </c>
      <c r="F121">
        <v>124</v>
      </c>
      <c r="G121">
        <f t="shared" si="6"/>
        <v>64</v>
      </c>
      <c r="H121">
        <f t="shared" si="7"/>
        <v>12.8</v>
      </c>
      <c r="I121" t="s">
        <v>91</v>
      </c>
      <c r="J121" t="s">
        <v>92</v>
      </c>
      <c r="K121" t="s">
        <v>63</v>
      </c>
    </row>
    <row r="122" spans="1:11">
      <c r="A122" s="32" t="s">
        <v>81</v>
      </c>
      <c r="B122" s="33">
        <v>1121</v>
      </c>
      <c r="C122">
        <v>4421</v>
      </c>
      <c r="D122" t="s">
        <v>69</v>
      </c>
      <c r="E122">
        <v>45</v>
      </c>
      <c r="F122">
        <v>87</v>
      </c>
      <c r="G122">
        <f t="shared" si="6"/>
        <v>42</v>
      </c>
      <c r="H122">
        <f t="shared" si="7"/>
        <v>8.4</v>
      </c>
      <c r="I122" t="s">
        <v>91</v>
      </c>
      <c r="J122" t="s">
        <v>92</v>
      </c>
      <c r="K122" t="s">
        <v>73</v>
      </c>
    </row>
    <row r="123" spans="1:11">
      <c r="A123" s="32" t="s">
        <v>81</v>
      </c>
      <c r="B123" s="33">
        <v>1122</v>
      </c>
      <c r="C123">
        <v>8722</v>
      </c>
      <c r="D123" t="s">
        <v>66</v>
      </c>
      <c r="E123">
        <v>344</v>
      </c>
      <c r="F123">
        <v>502</v>
      </c>
      <c r="G123">
        <f t="shared" si="6"/>
        <v>158</v>
      </c>
      <c r="H123">
        <f t="shared" si="7"/>
        <v>31.6</v>
      </c>
      <c r="I123" t="s">
        <v>91</v>
      </c>
      <c r="J123" t="s">
        <v>92</v>
      </c>
      <c r="K123" t="s">
        <v>65</v>
      </c>
    </row>
    <row r="124" spans="1:11">
      <c r="A124" s="32" t="s">
        <v>81</v>
      </c>
      <c r="B124" s="33">
        <v>1123</v>
      </c>
      <c r="C124">
        <v>9822</v>
      </c>
      <c r="D124" t="s">
        <v>60</v>
      </c>
      <c r="E124">
        <v>58.3</v>
      </c>
      <c r="F124">
        <v>98.4</v>
      </c>
      <c r="G124">
        <f t="shared" si="6"/>
        <v>40.100000000000009</v>
      </c>
      <c r="H124">
        <f t="shared" si="7"/>
        <v>8.0200000000000014</v>
      </c>
      <c r="I124" t="s">
        <v>91</v>
      </c>
      <c r="J124" t="s">
        <v>92</v>
      </c>
      <c r="K124" t="s">
        <v>73</v>
      </c>
    </row>
    <row r="125" spans="1:11">
      <c r="A125" s="32" t="s">
        <v>81</v>
      </c>
      <c r="B125" s="33">
        <v>1124</v>
      </c>
      <c r="C125">
        <v>4421</v>
      </c>
      <c r="D125" t="s">
        <v>69</v>
      </c>
      <c r="E125">
        <v>45</v>
      </c>
      <c r="F125">
        <v>87</v>
      </c>
      <c r="G125">
        <f t="shared" si="6"/>
        <v>42</v>
      </c>
      <c r="H125">
        <f t="shared" si="7"/>
        <v>8.4</v>
      </c>
      <c r="I125" t="s">
        <v>91</v>
      </c>
      <c r="J125" t="s">
        <v>92</v>
      </c>
      <c r="K125" t="s">
        <v>65</v>
      </c>
    </row>
    <row r="126" spans="1:11">
      <c r="A126" s="32" t="s">
        <v>82</v>
      </c>
      <c r="B126" s="33">
        <v>1125</v>
      </c>
      <c r="C126">
        <v>2242</v>
      </c>
      <c r="D126" t="s">
        <v>72</v>
      </c>
      <c r="E126">
        <v>60</v>
      </c>
      <c r="F126">
        <v>124</v>
      </c>
      <c r="G126">
        <f t="shared" si="6"/>
        <v>64</v>
      </c>
      <c r="H126">
        <f t="shared" si="7"/>
        <v>12.8</v>
      </c>
      <c r="I126" t="s">
        <v>91</v>
      </c>
      <c r="J126" t="s">
        <v>92</v>
      </c>
      <c r="K126" t="s">
        <v>63</v>
      </c>
    </row>
    <row r="127" spans="1:11">
      <c r="A127" s="32" t="s">
        <v>82</v>
      </c>
      <c r="B127" s="33">
        <v>1126</v>
      </c>
      <c r="C127">
        <v>9212</v>
      </c>
      <c r="D127" t="s">
        <v>70</v>
      </c>
      <c r="E127">
        <v>4</v>
      </c>
      <c r="F127">
        <v>7</v>
      </c>
      <c r="G127">
        <f t="shared" si="6"/>
        <v>3</v>
      </c>
      <c r="H127">
        <f t="shared" si="7"/>
        <v>0.30000000000000004</v>
      </c>
      <c r="I127" t="s">
        <v>91</v>
      </c>
      <c r="J127" t="s">
        <v>92</v>
      </c>
      <c r="K127" t="s">
        <v>61</v>
      </c>
    </row>
    <row r="128" spans="1:11">
      <c r="A128" s="32" t="s">
        <v>82</v>
      </c>
      <c r="B128" s="33">
        <v>1127</v>
      </c>
      <c r="C128">
        <v>8722</v>
      </c>
      <c r="D128" t="s">
        <v>66</v>
      </c>
      <c r="E128">
        <v>344</v>
      </c>
      <c r="F128">
        <v>502</v>
      </c>
      <c r="G128">
        <f t="shared" si="6"/>
        <v>158</v>
      </c>
      <c r="H128">
        <f t="shared" si="7"/>
        <v>31.6</v>
      </c>
      <c r="I128" t="s">
        <v>87</v>
      </c>
      <c r="J128" t="s">
        <v>88</v>
      </c>
      <c r="K128" t="s">
        <v>73</v>
      </c>
    </row>
    <row r="129" spans="1:11">
      <c r="A129" s="32" t="s">
        <v>82</v>
      </c>
      <c r="B129" s="33">
        <v>1128</v>
      </c>
      <c r="C129">
        <v>6622</v>
      </c>
      <c r="D129" t="s">
        <v>77</v>
      </c>
      <c r="E129">
        <v>42</v>
      </c>
      <c r="F129">
        <v>77</v>
      </c>
      <c r="G129">
        <f t="shared" si="6"/>
        <v>35</v>
      </c>
      <c r="H129">
        <f t="shared" si="7"/>
        <v>7</v>
      </c>
      <c r="I129" t="s">
        <v>89</v>
      </c>
      <c r="J129" t="s">
        <v>90</v>
      </c>
      <c r="K129" t="s">
        <v>63</v>
      </c>
    </row>
    <row r="130" spans="1:11">
      <c r="A130" s="32" t="s">
        <v>82</v>
      </c>
      <c r="B130" s="33">
        <v>1129</v>
      </c>
      <c r="C130">
        <v>9822</v>
      </c>
      <c r="D130" t="s">
        <v>60</v>
      </c>
      <c r="E130">
        <v>58.3</v>
      </c>
      <c r="F130">
        <v>98.4</v>
      </c>
      <c r="G130">
        <f t="shared" ref="G130:G161" si="8">F130-E130</f>
        <v>40.100000000000009</v>
      </c>
      <c r="H130">
        <f t="shared" ref="H130:H161" si="9">IF(F130&gt;50,G130*0.2,G130*0.1)</f>
        <v>8.0200000000000014</v>
      </c>
      <c r="I130" t="s">
        <v>93</v>
      </c>
      <c r="J130" t="s">
        <v>94</v>
      </c>
      <c r="K130" t="s">
        <v>73</v>
      </c>
    </row>
    <row r="131" spans="1:11">
      <c r="A131" s="32" t="s">
        <v>82</v>
      </c>
      <c r="B131" s="33">
        <v>1130</v>
      </c>
      <c r="C131">
        <v>4421</v>
      </c>
      <c r="D131" t="s">
        <v>69</v>
      </c>
      <c r="E131">
        <v>45</v>
      </c>
      <c r="F131">
        <v>87</v>
      </c>
      <c r="G131">
        <f t="shared" si="8"/>
        <v>42</v>
      </c>
      <c r="H131">
        <f t="shared" si="9"/>
        <v>8.4</v>
      </c>
      <c r="I131" t="s">
        <v>93</v>
      </c>
      <c r="J131" t="s">
        <v>94</v>
      </c>
      <c r="K131" t="s">
        <v>63</v>
      </c>
    </row>
    <row r="132" spans="1:11">
      <c r="A132" s="32" t="s">
        <v>82</v>
      </c>
      <c r="B132" s="33">
        <v>1131</v>
      </c>
      <c r="C132">
        <v>9212</v>
      </c>
      <c r="D132" t="s">
        <v>70</v>
      </c>
      <c r="E132">
        <v>4</v>
      </c>
      <c r="F132">
        <v>7</v>
      </c>
      <c r="G132">
        <f t="shared" si="8"/>
        <v>3</v>
      </c>
      <c r="H132">
        <f t="shared" si="9"/>
        <v>0.30000000000000004</v>
      </c>
      <c r="I132" t="s">
        <v>93</v>
      </c>
      <c r="J132" t="s">
        <v>94</v>
      </c>
      <c r="K132" t="s">
        <v>65</v>
      </c>
    </row>
    <row r="133" spans="1:11">
      <c r="A133" s="32" t="s">
        <v>82</v>
      </c>
      <c r="B133" s="33">
        <v>1132</v>
      </c>
      <c r="C133">
        <v>9212</v>
      </c>
      <c r="D133" t="s">
        <v>70</v>
      </c>
      <c r="E133">
        <v>4</v>
      </c>
      <c r="F133">
        <v>7</v>
      </c>
      <c r="G133">
        <f t="shared" si="8"/>
        <v>3</v>
      </c>
      <c r="H133">
        <f t="shared" si="9"/>
        <v>0.30000000000000004</v>
      </c>
      <c r="I133" t="s">
        <v>93</v>
      </c>
      <c r="J133" t="s">
        <v>94</v>
      </c>
      <c r="K133" t="s">
        <v>63</v>
      </c>
    </row>
    <row r="134" spans="1:11">
      <c r="A134" s="32" t="s">
        <v>82</v>
      </c>
      <c r="B134" s="33">
        <v>1133</v>
      </c>
      <c r="C134">
        <v>9822</v>
      </c>
      <c r="D134" t="s">
        <v>60</v>
      </c>
      <c r="E134">
        <v>58.3</v>
      </c>
      <c r="F134">
        <v>98.4</v>
      </c>
      <c r="G134">
        <f t="shared" si="8"/>
        <v>40.100000000000009</v>
      </c>
      <c r="H134">
        <f t="shared" si="9"/>
        <v>8.0200000000000014</v>
      </c>
      <c r="I134" t="s">
        <v>87</v>
      </c>
      <c r="J134" t="s">
        <v>88</v>
      </c>
      <c r="K134" t="s">
        <v>65</v>
      </c>
    </row>
    <row r="135" spans="1:11">
      <c r="A135" s="32" t="s">
        <v>82</v>
      </c>
      <c r="B135" s="33">
        <v>1134</v>
      </c>
      <c r="C135">
        <v>9822</v>
      </c>
      <c r="D135" t="s">
        <v>60</v>
      </c>
      <c r="E135">
        <v>58.3</v>
      </c>
      <c r="F135">
        <v>98.4</v>
      </c>
      <c r="G135">
        <f t="shared" si="8"/>
        <v>40.100000000000009</v>
      </c>
      <c r="H135">
        <f t="shared" si="9"/>
        <v>8.0200000000000014</v>
      </c>
      <c r="I135" t="s">
        <v>91</v>
      </c>
      <c r="J135" t="s">
        <v>92</v>
      </c>
      <c r="K135" t="s">
        <v>65</v>
      </c>
    </row>
    <row r="136" spans="1:11">
      <c r="A136" s="32" t="s">
        <v>82</v>
      </c>
      <c r="B136" s="33">
        <v>1135</v>
      </c>
      <c r="C136">
        <v>8722</v>
      </c>
      <c r="D136" t="s">
        <v>66</v>
      </c>
      <c r="E136">
        <v>344</v>
      </c>
      <c r="F136">
        <v>502</v>
      </c>
      <c r="G136">
        <f t="shared" si="8"/>
        <v>158</v>
      </c>
      <c r="H136">
        <f t="shared" si="9"/>
        <v>31.6</v>
      </c>
      <c r="I136" t="s">
        <v>87</v>
      </c>
      <c r="J136" t="s">
        <v>88</v>
      </c>
      <c r="K136" t="s">
        <v>73</v>
      </c>
    </row>
    <row r="137" spans="1:11">
      <c r="A137" s="32" t="s">
        <v>82</v>
      </c>
      <c r="B137" s="33">
        <v>1136</v>
      </c>
      <c r="C137">
        <v>2242</v>
      </c>
      <c r="D137" t="s">
        <v>72</v>
      </c>
      <c r="E137">
        <v>60</v>
      </c>
      <c r="F137">
        <v>124</v>
      </c>
      <c r="G137">
        <f t="shared" si="8"/>
        <v>64</v>
      </c>
      <c r="H137">
        <f t="shared" si="9"/>
        <v>12.8</v>
      </c>
      <c r="I137" t="s">
        <v>91</v>
      </c>
      <c r="J137" t="s">
        <v>92</v>
      </c>
      <c r="K137" t="s">
        <v>61</v>
      </c>
    </row>
    <row r="138" spans="1:11">
      <c r="A138" s="32" t="s">
        <v>82</v>
      </c>
      <c r="B138" s="33">
        <v>1137</v>
      </c>
      <c r="C138">
        <v>9822</v>
      </c>
      <c r="D138" t="s">
        <v>60</v>
      </c>
      <c r="E138">
        <v>58.3</v>
      </c>
      <c r="F138">
        <v>98.4</v>
      </c>
      <c r="G138">
        <f t="shared" si="8"/>
        <v>40.100000000000009</v>
      </c>
      <c r="H138">
        <f t="shared" si="9"/>
        <v>8.0200000000000014</v>
      </c>
      <c r="I138" t="s">
        <v>89</v>
      </c>
      <c r="J138" t="s">
        <v>90</v>
      </c>
      <c r="K138" t="s">
        <v>63</v>
      </c>
    </row>
    <row r="139" spans="1:11">
      <c r="A139" s="32" t="s">
        <v>82</v>
      </c>
      <c r="B139" s="33">
        <v>1138</v>
      </c>
      <c r="C139">
        <v>8722</v>
      </c>
      <c r="D139" t="s">
        <v>66</v>
      </c>
      <c r="E139">
        <v>344</v>
      </c>
      <c r="F139">
        <v>502</v>
      </c>
      <c r="G139">
        <f t="shared" si="8"/>
        <v>158</v>
      </c>
      <c r="H139">
        <f t="shared" si="9"/>
        <v>31.6</v>
      </c>
      <c r="I139" t="s">
        <v>87</v>
      </c>
      <c r="J139" t="s">
        <v>88</v>
      </c>
      <c r="K139" t="s">
        <v>74</v>
      </c>
    </row>
    <row r="140" spans="1:11">
      <c r="A140" s="32" t="s">
        <v>82</v>
      </c>
      <c r="B140" s="33">
        <v>1139</v>
      </c>
      <c r="C140">
        <v>4421</v>
      </c>
      <c r="D140" t="s">
        <v>69</v>
      </c>
      <c r="E140">
        <v>45</v>
      </c>
      <c r="F140">
        <v>87</v>
      </c>
      <c r="G140">
        <f t="shared" si="8"/>
        <v>42</v>
      </c>
      <c r="H140">
        <f t="shared" si="9"/>
        <v>8.4</v>
      </c>
      <c r="I140" t="s">
        <v>91</v>
      </c>
      <c r="J140" t="s">
        <v>92</v>
      </c>
      <c r="K140" t="s">
        <v>63</v>
      </c>
    </row>
    <row r="141" spans="1:11">
      <c r="A141" s="32" t="s">
        <v>82</v>
      </c>
      <c r="B141" s="33">
        <v>1140</v>
      </c>
      <c r="C141">
        <v>4421</v>
      </c>
      <c r="D141" t="s">
        <v>69</v>
      </c>
      <c r="E141">
        <v>45</v>
      </c>
      <c r="F141">
        <v>87</v>
      </c>
      <c r="G141">
        <f t="shared" si="8"/>
        <v>42</v>
      </c>
      <c r="H141">
        <f t="shared" si="9"/>
        <v>8.4</v>
      </c>
      <c r="I141" t="s">
        <v>89</v>
      </c>
      <c r="J141" t="s">
        <v>90</v>
      </c>
      <c r="K141" t="s">
        <v>73</v>
      </c>
    </row>
    <row r="142" spans="1:11">
      <c r="A142" s="32" t="s">
        <v>82</v>
      </c>
      <c r="B142" s="33">
        <v>1141</v>
      </c>
      <c r="C142">
        <v>9212</v>
      </c>
      <c r="D142" t="s">
        <v>70</v>
      </c>
      <c r="E142">
        <v>4</v>
      </c>
      <c r="F142">
        <v>7</v>
      </c>
      <c r="G142">
        <f t="shared" si="8"/>
        <v>3</v>
      </c>
      <c r="H142">
        <f t="shared" si="9"/>
        <v>0.30000000000000004</v>
      </c>
      <c r="I142" t="s">
        <v>89</v>
      </c>
      <c r="J142" t="s">
        <v>90</v>
      </c>
      <c r="K142" t="s">
        <v>65</v>
      </c>
    </row>
    <row r="143" spans="1:11">
      <c r="A143" s="32" t="s">
        <v>83</v>
      </c>
      <c r="B143" s="33">
        <v>1142</v>
      </c>
      <c r="C143">
        <v>2242</v>
      </c>
      <c r="D143" t="s">
        <v>72</v>
      </c>
      <c r="E143">
        <v>60</v>
      </c>
      <c r="F143">
        <v>124</v>
      </c>
      <c r="G143">
        <f t="shared" si="8"/>
        <v>64</v>
      </c>
      <c r="H143">
        <f t="shared" si="9"/>
        <v>12.8</v>
      </c>
      <c r="I143" t="s">
        <v>89</v>
      </c>
      <c r="J143" t="s">
        <v>90</v>
      </c>
      <c r="K143" t="s">
        <v>73</v>
      </c>
    </row>
    <row r="144" spans="1:11">
      <c r="A144" s="32" t="s">
        <v>83</v>
      </c>
      <c r="B144" s="33">
        <v>1143</v>
      </c>
      <c r="C144">
        <v>9822</v>
      </c>
      <c r="D144" t="s">
        <v>60</v>
      </c>
      <c r="E144">
        <v>58.3</v>
      </c>
      <c r="F144">
        <v>98.4</v>
      </c>
      <c r="G144">
        <f t="shared" si="8"/>
        <v>40.100000000000009</v>
      </c>
      <c r="H144">
        <f t="shared" si="9"/>
        <v>8.0200000000000014</v>
      </c>
      <c r="I144" t="s">
        <v>93</v>
      </c>
      <c r="J144" t="s">
        <v>94</v>
      </c>
      <c r="K144" t="s">
        <v>65</v>
      </c>
    </row>
    <row r="145" spans="1:11">
      <c r="A145" s="32" t="s">
        <v>83</v>
      </c>
      <c r="B145" s="33">
        <v>1144</v>
      </c>
      <c r="C145">
        <v>2242</v>
      </c>
      <c r="D145" t="s">
        <v>72</v>
      </c>
      <c r="E145">
        <v>60</v>
      </c>
      <c r="F145">
        <v>124</v>
      </c>
      <c r="G145">
        <f t="shared" si="8"/>
        <v>64</v>
      </c>
      <c r="H145">
        <f t="shared" si="9"/>
        <v>12.8</v>
      </c>
      <c r="I145" t="s">
        <v>93</v>
      </c>
      <c r="J145" t="s">
        <v>94</v>
      </c>
      <c r="K145" t="s">
        <v>63</v>
      </c>
    </row>
    <row r="146" spans="1:11">
      <c r="A146" s="32" t="s">
        <v>83</v>
      </c>
      <c r="B146" s="33">
        <v>1145</v>
      </c>
      <c r="C146">
        <v>4421</v>
      </c>
      <c r="D146" t="s">
        <v>69</v>
      </c>
      <c r="E146">
        <v>45</v>
      </c>
      <c r="F146">
        <v>87</v>
      </c>
      <c r="G146">
        <f t="shared" si="8"/>
        <v>42</v>
      </c>
      <c r="H146">
        <f t="shared" si="9"/>
        <v>8.4</v>
      </c>
      <c r="I146" t="s">
        <v>93</v>
      </c>
      <c r="J146" t="s">
        <v>94</v>
      </c>
      <c r="K146" t="s">
        <v>61</v>
      </c>
    </row>
    <row r="147" spans="1:11">
      <c r="A147" s="32" t="s">
        <v>83</v>
      </c>
      <c r="B147" s="33">
        <v>1146</v>
      </c>
      <c r="C147">
        <v>8722</v>
      </c>
      <c r="D147" t="s">
        <v>66</v>
      </c>
      <c r="E147">
        <v>344</v>
      </c>
      <c r="F147">
        <v>502</v>
      </c>
      <c r="G147">
        <f t="shared" si="8"/>
        <v>158</v>
      </c>
      <c r="H147">
        <f t="shared" si="9"/>
        <v>31.6</v>
      </c>
      <c r="I147" t="s">
        <v>93</v>
      </c>
      <c r="J147" t="s">
        <v>94</v>
      </c>
      <c r="K147" t="s">
        <v>73</v>
      </c>
    </row>
    <row r="148" spans="1:11">
      <c r="A148" s="32" t="s">
        <v>83</v>
      </c>
      <c r="B148" s="33">
        <v>1147</v>
      </c>
      <c r="C148">
        <v>9822</v>
      </c>
      <c r="D148" t="s">
        <v>60</v>
      </c>
      <c r="E148">
        <v>58.3</v>
      </c>
      <c r="F148">
        <v>98.4</v>
      </c>
      <c r="G148">
        <f t="shared" si="8"/>
        <v>40.100000000000009</v>
      </c>
      <c r="H148">
        <f t="shared" si="9"/>
        <v>8.0200000000000014</v>
      </c>
      <c r="I148" t="s">
        <v>87</v>
      </c>
      <c r="J148" t="s">
        <v>88</v>
      </c>
      <c r="K148" t="s">
        <v>63</v>
      </c>
    </row>
    <row r="149" spans="1:11">
      <c r="A149" s="32" t="s">
        <v>83</v>
      </c>
      <c r="B149" s="33">
        <v>1148</v>
      </c>
      <c r="C149">
        <v>9212</v>
      </c>
      <c r="D149" t="s">
        <v>70</v>
      </c>
      <c r="E149">
        <v>4</v>
      </c>
      <c r="F149">
        <v>7</v>
      </c>
      <c r="G149">
        <f t="shared" si="8"/>
        <v>3</v>
      </c>
      <c r="H149">
        <f t="shared" si="9"/>
        <v>0.30000000000000004</v>
      </c>
      <c r="I149" t="s">
        <v>91</v>
      </c>
      <c r="J149" t="s">
        <v>92</v>
      </c>
      <c r="K149" t="s">
        <v>65</v>
      </c>
    </row>
    <row r="150" spans="1:11">
      <c r="A150" s="32" t="s">
        <v>83</v>
      </c>
      <c r="B150" s="33">
        <v>1149</v>
      </c>
      <c r="C150">
        <v>8722</v>
      </c>
      <c r="D150" t="s">
        <v>66</v>
      </c>
      <c r="E150">
        <v>344</v>
      </c>
      <c r="F150">
        <v>502</v>
      </c>
      <c r="G150">
        <f t="shared" si="8"/>
        <v>158</v>
      </c>
      <c r="H150">
        <f t="shared" si="9"/>
        <v>31.6</v>
      </c>
      <c r="I150" t="s">
        <v>87</v>
      </c>
      <c r="J150" t="s">
        <v>88</v>
      </c>
      <c r="K150" t="s">
        <v>65</v>
      </c>
    </row>
    <row r="151" spans="1:11">
      <c r="A151" s="32" t="s">
        <v>84</v>
      </c>
      <c r="B151" s="33">
        <v>1150</v>
      </c>
      <c r="C151">
        <v>2242</v>
      </c>
      <c r="D151" t="s">
        <v>72</v>
      </c>
      <c r="E151">
        <v>60</v>
      </c>
      <c r="F151">
        <v>124</v>
      </c>
      <c r="G151">
        <f t="shared" si="8"/>
        <v>64</v>
      </c>
      <c r="H151">
        <f t="shared" si="9"/>
        <v>12.8</v>
      </c>
      <c r="I151" t="s">
        <v>91</v>
      </c>
      <c r="J151" t="s">
        <v>92</v>
      </c>
      <c r="K151" t="s">
        <v>74</v>
      </c>
    </row>
    <row r="152" spans="1:11">
      <c r="A152" s="32" t="s">
        <v>84</v>
      </c>
      <c r="B152" s="33">
        <v>1151</v>
      </c>
      <c r="C152">
        <v>2242</v>
      </c>
      <c r="D152" t="s">
        <v>72</v>
      </c>
      <c r="E152">
        <v>60</v>
      </c>
      <c r="F152">
        <v>124</v>
      </c>
      <c r="G152">
        <f t="shared" si="8"/>
        <v>64</v>
      </c>
      <c r="H152">
        <f t="shared" si="9"/>
        <v>12.8</v>
      </c>
      <c r="I152" t="s">
        <v>89</v>
      </c>
      <c r="J152" t="s">
        <v>90</v>
      </c>
      <c r="K152" t="s">
        <v>63</v>
      </c>
    </row>
    <row r="153" spans="1:11">
      <c r="A153" s="32" t="s">
        <v>84</v>
      </c>
      <c r="B153" s="33">
        <v>1152</v>
      </c>
      <c r="C153">
        <v>4421</v>
      </c>
      <c r="D153" t="s">
        <v>69</v>
      </c>
      <c r="E153">
        <v>45</v>
      </c>
      <c r="F153">
        <v>87</v>
      </c>
      <c r="G153">
        <f t="shared" si="8"/>
        <v>42</v>
      </c>
      <c r="H153">
        <f t="shared" si="9"/>
        <v>8.4</v>
      </c>
      <c r="I153" t="s">
        <v>87</v>
      </c>
      <c r="J153" t="s">
        <v>88</v>
      </c>
      <c r="K153" t="s">
        <v>73</v>
      </c>
    </row>
    <row r="154" spans="1:11">
      <c r="A154" s="32" t="s">
        <v>84</v>
      </c>
      <c r="B154" s="33">
        <v>1153</v>
      </c>
      <c r="C154">
        <v>8722</v>
      </c>
      <c r="D154" t="s">
        <v>66</v>
      </c>
      <c r="E154">
        <v>344</v>
      </c>
      <c r="F154">
        <v>502</v>
      </c>
      <c r="G154">
        <f t="shared" si="8"/>
        <v>158</v>
      </c>
      <c r="H154">
        <f t="shared" si="9"/>
        <v>31.6</v>
      </c>
      <c r="I154" t="s">
        <v>91</v>
      </c>
      <c r="J154" t="s">
        <v>92</v>
      </c>
      <c r="K154" t="s">
        <v>65</v>
      </c>
    </row>
    <row r="155" spans="1:11">
      <c r="A155" s="32" t="s">
        <v>84</v>
      </c>
      <c r="B155" s="33">
        <v>1154</v>
      </c>
      <c r="C155">
        <v>9822</v>
      </c>
      <c r="D155" t="s">
        <v>60</v>
      </c>
      <c r="E155">
        <v>58.3</v>
      </c>
      <c r="F155">
        <v>98.4</v>
      </c>
      <c r="G155">
        <f t="shared" si="8"/>
        <v>40.100000000000009</v>
      </c>
      <c r="H155">
        <f t="shared" si="9"/>
        <v>8.0200000000000014</v>
      </c>
      <c r="I155" t="s">
        <v>89</v>
      </c>
      <c r="J155" t="s">
        <v>90</v>
      </c>
      <c r="K155" t="s">
        <v>73</v>
      </c>
    </row>
    <row r="156" spans="1:11">
      <c r="A156" s="32" t="s">
        <v>84</v>
      </c>
      <c r="B156" s="33">
        <v>1155</v>
      </c>
      <c r="C156">
        <v>4421</v>
      </c>
      <c r="D156" t="s">
        <v>69</v>
      </c>
      <c r="E156">
        <v>45</v>
      </c>
      <c r="F156">
        <v>87</v>
      </c>
      <c r="G156">
        <f t="shared" si="8"/>
        <v>42</v>
      </c>
      <c r="H156">
        <f t="shared" si="9"/>
        <v>8.4</v>
      </c>
      <c r="I156" t="s">
        <v>91</v>
      </c>
      <c r="J156" t="s">
        <v>92</v>
      </c>
      <c r="K156" t="s">
        <v>65</v>
      </c>
    </row>
    <row r="157" spans="1:11">
      <c r="A157" s="32" t="s">
        <v>84</v>
      </c>
      <c r="B157" s="33">
        <v>1156</v>
      </c>
      <c r="C157">
        <v>2242</v>
      </c>
      <c r="D157" t="s">
        <v>72</v>
      </c>
      <c r="E157">
        <v>60</v>
      </c>
      <c r="F157">
        <v>124</v>
      </c>
      <c r="G157">
        <f t="shared" si="8"/>
        <v>64</v>
      </c>
      <c r="H157">
        <f t="shared" si="9"/>
        <v>12.8</v>
      </c>
      <c r="I157" t="s">
        <v>91</v>
      </c>
      <c r="J157" t="s">
        <v>92</v>
      </c>
      <c r="K157" t="s">
        <v>63</v>
      </c>
    </row>
    <row r="158" spans="1:11">
      <c r="A158" s="32" t="s">
        <v>84</v>
      </c>
      <c r="B158" s="33">
        <v>1157</v>
      </c>
      <c r="C158">
        <v>9212</v>
      </c>
      <c r="D158" t="s">
        <v>70</v>
      </c>
      <c r="E158">
        <v>4</v>
      </c>
      <c r="F158">
        <v>7</v>
      </c>
      <c r="G158">
        <f t="shared" si="8"/>
        <v>3</v>
      </c>
      <c r="H158">
        <f t="shared" si="9"/>
        <v>0.30000000000000004</v>
      </c>
      <c r="I158" t="s">
        <v>91</v>
      </c>
      <c r="J158" t="s">
        <v>92</v>
      </c>
      <c r="K158" t="s">
        <v>61</v>
      </c>
    </row>
    <row r="159" spans="1:11">
      <c r="A159" s="32" t="s">
        <v>85</v>
      </c>
      <c r="B159" s="33">
        <v>1158</v>
      </c>
      <c r="C159">
        <v>8722</v>
      </c>
      <c r="D159" t="s">
        <v>66</v>
      </c>
      <c r="E159">
        <v>344</v>
      </c>
      <c r="F159">
        <v>502</v>
      </c>
      <c r="G159">
        <f t="shared" si="8"/>
        <v>158</v>
      </c>
      <c r="H159">
        <f t="shared" si="9"/>
        <v>31.6</v>
      </c>
      <c r="I159" t="s">
        <v>87</v>
      </c>
      <c r="J159" t="s">
        <v>88</v>
      </c>
      <c r="K159" t="s">
        <v>73</v>
      </c>
    </row>
    <row r="160" spans="1:11">
      <c r="A160" s="32" t="s">
        <v>85</v>
      </c>
      <c r="B160" s="33">
        <v>1159</v>
      </c>
      <c r="C160">
        <v>6622</v>
      </c>
      <c r="D160" t="s">
        <v>77</v>
      </c>
      <c r="E160">
        <v>42</v>
      </c>
      <c r="F160">
        <v>77</v>
      </c>
      <c r="G160">
        <f t="shared" si="8"/>
        <v>35</v>
      </c>
      <c r="H160">
        <f t="shared" si="9"/>
        <v>7</v>
      </c>
      <c r="I160" t="s">
        <v>91</v>
      </c>
      <c r="J160" t="s">
        <v>92</v>
      </c>
      <c r="K160" t="s">
        <v>63</v>
      </c>
    </row>
    <row r="161" spans="1:11">
      <c r="A161" s="32" t="s">
        <v>85</v>
      </c>
      <c r="B161" s="33">
        <v>1160</v>
      </c>
      <c r="C161">
        <v>9822</v>
      </c>
      <c r="D161" t="s">
        <v>60</v>
      </c>
      <c r="E161">
        <v>58.3</v>
      </c>
      <c r="F161">
        <v>98.4</v>
      </c>
      <c r="G161">
        <f t="shared" si="8"/>
        <v>40.100000000000009</v>
      </c>
      <c r="H161">
        <f t="shared" si="9"/>
        <v>8.0200000000000014</v>
      </c>
      <c r="I161" t="s">
        <v>93</v>
      </c>
      <c r="J161" t="s">
        <v>94</v>
      </c>
      <c r="K161" t="s">
        <v>73</v>
      </c>
    </row>
    <row r="162" spans="1:11">
      <c r="A162" s="32" t="s">
        <v>85</v>
      </c>
      <c r="B162" s="33">
        <v>1161</v>
      </c>
      <c r="C162">
        <v>4421</v>
      </c>
      <c r="D162" t="s">
        <v>69</v>
      </c>
      <c r="E162">
        <v>45</v>
      </c>
      <c r="F162">
        <v>87</v>
      </c>
      <c r="G162">
        <f t="shared" ref="G162:G193" si="10">F162-E162</f>
        <v>42</v>
      </c>
      <c r="H162">
        <f t="shared" ref="H162:H193" si="11">IF(F162&gt;50,G162*0.2,G162*0.1)</f>
        <v>8.4</v>
      </c>
      <c r="I162" t="s">
        <v>89</v>
      </c>
      <c r="J162" t="s">
        <v>90</v>
      </c>
      <c r="K162" t="s">
        <v>63</v>
      </c>
    </row>
    <row r="163" spans="1:11">
      <c r="A163" s="32" t="s">
        <v>85</v>
      </c>
      <c r="B163" s="33">
        <v>1162</v>
      </c>
      <c r="C163">
        <v>9212</v>
      </c>
      <c r="D163" t="s">
        <v>70</v>
      </c>
      <c r="E163">
        <v>4</v>
      </c>
      <c r="F163">
        <v>7</v>
      </c>
      <c r="G163">
        <f t="shared" si="10"/>
        <v>3</v>
      </c>
      <c r="H163">
        <f t="shared" si="11"/>
        <v>0.30000000000000004</v>
      </c>
      <c r="I163" t="s">
        <v>87</v>
      </c>
      <c r="J163" t="s">
        <v>88</v>
      </c>
      <c r="K163" t="s">
        <v>65</v>
      </c>
    </row>
    <row r="164" spans="1:11">
      <c r="A164" s="32" t="s">
        <v>85</v>
      </c>
      <c r="B164" s="33">
        <v>1163</v>
      </c>
      <c r="C164">
        <v>9212</v>
      </c>
      <c r="D164" t="s">
        <v>70</v>
      </c>
      <c r="E164">
        <v>4</v>
      </c>
      <c r="F164">
        <v>7</v>
      </c>
      <c r="G164">
        <f t="shared" si="10"/>
        <v>3</v>
      </c>
      <c r="H164">
        <f t="shared" si="11"/>
        <v>0.30000000000000004</v>
      </c>
      <c r="I164" t="s">
        <v>91</v>
      </c>
      <c r="J164" t="s">
        <v>92</v>
      </c>
      <c r="K164" t="s">
        <v>63</v>
      </c>
    </row>
    <row r="165" spans="1:11">
      <c r="A165" s="32" t="s">
        <v>85</v>
      </c>
      <c r="B165" s="33">
        <v>1164</v>
      </c>
      <c r="C165">
        <v>9822</v>
      </c>
      <c r="D165" t="s">
        <v>60</v>
      </c>
      <c r="E165">
        <v>58.3</v>
      </c>
      <c r="F165">
        <v>98.4</v>
      </c>
      <c r="G165">
        <f t="shared" si="10"/>
        <v>40.100000000000009</v>
      </c>
      <c r="H165">
        <f t="shared" si="11"/>
        <v>8.0200000000000014</v>
      </c>
      <c r="I165" t="s">
        <v>91</v>
      </c>
      <c r="J165" t="s">
        <v>92</v>
      </c>
      <c r="K165" t="s">
        <v>65</v>
      </c>
    </row>
    <row r="166" spans="1:11">
      <c r="A166" s="32" t="s">
        <v>85</v>
      </c>
      <c r="B166" s="33">
        <v>1165</v>
      </c>
      <c r="C166">
        <v>9822</v>
      </c>
      <c r="D166" t="s">
        <v>60</v>
      </c>
      <c r="E166">
        <v>58.3</v>
      </c>
      <c r="F166">
        <v>98.4</v>
      </c>
      <c r="G166">
        <f t="shared" si="10"/>
        <v>40.100000000000009</v>
      </c>
      <c r="H166">
        <f t="shared" si="11"/>
        <v>8.0200000000000014</v>
      </c>
      <c r="I166" t="s">
        <v>91</v>
      </c>
      <c r="J166" t="s">
        <v>92</v>
      </c>
      <c r="K166" t="s">
        <v>65</v>
      </c>
    </row>
    <row r="167" spans="1:11">
      <c r="A167" s="32" t="s">
        <v>85</v>
      </c>
      <c r="B167" s="33">
        <v>1166</v>
      </c>
      <c r="C167">
        <v>8722</v>
      </c>
      <c r="D167" t="s">
        <v>66</v>
      </c>
      <c r="E167">
        <v>344</v>
      </c>
      <c r="F167">
        <v>502</v>
      </c>
      <c r="G167">
        <f t="shared" si="10"/>
        <v>158</v>
      </c>
      <c r="H167">
        <f t="shared" si="11"/>
        <v>31.6</v>
      </c>
      <c r="I167" t="s">
        <v>91</v>
      </c>
      <c r="J167" t="s">
        <v>92</v>
      </c>
      <c r="K167" t="s">
        <v>73</v>
      </c>
    </row>
    <row r="168" spans="1:11">
      <c r="A168" s="32" t="s">
        <v>86</v>
      </c>
      <c r="B168" s="33">
        <v>1167</v>
      </c>
      <c r="C168">
        <v>2242</v>
      </c>
      <c r="D168" t="s">
        <v>72</v>
      </c>
      <c r="E168">
        <v>60</v>
      </c>
      <c r="F168">
        <v>124</v>
      </c>
      <c r="G168">
        <f t="shared" si="10"/>
        <v>64</v>
      </c>
      <c r="H168">
        <f t="shared" si="11"/>
        <v>12.8</v>
      </c>
      <c r="I168" t="s">
        <v>91</v>
      </c>
      <c r="J168" t="s">
        <v>92</v>
      </c>
      <c r="K168" t="s">
        <v>61</v>
      </c>
    </row>
    <row r="169" spans="1:11">
      <c r="A169" s="32" t="s">
        <v>86</v>
      </c>
      <c r="B169" s="33">
        <v>1168</v>
      </c>
      <c r="C169">
        <v>9822</v>
      </c>
      <c r="D169" t="s">
        <v>60</v>
      </c>
      <c r="E169">
        <v>58.3</v>
      </c>
      <c r="F169">
        <v>98.4</v>
      </c>
      <c r="G169">
        <f t="shared" si="10"/>
        <v>40.100000000000009</v>
      </c>
      <c r="H169">
        <f t="shared" si="11"/>
        <v>8.0200000000000014</v>
      </c>
      <c r="I169" t="s">
        <v>91</v>
      </c>
      <c r="J169" t="s">
        <v>92</v>
      </c>
      <c r="K169" t="s">
        <v>63</v>
      </c>
    </row>
    <row r="170" spans="1:11">
      <c r="A170" s="32" t="s">
        <v>86</v>
      </c>
      <c r="B170" s="33">
        <v>1169</v>
      </c>
      <c r="C170">
        <v>8722</v>
      </c>
      <c r="D170" t="s">
        <v>66</v>
      </c>
      <c r="E170">
        <v>344</v>
      </c>
      <c r="F170">
        <v>502</v>
      </c>
      <c r="G170">
        <f t="shared" si="10"/>
        <v>158</v>
      </c>
      <c r="H170">
        <f t="shared" si="11"/>
        <v>31.6</v>
      </c>
      <c r="I170" t="s">
        <v>91</v>
      </c>
      <c r="J170" t="s">
        <v>92</v>
      </c>
      <c r="K170" t="s">
        <v>74</v>
      </c>
    </row>
    <row r="171" spans="1:11">
      <c r="A171" s="32" t="s">
        <v>86</v>
      </c>
      <c r="B171" s="33">
        <v>1170</v>
      </c>
      <c r="C171">
        <v>4421</v>
      </c>
      <c r="D171" t="s">
        <v>69</v>
      </c>
      <c r="E171">
        <v>45</v>
      </c>
      <c r="F171">
        <v>87</v>
      </c>
      <c r="G171">
        <f t="shared" si="10"/>
        <v>42</v>
      </c>
      <c r="H171">
        <f t="shared" si="11"/>
        <v>8.4</v>
      </c>
      <c r="I171" t="s">
        <v>87</v>
      </c>
      <c r="J171" t="s">
        <v>88</v>
      </c>
      <c r="K171" t="s">
        <v>63</v>
      </c>
    </row>
    <row r="172" spans="1:11">
      <c r="A172" s="32" t="s">
        <v>86</v>
      </c>
      <c r="B172" s="33">
        <v>1171</v>
      </c>
      <c r="C172">
        <v>4421</v>
      </c>
      <c r="D172" t="s">
        <v>69</v>
      </c>
      <c r="E172">
        <v>45</v>
      </c>
      <c r="F172">
        <v>87</v>
      </c>
      <c r="G172">
        <f t="shared" si="10"/>
        <v>42</v>
      </c>
      <c r="H172">
        <f t="shared" si="11"/>
        <v>8.4</v>
      </c>
      <c r="I172" t="s">
        <v>89</v>
      </c>
      <c r="J172" t="s">
        <v>90</v>
      </c>
      <c r="K172" t="s">
        <v>73</v>
      </c>
    </row>
    <row r="176" spans="1:11">
      <c r="B176" s="48" t="s">
        <v>96</v>
      </c>
      <c r="C176" s="48"/>
      <c r="D176" s="48"/>
      <c r="E176" s="48"/>
      <c r="F176">
        <f>SUM(F2:F172)</f>
        <v>17110.599999999995</v>
      </c>
    </row>
    <row r="177" spans="2:6">
      <c r="B177" s="48" t="s">
        <v>97</v>
      </c>
      <c r="C177" s="48"/>
      <c r="D177" s="48"/>
      <c r="E177" s="48"/>
      <c r="F177">
        <f>SUMIF(F2:F172,"&gt;50")</f>
        <v>16088.399999999994</v>
      </c>
    </row>
    <row r="178" spans="2:6">
      <c r="B178" s="48" t="s">
        <v>98</v>
      </c>
      <c r="C178" s="48"/>
      <c r="D178" s="48"/>
      <c r="E178" s="48"/>
      <c r="F178">
        <f>SUMIF(F2:F172,"&lt;=50")</f>
        <v>1022.1999999999997</v>
      </c>
    </row>
  </sheetData>
  <mergeCells count="3">
    <mergeCell ref="B177:E177"/>
    <mergeCell ref="B178:E178"/>
    <mergeCell ref="B176:E1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O15" sqref="O15"/>
    </sheetView>
  </sheetViews>
  <sheetFormatPr defaultRowHeight="15"/>
  <cols>
    <col min="1" max="1" width="13.140625" bestFit="1" customWidth="1"/>
    <col min="2" max="2" width="16.28515625" bestFit="1" customWidth="1"/>
  </cols>
  <sheetData>
    <row r="3" spans="1:2">
      <c r="A3" s="34" t="s">
        <v>99</v>
      </c>
      <c r="B3" t="s">
        <v>102</v>
      </c>
    </row>
    <row r="4" spans="1:2">
      <c r="A4" s="35" t="s">
        <v>88</v>
      </c>
      <c r="B4" s="3">
        <v>6003.5</v>
      </c>
    </row>
    <row r="5" spans="1:2">
      <c r="A5" s="35" t="s">
        <v>90</v>
      </c>
      <c r="B5" s="3">
        <v>2410.7000000000003</v>
      </c>
    </row>
    <row r="6" spans="1:2">
      <c r="A6" s="35" t="s">
        <v>94</v>
      </c>
      <c r="B6" s="3">
        <v>3035.3</v>
      </c>
    </row>
    <row r="7" spans="1:2">
      <c r="A7" s="35" t="s">
        <v>92</v>
      </c>
      <c r="B7" s="3">
        <v>5661.0999999999985</v>
      </c>
    </row>
    <row r="8" spans="1:2">
      <c r="A8" s="35" t="s">
        <v>100</v>
      </c>
      <c r="B8" s="3">
        <v>17110.599999999999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3"/>
  <sheetViews>
    <sheetView topLeftCell="G1" workbookViewId="0">
      <selection activeCell="I1" sqref="I1"/>
    </sheetView>
  </sheetViews>
  <sheetFormatPr defaultRowHeight="15"/>
  <cols>
    <col min="1" max="1" width="13.5703125" bestFit="1" customWidth="1"/>
    <col min="3" max="3" width="14.85546875" bestFit="1" customWidth="1"/>
    <col min="5" max="5" width="9.85546875" bestFit="1" customWidth="1"/>
    <col min="8" max="8" width="10.42578125" bestFit="1" customWidth="1"/>
    <col min="9" max="9" width="11.5703125" style="38" bestFit="1" customWidth="1"/>
    <col min="10" max="10" width="10.42578125" style="38" bestFit="1" customWidth="1"/>
    <col min="15" max="15" width="16.85546875" bestFit="1" customWidth="1"/>
  </cols>
  <sheetData>
    <row r="1" spans="1:19" s="28" customFormat="1" ht="45">
      <c r="A1" s="28" t="s">
        <v>103</v>
      </c>
      <c r="B1" s="28" t="s">
        <v>104</v>
      </c>
      <c r="C1" s="28" t="s">
        <v>105</v>
      </c>
      <c r="D1" s="28" t="s">
        <v>106</v>
      </c>
      <c r="E1" s="28" t="s">
        <v>107</v>
      </c>
      <c r="F1" s="28" t="s">
        <v>108</v>
      </c>
      <c r="G1" s="28" t="s">
        <v>224</v>
      </c>
      <c r="H1" s="28" t="s">
        <v>109</v>
      </c>
      <c r="I1" s="37" t="s">
        <v>110</v>
      </c>
      <c r="J1" s="37" t="s">
        <v>111</v>
      </c>
      <c r="K1" s="28" t="s">
        <v>112</v>
      </c>
      <c r="L1" s="28" t="s">
        <v>113</v>
      </c>
      <c r="M1" s="28" t="s">
        <v>114</v>
      </c>
      <c r="N1" s="28" t="s">
        <v>115</v>
      </c>
      <c r="O1" s="28" t="s">
        <v>116</v>
      </c>
    </row>
    <row r="2" spans="1:19">
      <c r="A2" t="s">
        <v>151</v>
      </c>
      <c r="B2" t="str">
        <f t="shared" ref="B2:B33" si="0">LEFT(A2,2)</f>
        <v>TY</v>
      </c>
      <c r="C2" t="str">
        <f t="shared" ref="C2:C33" si="1">VLOOKUP(B2,R:S,2,0)</f>
        <v>Toyota</v>
      </c>
      <c r="D2" t="str">
        <f t="shared" ref="D2:D12" si="2">MID(A2,5,3)</f>
        <v>CAM</v>
      </c>
      <c r="E2" t="str">
        <f t="shared" ref="E2:E33" si="3">VLOOKUP(D2,R$10:S$20,2,0)</f>
        <v>Camrey</v>
      </c>
      <c r="F2" t="str">
        <f t="shared" ref="F2:F33" si="4">MID(A2,3,2)</f>
        <v>96</v>
      </c>
      <c r="G2" t="str">
        <f t="shared" ref="G2:G33" si="5">IF(VALUE(F2)&gt;90,CONCATENATE(19,TEXT(F2,"00")),CONCATENATE(20,TEXT(F2,"00")))</f>
        <v>1996</v>
      </c>
      <c r="H2" s="36" t="str">
        <f t="shared" ref="H2:H33" ca="1" si="6">TEXT(YEAR(TODAY()) - G2,"0")</f>
        <v>27</v>
      </c>
      <c r="I2" s="38">
        <v>114660.6</v>
      </c>
      <c r="J2" s="38">
        <f t="shared" ref="J2:J33" ca="1" si="7">I2/H2</f>
        <v>4246.6888888888889</v>
      </c>
      <c r="K2" t="s">
        <v>123</v>
      </c>
      <c r="L2" t="s">
        <v>152</v>
      </c>
      <c r="M2">
        <v>100000</v>
      </c>
      <c r="N2" t="str">
        <f t="shared" ref="N2:N33" si="8">IF(I2&lt;=M2,"Yes","No")</f>
        <v>No</v>
      </c>
      <c r="O2" t="str">
        <f t="shared" ref="O2:O33" si="9">CONCATENATE(LEFT(A2,7),UPPER(LEFT(K2,3)),RIGHT(A2,3))</f>
        <v>TY96CAMGRE020</v>
      </c>
      <c r="Q2" t="str">
        <f>LEFT(P2,2)</f>
        <v/>
      </c>
      <c r="R2" t="s">
        <v>187</v>
      </c>
      <c r="S2" t="s">
        <v>193</v>
      </c>
    </row>
    <row r="3" spans="1:19">
      <c r="A3" t="s">
        <v>153</v>
      </c>
      <c r="B3" t="str">
        <f t="shared" si="0"/>
        <v>TY</v>
      </c>
      <c r="C3" t="str">
        <f t="shared" si="1"/>
        <v>Toyota</v>
      </c>
      <c r="D3" t="str">
        <f t="shared" si="2"/>
        <v>CAM</v>
      </c>
      <c r="E3" t="str">
        <f t="shared" si="3"/>
        <v>Camrey</v>
      </c>
      <c r="F3" t="str">
        <f t="shared" si="4"/>
        <v>98</v>
      </c>
      <c r="G3" t="str">
        <f t="shared" si="5"/>
        <v>1998</v>
      </c>
      <c r="H3" s="36" t="str">
        <f t="shared" ca="1" si="6"/>
        <v>25</v>
      </c>
      <c r="I3" s="38">
        <v>93382.6</v>
      </c>
      <c r="J3" s="38">
        <f t="shared" ca="1" si="7"/>
        <v>3735.3040000000001</v>
      </c>
      <c r="K3" t="s">
        <v>118</v>
      </c>
      <c r="L3" t="s">
        <v>154</v>
      </c>
      <c r="M3">
        <v>100000</v>
      </c>
      <c r="N3" t="str">
        <f t="shared" si="8"/>
        <v>Yes</v>
      </c>
      <c r="O3" t="str">
        <f t="shared" si="9"/>
        <v>TY98CAMBLA021</v>
      </c>
      <c r="Q3" t="str">
        <f t="shared" ref="Q3:Q53" si="10">LEFT(P3,2)</f>
        <v/>
      </c>
      <c r="R3" t="s">
        <v>188</v>
      </c>
      <c r="S3" t="s">
        <v>194</v>
      </c>
    </row>
    <row r="4" spans="1:19">
      <c r="A4" t="s">
        <v>155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Camrey</v>
      </c>
      <c r="F4" t="str">
        <f t="shared" si="4"/>
        <v>00</v>
      </c>
      <c r="G4" t="str">
        <f t="shared" si="5"/>
        <v>2000</v>
      </c>
      <c r="H4" s="36" t="str">
        <f t="shared" ca="1" si="6"/>
        <v>23</v>
      </c>
      <c r="I4" s="38">
        <v>85928</v>
      </c>
      <c r="J4" s="38">
        <f t="shared" ca="1" si="7"/>
        <v>3736</v>
      </c>
      <c r="K4" t="s">
        <v>123</v>
      </c>
      <c r="L4" t="s">
        <v>128</v>
      </c>
      <c r="M4">
        <v>100000</v>
      </c>
      <c r="N4" t="str">
        <f t="shared" si="8"/>
        <v>Yes</v>
      </c>
      <c r="O4" t="str">
        <f t="shared" si="9"/>
        <v>TY00CAMGRE022</v>
      </c>
      <c r="Q4" t="str">
        <f t="shared" si="10"/>
        <v/>
      </c>
      <c r="R4" t="s">
        <v>189</v>
      </c>
      <c r="S4" t="s">
        <v>195</v>
      </c>
    </row>
    <row r="5" spans="1:19">
      <c r="A5" t="s">
        <v>148</v>
      </c>
      <c r="B5" t="str">
        <f t="shared" si="0"/>
        <v>GM</v>
      </c>
      <c r="C5" t="str">
        <f t="shared" si="1"/>
        <v>General Motors</v>
      </c>
      <c r="D5" t="str">
        <f t="shared" si="2"/>
        <v>SLV</v>
      </c>
      <c r="E5" t="str">
        <f t="shared" si="3"/>
        <v>Silverado</v>
      </c>
      <c r="F5" t="str">
        <f t="shared" si="4"/>
        <v>98</v>
      </c>
      <c r="G5" t="str">
        <f t="shared" si="5"/>
        <v>1998</v>
      </c>
      <c r="H5" s="36" t="str">
        <f t="shared" ca="1" si="6"/>
        <v>25</v>
      </c>
      <c r="I5" s="38">
        <v>83162.7</v>
      </c>
      <c r="J5" s="38">
        <f t="shared" ca="1" si="7"/>
        <v>3326.5079999999998</v>
      </c>
      <c r="K5" t="s">
        <v>118</v>
      </c>
      <c r="L5" t="s">
        <v>141</v>
      </c>
      <c r="M5">
        <v>100000</v>
      </c>
      <c r="N5" t="str">
        <f t="shared" si="8"/>
        <v>Yes</v>
      </c>
      <c r="O5" t="str">
        <f t="shared" si="9"/>
        <v>GM98SLVBLA018</v>
      </c>
      <c r="Q5" t="str">
        <f t="shared" si="10"/>
        <v/>
      </c>
      <c r="R5" t="s">
        <v>190</v>
      </c>
      <c r="S5" t="s">
        <v>196</v>
      </c>
    </row>
    <row r="6" spans="1:19">
      <c r="A6" t="s">
        <v>165</v>
      </c>
      <c r="B6" t="str">
        <f t="shared" si="0"/>
        <v>HO</v>
      </c>
      <c r="C6" t="str">
        <f t="shared" si="1"/>
        <v>Honda</v>
      </c>
      <c r="D6" t="str">
        <f t="shared" si="2"/>
        <v>CIV</v>
      </c>
      <c r="E6" t="str">
        <f t="shared" si="3"/>
        <v>Civic</v>
      </c>
      <c r="F6" t="str">
        <f t="shared" si="4"/>
        <v>99</v>
      </c>
      <c r="G6" t="str">
        <f t="shared" si="5"/>
        <v>1999</v>
      </c>
      <c r="H6" s="36" t="str">
        <f t="shared" ca="1" si="6"/>
        <v>24</v>
      </c>
      <c r="I6" s="38">
        <v>82374</v>
      </c>
      <c r="J6" s="38">
        <f t="shared" ca="1" si="7"/>
        <v>3432.25</v>
      </c>
      <c r="K6" t="s">
        <v>120</v>
      </c>
      <c r="L6" t="s">
        <v>140</v>
      </c>
      <c r="M6">
        <v>75000</v>
      </c>
      <c r="N6" t="str">
        <f t="shared" si="8"/>
        <v>No</v>
      </c>
      <c r="O6" t="str">
        <f t="shared" si="9"/>
        <v>HO99CIVWHI030</v>
      </c>
      <c r="Q6" t="str">
        <f t="shared" si="10"/>
        <v/>
      </c>
      <c r="R6" t="s">
        <v>191</v>
      </c>
      <c r="S6" t="s">
        <v>197</v>
      </c>
    </row>
    <row r="7" spans="1:19">
      <c r="A7" t="s">
        <v>149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 t="str">
        <f t="shared" si="5"/>
        <v>2000</v>
      </c>
      <c r="H7" s="36" t="str">
        <f t="shared" ca="1" si="6"/>
        <v>23</v>
      </c>
      <c r="I7" s="38">
        <v>80685.8</v>
      </c>
      <c r="J7" s="38">
        <f t="shared" ca="1" si="7"/>
        <v>3508.0782608695654</v>
      </c>
      <c r="K7" t="s">
        <v>150</v>
      </c>
      <c r="L7" t="s">
        <v>138</v>
      </c>
      <c r="M7">
        <v>100000</v>
      </c>
      <c r="N7" t="str">
        <f t="shared" si="8"/>
        <v>Yes</v>
      </c>
      <c r="O7" t="str">
        <f t="shared" si="9"/>
        <v>GM00SLVBLU019</v>
      </c>
      <c r="Q7" t="str">
        <f t="shared" si="10"/>
        <v/>
      </c>
      <c r="R7" t="s">
        <v>192</v>
      </c>
      <c r="S7" t="s">
        <v>198</v>
      </c>
    </row>
    <row r="8" spans="1:19">
      <c r="A8" t="s">
        <v>179</v>
      </c>
      <c r="B8" t="str">
        <f t="shared" si="0"/>
        <v>CR</v>
      </c>
      <c r="C8" t="str">
        <f t="shared" si="1"/>
        <v>Crystler</v>
      </c>
      <c r="D8" t="str">
        <f t="shared" si="2"/>
        <v>CAR</v>
      </c>
      <c r="E8" t="str">
        <f t="shared" si="3"/>
        <v>Caravan</v>
      </c>
      <c r="F8" t="str">
        <f t="shared" si="4"/>
        <v>99</v>
      </c>
      <c r="G8" t="str">
        <f t="shared" si="5"/>
        <v>1999</v>
      </c>
      <c r="H8" s="36" t="str">
        <f t="shared" ca="1" si="6"/>
        <v>24</v>
      </c>
      <c r="I8" s="38">
        <v>79420.600000000006</v>
      </c>
      <c r="J8" s="38">
        <f t="shared" ca="1" si="7"/>
        <v>3309.1916666666671</v>
      </c>
      <c r="K8" t="s">
        <v>123</v>
      </c>
      <c r="L8" t="s">
        <v>147</v>
      </c>
      <c r="M8">
        <v>75000</v>
      </c>
      <c r="N8" t="str">
        <f t="shared" si="8"/>
        <v>No</v>
      </c>
      <c r="O8" t="str">
        <f t="shared" si="9"/>
        <v>CR99CARGRE045</v>
      </c>
      <c r="Q8" t="str">
        <f t="shared" si="10"/>
        <v/>
      </c>
    </row>
    <row r="9" spans="1:19">
      <c r="A9" t="s">
        <v>180</v>
      </c>
      <c r="B9" t="str">
        <f t="shared" si="0"/>
        <v>CR</v>
      </c>
      <c r="C9" t="str">
        <f t="shared" si="1"/>
        <v>Crystler</v>
      </c>
      <c r="D9" t="str">
        <f t="shared" si="2"/>
        <v>CAR</v>
      </c>
      <c r="E9" t="str">
        <f t="shared" si="3"/>
        <v>Caravan</v>
      </c>
      <c r="F9" t="str">
        <f t="shared" si="4"/>
        <v>00</v>
      </c>
      <c r="G9" t="str">
        <f t="shared" si="5"/>
        <v>2000</v>
      </c>
      <c r="H9" s="36" t="str">
        <f t="shared" ca="1" si="6"/>
        <v>23</v>
      </c>
      <c r="I9" s="38">
        <v>77243.100000000006</v>
      </c>
      <c r="J9" s="38">
        <f t="shared" ca="1" si="7"/>
        <v>3358.3956521739133</v>
      </c>
      <c r="K9" t="s">
        <v>118</v>
      </c>
      <c r="L9" t="s">
        <v>126</v>
      </c>
      <c r="M9">
        <v>75000</v>
      </c>
      <c r="N9" t="str">
        <f t="shared" si="8"/>
        <v>No</v>
      </c>
      <c r="O9" t="str">
        <f t="shared" si="9"/>
        <v>CR00CARBLA046</v>
      </c>
      <c r="Q9" t="str">
        <f t="shared" si="10"/>
        <v/>
      </c>
    </row>
    <row r="10" spans="1:19">
      <c r="A10" t="s">
        <v>161</v>
      </c>
      <c r="B10" t="str">
        <f t="shared" si="0"/>
        <v>TY</v>
      </c>
      <c r="C10" t="str">
        <f t="shared" si="1"/>
        <v>Toyota</v>
      </c>
      <c r="D10" t="str">
        <f t="shared" si="2"/>
        <v>COR</v>
      </c>
      <c r="E10" t="str">
        <f t="shared" si="3"/>
        <v>Corola</v>
      </c>
      <c r="F10" t="str">
        <f t="shared" si="4"/>
        <v>03</v>
      </c>
      <c r="G10" t="str">
        <f t="shared" si="5"/>
        <v>2003</v>
      </c>
      <c r="H10" s="36" t="str">
        <f t="shared" ca="1" si="6"/>
        <v>20</v>
      </c>
      <c r="I10" s="38">
        <v>73444.399999999994</v>
      </c>
      <c r="J10" s="38">
        <f t="shared" ca="1" si="7"/>
        <v>3672.22</v>
      </c>
      <c r="K10" t="s">
        <v>118</v>
      </c>
      <c r="L10" t="s">
        <v>160</v>
      </c>
      <c r="M10">
        <v>100000</v>
      </c>
      <c r="N10" t="str">
        <f t="shared" si="8"/>
        <v>Yes</v>
      </c>
      <c r="O10" t="str">
        <f t="shared" si="9"/>
        <v>TY03CORBLA026</v>
      </c>
      <c r="Q10" t="str">
        <f t="shared" si="10"/>
        <v/>
      </c>
      <c r="R10" t="s">
        <v>199</v>
      </c>
      <c r="S10" t="s">
        <v>210</v>
      </c>
    </row>
    <row r="11" spans="1:19">
      <c r="A11" t="s">
        <v>181</v>
      </c>
      <c r="B11" t="str">
        <f t="shared" si="0"/>
        <v>CR</v>
      </c>
      <c r="C11" t="str">
        <f t="shared" si="1"/>
        <v>Crystler</v>
      </c>
      <c r="D11" t="str">
        <f t="shared" si="2"/>
        <v>CAR</v>
      </c>
      <c r="E11" t="str">
        <f t="shared" si="3"/>
        <v>Caravan</v>
      </c>
      <c r="F11" t="str">
        <f t="shared" si="4"/>
        <v>04</v>
      </c>
      <c r="G11" t="str">
        <f t="shared" si="5"/>
        <v>2004</v>
      </c>
      <c r="H11" s="36" t="str">
        <f t="shared" ca="1" si="6"/>
        <v>19</v>
      </c>
      <c r="I11" s="38">
        <v>72527.199999999997</v>
      </c>
      <c r="J11" s="38">
        <f t="shared" ca="1" si="7"/>
        <v>3817.2210526315789</v>
      </c>
      <c r="K11" t="s">
        <v>120</v>
      </c>
      <c r="L11" t="s">
        <v>143</v>
      </c>
      <c r="M11">
        <v>75000</v>
      </c>
      <c r="N11" t="str">
        <f t="shared" si="8"/>
        <v>Yes</v>
      </c>
      <c r="O11" t="str">
        <f t="shared" si="9"/>
        <v>CR04CARWHI047</v>
      </c>
      <c r="Q11" t="str">
        <f t="shared" si="10"/>
        <v/>
      </c>
      <c r="R11" t="s">
        <v>200</v>
      </c>
      <c r="S11" t="s">
        <v>212</v>
      </c>
    </row>
    <row r="12" spans="1:19">
      <c r="A12" t="s">
        <v>166</v>
      </c>
      <c r="B12" t="str">
        <f t="shared" si="0"/>
        <v>HO</v>
      </c>
      <c r="C12" t="str">
        <f t="shared" si="1"/>
        <v>Honda</v>
      </c>
      <c r="D12" t="str">
        <f t="shared" si="2"/>
        <v>CIV</v>
      </c>
      <c r="E12" t="str">
        <f t="shared" si="3"/>
        <v>Civic</v>
      </c>
      <c r="F12" t="str">
        <f t="shared" si="4"/>
        <v>01</v>
      </c>
      <c r="G12" t="str">
        <f t="shared" si="5"/>
        <v>2001</v>
      </c>
      <c r="H12" s="36" t="str">
        <f t="shared" ca="1" si="6"/>
        <v>22</v>
      </c>
      <c r="I12" s="38">
        <v>69891.899999999994</v>
      </c>
      <c r="J12" s="38">
        <f t="shared" ca="1" si="7"/>
        <v>3176.9045454545453</v>
      </c>
      <c r="K12" t="s">
        <v>150</v>
      </c>
      <c r="L12" t="s">
        <v>126</v>
      </c>
      <c r="M12">
        <v>75000</v>
      </c>
      <c r="N12" t="str">
        <f t="shared" si="8"/>
        <v>Yes</v>
      </c>
      <c r="O12" t="str">
        <f t="shared" si="9"/>
        <v>HO01CIVBLU031</v>
      </c>
      <c r="Q12" t="str">
        <f t="shared" si="10"/>
        <v/>
      </c>
      <c r="R12" t="s">
        <v>201</v>
      </c>
      <c r="S12" t="s">
        <v>214</v>
      </c>
    </row>
    <row r="13" spans="1:19">
      <c r="A13" t="s">
        <v>174</v>
      </c>
      <c r="B13" t="str">
        <f t="shared" si="0"/>
        <v>HO</v>
      </c>
      <c r="C13" t="str">
        <f t="shared" si="1"/>
        <v>Honda</v>
      </c>
      <c r="D13" t="s">
        <v>206</v>
      </c>
      <c r="E13" t="str">
        <f t="shared" si="3"/>
        <v>Odyssey</v>
      </c>
      <c r="F13" t="str">
        <f t="shared" si="4"/>
        <v>01</v>
      </c>
      <c r="G13" t="str">
        <f t="shared" si="5"/>
        <v>2001</v>
      </c>
      <c r="H13" s="36" t="str">
        <f t="shared" ca="1" si="6"/>
        <v>22</v>
      </c>
      <c r="I13" s="38">
        <v>68658.899999999994</v>
      </c>
      <c r="J13" s="38">
        <f t="shared" ca="1" si="7"/>
        <v>3120.8590909090908</v>
      </c>
      <c r="K13" t="s">
        <v>118</v>
      </c>
      <c r="L13" t="s">
        <v>92</v>
      </c>
      <c r="M13">
        <v>100000</v>
      </c>
      <c r="N13" t="str">
        <f t="shared" si="8"/>
        <v>Yes</v>
      </c>
      <c r="O13" t="str">
        <f t="shared" si="9"/>
        <v>HO010ODBLA040</v>
      </c>
      <c r="Q13" t="str">
        <f t="shared" si="10"/>
        <v/>
      </c>
      <c r="R13" t="s">
        <v>202</v>
      </c>
      <c r="S13" t="s">
        <v>213</v>
      </c>
    </row>
    <row r="14" spans="1:19">
      <c r="A14" t="s">
        <v>156</v>
      </c>
      <c r="B14" t="str">
        <f t="shared" si="0"/>
        <v>TY</v>
      </c>
      <c r="C14" t="str">
        <f t="shared" si="1"/>
        <v>Toyota</v>
      </c>
      <c r="D14" t="str">
        <f t="shared" ref="D14:D53" si="11">MID(A14,5,3)</f>
        <v>CAM</v>
      </c>
      <c r="E14" t="str">
        <f t="shared" si="3"/>
        <v>Camrey</v>
      </c>
      <c r="F14" t="str">
        <f t="shared" si="4"/>
        <v>02</v>
      </c>
      <c r="G14" t="str">
        <f t="shared" si="5"/>
        <v>2002</v>
      </c>
      <c r="H14" s="36" t="str">
        <f t="shared" ca="1" si="6"/>
        <v>21</v>
      </c>
      <c r="I14" s="38">
        <v>67829.100000000006</v>
      </c>
      <c r="J14" s="38">
        <f t="shared" ca="1" si="7"/>
        <v>3229.957142857143</v>
      </c>
      <c r="K14" t="s">
        <v>118</v>
      </c>
      <c r="L14" t="s">
        <v>92</v>
      </c>
      <c r="M14">
        <v>100000</v>
      </c>
      <c r="N14" t="str">
        <f t="shared" si="8"/>
        <v>Yes</v>
      </c>
      <c r="O14" t="str">
        <f t="shared" si="9"/>
        <v>TY02CAMBLA023</v>
      </c>
      <c r="Q14" t="str">
        <f t="shared" si="10"/>
        <v/>
      </c>
      <c r="R14" t="s">
        <v>203</v>
      </c>
      <c r="S14" t="s">
        <v>211</v>
      </c>
    </row>
    <row r="15" spans="1:19">
      <c r="A15" t="s">
        <v>176</v>
      </c>
      <c r="B15" t="str">
        <f t="shared" si="0"/>
        <v>CR</v>
      </c>
      <c r="C15" t="str">
        <f t="shared" si="1"/>
        <v>Crystler</v>
      </c>
      <c r="D15" t="str">
        <f t="shared" si="11"/>
        <v>PTC</v>
      </c>
      <c r="E15" t="str">
        <f t="shared" si="3"/>
        <v>PT Cruiser</v>
      </c>
      <c r="F15" t="str">
        <f t="shared" si="4"/>
        <v>04</v>
      </c>
      <c r="G15" t="str">
        <f t="shared" si="5"/>
        <v>2004</v>
      </c>
      <c r="H15" s="36" t="str">
        <f t="shared" ca="1" si="6"/>
        <v>19</v>
      </c>
      <c r="I15" s="38">
        <v>64542</v>
      </c>
      <c r="J15" s="38">
        <f t="shared" ca="1" si="7"/>
        <v>3396.9473684210525</v>
      </c>
      <c r="K15" t="s">
        <v>150</v>
      </c>
      <c r="L15" t="s">
        <v>92</v>
      </c>
      <c r="M15">
        <v>75000</v>
      </c>
      <c r="N15" t="str">
        <f t="shared" si="8"/>
        <v>Yes</v>
      </c>
      <c r="O15" t="str">
        <f t="shared" si="9"/>
        <v>CR04PTCBLU042</v>
      </c>
      <c r="Q15" t="str">
        <f t="shared" si="10"/>
        <v/>
      </c>
      <c r="R15" t="s">
        <v>204</v>
      </c>
      <c r="S15" t="s">
        <v>219</v>
      </c>
    </row>
    <row r="16" spans="1:19">
      <c r="A16" t="s">
        <v>158</v>
      </c>
      <c r="B16" t="str">
        <f t="shared" si="0"/>
        <v>TY</v>
      </c>
      <c r="C16" t="str">
        <f t="shared" si="1"/>
        <v>Toyota</v>
      </c>
      <c r="D16" t="str">
        <f t="shared" si="11"/>
        <v>COR</v>
      </c>
      <c r="E16" t="str">
        <f t="shared" si="3"/>
        <v>Corola</v>
      </c>
      <c r="F16" t="str">
        <f t="shared" si="4"/>
        <v>02</v>
      </c>
      <c r="G16" t="str">
        <f t="shared" si="5"/>
        <v>2002</v>
      </c>
      <c r="H16" s="36" t="str">
        <f t="shared" ca="1" si="6"/>
        <v>21</v>
      </c>
      <c r="I16" s="38">
        <v>64467.4</v>
      </c>
      <c r="J16" s="38">
        <f t="shared" ca="1" si="7"/>
        <v>3069.8761904761905</v>
      </c>
      <c r="K16" t="s">
        <v>159</v>
      </c>
      <c r="L16" t="s">
        <v>160</v>
      </c>
      <c r="M16">
        <v>100000</v>
      </c>
      <c r="N16" t="str">
        <f t="shared" si="8"/>
        <v>Yes</v>
      </c>
      <c r="O16" t="str">
        <f t="shared" si="9"/>
        <v>TY02CORRED025</v>
      </c>
      <c r="Q16" t="str">
        <f t="shared" si="10"/>
        <v/>
      </c>
      <c r="R16" t="s">
        <v>205</v>
      </c>
      <c r="S16" t="s">
        <v>218</v>
      </c>
    </row>
    <row r="17" spans="1:19">
      <c r="A17" t="s">
        <v>223</v>
      </c>
      <c r="B17" t="str">
        <f t="shared" si="0"/>
        <v>HO</v>
      </c>
      <c r="C17" t="str">
        <f t="shared" si="1"/>
        <v>Honda</v>
      </c>
      <c r="D17" t="str">
        <f t="shared" si="11"/>
        <v>ODY</v>
      </c>
      <c r="E17" t="str">
        <f t="shared" si="3"/>
        <v>Odyssey</v>
      </c>
      <c r="F17" t="str">
        <f t="shared" si="4"/>
        <v>05</v>
      </c>
      <c r="G17" t="str">
        <f t="shared" si="5"/>
        <v>2005</v>
      </c>
      <c r="H17" s="36" t="str">
        <f t="shared" ca="1" si="6"/>
        <v>18</v>
      </c>
      <c r="I17" s="38">
        <v>60389.5</v>
      </c>
      <c r="J17" s="38">
        <f t="shared" ca="1" si="7"/>
        <v>3354.9722222222222</v>
      </c>
      <c r="K17" t="s">
        <v>120</v>
      </c>
      <c r="L17" t="s">
        <v>131</v>
      </c>
      <c r="M17">
        <v>100000</v>
      </c>
      <c r="N17" t="str">
        <f t="shared" si="8"/>
        <v>Yes</v>
      </c>
      <c r="O17" t="str">
        <f t="shared" si="9"/>
        <v>HO05ODYWHI037</v>
      </c>
      <c r="Q17" t="str">
        <f t="shared" si="10"/>
        <v/>
      </c>
      <c r="R17" t="s">
        <v>206</v>
      </c>
      <c r="S17" t="s">
        <v>220</v>
      </c>
    </row>
    <row r="18" spans="1:19">
      <c r="A18" t="s">
        <v>182</v>
      </c>
      <c r="B18" t="str">
        <f t="shared" si="0"/>
        <v>CR</v>
      </c>
      <c r="C18" t="str">
        <f t="shared" si="1"/>
        <v>Crystler</v>
      </c>
      <c r="D18" t="str">
        <f t="shared" si="11"/>
        <v>CAR</v>
      </c>
      <c r="E18" t="str">
        <f t="shared" si="3"/>
        <v>Caravan</v>
      </c>
      <c r="F18" t="str">
        <f t="shared" si="4"/>
        <v>04</v>
      </c>
      <c r="G18" t="str">
        <f t="shared" si="5"/>
        <v>2004</v>
      </c>
      <c r="H18" s="36" t="str">
        <f t="shared" ca="1" si="6"/>
        <v>19</v>
      </c>
      <c r="I18" s="38">
        <v>52699.4</v>
      </c>
      <c r="J18" s="38">
        <f t="shared" ca="1" si="7"/>
        <v>2773.6526315789474</v>
      </c>
      <c r="K18" t="s">
        <v>159</v>
      </c>
      <c r="L18" t="s">
        <v>143</v>
      </c>
      <c r="M18">
        <v>75000</v>
      </c>
      <c r="N18" t="str">
        <f t="shared" si="8"/>
        <v>Yes</v>
      </c>
      <c r="O18" t="str">
        <f t="shared" si="9"/>
        <v>CR04CARRED048</v>
      </c>
      <c r="Q18" t="str">
        <f t="shared" si="10"/>
        <v/>
      </c>
      <c r="R18" t="s">
        <v>207</v>
      </c>
      <c r="S18" t="s">
        <v>217</v>
      </c>
    </row>
    <row r="19" spans="1:19">
      <c r="A19" t="s">
        <v>129</v>
      </c>
      <c r="B19" t="str">
        <f t="shared" si="0"/>
        <v>FD</v>
      </c>
      <c r="C19" t="str">
        <f t="shared" si="1"/>
        <v>Ford</v>
      </c>
      <c r="D19" t="str">
        <f t="shared" si="11"/>
        <v>FCS</v>
      </c>
      <c r="E19" t="str">
        <f t="shared" si="3"/>
        <v>Focus</v>
      </c>
      <c r="F19" t="str">
        <f t="shared" si="4"/>
        <v>06</v>
      </c>
      <c r="G19" t="str">
        <f t="shared" si="5"/>
        <v>2006</v>
      </c>
      <c r="H19" s="36" t="str">
        <f t="shared" ca="1" si="6"/>
        <v>17</v>
      </c>
      <c r="I19" s="38">
        <v>52229.5</v>
      </c>
      <c r="J19" s="38">
        <f t="shared" ca="1" si="7"/>
        <v>3072.3235294117649</v>
      </c>
      <c r="K19" t="s">
        <v>123</v>
      </c>
      <c r="L19" t="s">
        <v>124</v>
      </c>
      <c r="M19">
        <v>75000</v>
      </c>
      <c r="N19" t="str">
        <f t="shared" si="8"/>
        <v>Yes</v>
      </c>
      <c r="O19" t="str">
        <f t="shared" si="9"/>
        <v>FD06FCSGRE007</v>
      </c>
      <c r="Q19" t="str">
        <f t="shared" si="10"/>
        <v/>
      </c>
      <c r="R19" t="s">
        <v>208</v>
      </c>
      <c r="S19" t="s">
        <v>216</v>
      </c>
    </row>
    <row r="20" spans="1:19">
      <c r="A20" t="s">
        <v>172</v>
      </c>
      <c r="B20" t="str">
        <f t="shared" si="0"/>
        <v>HO</v>
      </c>
      <c r="C20" t="str">
        <f t="shared" si="1"/>
        <v>Honda</v>
      </c>
      <c r="D20" t="str">
        <f t="shared" si="11"/>
        <v>ODY</v>
      </c>
      <c r="E20" t="str">
        <f t="shared" si="3"/>
        <v>Odyssey</v>
      </c>
      <c r="F20" t="str">
        <f t="shared" si="4"/>
        <v>07</v>
      </c>
      <c r="G20" t="str">
        <f t="shared" si="5"/>
        <v>2007</v>
      </c>
      <c r="H20" s="36" t="str">
        <f t="shared" ca="1" si="6"/>
        <v>16</v>
      </c>
      <c r="I20" s="38">
        <v>50854.1</v>
      </c>
      <c r="J20" s="38">
        <f t="shared" ca="1" si="7"/>
        <v>3178.3812499999999</v>
      </c>
      <c r="K20" t="s">
        <v>118</v>
      </c>
      <c r="L20" t="s">
        <v>154</v>
      </c>
      <c r="M20">
        <v>100000</v>
      </c>
      <c r="N20" t="str">
        <f t="shared" si="8"/>
        <v>Yes</v>
      </c>
      <c r="O20" t="str">
        <f t="shared" si="9"/>
        <v>HO07ODYBLA038</v>
      </c>
      <c r="Q20" t="str">
        <f t="shared" si="10"/>
        <v/>
      </c>
      <c r="R20" t="s">
        <v>209</v>
      </c>
      <c r="S20" t="s">
        <v>215</v>
      </c>
    </row>
    <row r="21" spans="1:19">
      <c r="A21" t="s">
        <v>157</v>
      </c>
      <c r="B21" t="str">
        <f t="shared" si="0"/>
        <v>TY</v>
      </c>
      <c r="C21" t="str">
        <f t="shared" si="1"/>
        <v>Toyota</v>
      </c>
      <c r="D21" t="str">
        <f t="shared" si="11"/>
        <v>CAM</v>
      </c>
      <c r="E21" t="str">
        <f t="shared" si="3"/>
        <v>Camrey</v>
      </c>
      <c r="F21" t="str">
        <f t="shared" si="4"/>
        <v>09</v>
      </c>
      <c r="G21" t="str">
        <f t="shared" si="5"/>
        <v>2009</v>
      </c>
      <c r="H21" s="36" t="str">
        <f t="shared" ca="1" si="6"/>
        <v>14</v>
      </c>
      <c r="I21" s="38">
        <v>48114.2</v>
      </c>
      <c r="J21" s="38">
        <f t="shared" ca="1" si="7"/>
        <v>3436.7285714285713</v>
      </c>
      <c r="K21" t="s">
        <v>120</v>
      </c>
      <c r="L21" t="s">
        <v>131</v>
      </c>
      <c r="M21">
        <v>100000</v>
      </c>
      <c r="N21" t="str">
        <f t="shared" si="8"/>
        <v>Yes</v>
      </c>
      <c r="O21" t="str">
        <f t="shared" si="9"/>
        <v>TY09CAMWHI024</v>
      </c>
      <c r="Q21" t="str">
        <f t="shared" si="10"/>
        <v/>
      </c>
    </row>
    <row r="22" spans="1:19">
      <c r="A22" t="s">
        <v>222</v>
      </c>
      <c r="B22" t="str">
        <f t="shared" si="0"/>
        <v>FD</v>
      </c>
      <c r="C22" t="str">
        <f t="shared" si="1"/>
        <v>Ford</v>
      </c>
      <c r="D22" t="str">
        <f t="shared" si="11"/>
        <v>FCS</v>
      </c>
      <c r="E22" t="str">
        <f t="shared" si="3"/>
        <v>Focus</v>
      </c>
      <c r="F22" t="str">
        <f t="shared" si="4"/>
        <v>06</v>
      </c>
      <c r="G22" t="str">
        <f t="shared" si="5"/>
        <v>2006</v>
      </c>
      <c r="H22" s="36" t="str">
        <f t="shared" ca="1" si="6"/>
        <v>17</v>
      </c>
      <c r="I22" s="38">
        <v>46311.4</v>
      </c>
      <c r="J22" s="38">
        <f t="shared" ca="1" si="7"/>
        <v>2724.2000000000003</v>
      </c>
      <c r="K22" t="s">
        <v>123</v>
      </c>
      <c r="L22" t="s">
        <v>128</v>
      </c>
      <c r="M22">
        <v>75000</v>
      </c>
      <c r="N22" t="str">
        <f t="shared" si="8"/>
        <v>Yes</v>
      </c>
      <c r="O22" t="str">
        <f t="shared" si="9"/>
        <v>FD06FCSGRE006</v>
      </c>
      <c r="Q22" t="str">
        <f t="shared" si="10"/>
        <v/>
      </c>
    </row>
    <row r="23" spans="1:19">
      <c r="A23" t="s">
        <v>119</v>
      </c>
      <c r="B23" t="str">
        <f t="shared" si="0"/>
        <v>FD</v>
      </c>
      <c r="C23" t="str">
        <f t="shared" si="1"/>
        <v>Ford</v>
      </c>
      <c r="D23" t="str">
        <f t="shared" si="11"/>
        <v>MTG</v>
      </c>
      <c r="E23" t="str">
        <f t="shared" si="3"/>
        <v>Mustang</v>
      </c>
      <c r="F23" t="str">
        <f t="shared" si="4"/>
        <v>06</v>
      </c>
      <c r="G23" t="str">
        <f t="shared" si="5"/>
        <v>2006</v>
      </c>
      <c r="H23" s="36" t="str">
        <f t="shared" ca="1" si="6"/>
        <v>17</v>
      </c>
      <c r="I23" s="38">
        <v>44974.8</v>
      </c>
      <c r="J23" s="38">
        <f t="shared" ca="1" si="7"/>
        <v>2645.5764705882357</v>
      </c>
      <c r="K23" t="s">
        <v>120</v>
      </c>
      <c r="L23" t="s">
        <v>121</v>
      </c>
      <c r="M23">
        <v>50000</v>
      </c>
      <c r="N23" t="str">
        <f t="shared" si="8"/>
        <v>Yes</v>
      </c>
      <c r="O23" t="str">
        <f t="shared" si="9"/>
        <v>FD06MTGWHI002</v>
      </c>
      <c r="Q23" t="str">
        <f t="shared" si="10"/>
        <v/>
      </c>
    </row>
    <row r="24" spans="1:19">
      <c r="A24" t="s">
        <v>122</v>
      </c>
      <c r="B24" t="str">
        <f t="shared" si="0"/>
        <v>FD</v>
      </c>
      <c r="C24" t="str">
        <f t="shared" si="1"/>
        <v>Ford</v>
      </c>
      <c r="D24" t="str">
        <f t="shared" si="11"/>
        <v>MTG</v>
      </c>
      <c r="E24" t="str">
        <f t="shared" si="3"/>
        <v>Mustang</v>
      </c>
      <c r="F24" t="str">
        <f t="shared" si="4"/>
        <v>08</v>
      </c>
      <c r="G24" t="str">
        <f t="shared" si="5"/>
        <v>2008</v>
      </c>
      <c r="H24" s="36" t="str">
        <f t="shared" ca="1" si="6"/>
        <v>15</v>
      </c>
      <c r="I24" s="38">
        <v>44946.5</v>
      </c>
      <c r="J24" s="38">
        <f t="shared" ca="1" si="7"/>
        <v>2996.4333333333334</v>
      </c>
      <c r="K24" t="s">
        <v>123</v>
      </c>
      <c r="L24" t="s">
        <v>124</v>
      </c>
      <c r="M24">
        <v>50000</v>
      </c>
      <c r="N24" t="str">
        <f t="shared" si="8"/>
        <v>Yes</v>
      </c>
      <c r="O24" t="str">
        <f t="shared" si="9"/>
        <v>FD08MTGGRE003</v>
      </c>
      <c r="Q24" t="str">
        <f t="shared" si="10"/>
        <v/>
      </c>
    </row>
    <row r="25" spans="1:19">
      <c r="A25" t="s">
        <v>173</v>
      </c>
      <c r="B25" t="str">
        <f t="shared" si="0"/>
        <v>HO</v>
      </c>
      <c r="C25" t="str">
        <f t="shared" si="1"/>
        <v>Honda</v>
      </c>
      <c r="D25" t="str">
        <f t="shared" si="11"/>
        <v>ODY</v>
      </c>
      <c r="E25" t="str">
        <f t="shared" si="3"/>
        <v>Odyssey</v>
      </c>
      <c r="F25" t="str">
        <f t="shared" si="4"/>
        <v>08</v>
      </c>
      <c r="G25" t="str">
        <f t="shared" si="5"/>
        <v>2008</v>
      </c>
      <c r="H25" s="36" t="str">
        <f t="shared" ca="1" si="6"/>
        <v>15</v>
      </c>
      <c r="I25" s="38">
        <v>42504.6</v>
      </c>
      <c r="J25" s="38">
        <f t="shared" ca="1" si="7"/>
        <v>2833.64</v>
      </c>
      <c r="K25" t="s">
        <v>120</v>
      </c>
      <c r="L25" t="s">
        <v>140</v>
      </c>
      <c r="M25">
        <v>100000</v>
      </c>
      <c r="N25" t="str">
        <f t="shared" si="8"/>
        <v>Yes</v>
      </c>
      <c r="O25" t="str">
        <f t="shared" si="9"/>
        <v>HO08ODYWHI039</v>
      </c>
      <c r="Q25" t="str">
        <f t="shared" si="10"/>
        <v/>
      </c>
    </row>
    <row r="26" spans="1:19">
      <c r="A26" t="s">
        <v>177</v>
      </c>
      <c r="B26" t="str">
        <f t="shared" si="0"/>
        <v>CR</v>
      </c>
      <c r="C26" t="str">
        <f t="shared" si="1"/>
        <v>Crystler</v>
      </c>
      <c r="D26" t="str">
        <f t="shared" si="11"/>
        <v>PTC</v>
      </c>
      <c r="E26" t="str">
        <f t="shared" si="3"/>
        <v>PT Cruiser</v>
      </c>
      <c r="F26" t="str">
        <f t="shared" si="4"/>
        <v>07</v>
      </c>
      <c r="G26" t="str">
        <f t="shared" si="5"/>
        <v>2007</v>
      </c>
      <c r="H26" s="36" t="str">
        <f t="shared" ca="1" si="6"/>
        <v>16</v>
      </c>
      <c r="I26" s="38">
        <v>42074.2</v>
      </c>
      <c r="J26" s="38">
        <f t="shared" ca="1" si="7"/>
        <v>2629.6374999999998</v>
      </c>
      <c r="K26" t="s">
        <v>123</v>
      </c>
      <c r="L26" t="s">
        <v>160</v>
      </c>
      <c r="M26">
        <v>75000</v>
      </c>
      <c r="N26" t="str">
        <f t="shared" si="8"/>
        <v>Yes</v>
      </c>
      <c r="O26" t="str">
        <f t="shared" si="9"/>
        <v>CR07PTCGRE043</v>
      </c>
      <c r="Q26" t="str">
        <f t="shared" si="10"/>
        <v/>
      </c>
    </row>
    <row r="27" spans="1:19">
      <c r="A27" t="s">
        <v>117</v>
      </c>
      <c r="B27" t="str">
        <f t="shared" si="0"/>
        <v>FD</v>
      </c>
      <c r="C27" t="str">
        <f t="shared" si="1"/>
        <v>Ford</v>
      </c>
      <c r="D27" t="str">
        <f t="shared" si="11"/>
        <v>MTG</v>
      </c>
      <c r="E27" t="str">
        <f t="shared" si="3"/>
        <v>Mustang</v>
      </c>
      <c r="F27" t="str">
        <f t="shared" si="4"/>
        <v>06</v>
      </c>
      <c r="G27" t="str">
        <f t="shared" si="5"/>
        <v>2006</v>
      </c>
      <c r="H27" s="36" t="str">
        <f t="shared" ca="1" si="6"/>
        <v>17</v>
      </c>
      <c r="I27" s="38">
        <v>40326.800000000003</v>
      </c>
      <c r="J27" s="38">
        <f t="shared" ca="1" si="7"/>
        <v>2372.1647058823532</v>
      </c>
      <c r="K27" t="s">
        <v>118</v>
      </c>
      <c r="L27" t="s">
        <v>92</v>
      </c>
      <c r="M27">
        <v>50000</v>
      </c>
      <c r="N27" t="str">
        <f t="shared" si="8"/>
        <v>Yes</v>
      </c>
      <c r="O27" t="str">
        <f t="shared" si="9"/>
        <v>FD06MTGBLA001</v>
      </c>
      <c r="Q27" t="str">
        <f t="shared" si="10"/>
        <v/>
      </c>
    </row>
    <row r="28" spans="1:19">
      <c r="A28" t="s">
        <v>125</v>
      </c>
      <c r="B28" t="str">
        <f t="shared" si="0"/>
        <v>FD</v>
      </c>
      <c r="C28" t="str">
        <f t="shared" si="1"/>
        <v>Ford</v>
      </c>
      <c r="D28" t="str">
        <f t="shared" si="11"/>
        <v>MTG</v>
      </c>
      <c r="E28" t="str">
        <f t="shared" si="3"/>
        <v>Mustang</v>
      </c>
      <c r="F28" t="str">
        <f t="shared" si="4"/>
        <v>08</v>
      </c>
      <c r="G28" t="str">
        <f t="shared" si="5"/>
        <v>2008</v>
      </c>
      <c r="H28" s="36" t="str">
        <f t="shared" ca="1" si="6"/>
        <v>15</v>
      </c>
      <c r="I28" s="38">
        <v>37558.800000000003</v>
      </c>
      <c r="J28" s="38">
        <f t="shared" ca="1" si="7"/>
        <v>2503.92</v>
      </c>
      <c r="K28" t="s">
        <v>118</v>
      </c>
      <c r="L28" t="s">
        <v>126</v>
      </c>
      <c r="M28">
        <v>50000</v>
      </c>
      <c r="N28" t="str">
        <f t="shared" si="8"/>
        <v>Yes</v>
      </c>
      <c r="O28" t="str">
        <f t="shared" si="9"/>
        <v>FD08MTGBLA004</v>
      </c>
      <c r="Q28" t="str">
        <f t="shared" si="10"/>
        <v/>
      </c>
    </row>
    <row r="29" spans="1:19">
      <c r="A29" t="s">
        <v>127</v>
      </c>
      <c r="B29" t="str">
        <f t="shared" si="0"/>
        <v>FD</v>
      </c>
      <c r="C29" t="str">
        <f t="shared" si="1"/>
        <v>Ford</v>
      </c>
      <c r="D29" t="str">
        <f t="shared" si="11"/>
        <v>MTG</v>
      </c>
      <c r="E29" t="str">
        <f t="shared" si="3"/>
        <v>Mustang</v>
      </c>
      <c r="F29" t="str">
        <f t="shared" si="4"/>
        <v>08</v>
      </c>
      <c r="G29" t="str">
        <f t="shared" si="5"/>
        <v>2008</v>
      </c>
      <c r="H29" s="36" t="str">
        <f t="shared" ca="1" si="6"/>
        <v>15</v>
      </c>
      <c r="I29" s="38">
        <v>36438.5</v>
      </c>
      <c r="J29" s="38">
        <f t="shared" ca="1" si="7"/>
        <v>2429.2333333333331</v>
      </c>
      <c r="K29" t="s">
        <v>120</v>
      </c>
      <c r="L29" t="s">
        <v>92</v>
      </c>
      <c r="M29">
        <v>50000</v>
      </c>
      <c r="N29" t="str">
        <f t="shared" si="8"/>
        <v>Yes</v>
      </c>
      <c r="O29" t="str">
        <f t="shared" si="9"/>
        <v>FD08MTGWHI005</v>
      </c>
      <c r="Q29" t="str">
        <f t="shared" si="10"/>
        <v/>
      </c>
    </row>
    <row r="30" spans="1:19">
      <c r="A30" t="s">
        <v>130</v>
      </c>
      <c r="B30" t="str">
        <f t="shared" si="0"/>
        <v>FD</v>
      </c>
      <c r="C30" t="str">
        <f t="shared" si="1"/>
        <v>Ford</v>
      </c>
      <c r="D30" t="str">
        <f t="shared" si="11"/>
        <v>FCS</v>
      </c>
      <c r="E30" t="str">
        <f t="shared" si="3"/>
        <v>Focus</v>
      </c>
      <c r="F30" t="str">
        <f t="shared" si="4"/>
        <v>09</v>
      </c>
      <c r="G30" t="str">
        <f t="shared" si="5"/>
        <v>2009</v>
      </c>
      <c r="H30" s="36" t="str">
        <f t="shared" ca="1" si="6"/>
        <v>14</v>
      </c>
      <c r="I30" s="38">
        <v>35137</v>
      </c>
      <c r="J30" s="38">
        <f t="shared" ca="1" si="7"/>
        <v>2509.7857142857142</v>
      </c>
      <c r="K30" t="s">
        <v>118</v>
      </c>
      <c r="L30" t="s">
        <v>131</v>
      </c>
      <c r="M30">
        <v>75000</v>
      </c>
      <c r="N30" t="str">
        <f t="shared" si="8"/>
        <v>Yes</v>
      </c>
      <c r="O30" t="str">
        <f t="shared" si="9"/>
        <v>FD09FCSBLA008</v>
      </c>
      <c r="Q30" t="str">
        <f t="shared" si="10"/>
        <v/>
      </c>
    </row>
    <row r="31" spans="1:19">
      <c r="A31" t="s">
        <v>168</v>
      </c>
      <c r="B31" t="str">
        <f t="shared" si="0"/>
        <v>HO</v>
      </c>
      <c r="C31" t="str">
        <f t="shared" si="1"/>
        <v>Honda</v>
      </c>
      <c r="D31" t="str">
        <f t="shared" si="11"/>
        <v>CIV</v>
      </c>
      <c r="E31" t="str">
        <f t="shared" si="3"/>
        <v>Civic</v>
      </c>
      <c r="F31" t="str">
        <f t="shared" si="4"/>
        <v>10</v>
      </c>
      <c r="G31" t="str">
        <f t="shared" si="5"/>
        <v>2010</v>
      </c>
      <c r="H31" s="36" t="str">
        <f t="shared" ca="1" si="6"/>
        <v>13</v>
      </c>
      <c r="I31" s="38">
        <v>33477.199999999997</v>
      </c>
      <c r="J31" s="38">
        <f t="shared" ca="1" si="7"/>
        <v>2575.1692307692306</v>
      </c>
      <c r="K31" t="s">
        <v>118</v>
      </c>
      <c r="L31" t="s">
        <v>154</v>
      </c>
      <c r="M31">
        <v>75000</v>
      </c>
      <c r="N31" t="str">
        <f t="shared" si="8"/>
        <v>Yes</v>
      </c>
      <c r="O31" t="str">
        <f t="shared" si="9"/>
        <v>HO10CIVBLA033</v>
      </c>
      <c r="Q31" t="str">
        <f t="shared" si="10"/>
        <v/>
      </c>
    </row>
    <row r="32" spans="1:19">
      <c r="A32" t="s">
        <v>146</v>
      </c>
      <c r="B32" t="str">
        <f t="shared" si="0"/>
        <v>GM</v>
      </c>
      <c r="C32" t="str">
        <f t="shared" si="1"/>
        <v>General Motors</v>
      </c>
      <c r="D32" t="str">
        <f t="shared" si="11"/>
        <v>SLV</v>
      </c>
      <c r="E32" t="str">
        <f t="shared" si="3"/>
        <v>Silverado</v>
      </c>
      <c r="F32" t="str">
        <f t="shared" si="4"/>
        <v>10</v>
      </c>
      <c r="G32" t="str">
        <f t="shared" si="5"/>
        <v>2010</v>
      </c>
      <c r="H32" s="36" t="str">
        <f t="shared" ca="1" si="6"/>
        <v>13</v>
      </c>
      <c r="I32" s="38">
        <v>31144.400000000001</v>
      </c>
      <c r="J32" s="38">
        <f t="shared" ca="1" si="7"/>
        <v>2395.7230769230769</v>
      </c>
      <c r="K32" t="s">
        <v>118</v>
      </c>
      <c r="L32" t="s">
        <v>147</v>
      </c>
      <c r="M32">
        <v>100000</v>
      </c>
      <c r="N32" t="str">
        <f t="shared" si="8"/>
        <v>Yes</v>
      </c>
      <c r="O32" t="str">
        <f t="shared" si="9"/>
        <v>GM10SLVBLA017</v>
      </c>
      <c r="Q32" t="str">
        <f t="shared" si="10"/>
        <v/>
      </c>
    </row>
    <row r="33" spans="1:17">
      <c r="A33" t="s">
        <v>169</v>
      </c>
      <c r="B33" t="str">
        <f t="shared" si="0"/>
        <v>HO</v>
      </c>
      <c r="C33" t="str">
        <f t="shared" si="1"/>
        <v>Honda</v>
      </c>
      <c r="D33" t="str">
        <f t="shared" si="11"/>
        <v>CIV</v>
      </c>
      <c r="E33" t="str">
        <f t="shared" si="3"/>
        <v>Civic</v>
      </c>
      <c r="F33" t="str">
        <f t="shared" si="4"/>
        <v>11</v>
      </c>
      <c r="G33" t="str">
        <f t="shared" si="5"/>
        <v>2011</v>
      </c>
      <c r="H33" s="36" t="str">
        <f t="shared" ca="1" si="6"/>
        <v>12</v>
      </c>
      <c r="I33" s="38">
        <v>30555.3</v>
      </c>
      <c r="J33" s="38">
        <f t="shared" ca="1" si="7"/>
        <v>2546.2750000000001</v>
      </c>
      <c r="K33" t="s">
        <v>118</v>
      </c>
      <c r="L33" t="s">
        <v>124</v>
      </c>
      <c r="M33">
        <v>75000</v>
      </c>
      <c r="N33" t="str">
        <f t="shared" si="8"/>
        <v>Yes</v>
      </c>
      <c r="O33" t="str">
        <f t="shared" si="9"/>
        <v>HO11CIVBLA034</v>
      </c>
      <c r="Q33" t="str">
        <f t="shared" si="10"/>
        <v/>
      </c>
    </row>
    <row r="34" spans="1:17">
      <c r="A34" t="s">
        <v>163</v>
      </c>
      <c r="B34" t="str">
        <f t="shared" ref="B34:B65" si="12">LEFT(A34,2)</f>
        <v>TY</v>
      </c>
      <c r="C34" t="str">
        <f t="shared" ref="C34:C65" si="13">VLOOKUP(B34,R:S,2,0)</f>
        <v>Toyota</v>
      </c>
      <c r="D34" t="str">
        <f t="shared" si="11"/>
        <v>COR</v>
      </c>
      <c r="E34" t="str">
        <f t="shared" ref="E34:E65" si="14">VLOOKUP(D34,R$10:S$20,2,0)</f>
        <v>Corola</v>
      </c>
      <c r="F34" t="str">
        <f t="shared" ref="F34:F53" si="15">MID(A34,3,2)</f>
        <v>12</v>
      </c>
      <c r="G34" t="str">
        <f t="shared" ref="G34:G65" si="16">IF(VALUE(F34)&gt;90,CONCATENATE(19,TEXT(F34,"00")),CONCATENATE(20,TEXT(F34,"00")))</f>
        <v>2012</v>
      </c>
      <c r="H34" s="36" t="str">
        <f t="shared" ref="H34:H65" ca="1" si="17">TEXT(YEAR(TODAY()) - G34,"0")</f>
        <v>11</v>
      </c>
      <c r="I34" s="38">
        <v>29601.9</v>
      </c>
      <c r="J34" s="38">
        <f t="shared" ref="J34:J65" ca="1" si="18">I34/H34</f>
        <v>2691.0818181818181</v>
      </c>
      <c r="K34" t="s">
        <v>118</v>
      </c>
      <c r="L34" t="s">
        <v>141</v>
      </c>
      <c r="M34">
        <v>100000</v>
      </c>
      <c r="N34" t="str">
        <f t="shared" ref="N34:N65" si="19">IF(I34&lt;=M34,"Yes","No")</f>
        <v>Yes</v>
      </c>
      <c r="O34" t="str">
        <f t="shared" ref="O34:O53" si="20">CONCATENATE(LEFT(A34,7),UPPER(LEFT(K34,3)),RIGHT(A34,3))</f>
        <v>TY12CORBLA028</v>
      </c>
      <c r="Q34" t="str">
        <f t="shared" si="10"/>
        <v/>
      </c>
    </row>
    <row r="35" spans="1:17">
      <c r="A35" t="s">
        <v>183</v>
      </c>
      <c r="B35" t="str">
        <f t="shared" si="12"/>
        <v>HY</v>
      </c>
      <c r="C35" t="str">
        <f t="shared" si="13"/>
        <v>Hyundai</v>
      </c>
      <c r="D35" t="str">
        <f t="shared" si="11"/>
        <v>ELA</v>
      </c>
      <c r="E35" t="str">
        <f t="shared" si="14"/>
        <v>Elantra</v>
      </c>
      <c r="F35" t="str">
        <f t="shared" si="15"/>
        <v>11</v>
      </c>
      <c r="G35" t="str">
        <f t="shared" si="16"/>
        <v>2011</v>
      </c>
      <c r="H35" s="36" t="str">
        <f t="shared" ca="1" si="17"/>
        <v>12</v>
      </c>
      <c r="I35" s="38">
        <v>29102.3</v>
      </c>
      <c r="J35" s="38">
        <f t="shared" ca="1" si="18"/>
        <v>2425.1916666666666</v>
      </c>
      <c r="K35" t="s">
        <v>118</v>
      </c>
      <c r="L35" t="s">
        <v>145</v>
      </c>
      <c r="M35">
        <v>100000</v>
      </c>
      <c r="N35" t="str">
        <f t="shared" si="19"/>
        <v>Yes</v>
      </c>
      <c r="O35" t="str">
        <f t="shared" si="20"/>
        <v>HY11ELABLA049</v>
      </c>
      <c r="Q35" t="str">
        <f t="shared" si="10"/>
        <v/>
      </c>
    </row>
    <row r="36" spans="1:17">
      <c r="A36" t="s">
        <v>221</v>
      </c>
      <c r="B36" t="str">
        <f t="shared" si="12"/>
        <v>GM</v>
      </c>
      <c r="C36" t="str">
        <f t="shared" si="13"/>
        <v>General Motors</v>
      </c>
      <c r="D36" t="str">
        <f t="shared" si="11"/>
        <v>CMR</v>
      </c>
      <c r="E36" t="str">
        <f t="shared" si="14"/>
        <v>Camero</v>
      </c>
      <c r="F36" t="str">
        <f t="shared" si="15"/>
        <v>09</v>
      </c>
      <c r="G36" t="str">
        <f t="shared" si="16"/>
        <v>2009</v>
      </c>
      <c r="H36" s="36" t="str">
        <f t="shared" ca="1" si="17"/>
        <v>14</v>
      </c>
      <c r="I36" s="38">
        <v>28464.799999999999</v>
      </c>
      <c r="J36" s="38">
        <f t="shared" ca="1" si="18"/>
        <v>2033.2</v>
      </c>
      <c r="K36" t="s">
        <v>120</v>
      </c>
      <c r="L36" t="s">
        <v>141</v>
      </c>
      <c r="M36">
        <v>100000</v>
      </c>
      <c r="N36" t="str">
        <f t="shared" si="19"/>
        <v>Yes</v>
      </c>
      <c r="O36" t="str">
        <f t="shared" si="20"/>
        <v>GM09CMRWHI014</v>
      </c>
      <c r="Q36" t="str">
        <f t="shared" si="10"/>
        <v/>
      </c>
    </row>
    <row r="37" spans="1:17">
      <c r="A37" t="s">
        <v>132</v>
      </c>
      <c r="B37" t="str">
        <f t="shared" si="12"/>
        <v>FD</v>
      </c>
      <c r="C37" t="str">
        <f t="shared" si="13"/>
        <v>Ford</v>
      </c>
      <c r="D37" t="str">
        <f t="shared" si="11"/>
        <v>FCS</v>
      </c>
      <c r="E37" t="str">
        <f t="shared" si="14"/>
        <v>Focus</v>
      </c>
      <c r="F37" t="str">
        <f t="shared" si="15"/>
        <v>13</v>
      </c>
      <c r="G37" t="str">
        <f t="shared" si="16"/>
        <v>2013</v>
      </c>
      <c r="H37" s="36" t="str">
        <f t="shared" ca="1" si="17"/>
        <v>10</v>
      </c>
      <c r="I37" s="38">
        <v>27637.1</v>
      </c>
      <c r="J37" s="38">
        <f t="shared" ca="1" si="18"/>
        <v>2763.71</v>
      </c>
      <c r="K37" t="s">
        <v>118</v>
      </c>
      <c r="L37" t="s">
        <v>92</v>
      </c>
      <c r="M37">
        <v>75000</v>
      </c>
      <c r="N37" t="str">
        <f t="shared" si="19"/>
        <v>Yes</v>
      </c>
      <c r="O37" t="str">
        <f t="shared" si="20"/>
        <v>FD13FCSBLA009</v>
      </c>
      <c r="Q37" t="str">
        <f t="shared" si="10"/>
        <v/>
      </c>
    </row>
    <row r="38" spans="1:17">
      <c r="A38" t="s">
        <v>133</v>
      </c>
      <c r="B38" t="str">
        <f t="shared" si="12"/>
        <v>FD</v>
      </c>
      <c r="C38" t="str">
        <f t="shared" si="13"/>
        <v>Ford</v>
      </c>
      <c r="D38" t="str">
        <f t="shared" si="11"/>
        <v>FCS</v>
      </c>
      <c r="E38" t="str">
        <f t="shared" si="14"/>
        <v>Focus</v>
      </c>
      <c r="F38" t="str">
        <f t="shared" si="15"/>
        <v>13</v>
      </c>
      <c r="G38" t="str">
        <f t="shared" si="16"/>
        <v>2013</v>
      </c>
      <c r="H38" s="36" t="str">
        <f t="shared" ca="1" si="17"/>
        <v>10</v>
      </c>
      <c r="I38" s="38">
        <v>27534.799999999999</v>
      </c>
      <c r="J38" s="38">
        <f t="shared" ca="1" si="18"/>
        <v>2753.48</v>
      </c>
      <c r="K38" t="s">
        <v>120</v>
      </c>
      <c r="L38" t="s">
        <v>134</v>
      </c>
      <c r="M38">
        <v>75000</v>
      </c>
      <c r="N38" t="str">
        <f t="shared" si="19"/>
        <v>Yes</v>
      </c>
      <c r="O38" t="str">
        <f t="shared" si="20"/>
        <v>FD13FCSWHI010</v>
      </c>
      <c r="Q38" t="str">
        <f t="shared" si="10"/>
        <v/>
      </c>
    </row>
    <row r="39" spans="1:17">
      <c r="A39" t="s">
        <v>178</v>
      </c>
      <c r="B39" t="str">
        <f t="shared" si="12"/>
        <v>CR</v>
      </c>
      <c r="C39" t="str">
        <f t="shared" si="13"/>
        <v>Crystler</v>
      </c>
      <c r="D39" t="str">
        <f t="shared" si="11"/>
        <v>PTC</v>
      </c>
      <c r="E39" t="str">
        <f t="shared" si="14"/>
        <v>PT Cruiser</v>
      </c>
      <c r="F39" t="str">
        <f t="shared" si="15"/>
        <v>11</v>
      </c>
      <c r="G39" t="str">
        <f t="shared" si="16"/>
        <v>2011</v>
      </c>
      <c r="H39" s="36" t="str">
        <f t="shared" ca="1" si="17"/>
        <v>12</v>
      </c>
      <c r="I39" s="38">
        <v>27394.2</v>
      </c>
      <c r="J39" s="38">
        <f t="shared" ca="1" si="18"/>
        <v>2282.85</v>
      </c>
      <c r="K39" t="s">
        <v>118</v>
      </c>
      <c r="L39" t="s">
        <v>138</v>
      </c>
      <c r="M39">
        <v>75000</v>
      </c>
      <c r="N39" t="str">
        <f t="shared" si="19"/>
        <v>Yes</v>
      </c>
      <c r="O39" t="str">
        <f t="shared" si="20"/>
        <v>CR11PTCBLA044</v>
      </c>
      <c r="Q39" t="str">
        <f t="shared" si="10"/>
        <v/>
      </c>
    </row>
    <row r="40" spans="1:17">
      <c r="A40" t="s">
        <v>170</v>
      </c>
      <c r="B40" t="str">
        <f t="shared" si="12"/>
        <v>HO</v>
      </c>
      <c r="C40" t="str">
        <f t="shared" si="13"/>
        <v>Honda</v>
      </c>
      <c r="D40" t="str">
        <f t="shared" si="11"/>
        <v>CIV</v>
      </c>
      <c r="E40" t="str">
        <f t="shared" si="14"/>
        <v>Civic</v>
      </c>
      <c r="F40" t="str">
        <f t="shared" si="15"/>
        <v>12</v>
      </c>
      <c r="G40" t="str">
        <f t="shared" si="16"/>
        <v>2012</v>
      </c>
      <c r="H40" s="36" t="str">
        <f t="shared" ca="1" si="17"/>
        <v>11</v>
      </c>
      <c r="I40" s="38">
        <v>24513.200000000001</v>
      </c>
      <c r="J40" s="38">
        <f t="shared" ca="1" si="18"/>
        <v>2228.4727272727273</v>
      </c>
      <c r="K40" t="s">
        <v>118</v>
      </c>
      <c r="L40" t="s">
        <v>147</v>
      </c>
      <c r="M40">
        <v>75000</v>
      </c>
      <c r="N40" t="str">
        <f t="shared" si="19"/>
        <v>Yes</v>
      </c>
      <c r="O40" t="str">
        <f t="shared" si="20"/>
        <v>HO12CIVBLA035</v>
      </c>
      <c r="Q40" t="str">
        <f t="shared" si="10"/>
        <v/>
      </c>
    </row>
    <row r="41" spans="1:17">
      <c r="A41" t="s">
        <v>167</v>
      </c>
      <c r="B41" t="str">
        <f t="shared" si="12"/>
        <v>HO</v>
      </c>
      <c r="C41" t="str">
        <f t="shared" si="13"/>
        <v>Honda</v>
      </c>
      <c r="D41" t="str">
        <f t="shared" si="11"/>
        <v>CIV</v>
      </c>
      <c r="E41" t="str">
        <f t="shared" si="14"/>
        <v>Civic</v>
      </c>
      <c r="F41" t="str">
        <f t="shared" si="15"/>
        <v>10</v>
      </c>
      <c r="G41" t="str">
        <f t="shared" si="16"/>
        <v>2010</v>
      </c>
      <c r="H41" s="36" t="str">
        <f t="shared" ca="1" si="17"/>
        <v>13</v>
      </c>
      <c r="I41" s="38">
        <v>22573</v>
      </c>
      <c r="J41" s="38">
        <f t="shared" ca="1" si="18"/>
        <v>1736.3846153846155</v>
      </c>
      <c r="K41" t="s">
        <v>150</v>
      </c>
      <c r="L41" t="s">
        <v>145</v>
      </c>
      <c r="M41">
        <v>75000</v>
      </c>
      <c r="N41" t="str">
        <f t="shared" si="19"/>
        <v>Yes</v>
      </c>
      <c r="O41" t="str">
        <f t="shared" si="20"/>
        <v>HO10CIVBLU032</v>
      </c>
      <c r="Q41" t="str">
        <f t="shared" si="10"/>
        <v/>
      </c>
    </row>
    <row r="42" spans="1:17">
      <c r="A42" t="s">
        <v>137</v>
      </c>
      <c r="B42" t="str">
        <f t="shared" si="12"/>
        <v>FD</v>
      </c>
      <c r="C42" t="str">
        <f t="shared" si="13"/>
        <v>Ford</v>
      </c>
      <c r="D42" t="str">
        <f t="shared" si="11"/>
        <v>FCS</v>
      </c>
      <c r="E42" t="str">
        <f t="shared" si="14"/>
        <v>Focus</v>
      </c>
      <c r="F42" t="str">
        <f t="shared" si="15"/>
        <v>13</v>
      </c>
      <c r="G42" t="str">
        <f t="shared" si="16"/>
        <v>2013</v>
      </c>
      <c r="H42" s="36" t="str">
        <f t="shared" ca="1" si="17"/>
        <v>10</v>
      </c>
      <c r="I42" s="38">
        <v>22521.599999999999</v>
      </c>
      <c r="J42" s="38">
        <f t="shared" ca="1" si="18"/>
        <v>2252.16</v>
      </c>
      <c r="K42" t="s">
        <v>118</v>
      </c>
      <c r="L42" t="s">
        <v>138</v>
      </c>
      <c r="M42">
        <v>75000</v>
      </c>
      <c r="N42" t="str">
        <f t="shared" si="19"/>
        <v>Yes</v>
      </c>
      <c r="O42" t="str">
        <f t="shared" si="20"/>
        <v>FD13FCSBLA012</v>
      </c>
      <c r="Q42" t="str">
        <f t="shared" si="10"/>
        <v/>
      </c>
    </row>
    <row r="43" spans="1:17">
      <c r="A43" t="s">
        <v>184</v>
      </c>
      <c r="B43" t="str">
        <f t="shared" si="12"/>
        <v>HY</v>
      </c>
      <c r="C43" t="str">
        <f t="shared" si="13"/>
        <v>Hyundai</v>
      </c>
      <c r="D43" t="str">
        <f t="shared" si="11"/>
        <v>ELA</v>
      </c>
      <c r="E43" t="str">
        <f t="shared" si="14"/>
        <v>Elantra</v>
      </c>
      <c r="F43" t="str">
        <f t="shared" si="15"/>
        <v>12</v>
      </c>
      <c r="G43" t="str">
        <f t="shared" si="16"/>
        <v>2012</v>
      </c>
      <c r="H43" s="36" t="str">
        <f t="shared" ca="1" si="17"/>
        <v>11</v>
      </c>
      <c r="I43" s="38">
        <v>22282</v>
      </c>
      <c r="J43" s="38">
        <f t="shared" ca="1" si="18"/>
        <v>2025.6363636363637</v>
      </c>
      <c r="K43" t="s">
        <v>150</v>
      </c>
      <c r="L43" t="s">
        <v>121</v>
      </c>
      <c r="M43">
        <v>100000</v>
      </c>
      <c r="N43" t="str">
        <f t="shared" si="19"/>
        <v>Yes</v>
      </c>
      <c r="O43" t="str">
        <f t="shared" si="20"/>
        <v>HY12ELABLU050</v>
      </c>
      <c r="Q43" t="str">
        <f t="shared" si="10"/>
        <v/>
      </c>
    </row>
    <row r="44" spans="1:17">
      <c r="A44" t="s">
        <v>186</v>
      </c>
      <c r="B44" t="str">
        <f t="shared" si="12"/>
        <v>HY</v>
      </c>
      <c r="C44" t="str">
        <f t="shared" si="13"/>
        <v>Hyundai</v>
      </c>
      <c r="D44" t="str">
        <f t="shared" si="11"/>
        <v>ELA</v>
      </c>
      <c r="E44" t="str">
        <f t="shared" si="14"/>
        <v>Elantra</v>
      </c>
      <c r="F44" t="str">
        <f t="shared" si="15"/>
        <v>13</v>
      </c>
      <c r="G44" t="str">
        <f t="shared" si="16"/>
        <v>2013</v>
      </c>
      <c r="H44" s="36" t="str">
        <f t="shared" ca="1" si="17"/>
        <v>10</v>
      </c>
      <c r="I44" s="38">
        <v>22188.5</v>
      </c>
      <c r="J44" s="38">
        <f t="shared" ca="1" si="18"/>
        <v>2218.85</v>
      </c>
      <c r="K44" t="s">
        <v>150</v>
      </c>
      <c r="L44" t="s">
        <v>128</v>
      </c>
      <c r="M44">
        <v>100000</v>
      </c>
      <c r="N44" t="str">
        <f t="shared" si="19"/>
        <v>Yes</v>
      </c>
      <c r="O44" t="str">
        <f t="shared" si="20"/>
        <v>HY13ELABLU052</v>
      </c>
      <c r="Q44" t="str">
        <f t="shared" si="10"/>
        <v/>
      </c>
    </row>
    <row r="45" spans="1:17">
      <c r="A45" t="s">
        <v>164</v>
      </c>
      <c r="B45" t="str">
        <f t="shared" si="12"/>
        <v>TY</v>
      </c>
      <c r="C45" t="str">
        <f t="shared" si="13"/>
        <v>Toyota</v>
      </c>
      <c r="D45" t="str">
        <f t="shared" si="11"/>
        <v>CAM</v>
      </c>
      <c r="E45" t="str">
        <f t="shared" si="14"/>
        <v>Camrey</v>
      </c>
      <c r="F45" t="str">
        <f t="shared" si="15"/>
        <v>12</v>
      </c>
      <c r="G45" t="str">
        <f t="shared" si="16"/>
        <v>2012</v>
      </c>
      <c r="H45" s="36" t="str">
        <f t="shared" ca="1" si="17"/>
        <v>11</v>
      </c>
      <c r="I45" s="38">
        <v>22128.2</v>
      </c>
      <c r="J45" s="38">
        <f t="shared" ca="1" si="18"/>
        <v>2011.6545454545455</v>
      </c>
      <c r="K45" t="s">
        <v>150</v>
      </c>
      <c r="L45" t="s">
        <v>152</v>
      </c>
      <c r="M45">
        <v>100000</v>
      </c>
      <c r="N45" t="str">
        <f t="shared" si="19"/>
        <v>Yes</v>
      </c>
      <c r="O45" t="str">
        <f t="shared" si="20"/>
        <v>TY12CAMBLU029</v>
      </c>
      <c r="Q45" t="str">
        <f t="shared" si="10"/>
        <v/>
      </c>
    </row>
    <row r="46" spans="1:17">
      <c r="A46" t="s">
        <v>185</v>
      </c>
      <c r="B46" t="str">
        <f t="shared" si="12"/>
        <v>HY</v>
      </c>
      <c r="C46" t="str">
        <f t="shared" si="13"/>
        <v>Hyundai</v>
      </c>
      <c r="D46" t="str">
        <f t="shared" si="11"/>
        <v>ELA</v>
      </c>
      <c r="E46" t="str">
        <f t="shared" si="14"/>
        <v>Elantra</v>
      </c>
      <c r="F46" t="str">
        <f t="shared" si="15"/>
        <v>13</v>
      </c>
      <c r="G46" t="str">
        <f t="shared" si="16"/>
        <v>2013</v>
      </c>
      <c r="H46" s="36" t="str">
        <f t="shared" ca="1" si="17"/>
        <v>10</v>
      </c>
      <c r="I46" s="38">
        <v>20223.900000000001</v>
      </c>
      <c r="J46" s="38">
        <f t="shared" ca="1" si="18"/>
        <v>2022.39</v>
      </c>
      <c r="K46" t="s">
        <v>118</v>
      </c>
      <c r="L46" t="s">
        <v>134</v>
      </c>
      <c r="M46">
        <v>100000</v>
      </c>
      <c r="N46" t="str">
        <f t="shared" si="19"/>
        <v>Yes</v>
      </c>
      <c r="O46" t="str">
        <f t="shared" si="20"/>
        <v>HY13ELABLA051</v>
      </c>
      <c r="Q46" t="str">
        <f t="shared" si="10"/>
        <v/>
      </c>
    </row>
    <row r="47" spans="1:17">
      <c r="A47" t="s">
        <v>142</v>
      </c>
      <c r="B47" t="str">
        <f t="shared" si="12"/>
        <v>GM</v>
      </c>
      <c r="C47" t="str">
        <f t="shared" si="13"/>
        <v>General Motors</v>
      </c>
      <c r="D47" t="str">
        <f t="shared" si="11"/>
        <v>CMR</v>
      </c>
      <c r="E47" t="str">
        <f t="shared" si="14"/>
        <v>Camero</v>
      </c>
      <c r="F47" t="str">
        <f t="shared" si="15"/>
        <v>12</v>
      </c>
      <c r="G47" t="str">
        <f t="shared" si="16"/>
        <v>2012</v>
      </c>
      <c r="H47" s="36" t="str">
        <f t="shared" ca="1" si="17"/>
        <v>11</v>
      </c>
      <c r="I47" s="38">
        <v>19421.099999999999</v>
      </c>
      <c r="J47" s="38">
        <f t="shared" ca="1" si="18"/>
        <v>1765.5545454545454</v>
      </c>
      <c r="K47" t="s">
        <v>118</v>
      </c>
      <c r="L47" t="s">
        <v>143</v>
      </c>
      <c r="M47">
        <v>100000</v>
      </c>
      <c r="N47" t="str">
        <f t="shared" si="19"/>
        <v>Yes</v>
      </c>
      <c r="O47" t="str">
        <f t="shared" si="20"/>
        <v>GM12CMRBLA015</v>
      </c>
      <c r="Q47" t="str">
        <f t="shared" si="10"/>
        <v/>
      </c>
    </row>
    <row r="48" spans="1:17">
      <c r="A48" t="s">
        <v>135</v>
      </c>
      <c r="B48" t="str">
        <f t="shared" si="12"/>
        <v>FD</v>
      </c>
      <c r="C48" t="str">
        <f t="shared" si="13"/>
        <v>Ford</v>
      </c>
      <c r="D48" t="str">
        <f t="shared" si="11"/>
        <v>FCS</v>
      </c>
      <c r="E48" t="str">
        <f t="shared" si="14"/>
        <v>Focus</v>
      </c>
      <c r="F48" t="str">
        <f t="shared" si="15"/>
        <v>12</v>
      </c>
      <c r="G48" t="str">
        <f t="shared" si="16"/>
        <v>2012</v>
      </c>
      <c r="H48" s="36" t="str">
        <f t="shared" ca="1" si="17"/>
        <v>11</v>
      </c>
      <c r="I48" s="38">
        <v>19341.7</v>
      </c>
      <c r="J48" s="38">
        <f t="shared" ca="1" si="18"/>
        <v>1758.3363636363638</v>
      </c>
      <c r="K48" t="s">
        <v>120</v>
      </c>
      <c r="L48" t="s">
        <v>136</v>
      </c>
      <c r="M48">
        <v>75000</v>
      </c>
      <c r="N48" t="str">
        <f t="shared" si="19"/>
        <v>Yes</v>
      </c>
      <c r="O48" t="str">
        <f t="shared" si="20"/>
        <v>FD12FCSWHI011</v>
      </c>
      <c r="Q48" t="str">
        <f t="shared" si="10"/>
        <v/>
      </c>
    </row>
    <row r="49" spans="1:17">
      <c r="A49" t="s">
        <v>162</v>
      </c>
      <c r="B49" t="str">
        <f t="shared" si="12"/>
        <v>TY</v>
      </c>
      <c r="C49" t="str">
        <f t="shared" si="13"/>
        <v>Toyota</v>
      </c>
      <c r="D49" t="str">
        <f t="shared" si="11"/>
        <v>COR</v>
      </c>
      <c r="E49" t="str">
        <f t="shared" si="14"/>
        <v>Corola</v>
      </c>
      <c r="F49" t="str">
        <f t="shared" si="15"/>
        <v>14</v>
      </c>
      <c r="G49" t="str">
        <f t="shared" si="16"/>
        <v>2014</v>
      </c>
      <c r="H49" s="36" t="str">
        <f t="shared" ca="1" si="17"/>
        <v>9</v>
      </c>
      <c r="I49" s="38">
        <v>17556.3</v>
      </c>
      <c r="J49" s="38">
        <f t="shared" ca="1" si="18"/>
        <v>1950.6999999999998</v>
      </c>
      <c r="K49" t="s">
        <v>150</v>
      </c>
      <c r="L49" t="s">
        <v>134</v>
      </c>
      <c r="M49">
        <v>100000</v>
      </c>
      <c r="N49" t="str">
        <f t="shared" si="19"/>
        <v>Yes</v>
      </c>
      <c r="O49" t="str">
        <f t="shared" si="20"/>
        <v>TY14CORBLU027</v>
      </c>
      <c r="Q49" t="str">
        <f t="shared" si="10"/>
        <v/>
      </c>
    </row>
    <row r="50" spans="1:17">
      <c r="A50" t="s">
        <v>144</v>
      </c>
      <c r="B50" t="str">
        <f t="shared" si="12"/>
        <v>GM</v>
      </c>
      <c r="C50" t="str">
        <f t="shared" si="13"/>
        <v>General Motors</v>
      </c>
      <c r="D50" t="str">
        <f t="shared" si="11"/>
        <v>CMR</v>
      </c>
      <c r="E50" t="str">
        <f t="shared" si="14"/>
        <v>Camero</v>
      </c>
      <c r="F50" t="str">
        <f t="shared" si="15"/>
        <v>14</v>
      </c>
      <c r="G50" t="str">
        <f t="shared" si="16"/>
        <v>2014</v>
      </c>
      <c r="H50" s="36" t="str">
        <f t="shared" ca="1" si="17"/>
        <v>9</v>
      </c>
      <c r="I50" s="38">
        <v>14289.6</v>
      </c>
      <c r="J50" s="38">
        <f t="shared" ca="1" si="18"/>
        <v>1587.7333333333333</v>
      </c>
      <c r="K50" t="s">
        <v>120</v>
      </c>
      <c r="L50" t="s">
        <v>145</v>
      </c>
      <c r="M50">
        <v>100000</v>
      </c>
      <c r="N50" t="str">
        <f t="shared" si="19"/>
        <v>Yes</v>
      </c>
      <c r="O50" t="str">
        <f t="shared" si="20"/>
        <v>GM14CMRWHI016</v>
      </c>
      <c r="Q50" t="str">
        <f t="shared" si="10"/>
        <v/>
      </c>
    </row>
    <row r="51" spans="1:17">
      <c r="A51" t="s">
        <v>171</v>
      </c>
      <c r="B51" t="str">
        <f t="shared" si="12"/>
        <v>HO</v>
      </c>
      <c r="C51" t="str">
        <f t="shared" si="13"/>
        <v>Honda</v>
      </c>
      <c r="D51" t="str">
        <f t="shared" si="11"/>
        <v>CIV</v>
      </c>
      <c r="E51" t="str">
        <f t="shared" si="14"/>
        <v>Civic</v>
      </c>
      <c r="F51" t="str">
        <f t="shared" si="15"/>
        <v>13</v>
      </c>
      <c r="G51" t="str">
        <f t="shared" si="16"/>
        <v>2013</v>
      </c>
      <c r="H51" s="36" t="str">
        <f t="shared" ca="1" si="17"/>
        <v>10</v>
      </c>
      <c r="I51" s="38">
        <v>13867.6</v>
      </c>
      <c r="J51" s="38">
        <f t="shared" ca="1" si="18"/>
        <v>1386.76</v>
      </c>
      <c r="K51" t="s">
        <v>118</v>
      </c>
      <c r="L51" t="s">
        <v>152</v>
      </c>
      <c r="M51">
        <v>75000</v>
      </c>
      <c r="N51" t="str">
        <f t="shared" si="19"/>
        <v>Yes</v>
      </c>
      <c r="O51" t="str">
        <f t="shared" si="20"/>
        <v>HO13CIVBLA036</v>
      </c>
      <c r="Q51" t="str">
        <f t="shared" si="10"/>
        <v/>
      </c>
    </row>
    <row r="52" spans="1:17">
      <c r="A52" t="s">
        <v>139</v>
      </c>
      <c r="B52" t="str">
        <f t="shared" si="12"/>
        <v>FD</v>
      </c>
      <c r="C52" t="str">
        <f t="shared" si="13"/>
        <v>Ford</v>
      </c>
      <c r="D52" t="str">
        <f t="shared" si="11"/>
        <v>FCS</v>
      </c>
      <c r="E52" t="str">
        <f t="shared" si="14"/>
        <v>Focus</v>
      </c>
      <c r="F52" t="str">
        <f t="shared" si="15"/>
        <v>13</v>
      </c>
      <c r="G52" t="str">
        <f t="shared" si="16"/>
        <v>2013</v>
      </c>
      <c r="H52" s="36" t="str">
        <f t="shared" ca="1" si="17"/>
        <v>10</v>
      </c>
      <c r="I52" s="38">
        <v>13682.9</v>
      </c>
      <c r="J52" s="38">
        <f t="shared" ca="1" si="18"/>
        <v>1368.29</v>
      </c>
      <c r="K52" t="s">
        <v>118</v>
      </c>
      <c r="L52" t="s">
        <v>140</v>
      </c>
      <c r="M52">
        <v>75000</v>
      </c>
      <c r="N52" t="str">
        <f t="shared" si="19"/>
        <v>Yes</v>
      </c>
      <c r="O52" t="str">
        <f t="shared" si="20"/>
        <v>FD13FCSBLA013</v>
      </c>
      <c r="Q52" t="str">
        <f t="shared" si="10"/>
        <v/>
      </c>
    </row>
    <row r="53" spans="1:17">
      <c r="A53" t="s">
        <v>175</v>
      </c>
      <c r="B53" t="str">
        <f t="shared" si="12"/>
        <v>HO</v>
      </c>
      <c r="C53" t="str">
        <f t="shared" si="13"/>
        <v>Honda</v>
      </c>
      <c r="D53" t="str">
        <f t="shared" si="11"/>
        <v>ODY</v>
      </c>
      <c r="E53" t="str">
        <f t="shared" si="14"/>
        <v>Odyssey</v>
      </c>
      <c r="F53" t="str">
        <f t="shared" si="15"/>
        <v>14</v>
      </c>
      <c r="G53" t="str">
        <f t="shared" si="16"/>
        <v>2014</v>
      </c>
      <c r="H53" s="36" t="str">
        <f t="shared" ca="1" si="17"/>
        <v>9</v>
      </c>
      <c r="I53" s="38">
        <v>3708.1</v>
      </c>
      <c r="J53" s="38">
        <f t="shared" ca="1" si="18"/>
        <v>412.01111111111112</v>
      </c>
      <c r="K53" t="s">
        <v>118</v>
      </c>
      <c r="L53" t="s">
        <v>121</v>
      </c>
      <c r="M53">
        <v>100000</v>
      </c>
      <c r="N53" t="str">
        <f t="shared" si="19"/>
        <v>Yes</v>
      </c>
      <c r="O53" t="str">
        <f t="shared" si="20"/>
        <v>HO14ODYBLA041</v>
      </c>
      <c r="Q53" t="str">
        <f t="shared" si="10"/>
        <v/>
      </c>
    </row>
  </sheetData>
  <sortState ref="A2:O53">
    <sortCondition descending="1" ref="I2:I53"/>
  </sortState>
  <conditionalFormatting sqref="I1:I104857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A22" sqref="A22"/>
    </sheetView>
  </sheetViews>
  <sheetFormatPr defaultRowHeight="15"/>
  <cols>
    <col min="1" max="1" width="13.140625" bestFit="1" customWidth="1"/>
    <col min="2" max="2" width="12.5703125" bestFit="1" customWidth="1"/>
  </cols>
  <sheetData>
    <row r="3" spans="1:2">
      <c r="A3" s="34" t="s">
        <v>99</v>
      </c>
      <c r="B3" t="s">
        <v>225</v>
      </c>
    </row>
    <row r="4" spans="1:2">
      <c r="A4" s="35" t="s">
        <v>143</v>
      </c>
      <c r="B4" s="3">
        <v>144647.69999999998</v>
      </c>
    </row>
    <row r="5" spans="1:2">
      <c r="A5" s="35" t="s">
        <v>152</v>
      </c>
      <c r="B5" s="3">
        <v>150656.40000000002</v>
      </c>
    </row>
    <row r="6" spans="1:2">
      <c r="A6" s="35" t="s">
        <v>128</v>
      </c>
      <c r="B6" s="3">
        <v>154427.9</v>
      </c>
    </row>
    <row r="7" spans="1:2">
      <c r="A7" s="35" t="s">
        <v>160</v>
      </c>
      <c r="B7" s="3">
        <v>179986</v>
      </c>
    </row>
    <row r="8" spans="1:2">
      <c r="A8" s="35" t="s">
        <v>131</v>
      </c>
      <c r="B8" s="3">
        <v>143640.70000000001</v>
      </c>
    </row>
    <row r="9" spans="1:2">
      <c r="A9" s="35" t="s">
        <v>147</v>
      </c>
      <c r="B9" s="3">
        <v>135078.20000000001</v>
      </c>
    </row>
    <row r="10" spans="1:2">
      <c r="A10" s="35" t="s">
        <v>126</v>
      </c>
      <c r="B10" s="3">
        <v>184693.8</v>
      </c>
    </row>
    <row r="11" spans="1:2">
      <c r="A11" s="35" t="s">
        <v>124</v>
      </c>
      <c r="B11" s="3">
        <v>127731.3</v>
      </c>
    </row>
    <row r="12" spans="1:2">
      <c r="A12" s="35" t="s">
        <v>121</v>
      </c>
      <c r="B12" s="3">
        <v>70964.899999999994</v>
      </c>
    </row>
    <row r="13" spans="1:2">
      <c r="A13" s="35" t="s">
        <v>134</v>
      </c>
      <c r="B13" s="3">
        <v>65315</v>
      </c>
    </row>
    <row r="14" spans="1:2">
      <c r="A14" s="35" t="s">
        <v>140</v>
      </c>
      <c r="B14" s="3">
        <v>138561.5</v>
      </c>
    </row>
    <row r="15" spans="1:2">
      <c r="A15" s="35" t="s">
        <v>141</v>
      </c>
      <c r="B15" s="3">
        <v>141229.4</v>
      </c>
    </row>
    <row r="16" spans="1:2">
      <c r="A16" s="35" t="s">
        <v>92</v>
      </c>
      <c r="B16" s="3">
        <v>305432.40000000002</v>
      </c>
    </row>
    <row r="17" spans="1:2">
      <c r="A17" s="35" t="s">
        <v>154</v>
      </c>
      <c r="B17" s="3">
        <v>177713.9</v>
      </c>
    </row>
    <row r="18" spans="1:2">
      <c r="A18" s="35" t="s">
        <v>145</v>
      </c>
      <c r="B18" s="3">
        <v>65964.899999999994</v>
      </c>
    </row>
    <row r="19" spans="1:2">
      <c r="A19" s="35" t="s">
        <v>138</v>
      </c>
      <c r="B19" s="3">
        <v>130601.59999999999</v>
      </c>
    </row>
    <row r="20" spans="1:2">
      <c r="A20" s="35" t="s">
        <v>136</v>
      </c>
      <c r="B20" s="3">
        <v>19341.7</v>
      </c>
    </row>
    <row r="21" spans="1:2">
      <c r="A21" s="35" t="s">
        <v>100</v>
      </c>
      <c r="B21" s="3">
        <v>2335987.2999999998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G10"/>
  <sheetViews>
    <sheetView workbookViewId="0">
      <selection activeCell="G14" sqref="G14"/>
    </sheetView>
  </sheetViews>
  <sheetFormatPr defaultRowHeight="15"/>
  <cols>
    <col min="2" max="2" width="13.28515625" bestFit="1" customWidth="1"/>
    <col min="5" max="5" width="10.5703125" bestFit="1" customWidth="1"/>
    <col min="6" max="6" width="13.28515625" bestFit="1" customWidth="1"/>
    <col min="7" max="7" width="10.5703125" bestFit="1" customWidth="1"/>
  </cols>
  <sheetData>
    <row r="2" spans="1:7" s="28" customFormat="1" ht="30">
      <c r="B2" s="28" t="s">
        <v>230</v>
      </c>
      <c r="C2" s="28" t="s">
        <v>231</v>
      </c>
      <c r="D2" s="28" t="s">
        <v>232</v>
      </c>
      <c r="E2" s="28" t="s">
        <v>233</v>
      </c>
      <c r="F2" s="28" t="s">
        <v>234</v>
      </c>
      <c r="G2" s="28" t="s">
        <v>235</v>
      </c>
    </row>
    <row r="3" spans="1:7">
      <c r="A3" t="s">
        <v>226</v>
      </c>
      <c r="B3" s="39">
        <v>100000</v>
      </c>
      <c r="C3" s="31">
        <v>0.09</v>
      </c>
      <c r="D3">
        <v>12</v>
      </c>
      <c r="E3" s="40">
        <f>B3*C3</f>
        <v>9000</v>
      </c>
      <c r="F3" s="40">
        <f>B3+E3</f>
        <v>109000</v>
      </c>
      <c r="G3" s="40">
        <f>F3/12</f>
        <v>9083.3333333333339</v>
      </c>
    </row>
    <row r="4" spans="1:7">
      <c r="A4" t="s">
        <v>227</v>
      </c>
      <c r="B4" s="39">
        <v>100000</v>
      </c>
      <c r="C4" s="31">
        <v>0.08</v>
      </c>
      <c r="D4">
        <v>12</v>
      </c>
      <c r="E4" s="40">
        <f t="shared" ref="E4:E6" si="0">B4*C4</f>
        <v>8000</v>
      </c>
      <c r="F4" s="40">
        <f t="shared" ref="F4:F6" si="1">B4+E4</f>
        <v>108000</v>
      </c>
      <c r="G4" s="40">
        <f t="shared" ref="G4:G6" si="2">F4/12</f>
        <v>9000</v>
      </c>
    </row>
    <row r="5" spans="1:7">
      <c r="A5" t="s">
        <v>228</v>
      </c>
      <c r="B5" s="39">
        <v>100000</v>
      </c>
      <c r="C5" s="31">
        <v>0.06</v>
      </c>
      <c r="D5">
        <v>12</v>
      </c>
      <c r="E5" s="40">
        <f t="shared" si="0"/>
        <v>6000</v>
      </c>
      <c r="F5" s="40">
        <f t="shared" si="1"/>
        <v>106000</v>
      </c>
      <c r="G5" s="40">
        <f t="shared" si="2"/>
        <v>8833.3333333333339</v>
      </c>
    </row>
    <row r="6" spans="1:7">
      <c r="A6" t="s">
        <v>229</v>
      </c>
      <c r="B6" s="39">
        <v>100000</v>
      </c>
      <c r="C6" s="31">
        <v>7.0000000000000007E-2</v>
      </c>
      <c r="D6">
        <v>12</v>
      </c>
      <c r="E6" s="40">
        <f t="shared" si="0"/>
        <v>7000.0000000000009</v>
      </c>
      <c r="F6" s="40">
        <f t="shared" si="1"/>
        <v>107000</v>
      </c>
      <c r="G6" s="40">
        <f t="shared" si="2"/>
        <v>8916.6666666666661</v>
      </c>
    </row>
    <row r="10" spans="1:7">
      <c r="E10" t="s">
        <v>101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X20"/>
  <sheetViews>
    <sheetView topLeftCell="R1" workbookViewId="0">
      <selection activeCell="AB19" sqref="AB19"/>
    </sheetView>
  </sheetViews>
  <sheetFormatPr defaultRowHeight="15"/>
  <cols>
    <col min="1" max="1" width="18.28515625" bestFit="1" customWidth="1"/>
    <col min="2" max="2" width="9.28515625" bestFit="1" customWidth="1"/>
    <col min="3" max="3" width="10.5703125" bestFit="1" customWidth="1"/>
    <col min="4" max="4" width="11.42578125" bestFit="1" customWidth="1"/>
    <col min="8" max="8" width="8.7109375" bestFit="1" customWidth="1"/>
    <col min="9" max="9" width="9.28515625" bestFit="1" customWidth="1"/>
    <col min="10" max="10" width="10.5703125" bestFit="1" customWidth="1"/>
    <col min="11" max="11" width="11.42578125" bestFit="1" customWidth="1"/>
    <col min="22" max="22" width="9.28515625" bestFit="1" customWidth="1"/>
    <col min="23" max="23" width="10.5703125" bestFit="1" customWidth="1"/>
    <col min="24" max="24" width="11.42578125" bestFit="1" customWidth="1"/>
  </cols>
  <sheetData>
    <row r="2" spans="1:24">
      <c r="H2" s="43" t="s">
        <v>254</v>
      </c>
      <c r="I2" s="43"/>
      <c r="J2" s="43"/>
      <c r="K2" s="43"/>
      <c r="U2" s="45" t="s">
        <v>256</v>
      </c>
      <c r="V2" s="45"/>
      <c r="W2" s="45"/>
      <c r="X2" s="45"/>
    </row>
    <row r="3" spans="1:24">
      <c r="A3" s="41"/>
      <c r="B3" s="41" t="s">
        <v>251</v>
      </c>
      <c r="C3" s="41" t="s">
        <v>252</v>
      </c>
      <c r="D3" s="41" t="s">
        <v>253</v>
      </c>
      <c r="H3" s="43" t="s">
        <v>255</v>
      </c>
      <c r="I3" s="43" t="s">
        <v>251</v>
      </c>
      <c r="J3" s="43" t="s">
        <v>252</v>
      </c>
      <c r="K3" s="43" t="s">
        <v>253</v>
      </c>
      <c r="U3" s="45" t="s">
        <v>255</v>
      </c>
      <c r="V3" s="45" t="s">
        <v>251</v>
      </c>
      <c r="W3" s="45" t="s">
        <v>252</v>
      </c>
      <c r="X3" s="45" t="s">
        <v>253</v>
      </c>
    </row>
    <row r="4" spans="1:24">
      <c r="A4" s="41" t="s">
        <v>241</v>
      </c>
      <c r="B4" s="42">
        <v>0.5</v>
      </c>
      <c r="C4" s="42">
        <v>0.4</v>
      </c>
      <c r="D4" s="42">
        <v>1.4</v>
      </c>
      <c r="H4" s="43">
        <v>3</v>
      </c>
      <c r="I4" s="44">
        <f>B4*$H4</f>
        <v>1.5</v>
      </c>
      <c r="J4" s="44">
        <f>C4*$H4</f>
        <v>1.2000000000000002</v>
      </c>
      <c r="K4" s="44">
        <f t="shared" ref="K4" si="0">D4*$H4</f>
        <v>4.1999999999999993</v>
      </c>
      <c r="U4" s="45">
        <v>2</v>
      </c>
      <c r="V4" s="46">
        <f>B4*$U4</f>
        <v>1</v>
      </c>
      <c r="W4" s="46">
        <f t="shared" ref="W4:X4" si="1">C4*$U4</f>
        <v>0.8</v>
      </c>
      <c r="X4" s="46">
        <f t="shared" si="1"/>
        <v>2.8</v>
      </c>
    </row>
    <row r="5" spans="1:24">
      <c r="A5" s="41" t="s">
        <v>236</v>
      </c>
      <c r="B5" s="42">
        <v>28</v>
      </c>
      <c r="C5" s="42">
        <v>33</v>
      </c>
      <c r="D5" s="42">
        <v>31</v>
      </c>
      <c r="H5" s="43">
        <v>1</v>
      </c>
      <c r="I5" s="44">
        <f t="shared" ref="I5:I18" si="2">B5*$H5</f>
        <v>28</v>
      </c>
      <c r="J5" s="44">
        <f t="shared" ref="J5:J18" si="3">C5*$H5</f>
        <v>33</v>
      </c>
      <c r="K5" s="44">
        <f t="shared" ref="K5:K18" si="4">D5*$H5</f>
        <v>31</v>
      </c>
      <c r="U5" s="45">
        <v>2</v>
      </c>
      <c r="V5" s="46">
        <f t="shared" ref="V5:V18" si="5">B5*$U5</f>
        <v>56</v>
      </c>
      <c r="W5" s="46">
        <f t="shared" ref="W5:W18" si="6">C5*$U5</f>
        <v>66</v>
      </c>
      <c r="X5" s="46">
        <f t="shared" ref="X5:X18" si="7">D5*$U5</f>
        <v>62</v>
      </c>
    </row>
    <row r="6" spans="1:24">
      <c r="A6" s="41" t="s">
        <v>242</v>
      </c>
      <c r="B6" s="42">
        <v>1.8</v>
      </c>
      <c r="C6" s="42">
        <v>1</v>
      </c>
      <c r="D6" s="42">
        <v>2</v>
      </c>
      <c r="H6" s="43">
        <v>7</v>
      </c>
      <c r="I6" s="44">
        <f t="shared" si="2"/>
        <v>12.6</v>
      </c>
      <c r="J6" s="44">
        <f t="shared" si="3"/>
        <v>7</v>
      </c>
      <c r="K6" s="44">
        <f t="shared" si="4"/>
        <v>14</v>
      </c>
      <c r="U6" s="45">
        <v>1</v>
      </c>
      <c r="V6" s="46">
        <f t="shared" si="5"/>
        <v>1.8</v>
      </c>
      <c r="W6" s="46">
        <f t="shared" si="6"/>
        <v>1</v>
      </c>
      <c r="X6" s="46">
        <f t="shared" si="7"/>
        <v>2</v>
      </c>
    </row>
    <row r="7" spans="1:24">
      <c r="A7" s="41" t="s">
        <v>237</v>
      </c>
      <c r="B7" s="42">
        <v>1.2</v>
      </c>
      <c r="C7" s="42">
        <v>0.8</v>
      </c>
      <c r="D7" s="42">
        <v>1.5</v>
      </c>
      <c r="H7" s="43">
        <v>1</v>
      </c>
      <c r="I7" s="44">
        <f t="shared" si="2"/>
        <v>1.2</v>
      </c>
      <c r="J7" s="44">
        <f t="shared" si="3"/>
        <v>0.8</v>
      </c>
      <c r="K7" s="44">
        <f t="shared" si="4"/>
        <v>1.5</v>
      </c>
      <c r="U7" s="45">
        <v>4</v>
      </c>
      <c r="V7" s="46">
        <f t="shared" si="5"/>
        <v>4.8</v>
      </c>
      <c r="W7" s="46">
        <f t="shared" si="6"/>
        <v>3.2</v>
      </c>
      <c r="X7" s="46">
        <f t="shared" si="7"/>
        <v>6</v>
      </c>
    </row>
    <row r="8" spans="1:24">
      <c r="A8" s="41" t="s">
        <v>243</v>
      </c>
      <c r="B8" s="42">
        <v>2.4</v>
      </c>
      <c r="C8" s="42">
        <v>1.4</v>
      </c>
      <c r="D8" s="42">
        <v>2.4</v>
      </c>
      <c r="H8" s="43">
        <v>2</v>
      </c>
      <c r="I8" s="44">
        <f t="shared" si="2"/>
        <v>4.8</v>
      </c>
      <c r="J8" s="44">
        <f t="shared" si="3"/>
        <v>2.8</v>
      </c>
      <c r="K8" s="44">
        <f t="shared" si="4"/>
        <v>4.8</v>
      </c>
      <c r="U8" s="45">
        <v>1</v>
      </c>
      <c r="V8" s="46">
        <f t="shared" si="5"/>
        <v>2.4</v>
      </c>
      <c r="W8" s="46">
        <f t="shared" si="6"/>
        <v>1.4</v>
      </c>
      <c r="X8" s="46">
        <f t="shared" si="7"/>
        <v>2.4</v>
      </c>
    </row>
    <row r="9" spans="1:24">
      <c r="A9" s="41" t="s">
        <v>238</v>
      </c>
      <c r="B9" s="42">
        <v>0.9</v>
      </c>
      <c r="C9" s="42">
        <v>0.2</v>
      </c>
      <c r="D9" s="42">
        <v>0.8</v>
      </c>
      <c r="F9" t="s">
        <v>101</v>
      </c>
      <c r="H9" s="43">
        <v>2</v>
      </c>
      <c r="I9" s="44">
        <f t="shared" si="2"/>
        <v>1.8</v>
      </c>
      <c r="J9" s="44">
        <f t="shared" si="3"/>
        <v>0.4</v>
      </c>
      <c r="K9" s="44">
        <f t="shared" si="4"/>
        <v>1.6</v>
      </c>
      <c r="U9" s="45">
        <v>1</v>
      </c>
      <c r="V9" s="46">
        <f t="shared" si="5"/>
        <v>0.9</v>
      </c>
      <c r="W9" s="46">
        <f t="shared" si="6"/>
        <v>0.2</v>
      </c>
      <c r="X9" s="46">
        <f t="shared" si="7"/>
        <v>0.8</v>
      </c>
    </row>
    <row r="10" spans="1:24">
      <c r="A10" s="41" t="s">
        <v>244</v>
      </c>
      <c r="B10" s="42">
        <v>0.99</v>
      </c>
      <c r="C10" s="42">
        <v>0.59</v>
      </c>
      <c r="D10" s="42">
        <v>2.59</v>
      </c>
      <c r="H10" s="43">
        <v>1</v>
      </c>
      <c r="I10" s="44">
        <f t="shared" si="2"/>
        <v>0.99</v>
      </c>
      <c r="J10" s="44">
        <f t="shared" si="3"/>
        <v>0.59</v>
      </c>
      <c r="K10" s="44">
        <f t="shared" si="4"/>
        <v>2.59</v>
      </c>
      <c r="U10" s="45">
        <v>1</v>
      </c>
      <c r="V10" s="46">
        <f t="shared" si="5"/>
        <v>0.99</v>
      </c>
      <c r="W10" s="46">
        <f t="shared" si="6"/>
        <v>0.59</v>
      </c>
      <c r="X10" s="46">
        <f t="shared" si="7"/>
        <v>2.59</v>
      </c>
    </row>
    <row r="11" spans="1:24">
      <c r="A11" s="41" t="s">
        <v>245</v>
      </c>
      <c r="B11" s="42">
        <v>1.25</v>
      </c>
      <c r="C11" s="42">
        <v>3.25</v>
      </c>
      <c r="D11" s="42">
        <v>2.15</v>
      </c>
      <c r="H11" s="43">
        <v>4</v>
      </c>
      <c r="I11" s="44">
        <f t="shared" si="2"/>
        <v>5</v>
      </c>
      <c r="J11" s="44">
        <f t="shared" si="3"/>
        <v>13</v>
      </c>
      <c r="K11" s="44">
        <f t="shared" si="4"/>
        <v>8.6</v>
      </c>
      <c r="U11" s="45">
        <v>3</v>
      </c>
      <c r="V11" s="46">
        <f t="shared" si="5"/>
        <v>3.75</v>
      </c>
      <c r="W11" s="46">
        <f t="shared" si="6"/>
        <v>9.75</v>
      </c>
      <c r="X11" s="46">
        <f t="shared" si="7"/>
        <v>6.4499999999999993</v>
      </c>
    </row>
    <row r="12" spans="1:24">
      <c r="A12" s="41" t="s">
        <v>246</v>
      </c>
      <c r="B12" s="42">
        <v>9.5</v>
      </c>
      <c r="C12" s="42">
        <v>14</v>
      </c>
      <c r="D12" s="42">
        <v>13</v>
      </c>
      <c r="H12" s="43">
        <v>1</v>
      </c>
      <c r="I12" s="44">
        <f t="shared" si="2"/>
        <v>9.5</v>
      </c>
      <c r="J12" s="44">
        <f t="shared" si="3"/>
        <v>14</v>
      </c>
      <c r="K12" s="44">
        <f t="shared" si="4"/>
        <v>13</v>
      </c>
      <c r="U12" s="45">
        <v>1</v>
      </c>
      <c r="V12" s="46">
        <f t="shared" si="5"/>
        <v>9.5</v>
      </c>
      <c r="W12" s="46">
        <f t="shared" si="6"/>
        <v>14</v>
      </c>
      <c r="X12" s="46">
        <f t="shared" si="7"/>
        <v>13</v>
      </c>
    </row>
    <row r="13" spans="1:24">
      <c r="A13" s="41" t="s">
        <v>247</v>
      </c>
      <c r="B13" s="42">
        <v>4.55</v>
      </c>
      <c r="C13" s="42">
        <v>2.5499999999999998</v>
      </c>
      <c r="D13" s="42">
        <v>6</v>
      </c>
      <c r="H13" s="43">
        <v>1</v>
      </c>
      <c r="I13" s="44">
        <f t="shared" si="2"/>
        <v>4.55</v>
      </c>
      <c r="J13" s="44">
        <f t="shared" si="3"/>
        <v>2.5499999999999998</v>
      </c>
      <c r="K13" s="44">
        <f t="shared" si="4"/>
        <v>6</v>
      </c>
      <c r="U13" s="45">
        <v>1</v>
      </c>
      <c r="V13" s="46">
        <f t="shared" si="5"/>
        <v>4.55</v>
      </c>
      <c r="W13" s="46">
        <f t="shared" si="6"/>
        <v>2.5499999999999998</v>
      </c>
      <c r="X13" s="46">
        <f t="shared" si="7"/>
        <v>6</v>
      </c>
    </row>
    <row r="14" spans="1:24">
      <c r="A14" s="41" t="s">
        <v>248</v>
      </c>
      <c r="B14" s="42">
        <v>4.2</v>
      </c>
      <c r="C14" s="42">
        <v>2.2000000000000002</v>
      </c>
      <c r="D14" s="42">
        <v>3</v>
      </c>
      <c r="H14" s="43">
        <v>1</v>
      </c>
      <c r="I14" s="44">
        <f t="shared" si="2"/>
        <v>4.2</v>
      </c>
      <c r="J14" s="44">
        <f t="shared" si="3"/>
        <v>2.2000000000000002</v>
      </c>
      <c r="K14" s="44">
        <f t="shared" si="4"/>
        <v>3</v>
      </c>
      <c r="U14" s="45">
        <v>5</v>
      </c>
      <c r="V14" s="46">
        <f t="shared" si="5"/>
        <v>21</v>
      </c>
      <c r="W14" s="46">
        <f t="shared" si="6"/>
        <v>11</v>
      </c>
      <c r="X14" s="46">
        <f t="shared" si="7"/>
        <v>15</v>
      </c>
    </row>
    <row r="15" spans="1:24">
      <c r="A15" s="41" t="s">
        <v>249</v>
      </c>
      <c r="B15" s="42">
        <v>3.9</v>
      </c>
      <c r="C15" s="42">
        <v>5</v>
      </c>
      <c r="D15" s="42">
        <v>8</v>
      </c>
      <c r="H15" s="43">
        <v>1</v>
      </c>
      <c r="I15" s="44">
        <f t="shared" si="2"/>
        <v>3.9</v>
      </c>
      <c r="J15" s="44">
        <f t="shared" si="3"/>
        <v>5</v>
      </c>
      <c r="K15" s="44">
        <f t="shared" si="4"/>
        <v>8</v>
      </c>
      <c r="U15" s="45">
        <v>1</v>
      </c>
      <c r="V15" s="46">
        <f t="shared" si="5"/>
        <v>3.9</v>
      </c>
      <c r="W15" s="46">
        <f t="shared" si="6"/>
        <v>5</v>
      </c>
      <c r="X15" s="46">
        <f t="shared" si="7"/>
        <v>8</v>
      </c>
    </row>
    <row r="16" spans="1:24">
      <c r="A16" s="41" t="s">
        <v>250</v>
      </c>
      <c r="B16" s="42">
        <v>1</v>
      </c>
      <c r="C16" s="42">
        <v>2</v>
      </c>
      <c r="D16" s="42">
        <v>1</v>
      </c>
      <c r="H16" s="43">
        <v>1</v>
      </c>
      <c r="I16" s="44">
        <f t="shared" si="2"/>
        <v>1</v>
      </c>
      <c r="J16" s="44">
        <f t="shared" si="3"/>
        <v>2</v>
      </c>
      <c r="K16" s="44">
        <f t="shared" si="4"/>
        <v>1</v>
      </c>
      <c r="U16" s="45">
        <v>1</v>
      </c>
      <c r="V16" s="46">
        <f t="shared" si="5"/>
        <v>1</v>
      </c>
      <c r="W16" s="46">
        <f t="shared" si="6"/>
        <v>2</v>
      </c>
      <c r="X16" s="46">
        <f t="shared" si="7"/>
        <v>1</v>
      </c>
    </row>
    <row r="17" spans="1:24">
      <c r="A17" s="41" t="s">
        <v>239</v>
      </c>
      <c r="B17" s="42">
        <v>1.75</v>
      </c>
      <c r="C17" s="42">
        <v>2</v>
      </c>
      <c r="D17" s="42">
        <v>1</v>
      </c>
      <c r="H17" s="43">
        <v>1</v>
      </c>
      <c r="I17" s="44">
        <f t="shared" si="2"/>
        <v>1.75</v>
      </c>
      <c r="J17" s="44">
        <f t="shared" si="3"/>
        <v>2</v>
      </c>
      <c r="K17" s="44">
        <f t="shared" si="4"/>
        <v>1</v>
      </c>
      <c r="U17" s="45">
        <v>5</v>
      </c>
      <c r="V17" s="46">
        <f t="shared" si="5"/>
        <v>8.75</v>
      </c>
      <c r="W17" s="46">
        <f t="shared" si="6"/>
        <v>10</v>
      </c>
      <c r="X17" s="46">
        <f t="shared" si="7"/>
        <v>5</v>
      </c>
    </row>
    <row r="18" spans="1:24">
      <c r="A18" s="41" t="s">
        <v>240</v>
      </c>
      <c r="B18" s="42">
        <v>2</v>
      </c>
      <c r="C18" s="42">
        <v>1</v>
      </c>
      <c r="D18" s="42">
        <v>3</v>
      </c>
      <c r="H18" s="43">
        <v>1</v>
      </c>
      <c r="I18" s="44">
        <f t="shared" si="2"/>
        <v>2</v>
      </c>
      <c r="J18" s="44">
        <f t="shared" si="3"/>
        <v>1</v>
      </c>
      <c r="K18" s="44">
        <f t="shared" si="4"/>
        <v>3</v>
      </c>
      <c r="U18" s="45">
        <v>1</v>
      </c>
      <c r="V18" s="46">
        <f t="shared" si="5"/>
        <v>2</v>
      </c>
      <c r="W18" s="46">
        <f t="shared" si="6"/>
        <v>1</v>
      </c>
      <c r="X18" s="46">
        <f t="shared" si="7"/>
        <v>3</v>
      </c>
    </row>
    <row r="19" spans="1:24">
      <c r="H19" s="43"/>
      <c r="I19" s="43"/>
      <c r="J19" s="43"/>
      <c r="K19" s="43"/>
      <c r="U19" s="45"/>
      <c r="V19" s="45"/>
      <c r="W19" s="45"/>
      <c r="X19" s="45"/>
    </row>
    <row r="20" spans="1:24">
      <c r="H20" s="43" t="s">
        <v>8</v>
      </c>
      <c r="I20" s="44">
        <f>SUM(I4:I18)</f>
        <v>82.79</v>
      </c>
      <c r="J20" s="44">
        <f t="shared" ref="J20:K20" si="8">SUM(J4:J18)</f>
        <v>87.539999999999992</v>
      </c>
      <c r="K20" s="44">
        <f t="shared" si="8"/>
        <v>103.28999999999999</v>
      </c>
      <c r="U20" s="45" t="s">
        <v>8</v>
      </c>
      <c r="V20" s="46">
        <f>SUM(V4:V18)</f>
        <v>122.34</v>
      </c>
      <c r="W20" s="46">
        <f t="shared" ref="W20:X20" si="9">SUM(W4:W18)</f>
        <v>128.49</v>
      </c>
      <c r="X20" s="46">
        <f t="shared" si="9"/>
        <v>136.04000000000002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2"/>
  <sheetViews>
    <sheetView tabSelected="1" topLeftCell="A2" workbookViewId="0">
      <selection activeCell="G10" sqref="G10"/>
    </sheetView>
  </sheetViews>
  <sheetFormatPr defaultRowHeight="15"/>
  <cols>
    <col min="1" max="1" width="27.28515625" bestFit="1" customWidth="1"/>
    <col min="2" max="2" width="15.7109375" bestFit="1" customWidth="1"/>
    <col min="3" max="3" width="19.28515625" bestFit="1" customWidth="1"/>
    <col min="4" max="4" width="21.140625" bestFit="1" customWidth="1"/>
    <col min="5" max="5" width="10.28515625" bestFit="1" customWidth="1"/>
  </cols>
  <sheetData>
    <row r="1" spans="1:5">
      <c r="B1" t="s">
        <v>254</v>
      </c>
    </row>
    <row r="2" spans="1:5">
      <c r="B2" t="s">
        <v>257</v>
      </c>
      <c r="C2" t="s">
        <v>258</v>
      </c>
      <c r="D2" t="s">
        <v>259</v>
      </c>
    </row>
    <row r="4" spans="1:5">
      <c r="A4" t="s">
        <v>260</v>
      </c>
      <c r="B4" s="49"/>
      <c r="C4" s="49"/>
      <c r="D4" s="49"/>
      <c r="E4" s="49"/>
    </row>
    <row r="5" spans="1:5">
      <c r="A5" t="s">
        <v>271</v>
      </c>
      <c r="B5" s="49">
        <f>555*2</f>
        <v>1110</v>
      </c>
      <c r="C5" s="49"/>
      <c r="D5" s="49"/>
      <c r="E5" s="49"/>
    </row>
    <row r="6" spans="1:5">
      <c r="A6" t="s">
        <v>261</v>
      </c>
      <c r="B6" s="49"/>
      <c r="C6" s="49">
        <v>0</v>
      </c>
      <c r="D6" s="49">
        <f>40*4</f>
        <v>160</v>
      </c>
      <c r="E6" s="49"/>
    </row>
    <row r="7" spans="1:5">
      <c r="A7" t="s">
        <v>262</v>
      </c>
      <c r="B7" s="49">
        <f>350*2</f>
        <v>700</v>
      </c>
      <c r="C7" s="49">
        <f>100*2</f>
        <v>200</v>
      </c>
      <c r="D7" s="49">
        <f>280*2</f>
        <v>560</v>
      </c>
      <c r="E7" s="49"/>
    </row>
    <row r="8" spans="1:5">
      <c r="A8" t="s">
        <v>263</v>
      </c>
      <c r="B8" s="49"/>
      <c r="C8" s="49">
        <f>99*2</f>
        <v>198</v>
      </c>
      <c r="D8" s="49"/>
      <c r="E8" s="49"/>
    </row>
    <row r="9" spans="1:5">
      <c r="A9" t="s">
        <v>264</v>
      </c>
      <c r="B9" s="49"/>
      <c r="C9" s="49">
        <f>95*2</f>
        <v>190</v>
      </c>
      <c r="D9" s="49"/>
      <c r="E9" s="49"/>
    </row>
    <row r="10" spans="1:5">
      <c r="A10" t="s">
        <v>265</v>
      </c>
      <c r="B10" s="49"/>
      <c r="C10" s="49">
        <f>85*2</f>
        <v>170</v>
      </c>
      <c r="D10" s="49"/>
      <c r="E10" s="49"/>
    </row>
    <row r="11" spans="1:5">
      <c r="A11" t="s">
        <v>266</v>
      </c>
      <c r="B11" s="49"/>
      <c r="C11" s="49">
        <f>85*2</f>
        <v>170</v>
      </c>
      <c r="D11" s="49"/>
      <c r="E11" s="49"/>
    </row>
    <row r="12" spans="1:5">
      <c r="A12" t="s">
        <v>267</v>
      </c>
      <c r="B12" s="49"/>
      <c r="C12" s="49"/>
      <c r="D12" s="49">
        <f>18*2</f>
        <v>36</v>
      </c>
      <c r="E12" s="49"/>
    </row>
    <row r="13" spans="1:5">
      <c r="A13" t="s">
        <v>268</v>
      </c>
      <c r="B13" s="49"/>
      <c r="C13" s="49"/>
      <c r="D13" s="49">
        <f>25*2</f>
        <v>50</v>
      </c>
      <c r="E13" s="49"/>
    </row>
    <row r="14" spans="1:5">
      <c r="A14" t="s">
        <v>269</v>
      </c>
      <c r="B14" s="49"/>
      <c r="C14" s="49"/>
      <c r="D14" s="49">
        <f>15*2</f>
        <v>30</v>
      </c>
      <c r="E14" s="49"/>
    </row>
    <row r="15" spans="1:5">
      <c r="A15" t="s">
        <v>270</v>
      </c>
      <c r="B15" s="49"/>
      <c r="C15" s="49"/>
      <c r="D15" s="49">
        <f>9*2</f>
        <v>18</v>
      </c>
      <c r="E15" s="49"/>
    </row>
    <row r="16" spans="1:5">
      <c r="A16" t="s">
        <v>272</v>
      </c>
      <c r="C16" s="49">
        <f>105*5</f>
        <v>525</v>
      </c>
      <c r="D16" s="49">
        <f>120*5</f>
        <v>600</v>
      </c>
      <c r="E16" s="49"/>
    </row>
    <row r="17" spans="1:5">
      <c r="A17" t="s">
        <v>273</v>
      </c>
      <c r="C17" s="49">
        <f>100*4</f>
        <v>400</v>
      </c>
      <c r="D17" s="49">
        <f>100*4</f>
        <v>400</v>
      </c>
      <c r="E17" s="49"/>
    </row>
    <row r="20" spans="1:5">
      <c r="A20" t="s">
        <v>8</v>
      </c>
      <c r="B20" s="49">
        <f>SUM(B5:B17)</f>
        <v>1810</v>
      </c>
      <c r="C20" s="49">
        <f t="shared" ref="C20:D20" si="0">SUM(C5:C17)</f>
        <v>1853</v>
      </c>
      <c r="D20" s="49">
        <f t="shared" si="0"/>
        <v>1854</v>
      </c>
    </row>
    <row r="22" spans="1:5">
      <c r="C22" s="49"/>
    </row>
  </sheetData>
  <conditionalFormatting sqref="B5:D17">
    <cfRule type="containsBlanks" dxfId="1" priority="1">
      <formula>LEN(TRIM(B5))=0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Payroll</vt:lpstr>
      <vt:lpstr>GradeBook</vt:lpstr>
      <vt:lpstr>Sales Report</vt:lpstr>
      <vt:lpstr>Sales Report Chart</vt:lpstr>
      <vt:lpstr>Car Inventory</vt:lpstr>
      <vt:lpstr>Cal Inventory Pivot</vt:lpstr>
      <vt:lpstr>Loan Calculator</vt:lpstr>
      <vt:lpstr>Shopping List Project</vt:lpstr>
      <vt:lpstr> 3 vacations</vt:lpstr>
    </vt:vector>
  </TitlesOfParts>
  <Company>Office07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2023-10-31T12:27:43Z</dcterms:created>
  <dcterms:modified xsi:type="dcterms:W3CDTF">2023-11-14T13:47:28Z</dcterms:modified>
</cp:coreProperties>
</file>