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699c8f30cb638f/Desktop/Analysis Projects/"/>
    </mc:Choice>
  </mc:AlternateContent>
  <xr:revisionPtr revIDLastSave="398" documentId="8_{0F41AF85-B7F6-43CA-B263-076F7EDAC3F1}" xr6:coauthVersionLast="47" xr6:coauthVersionMax="47" xr10:uidLastSave="{0BAA2C31-9EDC-4B09-9D39-F15C7379BBDF}"/>
  <bookViews>
    <workbookView minimized="1" xWindow="5745" yWindow="60" windowWidth="14730" windowHeight="9960" tabRatio="768" firstSheet="1" activeTab="5" xr2:uid="{00000000-000D-0000-FFFF-FFFF00000000}"/>
  </bookViews>
  <sheets>
    <sheet name="Crowdfunding" sheetId="1" r:id="rId1"/>
    <sheet name="Parent Category Stats" sheetId="3" r:id="rId2"/>
    <sheet name="Sub-Category Stats" sheetId="5" r:id="rId3"/>
    <sheet name="outcomes based on launch date" sheetId="7" r:id="rId4"/>
    <sheet name="goal analysis" sheetId="8" r:id="rId5"/>
    <sheet name="Statistical Analysis" sheetId="9" r:id="rId6"/>
  </sheets>
  <definedNames>
    <definedName name="_xlnm._FilterDatabase" localSheetId="0" hidden="1">Crowdfunding!$A$1:$T$1</definedName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Analysis'!$E$1</definedName>
    <definedName name="_xlchart.v1.7" hidden="1">'Statistical Analysis'!$E$2:$E$566</definedName>
    <definedName name="Outcome">#REF!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I5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3" i="9"/>
  <c r="N2" i="9"/>
  <c r="M3" i="9"/>
  <c r="M2" i="9"/>
  <c r="L3" i="9"/>
  <c r="L2" i="9"/>
  <c r="K3" i="9"/>
  <c r="K2" i="9"/>
  <c r="J3" i="9"/>
  <c r="J2" i="9"/>
  <c r="I3" i="9"/>
  <c r="I2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G3" i="8"/>
  <c r="G4" i="8"/>
  <c r="G5" i="8"/>
  <c r="G6" i="8"/>
  <c r="G7" i="8"/>
  <c r="G8" i="8"/>
  <c r="G9" i="8"/>
  <c r="G10" i="8"/>
  <c r="G11" i="8"/>
  <c r="G12" i="8"/>
  <c r="G13" i="8"/>
  <c r="D2" i="8"/>
  <c r="B2" i="8"/>
  <c r="C2" i="8"/>
  <c r="E2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<sst xmlns="http://schemas.openxmlformats.org/spreadsheetml/2006/main" count="7060" uniqueCount="2113">
  <si>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</si>
  <si>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</si>
  <si>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</si>
  <si>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</si>
  <si>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</si>
  <si>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</si>
  <si>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</si>
  <si>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</si>
  <si>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</si>
  <si>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</si>
  <si>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</si>
  <si>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</si>
  <si>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</si>
  <si>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</si>
  <si>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</si>
  <si>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</si>
  <si>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</si>
  <si>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</si>
  <si>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</si>
  <si>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</si>
  <si>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</si>
  <si>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</si>
  <si>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</si>
  <si>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</si>
  <si>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</si>
  <si>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</si>
  <si>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</si>
  <si>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</si>
  <si>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</si>
  <si>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</si>
  <si>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</si>
  <si>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</si>
  <si>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</si>
  <si>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</si>
  <si>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</si>
  <si>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</si>
  <si>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</si>
  <si>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</si>
  <si>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</si>
  <si>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</si>
  <si>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</si>
  <si>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</si>
  <si>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</si>
  <si>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</si>
  <si>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</si>
  <si>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</si>
  <si>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</si>
  <si>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</si>
  <si>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</si>
  <si>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</si>
  <si>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</si>
  <si>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</si>
  <si>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</si>
  <si>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</si>
  <si>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</si>
  <si>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</si>
  <si>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</si>
  <si>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</si>
  <si>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</si>
  <si>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</si>
  <si>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</si>
  <si>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</si>
  <si>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</si>
  <si>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</si>
  <si>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</si>
  <si>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</si>
  <si>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</si>
  <si>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</si>
  <si>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</si>
  <si>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</si>
  <si>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</si>
  <si>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</si>
  <si>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</si>
  <si>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</si>
  <si>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</si>
  <si>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</si>
  <si>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</si>
  <si>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</si>
  <si>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</si>
  <si>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</si>
  <si>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</si>
  <si>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</si>
  <si>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</si>
  <si>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</si>
  <si>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</si>
  <si>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</si>
  <si>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</si>
  <si>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</si>
  <si>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</si>
  <si>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</si>
  <si>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</si>
  <si>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</si>
  <si>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</si>
  <si>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</si>
  <si>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</si>
  <si>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</si>
  <si>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</si>
  <si>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</si>
  <si>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</si>
  <si>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</si>
  <si>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</si>
  <si>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</si>
  <si>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</si>
  <si>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</si>
  <si>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</si>
  <si>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</si>
  <si>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</si>
  <si>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</si>
  <si>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</si>
  <si>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</si>
  <si>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</si>
  <si>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</si>
  <si>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</si>
  <si>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</si>
  <si>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</si>
  <si>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</si>
  <si>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</si>
  <si>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</si>
  <si>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</si>
  <si>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</si>
  <si>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</si>
  <si>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</si>
  <si>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</si>
  <si>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</si>
  <si>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</si>
  <si>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</si>
  <si>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</si>
  <si>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</si>
  <si>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</si>
  <si>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</si>
  <si>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</si>
  <si>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</si>
  <si>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</si>
  <si>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</si>
  <si>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</si>
  <si>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</si>
  <si>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</si>
  <si>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</si>
  <si>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</si>
  <si>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</si>
  <si>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</si>
  <si>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</si>
  <si>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</si>
  <si>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</si>
  <si>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</si>
  <si>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</si>
  <si>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</si>
  <si>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</si>
  <si>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</si>
  <si>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</si>
  <si>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</si>
  <si>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</si>
  <si>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</si>
  <si>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</si>
  <si>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</si>
  <si>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</si>
  <si>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</si>
  <si>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</si>
  <si>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</si>
  <si>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</si>
  <si>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</si>
  <si>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</si>
  <si>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</si>
  <si>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</si>
  <si>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</si>
  <si>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</si>
  <si>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</si>
  <si>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</si>
  <si>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</si>
  <si>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</si>
  <si>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</si>
  <si>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</si>
  <si>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</si>
  <si>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</si>
  <si>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</si>
  <si>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</si>
  <si>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</si>
  <si>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</si>
  <si>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</si>
  <si>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</si>
  <si>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</si>
  <si>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</si>
  <si>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</si>
  <si>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</si>
  <si>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</si>
  <si>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</si>
  <si>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</si>
  <si>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</si>
  <si>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</si>
  <si>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</si>
  <si>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</si>
  <si>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</si>
  <si>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</si>
  <si>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</si>
  <si>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</si>
  <si>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</si>
  <si>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</si>
  <si>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</si>
  <si>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</si>
  <si>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</si>
  <si>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</si>
  <si>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</si>
  <si>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</si>
  <si>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</si>
  <si>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</si>
  <si>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</si>
  <si>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</si>
  <si>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</si>
  <si>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</si>
  <si>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</si>
  <si>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</si>
  <si>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</si>
  <si>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</si>
  <si>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</si>
  <si>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</si>
  <si>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</si>
  <si>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</si>
  <si>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</si>
  <si>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</si>
  <si>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</si>
  <si>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</si>
  <si>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</si>
  <si>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</si>
  <si>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</si>
  <si>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</si>
  <si>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</si>
  <si>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</si>
  <si>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</si>
  <si>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</si>
  <si>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</si>
  <si>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</si>
  <si>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</si>
  <si>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</si>
  <si>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</si>
  <si>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</si>
  <si>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</si>
  <si>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</si>
  <si>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</si>
  <si>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</si>
  <si>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</si>
  <si>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</si>
  <si>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</si>
  <si>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</si>
  <si>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</si>
  <si>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</si>
  <si>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</si>
  <si>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</si>
  <si>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</si>
  <si>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</si>
  <si>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</si>
  <si>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</si>
  <si>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</si>
  <si>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</si>
  <si>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</si>
  <si>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</si>
  <si>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</si>
  <si>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</si>
  <si>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</si>
  <si>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</si>
  <si>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</si>
  <si>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</si>
  <si>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</si>
  <si>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</si>
  <si>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</si>
  <si>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</si>
  <si>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</si>
  <si>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</si>
  <si>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</si>
  <si>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</si>
  <si>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</si>
  <si>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</si>
  <si>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</si>
  <si>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</si>
  <si>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</si>
  <si>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</si>
  <si>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</si>
  <si>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</si>
  <si>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</si>
  <si>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</si>
  <si>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</si>
  <si>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</si>
  <si>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</si>
  <si>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</si>
  <si>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</si>
  <si>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</si>
  <si>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</si>
  <si>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</si>
  <si>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</si>
  <si>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</si>
  <si>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</si>
  <si>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</si>
  <si>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</si>
  <si>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</si>
  <si>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</si>
  <si>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</si>
  <si>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</si>
  <si>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</si>
  <si>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</si>
  <si>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</si>
  <si>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</si>
  <si>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</si>
  <si>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</si>
  <si>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</si>
  <si>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</si>
  <si>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</si>
  <si>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</si>
  <si>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</si>
  <si>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</si>
  <si>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</si>
  <si>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</si>
  <si>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</si>
  <si>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</si>
  <si>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</si>
  <si>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</si>
  <si>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</si>
  <si>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</si>
  <si>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</si>
  <si>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</si>
  <si>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</si>
  <si>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</si>
  <si>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</si>
  <si>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</si>
  <si>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</si>
  <si>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</si>
  <si>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</si>
  <si>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</si>
  <si>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</si>
  <si>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</si>
  <si>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</si>
  <si>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</si>
  <si>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</si>
  <si>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</si>
  <si>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</si>
  <si>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</si>
  <si>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</si>
  <si>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</si>
  <si>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</si>
  <si>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</si>
  <si>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</si>
  <si>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</si>
  <si>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</si>
  <si>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</si>
  <si>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</si>
  <si>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</si>
  <si>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</si>
  <si>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</si>
  <si>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</si>
  <si>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</si>
  <si>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</si>
  <si>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</si>
  <si>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</si>
  <si>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</si>
  <si>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</si>
  <si>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</si>
  <si>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</si>
  <si>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</si>
  <si>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</si>
  <si>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</si>
  <si>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</si>
  <si>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</si>
  <si>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</si>
  <si>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</si>
  <si>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</si>
  <si>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</si>
  <si>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</si>
  <si>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</si>
  <si>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</si>
  <si>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</si>
  <si>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</si>
  <si>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</si>
  <si>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</si>
  <si>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</si>
  <si>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</si>
  <si>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</si>
  <si>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</si>
  <si>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</si>
  <si>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</si>
  <si>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</si>
  <si>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</si>
  <si>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</si>
  <si>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</si>
  <si>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</si>
  <si>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</si>
  <si>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</si>
  <si>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</si>
  <si>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</si>
  <si>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</si>
  <si>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</si>
  <si>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</si>
  <si>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</si>
  <si>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</si>
  <si>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</si>
  <si>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</si>
  <si>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</si>
  <si>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</si>
  <si>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</si>
  <si>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</si>
  <si>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</si>
  <si>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</si>
  <si>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</si>
  <si>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</si>
  <si>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</si>
  <si>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</si>
  <si>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</si>
  <si>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</si>
  <si>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</si>
  <si>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</si>
  <si>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</si>
  <si>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</si>
  <si>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</si>
  <si>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</si>
  <si>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</si>
  <si>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</si>
  <si>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</si>
  <si>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</si>
  <si>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</si>
  <si>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</si>
  <si>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</si>
  <si>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</si>
  <si>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</si>
  <si>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</si>
  <si>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</si>
  <si>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</si>
  <si>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</si>
  <si>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</si>
  <si>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</si>
  <si>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</si>
  <si>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</si>
  <si>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</si>
  <si>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</si>
  <si>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</si>
  <si>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</si>
  <si>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</si>
  <si>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</si>
  <si>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</si>
  <si>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</si>
  <si>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</si>
  <si>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</si>
  <si>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</si>
  <si>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</si>
  <si>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</si>
  <si>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</si>
  <si>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</si>
  <si>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</si>
  <si>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</si>
  <si>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</si>
  <si>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</si>
  <si>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</si>
  <si>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</si>
  <si>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</si>
  <si>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</si>
  <si>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</si>
  <si>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</si>
  <si>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</si>
  <si>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</si>
  <si>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</si>
  <si>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</si>
  <si>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</si>
  <si>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</si>
  <si>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</si>
  <si>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</si>
  <si>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</si>
  <si>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</si>
  <si>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</si>
  <si>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</si>
  <si>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</si>
  <si>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</si>
  <si>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</si>
  <si>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</si>
  <si>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</si>
  <si>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</si>
  <si>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</si>
  <si>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</si>
  <si>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</si>
  <si>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</si>
  <si>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</si>
  <si>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</si>
  <si>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</si>
  <si>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</si>
  <si>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</si>
  <si>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</si>
  <si>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</si>
  <si>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</si>
  <si>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</si>
  <si>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</si>
  <si>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</si>
  <si>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</si>
  <si>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</si>
  <si>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</si>
  <si>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</si>
  <si>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</si>
  <si>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</si>
  <si>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</si>
  <si>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</si>
  <si>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</si>
  <si>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</si>
  <si>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</si>
  <si>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</si>
  <si>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</si>
  <si>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</si>
  <si>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</si>
  <si>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</si>
  <si>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</si>
  <si>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</si>
  <si>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</si>
  <si>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</si>
  <si>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</si>
  <si>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</si>
  <si>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</si>
  <si>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</si>
  <si>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</si>
  <si>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</si>
  <si>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</si>
  <si>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</si>
  <si>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</si>
  <si>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</si>
  <si>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</si>
  <si>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</si>
  <si>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</si>
  <si>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</si>
  <si>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</si>
  <si>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</si>
  <si>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</si>
  <si>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</si>
  <si>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</si>
  <si>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</si>
  <si>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</si>
  <si>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</si>
  <si>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</si>
  <si>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</si>
  <si>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</si>
  <si>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</si>
  <si>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</si>
  <si>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</si>
  <si>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</si>
  <si>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</si>
  <si>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</si>
  <si>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</si>
  <si>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</si>
  <si>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</si>
  <si>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</si>
  <si>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</si>
  <si>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</si>
  <si>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</si>
  <si>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</si>
  <si>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</si>
  <si>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</si>
  <si>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</si>
  <si>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</si>
  <si>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</si>
  <si>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</si>
  <si>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</si>
  <si>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</si>
  <si>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</si>
  <si>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</si>
  <si>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</si>
  <si>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</si>
  <si>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</si>
  <si>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</si>
  <si>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</si>
  <si>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</si>
  <si>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</si>
  <si>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</si>
  <si>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</si>
  <si>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</si>
  <si>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</si>
  <si>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</si>
  <si>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</si>
  <si>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</si>
  <si>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</si>
  <si>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</si>
  <si>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</si>
  <si>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</si>
  <si>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</si>
  <si>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</si>
  <si>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</si>
  <si>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</si>
  <si>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</si>
  <si>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</si>
  <si>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</si>
  <si>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</si>
  <si>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</si>
  <si>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</si>
  <si>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</si>
  <si>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</si>
  <si>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</si>
  <si>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</si>
  <si>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</si>
  <si>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</si>
  <si>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</si>
  <si>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</si>
  <si>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</si>
  <si>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</si>
  <si>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</si>
  <si>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</si>
  <si>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</si>
  <si>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</si>
  <si>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</si>
  <si>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</si>
  <si>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</si>
  <si>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</si>
  <si>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</si>
  <si>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</si>
  <si>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</si>
  <si>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</si>
  <si>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</si>
  <si>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</si>
  <si>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</si>
  <si>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</si>
  <si>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</si>
  <si>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</si>
  <si>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</si>
  <si>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</si>
  <si>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</si>
  <si>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</si>
  <si>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</si>
  <si>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</si>
  <si>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</si>
  <si>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</si>
  <si>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</si>
  <si>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</si>
  <si>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</si>
  <si>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</si>
  <si>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</si>
  <si>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</si>
  <si>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</si>
  <si>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</si>
  <si>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</si>
  <si>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</si>
  <si>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</si>
  <si>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</si>
  <si>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</si>
  <si>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</si>
  <si>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</si>
  <si>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</si>
  <si>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</si>
  <si>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</si>
  <si>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</si>
  <si>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</si>
  <si>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</si>
  <si>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</si>
  <si>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</si>
  <si>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</si>
  <si>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</si>
  <si>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</si>
  <si>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</si>
  <si>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</si>
  <si>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</si>
  <si>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</si>
  <si>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</si>
  <si>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</si>
  <si>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</si>
  <si>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</si>
  <si>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</si>
  <si>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</si>
  <si>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</si>
  <si>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</si>
  <si>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</si>
  <si>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</si>
  <si>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</si>
  <si>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</si>
  <si>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</si>
  <si>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</si>
  <si>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</si>
  <si>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</si>
  <si>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</si>
  <si>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</si>
  <si>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</si>
  <si>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</si>
  <si>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</si>
  <si>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</si>
  <si>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</si>
  <si>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</si>
  <si>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</si>
  <si>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</si>
  <si>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</si>
  <si>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</si>
  <si>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</si>
  <si>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</si>
  <si>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</si>
  <si>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</si>
  <si>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</si>
  <si>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</si>
  <si>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</si>
  <si>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</si>
  <si>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</si>
  <si>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</si>
  <si>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</si>
  <si>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</si>
  <si>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</si>
  <si>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</si>
  <si>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</si>
  <si>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</si>
  <si>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</si>
  <si>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</si>
  <si>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</si>
  <si>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</si>
  <si>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</si>
  <si>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</si>
  <si>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</si>
  <si>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</si>
  <si>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</si>
  <si>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</si>
  <si>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</si>
  <si>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</si>
  <si>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</si>
  <si>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</si>
  <si>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</si>
  <si>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</si>
  <si>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</si>
  <si>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</si>
  <si>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</si>
  <si>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</si>
  <si>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</si>
  <si>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</si>
  <si>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</si>
  <si>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</si>
  <si>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</si>
  <si>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</si>
  <si>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</si>
  <si>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</si>
  <si>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</si>
  <si>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</si>
  <si>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</si>
  <si>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</si>
  <si>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</si>
  <si>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</si>
  <si>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</si>
  <si>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</si>
  <si>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</si>
  <si>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</si>
  <si>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</si>
  <si>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</si>
  <si>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</si>
  <si>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</si>
  <si>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</si>
  <si>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</si>
  <si>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</si>
  <si>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</si>
  <si>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</si>
  <si>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</si>
  <si>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</si>
  <si>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</si>
  <si>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</si>
  <si>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</si>
  <si>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</si>
  <si>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</si>
  <si>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</si>
  <si>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</si>
  <si>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</si>
  <si>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</si>
  <si>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</si>
  <si>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</si>
  <si>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</si>
  <si>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</si>
  <si>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</si>
  <si>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</si>
  <si>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</si>
  <si>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</si>
  <si>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</si>
  <si>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</si>
  <si>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</si>
  <si>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</si>
  <si>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</si>
  <si>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</si>
  <si>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</si>
  <si>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</si>
  <si>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</si>
  <si>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</si>
  <si>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</si>
  <si>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</si>
  <si>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</si>
  <si>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</si>
  <si>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</si>
  <si>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</si>
  <si>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</si>
  <si>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</si>
  <si>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</si>
  <si>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</si>
  <si>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</si>
  <si>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</si>
  <si>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</si>
  <si>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</si>
  <si>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</si>
  <si>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</si>
  <si>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</si>
  <si>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</si>
  <si>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</si>
  <si>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</si>
  <si>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</si>
  <si>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</si>
  <si>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</si>
  <si>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</si>
  <si>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</si>
  <si>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</si>
  <si>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</si>
  <si>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</si>
  <si>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</si>
  <si>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</si>
  <si>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</si>
  <si>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</si>
  <si>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</si>
  <si>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</si>
  <si>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</si>
  <si>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</si>
  <si>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</si>
  <si>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</si>
  <si>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</si>
  <si>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</si>
  <si>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</si>
  <si>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</si>
  <si>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</si>
  <si>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</si>
  <si>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</si>
  <si>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</si>
  <si>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</si>
  <si>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</si>
  <si>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</si>
  <si>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</si>
  <si>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</si>
  <si>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</si>
  <si>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</si>
  <si>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</si>
  <si>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</si>
  <si>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</si>
  <si>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</si>
  <si>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</si>
  <si>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</si>
  <si>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</si>
  <si>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</si>
  <si>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</si>
  <si>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</si>
  <si>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</si>
  <si>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</si>
  <si>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</si>
  <si>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</si>
  <si>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</si>
  <si>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</si>
  <si>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</si>
  <si>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</si>
  <si>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</si>
  <si>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</si>
  <si>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</si>
  <si>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</si>
  <si>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</si>
  <si>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</si>
  <si>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</si>
  <si>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</si>
  <si>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</si>
  <si>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</si>
  <si>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</si>
  <si>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</si>
  <si>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</si>
  <si>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</si>
  <si>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</si>
  <si>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</si>
  <si>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</si>
  <si>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</si>
  <si>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</si>
  <si>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</si>
  <si>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</si>
  <si>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</si>
  <si>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</si>
  <si>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</si>
  <si>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</si>
  <si>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</si>
  <si>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</si>
  <si>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</si>
  <si>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</si>
  <si>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</si>
  <si>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</si>
  <si>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</si>
  <si>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</si>
  <si>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</si>
  <si>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</si>
  <si>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</si>
  <si>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</si>
  <si>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</si>
  <si>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</si>
  <si>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</si>
  <si>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</si>
  <si>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</si>
  <si>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</si>
  <si>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</si>
  <si>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</si>
  <si>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</si>
  <si>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</si>
  <si>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</si>
  <si>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</si>
  <si>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</si>
  <si>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</si>
  <si>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</si>
  <si>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</si>
  <si>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</si>
  <si>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</si>
  <si>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</si>
  <si>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</si>
  <si>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</si>
  <si>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</si>
  <si>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</si>
  <si>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</si>
  <si>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</si>
  <si>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</si>
  <si>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</si>
  <si>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</si>
  <si>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</si>
  <si>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</si>
  <si>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</si>
  <si>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</si>
  <si>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</si>
  <si>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</si>
  <si>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</si>
  <si>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</si>
  <si>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</si>
  <si>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</si>
  <si>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</si>
  <si>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</si>
  <si>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</si>
  <si>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</si>
  <si>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</si>
  <si>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</si>
  <si>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</si>
  <si>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</si>
  <si>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</si>
  <si>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</si>
  <si>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</si>
  <si>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</si>
  <si>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</si>
  <si>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</si>
  <si>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</si>
  <si>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</si>
  <si>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</si>
  <si>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</si>
  <si>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</si>
  <si>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</si>
  <si>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</si>
  <si>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</si>
  <si>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</si>
  <si>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</si>
  <si>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</si>
  <si>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</si>
  <si>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</si>
  <si>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</si>
  <si>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</si>
  <si>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</si>
  <si>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</si>
  <si>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</si>
  <si>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</si>
  <si>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</si>
  <si>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</si>
  <si>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</si>
  <si>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</si>
  <si>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</si>
  <si>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</si>
  <si>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</si>
  <si>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</si>
  <si>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</si>
  <si>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</si>
  <si>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</si>
  <si>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</si>
  <si>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</si>
  <si>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</si>
  <si>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</si>
  <si>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</si>
  <si>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</si>
  <si>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</si>
  <si>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</si>
  <si>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</si>
  <si>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</si>
  <si>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</si>
  <si>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</si>
  <si>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</si>
  <si>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</si>
  <si>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</si>
  <si>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</si>
  <si>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</si>
  <si>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</si>
  <si>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</si>
  <si>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</si>
  <si>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</si>
  <si>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</si>
  <si>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</si>
  <si>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</si>
  <si>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</si>
  <si>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</si>
  <si>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</si>
  <si>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</si>
  <si>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</si>
  <si>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</si>
  <si>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</si>
  <si>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</si>
  <si>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</si>
  <si>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</si>
  <si>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</si>
  <si>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</si>
  <si>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</si>
  <si>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</si>
  <si>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</si>
  <si>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</si>
  <si>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</si>
  <si>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</si>
  <si>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</si>
  <si>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</si>
  <si>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</si>
  <si>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</si>
  <si>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</si>
  <si>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</si>
  <si>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</si>
  <si>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</si>
  <si>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</si>
  <si>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</si>
  <si>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</si>
  <si>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</si>
  <si>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</si>
  <si>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</si>
  <si>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</si>
  <si>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</si>
  <si>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</si>
  <si>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</si>
  <si>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</si>
  <si>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</si>
  <si>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</si>
  <si>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</si>
  <si>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</si>
  <si>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</si>
  <si>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</si>
  <si>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</si>
  <si>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</si>
  <si>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</si>
  <si>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</si>
  <si>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</si>
  <si>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</si>
  <si>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</si>
  <si>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</si>
  <si>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</si>
  <si>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</si>
  <si>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</si>
  <si>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</si>
  <si>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</si>
  <si>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</si>
  <si>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</si>
  <si>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</si>
  <si>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</si>
  <si>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</si>
  <si>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</si>
  <si>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</si>
  <si>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</si>
  <si>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</si>
  <si>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</si>
  <si>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</si>
  <si>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</si>
  <si>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</si>
  <si>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</si>
  <si>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</si>
  <si>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</si>
  <si>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</si>
  <si>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</si>
  <si>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</si>
  <si>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</si>
  <si>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</si>
  <si>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</si>
  <si>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</si>
  <si>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</si>
  <si>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</si>
  <si>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</si>
  <si>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</si>
  <si>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</si>
  <si>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</si>
  <si>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</si>
  <si>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</si>
  <si>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</si>
  <si>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</si>
  <si>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</si>
  <si>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</si>
  <si>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</si>
  <si>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</si>
  <si>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</si>
  <si>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</si>
  <si>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</si>
  <si>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</si>
  <si>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</si>
  <si>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</si>
  <si>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</si>
  <si>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</si>
  <si>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</si>
  <si>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</si>
  <si>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</si>
  <si>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</si>
  <si>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</si>
  <si>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</si>
  <si>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</si>
  <si>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</si>
  <si>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</si>
  <si>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</si>
  <si>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</si>
  <si>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</si>
  <si>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</si>
  <si>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</si>
  <si>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</si>
  <si>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</si>
  <si>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</si>
  <si>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</si>
  <si>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</si>
  <si>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</si>
  <si>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</si>
  <si>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</si>
  <si>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</si>
  <si>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</si>
  <si>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</si>
  <si>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</si>
  <si>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</si>
  <si>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</si>
  <si>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</si>
  <si>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</si>
  <si>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</si>
  <si>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</si>
  <si>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</si>
  <si>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</si>
  <si>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</si>
  <si>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</si>
  <si>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</si>
  <si>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</si>
  <si>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</si>
  <si>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</si>
  <si>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</si>
  <si>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</si>
  <si>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</si>
  <si>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</si>
  <si>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</si>
  <si>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</si>
  <si>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</si>
  <si>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</si>
  <si>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</si>
  <si>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</si>
  <si>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</si>
  <si>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</si>
  <si>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</si>
  <si>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</si>
  <si>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</si>
  <si>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</si>
  <si>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</si>
  <si>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</si>
  <si>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</si>
  <si>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</si>
  <si>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</si>
  <si>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</si>
  <si>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</si>
  <si>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</si>
  <si>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</si>
  <si>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</si>
  <si>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</si>
  <si>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</si>
  <si>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</si>
  <si>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</si>
  <si>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</si>
  <si>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</si>
  <si>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</si>
  <si>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</si>
  <si>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</si>
  <si>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</si>
  <si>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</si>
  <si>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</si>
  <si>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</si>
  <si>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</si>
  <si>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</si>
  <si>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</si>
  <si>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</si>
  <si>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</si>
  <si>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</si>
  <si>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</si>
  <si>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</si>
  <si>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</si>
  <si>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</si>
  <si>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</si>
  <si>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</si>
  <si>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</si>
  <si>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</si>
  <si>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</si>
  <si>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</si>
  <si>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</si>
  <si>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</si>
  <si>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</si>
  <si>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</si>
  <si>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</si>
  <si>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</si>
  <si>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</si>
  <si>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</si>
  <si>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</si>
  <si>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</si>
  <si>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</si>
  <si>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</si>
  <si>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</si>
  <si>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</si>
  <si>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</si>
  <si>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</si>
  <si>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</si>
  <si>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</si>
  <si>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</si>
  <si>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</si>
  <si>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</si>
  <si>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</si>
  <si>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</si>
  <si>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</si>
  <si>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</si>
  <si>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</si>
  <si>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</si>
  <si>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</si>
  <si>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</si>
  <si>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</si>
  <si>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</si>
  <si>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</si>
  <si>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</si>
  <si>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</si>
  <si>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</si>
  <si>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</si>
  <si>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</si>
  <si>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</si>
  <si>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</si>
  <si>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</si>
  <si>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</si>
  <si>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</si>
  <si>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</si>
  <si>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</si>
  <si>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</si>
  <si>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</si>
  <si>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</si>
  <si>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</si>
  <si>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</si>
  <si>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</si>
  <si>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</si>
  <si>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</si>
  <si>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</si>
  <si>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</si>
  <si>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</si>
  <si>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</si>
  <si>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</si>
  <si>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</si>
  <si>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</si>
  <si>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</si>
  <si>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</si>
  <si>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</si>
  <si>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</si>
  <si>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</si>
  <si>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</si>
  <si>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</si>
  <si>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</si>
  <si>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</si>
  <si>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</si>
  <si>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</si>
  <si>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</si>
  <si>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</si>
  <si>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</si>
  <si>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</si>
  <si>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</si>
  <si>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</si>
  <si>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</si>
  <si>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</si>
  <si>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</si>
  <si>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</si>
  <si>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</si>
  <si>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</si>
  <si>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</si>
  <si>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</si>
  <si>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</si>
  <si>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</si>
  <si>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</si>
  <si>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</si>
  <si>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</si>
  <si>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</si>
  <si>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</si>
  <si>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</si>
  <si>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</si>
  <si>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</si>
  <si>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</si>
  <si>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</si>
  <si>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</si>
  <si>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</si>
  <si>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</si>
  <si>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</si>
  <si>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</si>
  <si>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</si>
  <si>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</si>
  <si>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</si>
  <si>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</si>
  <si>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</si>
  <si>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</si>
  <si>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</si>
  <si>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</si>
  <si>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</si>
  <si>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</si>
  <si>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</si>
  <si>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</si>
  <si>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</si>
  <si>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</si>
  <si>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</si>
  <si>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</si>
  <si>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</si>
  <si>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</si>
  <si>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</si>
  <si>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</si>
  <si>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</si>
  <si>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</si>
  <si>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</si>
  <si>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</si>
  <si>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</si>
  <si>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</si>
  <si>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</si>
  <si>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</si>
  <si>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</si>
  <si>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</si>
  <si>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</si>
  <si>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</si>
  <si>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</si>
  <si>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</si>
  <si>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</si>
  <si>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</si>
  <si>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</si>
  <si>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</si>
  <si>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</si>
  <si>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</si>
  <si>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</si>
  <si>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</si>
  <si>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</si>
  <si>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</si>
  <si>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</si>
  <si>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</si>
  <si>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</si>
  <si>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</si>
  <si>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</si>
  <si>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</si>
  <si>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</si>
  <si>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</si>
  <si>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</si>
  <si>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</si>
  <si>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</si>
  <si>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</si>
  <si>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</si>
  <si>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</si>
  <si>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</si>
  <si>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</si>
  <si>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</si>
  <si>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</si>
  <si>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</si>
  <si>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</si>
  <si>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</si>
  <si>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</si>
  <si>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</si>
  <si>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</si>
  <si>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</si>
  <si>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</si>
  <si>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</si>
  <si>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</si>
  <si>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</si>
  <si>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</si>
  <si>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</si>
  <si>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</si>
  <si>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</si>
  <si>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</si>
  <si>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</si>
  <si>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</si>
  <si>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</si>
  <si>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</si>
  <si>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</si>
  <si>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</si>
  <si>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</si>
  <si>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</si>
  <si>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</si>
  <si>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</si>
  <si>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</si>
  <si>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</si>
  <si>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</si>
  <si>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</si>
  <si>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</si>
  <si>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</si>
  <si>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</si>
  <si>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</si>
  <si>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</si>
  <si>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</si>
  <si>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</si>
  <si>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</si>
  <si>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</si>
  <si>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</si>
  <si>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</si>
  <si>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</si>
  <si>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</si>
  <si>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</si>
  <si>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</si>
  <si>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</si>
  <si>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</si>
  <si>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</si>
  <si>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</si>
  <si>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</si>
  <si>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</si>
  <si>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</si>
  <si>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</si>
  <si>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</si>
  <si>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</si>
  <si>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</si>
  <si>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</si>
  <si>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</si>
  <si>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</si>
  <si>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</si>
  <si>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</si>
  <si>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</si>
  <si>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</si>
  <si>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</si>
  <si>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</si>
  <si>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</si>
  <si>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</si>
  <si>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</si>
  <si>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</si>
  <si>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</si>
  <si>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</si>
  <si>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</si>
  <si>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</si>
  <si>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</si>
  <si>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</si>
  <si>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</si>
  <si>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</si>
  <si>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</si>
  <si>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</si>
  <si>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</si>
  <si>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</si>
  <si>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</si>
  <si>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</si>
  <si>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</si>
  <si>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</si>
  <si>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</si>
  <si>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</si>
  <si>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</si>
  <si>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</si>
  <si>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</si>
  <si>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</si>
  <si>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</si>
  <si>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</si>
  <si>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</si>
  <si>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</si>
  <si>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</si>
  <si>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</si>
  <si>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</si>
  <si>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</si>
  <si>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</si>
  <si>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</si>
  <si>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</si>
  <si>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</si>
  <si>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</si>
  <si>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</si>
  <si>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</si>
  <si>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</si>
  <si>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</si>
  <si>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</si>
  <si>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</si>
  <si>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</si>
  <si>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</si>
  <si>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</si>
  <si>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</si>
  <si>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</si>
  <si>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</si>
  <si>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</si>
  <si>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</si>
  <si>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</si>
  <si>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</si>
  <si>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</si>
  <si>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</si>
  <si>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</si>
  <si>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</si>
  <si>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</si>
  <si>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</si>
  <si>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</si>
  <si>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</si>
  <si>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</si>
  <si>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</si>
  <si>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</si>
  <si>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</si>
  <si>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</si>
  <si>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</si>
  <si>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</si>
  <si>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</si>
  <si>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</si>
  <si>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</si>
  <si>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</si>
  <si>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</si>
  <si>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</si>
  <si>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</si>
  <si>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</si>
  <si>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</si>
  <si>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</si>
  <si>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</si>
  <si>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</si>
  <si>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</si>
  <si>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</si>
  <si>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</si>
  <si>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</si>
  <si>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</si>
  <si>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</si>
  <si>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</si>
  <si>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</si>
  <si>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</si>
  <si>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</si>
  <si>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</si>
  <si>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</si>
  <si>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</si>
  <si>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</si>
  <si>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</si>
  <si>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</si>
  <si>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</si>
  <si>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</si>
  <si>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</si>
  <si>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</si>
  <si>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</si>
  <si>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</si>
  <si>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</si>
  <si>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</si>
  <si>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</si>
  <si>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</si>
  <si>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</si>
  <si>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</si>
  <si>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</si>
  <si>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</si>
  <si>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</si>
  <si>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</si>
  <si>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</si>
  <si>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</si>
  <si>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</si>
  <si>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</si>
  <si>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</si>
  <si>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</si>
  <si>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</si>
  <si>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</si>
  <si>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</si>
  <si>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</si>
  <si>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</si>
  <si>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</si>
  <si>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</si>
  <si>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</si>
  <si>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</si>
  <si>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</si>
  <si>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</si>
  <si>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</si>
  <si>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</si>
  <si>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</si>
  <si>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</si>
  <si>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</si>
  <si>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</si>
  <si>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</si>
  <si>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</si>
  <si>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</si>
  <si>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</si>
  <si>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</si>
  <si>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</si>
  <si>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</si>
  <si>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</si>
  <si>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</si>
  <si>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</si>
  <si>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</si>
  <si>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</si>
  <si>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</si>
  <si>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</si>
  <si>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</si>
  <si>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</si>
  <si>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</si>
  <si>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</si>
  <si>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</si>
  <si>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</si>
  <si>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</si>
  <si>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</si>
  <si>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</si>
  <si>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</si>
  <si>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</si>
  <si>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</si>
  <si>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</si>
  <si>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</si>
  <si>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</si>
  <si>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</si>
  <si>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</si>
  <si>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</si>
  <si>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</si>
  <si>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</si>
  <si>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</si>
  <si>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</si>
  <si>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</si>
  <si>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</si>
  <si>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</si>
  <si>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</si>
  <si>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</si>
  <si>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</si>
  <si>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</si>
  <si>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</si>
  <si>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</si>
  <si>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</si>
  <si>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</si>
  <si>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</si>
  <si>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</si>
  <si>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</si>
  <si>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</si>
  <si>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</si>
  <si>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</si>
  <si>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</si>
  <si>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</si>
  <si>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</si>
  <si>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</si>
  <si>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</si>
  <si>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</si>
  <si>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</si>
  <si>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</si>
  <si>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</si>
  <si>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</si>
  <si>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</si>
  <si>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</si>
  <si>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</si>
  <si>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</si>
  <si>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</si>
  <si>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</si>
  <si>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</si>
  <si>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</si>
  <si>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</si>
  <si>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</si>
  <si>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</si>
  <si>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</si>
  <si>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</si>
  <si>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</si>
  <si>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</si>
  <si>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</si>
  <si>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</si>
  <si>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</si>
  <si>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</si>
  <si>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</si>
  <si>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</si>
  <si>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</si>
  <si>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</si>
  <si>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</si>
  <si>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</si>
  <si>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</si>
  <si>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</si>
  <si>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</si>
  <si>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</si>
  <si>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</si>
  <si>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</si>
  <si>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</si>
  <si>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</si>
  <si>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</si>
  <si>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</si>
  <si>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</si>
  <si>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</si>
  <si>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</si>
  <si>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</si>
  <si>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</si>
  <si>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</si>
  <si>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</si>
  <si>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</si>
  <si>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</si>
  <si>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</si>
  <si>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</si>
  <si>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</si>
  <si>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</si>
  <si>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</si>
  <si>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</si>
  <si>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</si>
  <si>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</si>
  <si>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</si>
  <si>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</si>
  <si>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</si>
  <si>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</si>
  <si>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</si>
  <si>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</si>
  <si>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</si>
  <si>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</si>
  <si>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</si>
  <si>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</si>
  <si>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</si>
  <si>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</si>
  <si>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</si>
  <si>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</si>
  <si>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</si>
  <si>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</si>
  <si>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</si>
  <si>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</si>
  <si>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</si>
  <si>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</si>
  <si>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</si>
  <si>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</si>
  <si>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</si>
  <si>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</si>
  <si>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</si>
  <si>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</si>
  <si>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</si>
  <si>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</si>
  <si>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</si>
  <si>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</si>
  <si>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</si>
  <si>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</si>
  <si>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</si>
  <si>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</si>
  <si>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</si>
  <si>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</si>
  <si>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</si>
  <si>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</si>
  <si>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</si>
  <si>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</si>
  <si>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</si>
  <si>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</si>
  <si>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</si>
  <si>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</si>
  <si>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</si>
  <si>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</si>
  <si>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</si>
  <si>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</si>
  <si>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</si>
  <si>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</si>
  <si>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</si>
  <si>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</si>
  <si>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</si>
  <si>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</si>
  <si>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</si>
  <si>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</si>
  <si>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</si>
  <si>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</si>
  <si>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</si>
  <si>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</si>
  <si>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</si>
  <si>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</si>
  <si>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</si>
  <si>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</si>
  <si>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</si>
  <si>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</si>
  <si>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</si>
  <si>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</si>
  <si>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</si>
  <si>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</si>
  <si>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</si>
  <si>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</si>
  <si>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</si>
  <si>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</si>
  <si>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</si>
  <si>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</si>
  <si>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</si>
  <si>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</si>
  <si>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</si>
  <si>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</si>
  <si>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</si>
  <si>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</si>
  <si>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</si>
  <si>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</si>
  <si>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</si>
  <si>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</si>
  <si>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</si>
  <si>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</si>
  <si>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</si>
  <si>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</si>
  <si>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</si>
  <si>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</si>
  <si>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</si>
  <si>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</si>
  <si>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</si>
  <si>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</si>
  <si>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</si>
  <si>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</si>
  <si>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</si>
  <si>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</si>
  <si>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</si>
  <si>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</si>
  <si>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</si>
  <si>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</si>
  <si>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</si>
  <si>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</si>
  <si>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</si>
  <si>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</si>
  <si>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</si>
  <si>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</si>
  <si>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</si>
  <si>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</si>
  <si>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</si>
  <si>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</si>
  <si>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</si>
  <si>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</si>
  <si>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</si>
  <si>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</si>
  <si>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</si>
  <si>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</si>
  <si>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</si>
  <si>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</si>
  <si>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</si>
  <si>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</si>
  <si>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</si>
  <si>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</si>
  <si>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</si>
  <si>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</si>
  <si>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</si>
  <si>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</si>
  <si>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</si>
  <si>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</si>
  <si>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</si>
  <si>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</si>
  <si>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</si>
  <si>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</si>
  <si>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</si>
  <si>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</si>
  <si>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</si>
  <si>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</si>
  <si>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</si>
  <si>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</si>
  <si>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</si>
  <si>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</si>
  <si>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</si>
  <si>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</si>
  <si>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</si>
  <si>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</si>
  <si>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</si>
  <si>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</si>
  <si>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</si>
  <si>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</si>
  <si>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</si>
  <si>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</si>
  <si>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</si>
  <si>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</si>
  <si>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</si>
  <si>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</si>
  <si>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</si>
  <si>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</si>
  <si>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</si>
  <si>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</si>
  <si>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</si>
  <si>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</si>
  <si>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</si>
  <si>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</si>
  <si>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</si>
  <si>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</si>
  <si>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</si>
  <si>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</si>
  <si>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</si>
  <si>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</si>
  <si>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</si>
  <si>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</si>
  <si>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</si>
  <si>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</si>
  <si>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</si>
  <si>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</si>
  <si>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</si>
  <si>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</si>
  <si>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</si>
  <si>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</si>
  <si>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</si>
  <si>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</si>
  <si>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</si>
  <si>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</si>
  <si>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</si>
  <si>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</si>
  <si>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</si>
  <si>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</si>
  <si>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</si>
  <si>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</si>
  <si>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</si>
  <si>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</si>
  <si>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</si>
  <si>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</si>
  <si>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</si>
  <si>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</si>
  <si>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</si>
  <si>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</si>
  <si>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</si>
  <si>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</si>
  <si>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</si>
  <si>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</si>
  <si>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</si>
  <si>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</si>
  <si>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</si>
  <si>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</si>
  <si>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</si>
  <si>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</si>
  <si>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</si>
  <si>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</si>
  <si>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</si>
  <si>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</si>
  <si>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</si>
  <si>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</si>
  <si>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</si>
  <si>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</si>
  <si>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</si>
  <si>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</si>
  <si>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</si>
  <si>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</si>
  <si>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</si>
  <si>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</si>
  <si>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</si>
  <si>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</si>
  <si>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</si>
  <si>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</si>
  <si>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</si>
  <si>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</si>
  <si>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</si>
  <si>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</si>
  <si>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</si>
  <si>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</si>
  <si>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</si>
  <si>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</si>
  <si>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</si>
  <si>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</si>
  <si>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</si>
  <si>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</si>
  <si>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</si>
  <si>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</si>
  <si>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</si>
  <si>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</si>
  <si>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</si>
  <si>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</si>
  <si>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</si>
  <si>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</si>
  <si>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</si>
  <si>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</si>
  <si>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</si>
  <si>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</si>
  <si>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</si>
  <si>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</si>
  <si>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</si>
  <si>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</si>
  <si>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</si>
  <si>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</si>
  <si>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</si>
  <si>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</si>
  <si>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</si>
  <si>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</si>
  <si>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</si>
  <si>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</si>
  <si>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</si>
  <si>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</si>
  <si>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</si>
  <si>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</si>
  <si>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</si>
  <si>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</si>
  <si>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</si>
  <si>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</si>
  <si>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</si>
  <si>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</si>
  <si>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</si>
  <si>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</si>
  <si>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</si>
  <si>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</si>
  <si>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</si>
  <si>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</si>
  <si>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</si>
  <si>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</si>
  <si>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</si>
  <si>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</si>
  <si>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</si>
  <si>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</si>
  <si>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</si>
  <si>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</si>
  <si>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</si>
  <si>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</si>
  <si>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</si>
  <si>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</si>
  <si>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</si>
  <si>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</si>
  <si>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</si>
  <si>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</si>
  <si>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</si>
  <si>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</si>
  <si>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</si>
  <si>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</si>
  <si>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</si>
  <si>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</si>
  <si>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</si>
  <si>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</si>
  <si>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</si>
  <si>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</si>
  <si>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</si>
  <si>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</si>
  <si>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</si>
  <si>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</si>
  <si>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</si>
  <si>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</si>
  <si>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</si>
  <si>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</si>
  <si>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</si>
  <si>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</si>
  <si>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</si>
  <si>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</si>
  <si>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</si>
  <si>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</si>
  <si>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</si>
  <si>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</si>
  <si>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</si>
  <si>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</si>
  <si>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</si>
  <si>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</si>
  <si>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</si>
  <si>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</si>
  <si>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</si>
  <si>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</si>
  <si>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</si>
  <si>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</si>
  <si>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</si>
  <si>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</si>
  <si>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</si>
  <si>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</si>
  <si>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</si>
  <si>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</si>
  <si>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</si>
  <si>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</si>
  <si>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</si>
  <si>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</si>
  <si>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</si>
  <si>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</si>
  <si>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</si>
  <si>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</si>
  <si>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</si>
  <si>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</si>
  <si>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</si>
  <si>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</si>
  <si>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</si>
  <si>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</si>
  <si>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</si>
  <si>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</si>
  <si>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</si>
  <si>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</si>
  <si>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</si>
  <si>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</si>
  <si>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</si>
  <si>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</si>
  <si>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</si>
  <si>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</si>
  <si>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</si>
  <si>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</si>
  <si>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</si>
  <si>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</si>
  <si>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</si>
  <si>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</si>
  <si>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</si>
  <si>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</si>
  <si>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</si>
  <si>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</si>
  <si>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</si>
  <si>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</si>
  <si>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</si>
  <si>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</si>
  <si>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</si>
  <si>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</si>
  <si>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</si>
  <si>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</si>
  <si>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</si>
  <si>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</si>
  <si>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</si>
  <si>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</si>
  <si>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</si>
  <si>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</si>
  <si>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</si>
  <si>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</si>
  <si>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</si>
  <si>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</si>
  <si>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</si>
  <si>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</si>
  <si>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</si>
  <si>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</si>
  <si>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</si>
  <si>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</si>
  <si>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</si>
  <si>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</si>
  <si>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</si>
  <si>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</si>
  <si>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</si>
  <si>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</si>
  <si>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</si>
  <si>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</si>
  <si>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</si>
  <si>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</si>
  <si>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</si>
  <si>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</si>
  <si>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</si>
  <si>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</si>
  <si>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Parent category </t>
  </si>
  <si>
    <t xml:space="preserve">Date Created Conversion </t>
  </si>
  <si>
    <t xml:space="preserve">Date Ended Conversion </t>
  </si>
  <si>
    <t>Years (Date Created Conversion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</si>
  <si>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</si>
  <si>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</si>
  <si>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</si>
  <si>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</si>
  <si>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</si>
  <si>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</si>
  <si>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</si>
  <si>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</si>
  <si>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</si>
  <si>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</si>
  <si>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</si>
  <si>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</si>
  <si>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</si>
  <si>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</si>
  <si>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</si>
  <si>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</si>
  <si>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</si>
  <si>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</si>
  <si>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</si>
  <si>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</si>
  <si>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10000 to 4999</t>
  </si>
  <si>
    <t>5000 to 9999</t>
  </si>
  <si>
    <t>10000 to 14999</t>
  </si>
  <si>
    <t>150000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</si>
  <si>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</si>
  <si>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</si>
  <si>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</si>
  <si>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</si>
  <si>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</si>
  <si>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</si>
  <si>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</si>
  <si>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</si>
  <si>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Outcome</t>
  </si>
  <si>
    <t>Median</t>
  </si>
  <si>
    <t>Mean</t>
  </si>
  <si>
    <t>Max</t>
  </si>
  <si>
    <t>Variance</t>
  </si>
  <si>
    <t>Standard Deviation</t>
  </si>
  <si>
    <t>Min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</si>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</sst>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0" fillId="33" borderId="0" xfId="0" applyFill="1"/>
    <xf numFmtId="0" fontId="0" fillId="0" borderId="0" xfId="0" applyFill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9" fontId="0" fillId="0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 Stats!PivotTable1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D-4E3C-8711-77FADA7D3598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D-4E3C-8711-77FADA7D3598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D-4E3C-8711-77FADA7D3598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D-4E3C-8711-77FADA7D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105264"/>
        <c:axId val="1352102864"/>
      </c:barChart>
      <c:catAx>
        <c:axId val="13521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02864"/>
        <c:crosses val="autoZero"/>
        <c:auto val="1"/>
        <c:lblAlgn val="ctr"/>
        <c:lblOffset val="100"/>
        <c:noMultiLvlLbl val="0"/>
      </c:catAx>
      <c:valAx>
        <c:axId val="13521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 Stats!PivotTable2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A-4F0C-99EA-99266E1118F6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A-4F0C-99EA-99266E1118F6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A-4F0C-99EA-99266E1118F6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A-4F0C-99EA-99266E11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695216"/>
        <c:axId val="1101689456"/>
      </c:barChart>
      <c:catAx>
        <c:axId val="11016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89456"/>
        <c:crosses val="autoZero"/>
        <c:auto val="1"/>
        <c:lblAlgn val="ctr"/>
        <c:lblOffset val="100"/>
        <c:noMultiLvlLbl val="0"/>
      </c:catAx>
      <c:valAx>
        <c:axId val="1101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[Copy of CrowdfundingBook.xlsx]outcomes based on launch date!PivotTable2</c:name>
    <c:fmtId val="12"/>
  </c:pivotSource>
  <c:chart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shade val="65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tint val="65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>
                  <a:shade val="65000"/>
                </a:schemeClr>
              </a:solidFill>
            </a:ln>
            <a:effectLst>
              <a:glow rad="139700">
                <a:schemeClr val="accent2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hade val="65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F-4EE8-AF58-82F365E73C4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F-4EE8-AF58-82F365E73C4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2">
                  <a:tint val="65000"/>
                </a:schemeClr>
              </a:solidFill>
            </a:ln>
            <a:effectLst>
              <a:glow rad="139700">
                <a:schemeClr val="accent2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tint val="65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F-4EE8-AF58-82F365E7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49664"/>
        <c:axId val="902650144"/>
      </c:lineChart>
      <c:catAx>
        <c:axId val="90264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0144"/>
        <c:crosses val="autoZero"/>
        <c:auto val="1"/>
        <c:lblAlgn val="ctr"/>
        <c:lblOffset val="100"/>
        <c:noMultiLvlLbl val="0"/>
      </c:catAx>
      <c:valAx>
        <c:axId val="90265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65A-8BCA-1B1AF96C04A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65A-8BCA-1B1AF96C04A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6-465A-8BCA-1B1AF96C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49231"/>
        <c:axId val="133428639"/>
      </c:lineChart>
      <c:catAx>
        <c:axId val="16762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8639"/>
        <c:crosses val="autoZero"/>
        <c:auto val="1"/>
        <c:lblAlgn val="ctr"/>
        <c:lblOffset val="100"/>
        <c:noMultiLvlLbl val="0"/>
      </c:catAx>
      <c:valAx>
        <c:axId val="1334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Backers in successful and unsuccessful campaigns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E3778B1-B96F-4A1B-A758-BF9FA3065AD1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4ED3BBD-ED35-49E5-903E-AFF26CF46F89}">
          <cx:tx>
            <cx:txData>
              <cx:f>_xlchart.v1.6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19049</xdr:rowOff>
    </xdr:from>
    <xdr:to>
      <xdr:col>17</xdr:col>
      <xdr:colOff>195719</xdr:colOff>
      <xdr:row>25</xdr:row>
      <xdr:rowOff>52191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1C300-2287-BEC8-F5F8-32CC6A70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9524</xdr:rowOff>
    </xdr:from>
    <xdr:to>
      <xdr:col>15</xdr:col>
      <xdr:colOff>352425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AC321-B32F-CC1E-42D8-12C4C14D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104775</xdr:rowOff>
    </xdr:from>
    <xdr:to>
      <xdr:col>11</xdr:col>
      <xdr:colOff>676275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C3BA3-FF83-9B39-33A6-9CAABDBB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14</xdr:row>
      <xdr:rowOff>176212</xdr:rowOff>
    </xdr:from>
    <xdr:to>
      <xdr:col>5</xdr:col>
      <xdr:colOff>1238249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961B3-5971-99E9-10CE-93906E77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6</xdr:row>
      <xdr:rowOff>52386</xdr:rowOff>
    </xdr:from>
    <xdr:to>
      <xdr:col>14</xdr:col>
      <xdr:colOff>142874</xdr:colOff>
      <xdr:row>22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BB2E36-1DF6-4C66-40AC-E346DE905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7886" y="1252536"/>
              <a:ext cx="5319713" cy="3262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666750</xdr:colOff>
      <xdr:row>1</xdr:row>
      <xdr:rowOff>171450</xdr:rowOff>
    </xdr:from>
    <xdr:to>
      <xdr:col>18</xdr:col>
      <xdr:colOff>371475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58D2F3-51CC-16F4-3CD8-65E7B15C48CF}"/>
            </a:ext>
          </a:extLst>
        </xdr:cNvPr>
        <xdr:cNvSpPr txBox="1"/>
      </xdr:nvSpPr>
      <xdr:spPr>
        <a:xfrm>
          <a:off x="11801475" y="371475"/>
          <a:ext cx="244792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median better summarizes the data because the median shows a higher variability when compared.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dest Getahun" refreshedDate="45581.757227314818" createdVersion="8" refreshedVersion="8" minRefreshableVersion="3" recordCount="1000" xr:uid="{9702E431-E9D6-40C7-A334-76877C507FAE}">
  <cacheSource type="worksheet">
    <worksheetSource ref="A1:V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1EA90-A0B3-4D57-A7CA-3E7EE6E788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FCCF-63CA-4529-931B-C82BBFB767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3F60D-FC97-4DAD-86A0-18FF9D99AC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75" zoomScaleNormal="75" workbookViewId="0">
      <selection activeCell="B5" sqref="B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style="7" customWidth="1"/>
    <col min="7" max="7" width="12.625" customWidth="1"/>
    <col min="8" max="8" width="14.875" customWidth="1"/>
    <col min="9" max="9" width="20.375" style="4" customWidth="1"/>
    <col min="12" max="13" width="11.125" bestFit="1" customWidth="1"/>
    <col min="14" max="15" width="23.625" customWidth="1"/>
    <col min="18" max="18" width="28" bestFit="1" customWidth="1"/>
    <col min="19" max="20" width="28" customWidth="1"/>
    <col min="21" max="21" width="21.125" customWidth="1"/>
    <col min="22" max="22" width="17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(E2/D2*100)</f>
        <v>0</v>
      </c>
      <c r="G2" t="s">
        <v>14</v>
      </c>
      <c r="H2">
        <v>0</v>
      </c>
      <c r="I2" s="4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(((L2/60/60)/24)+DATE(1970,1,1))</f>
        <v>42336.25</v>
      </c>
      <c r="O2" s="10">
        <f>(((M2/60/60)/24)+DATE(1970,1,1))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(E3/D3*100)</f>
        <v>1040</v>
      </c>
      <c r="G3" t="s">
        <v>20</v>
      </c>
      <c r="H3">
        <v>158</v>
      </c>
      <c r="I3" s="4">
        <f t="shared" ref="I3:I66" si="1"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(((L3/60/60)/24)+DATE(1970,1,1))</f>
        <v>41870.208333333336</v>
      </c>
      <c r="O3" s="10">
        <f t="shared" ref="O3:O66" si="3">(((M3/60/60)/24)+DATE(1970,1,1))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(E67/D67*100)</f>
        <v>236.14754098360655</v>
      </c>
      <c r="G67" t="s">
        <v>20</v>
      </c>
      <c r="H67">
        <v>236</v>
      </c>
      <c r="I67" s="4">
        <f t="shared" ref="I67:I130" si="7">IF(H67&gt;0,E67/H67,0)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(((L67/60/60)/24)+DATE(1970,1,1))</f>
        <v>40570.25</v>
      </c>
      <c r="O67" s="10">
        <f t="shared" ref="O67:O130" si="9">(((M67/60/60)/24)+DATE(1970,1,1))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(E131/D131*100)</f>
        <v>3.202693602693603</v>
      </c>
      <c r="G131" t="s">
        <v>74</v>
      </c>
      <c r="H131">
        <v>55</v>
      </c>
      <c r="I131" s="4">
        <f t="shared" ref="I131:I194" si="13">IF(H131&gt;0,E131/H131,0)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(((L131/60/60)/24)+DATE(1970,1,1))</f>
        <v>42038.25</v>
      </c>
      <c r="O131" s="10">
        <f t="shared" ref="O131:O194" si="15">(((M131/60/60)/24)+DATE(1970,1,1))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(E195/D195*100)</f>
        <v>45.636363636363633</v>
      </c>
      <c r="G195" t="s">
        <v>14</v>
      </c>
      <c r="H195">
        <v>65</v>
      </c>
      <c r="I195" s="4">
        <f t="shared" ref="I195:I258" si="19">IF(H195&gt;0,E195/H195,0)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(((L195/60/60)/24)+DATE(1970,1,1))</f>
        <v>43198.208333333328</v>
      </c>
      <c r="O195" s="10">
        <f t="shared" ref="O195:O258" si="21">(((M195/60/60)/24)+DATE(1970,1,1))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(E259/D259*100)</f>
        <v>146</v>
      </c>
      <c r="G259" t="s">
        <v>20</v>
      </c>
      <c r="H259">
        <v>92</v>
      </c>
      <c r="I259" s="4">
        <f t="shared" ref="I259:I322" si="25">IF(H259&gt;0,E259/H259,0)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(((L259/60/60)/24)+DATE(1970,1,1))</f>
        <v>41338.25</v>
      </c>
      <c r="O259" s="10">
        <f t="shared" ref="O259:O322" si="27">(((M259/60/60)/24)+DATE(1970,1,1))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(E323/D323*100)</f>
        <v>94.144366197183089</v>
      </c>
      <c r="G323" t="s">
        <v>14</v>
      </c>
      <c r="H323">
        <v>2468</v>
      </c>
      <c r="I323" s="4">
        <f t="shared" ref="I323:I386" si="31">IF(H323&gt;0,E323/H323,0)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(((L323/60/60)/24)+DATE(1970,1,1))</f>
        <v>40634.208333333336</v>
      </c>
      <c r="O323" s="10">
        <f t="shared" ref="O323:O386" si="33">(((M323/60/60)/24)+DATE(1970,1,1))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(E387/D387*100)</f>
        <v>146.16709511568124</v>
      </c>
      <c r="G387" t="s">
        <v>20</v>
      </c>
      <c r="H387">
        <v>1137</v>
      </c>
      <c r="I387" s="4">
        <f t="shared" ref="I387:I450" si="37">IF(H387&gt;0,E387/H387,0)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(((L387/60/60)/24)+DATE(1970,1,1))</f>
        <v>43553.208333333328</v>
      </c>
      <c r="O387" s="10">
        <f t="shared" ref="O387:O450" si="39">(((M387/60/60)/24)+DATE(1970,1,1))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(E451/D451*100)</f>
        <v>967</v>
      </c>
      <c r="G451" t="s">
        <v>20</v>
      </c>
      <c r="H451">
        <v>86</v>
      </c>
      <c r="I451" s="4">
        <f t="shared" ref="I451:I514" si="43">IF(H451&gt;0,E451/H451,0)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(((L451/60/60)/24)+DATE(1970,1,1))</f>
        <v>43530.25</v>
      </c>
      <c r="O451" s="10">
        <f t="shared" ref="O451:O514" si="45">(((M451/60/60)/24)+DATE(1970,1,1))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(E515/D515*100)</f>
        <v>39.277108433734945</v>
      </c>
      <c r="G515" t="s">
        <v>74</v>
      </c>
      <c r="H515">
        <v>35</v>
      </c>
      <c r="I515" s="4">
        <f t="shared" ref="I515:I578" si="49">IF(H515&gt;0,E515/H515,0)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(((L515/60/60)/24)+DATE(1970,1,1))</f>
        <v>40430.208333333336</v>
      </c>
      <c r="O515" s="10">
        <f t="shared" ref="O515:O578" si="51">(((M515/60/60)/24)+DATE(1970,1,1))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(E579/D579*100)</f>
        <v>18.853658536585368</v>
      </c>
      <c r="G579" t="s">
        <v>74</v>
      </c>
      <c r="H579">
        <v>37</v>
      </c>
      <c r="I579" s="4">
        <f t="shared" ref="I579:I642" si="55">IF(H579&gt;0,E579/H579,0)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(((L579/60/60)/24)+DATE(1970,1,1))</f>
        <v>40613.25</v>
      </c>
      <c r="O579" s="10">
        <f t="shared" ref="O579:O642" si="57">(((M579/60/60)/24)+DATE(1970,1,1))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(E643/D643*100)</f>
        <v>119.96808510638297</v>
      </c>
      <c r="G643" t="s">
        <v>20</v>
      </c>
      <c r="H643">
        <v>194</v>
      </c>
      <c r="I643" s="4">
        <f t="shared" ref="I643:I706" si="61">IF(H643&gt;0,E643/H643,0)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(((L643/60/60)/24)+DATE(1970,1,1))</f>
        <v>42786.25</v>
      </c>
      <c r="O643" s="10">
        <f t="shared" ref="O643:O706" si="63">(((M643/60/60)/24)+DATE(1970,1,1))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(E707/D707*100)</f>
        <v>99.026517383618156</v>
      </c>
      <c r="G707" t="s">
        <v>14</v>
      </c>
      <c r="H707">
        <v>2025</v>
      </c>
      <c r="I707" s="4">
        <f t="shared" ref="I707:I770" si="67">IF(H707&gt;0,E707/H707,0)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(((L707/60/60)/24)+DATE(1970,1,1))</f>
        <v>41619.25</v>
      </c>
      <c r="O707" s="10">
        <f t="shared" ref="O707:O770" si="69">(((M707/60/60)/24)+DATE(1970,1,1))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(E771/D771*100)</f>
        <v>86.867834394904463</v>
      </c>
      <c r="G771" t="s">
        <v>14</v>
      </c>
      <c r="H771">
        <v>3410</v>
      </c>
      <c r="I771" s="4">
        <f t="shared" ref="I771:I834" si="73">IF(H771&gt;0,E771/H771,0)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(((L771/60/60)/24)+DATE(1970,1,1))</f>
        <v>41501.208333333336</v>
      </c>
      <c r="O771" s="10">
        <f t="shared" ref="O771:O834" si="75">(((M771/60/60)/24)+DATE(1970,1,1))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(E835/D835*100)</f>
        <v>157.69117647058823</v>
      </c>
      <c r="G835" t="s">
        <v>20</v>
      </c>
      <c r="H835">
        <v>165</v>
      </c>
      <c r="I835" s="4">
        <f t="shared" ref="I835:I898" si="79">IF(H835&gt;0,E835/H835,0)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(((L835/60/60)/24)+DATE(1970,1,1))</f>
        <v>40588.25</v>
      </c>
      <c r="O835" s="10">
        <f t="shared" ref="O835:O898" si="81">(((M835/60/60)/24)+DATE(1970,1,1))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(E899/D899*100)</f>
        <v>27.693181818181817</v>
      </c>
      <c r="G899" t="s">
        <v>14</v>
      </c>
      <c r="H899">
        <v>27</v>
      </c>
      <c r="I899" s="4">
        <f t="shared" ref="I899:I962" si="85">IF(H899&gt;0,E899/H899,0)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(((L899/60/60)/24)+DATE(1970,1,1))</f>
        <v>43583.208333333328</v>
      </c>
      <c r="O899" s="10">
        <f t="shared" ref="O899:O962" si="87">(((M899/60/60)/24)+DATE(1970,1,1))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(E963/D963*100)</f>
        <v>119.29824561403508</v>
      </c>
      <c r="G963" t="s">
        <v>20</v>
      </c>
      <c r="H963">
        <v>155</v>
      </c>
      <c r="I963" s="4">
        <f t="shared" ref="I963:I1001" si="91">IF(H963&gt;0,E963/H963,0)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(((L963/60/60)/24)+DATE(1970,1,1))</f>
        <v>40591.25</v>
      </c>
      <c r="O963" s="10">
        <f t="shared" ref="O963:O1001" si="93">(((M963/60/60)/24)+DATE(1970,1,1))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1C31-2D38-40BE-B760-4E48938B50A5}">
  <sheetPr codeName="Sheet2"/>
  <dimension ref="A1:F14"/>
  <sheetViews>
    <sheetView zoomScale="73" zoomScaleNormal="73" workbookViewId="0">
      <selection activeCell="E20" sqref="E20"/>
    </sheetView>
  </sheetViews>
  <sheetFormatPr defaultRowHeight="15.75" x14ac:dyDescent="0.25"/>
  <cols>
    <col min="1" max="1" width="16.5" bestFit="1" customWidth="1"/>
    <col min="2" max="2" width="16" bestFit="1" customWidth="1"/>
    <col min="3" max="3" width="6" bestFit="1" customWidth="1"/>
    <col min="4" max="4" width="4.25" bestFit="1" customWidth="1"/>
    <col min="5" max="5" width="9.75" bestFit="1" customWidth="1"/>
    <col min="6" max="6" width="11.125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2067</v>
      </c>
      <c r="B3" s="8" t="s">
        <v>2066</v>
      </c>
    </row>
    <row r="4" spans="1:6" x14ac:dyDescent="0.25">
      <c r="A4" s="8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2062</v>
      </c>
      <c r="E8">
        <v>4</v>
      </c>
      <c r="F8">
        <v>4</v>
      </c>
    </row>
    <row r="9" spans="1:6" x14ac:dyDescent="0.25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6A69-DB11-4003-B77E-631DCDBB8059}">
  <sheetPr codeName="Sheet4"/>
  <dimension ref="A2:F30"/>
  <sheetViews>
    <sheetView topLeftCell="A13" workbookViewId="0">
      <selection activeCell="Q24" sqref="Q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2068</v>
      </c>
    </row>
    <row r="4" spans="1:6" x14ac:dyDescent="0.25">
      <c r="A4" s="8" t="s">
        <v>2067</v>
      </c>
      <c r="B4" s="8" t="s">
        <v>2066</v>
      </c>
    </row>
    <row r="5" spans="1:6" x14ac:dyDescent="0.2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2063</v>
      </c>
      <c r="E7">
        <v>4</v>
      </c>
      <c r="F7">
        <v>4</v>
      </c>
    </row>
    <row r="8" spans="1:6" x14ac:dyDescent="0.2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2041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2054</v>
      </c>
      <c r="C20">
        <v>4</v>
      </c>
      <c r="E20">
        <v>4</v>
      </c>
      <c r="F20">
        <v>8</v>
      </c>
    </row>
    <row r="21" spans="1:6" x14ac:dyDescent="0.2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2061</v>
      </c>
      <c r="C22">
        <v>9</v>
      </c>
      <c r="E22">
        <v>5</v>
      </c>
      <c r="F22">
        <v>14</v>
      </c>
    </row>
    <row r="23" spans="1:6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2057</v>
      </c>
      <c r="C25">
        <v>7</v>
      </c>
      <c r="E25">
        <v>14</v>
      </c>
      <c r="F25">
        <v>21</v>
      </c>
    </row>
    <row r="26" spans="1:6" x14ac:dyDescent="0.2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2060</v>
      </c>
      <c r="E29">
        <v>3</v>
      </c>
      <c r="F29">
        <v>3</v>
      </c>
    </row>
    <row r="30" spans="1:6" x14ac:dyDescent="0.25">
      <c r="A30" s="9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5B8C-812A-45F1-A2AA-C5FCD72DD2E6}">
  <sheetPr codeName="Sheet5"/>
  <dimension ref="A1:E18"/>
  <sheetViews>
    <sheetView workbookViewId="0">
      <selection activeCell="H21" sqref="H21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2069</v>
      </c>
      <c r="B1" t="s">
        <v>2068</v>
      </c>
    </row>
    <row r="2" spans="1:5" x14ac:dyDescent="0.25">
      <c r="A2" s="8" t="s">
        <v>2072</v>
      </c>
      <c r="B2" t="s">
        <v>2068</v>
      </c>
    </row>
    <row r="4" spans="1:5" x14ac:dyDescent="0.25">
      <c r="A4" s="8" t="s">
        <v>2067</v>
      </c>
      <c r="B4" s="8" t="s">
        <v>2066</v>
      </c>
    </row>
    <row r="5" spans="1:5" x14ac:dyDescent="0.25">
      <c r="A5" s="8" t="s">
        <v>2064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70FA-13D8-4581-B76C-785BC0C1DA9D}">
  <sheetPr codeName="Sheet3"/>
  <dimension ref="A1:H13"/>
  <sheetViews>
    <sheetView workbookViewId="0">
      <selection activeCell="F6" sqref="F6:F7"/>
    </sheetView>
  </sheetViews>
  <sheetFormatPr defaultRowHeight="15.75" x14ac:dyDescent="0.25"/>
  <cols>
    <col min="1" max="1" width="26" customWidth="1"/>
    <col min="2" max="2" width="17.875" customWidth="1"/>
    <col min="3" max="3" width="14.75" style="12" customWidth="1"/>
    <col min="4" max="4" width="17.375" customWidth="1"/>
    <col min="5" max="5" width="13.375" customWidth="1"/>
    <col min="6" max="6" width="19.875" customWidth="1"/>
    <col min="7" max="7" width="17.5" customWidth="1"/>
    <col min="8" max="8" width="19.125" customWidth="1"/>
  </cols>
  <sheetData>
    <row r="1" spans="1:8" x14ac:dyDescent="0.25">
      <c r="A1" s="11" t="s">
        <v>2085</v>
      </c>
      <c r="B1" s="11" t="s">
        <v>2086</v>
      </c>
      <c r="C1" s="13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25">
      <c r="A2" s="15" t="s">
        <v>2104</v>
      </c>
      <c r="B2" s="16">
        <f>COUNTIFS(Crowdfunding!D2:D1001, "&lt;1000", Crowdfunding!G2:G1001, "successful")</f>
        <v>30</v>
      </c>
      <c r="C2" s="17">
        <f>COUNTIFS(Crowdfunding!D2:D1001, "&lt;1000", Crowdfunding!G2:G1001, "failed")</f>
        <v>20</v>
      </c>
      <c r="D2" s="18">
        <f>COUNTIFS(Crowdfunding!D2:D1001, "&lt;1000", Crowdfunding!G2:G1001, "canceled")</f>
        <v>1</v>
      </c>
      <c r="E2" s="15">
        <f>SUM(B2,D2,C2)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5">
      <c r="A3" s="15" t="s">
        <v>2093</v>
      </c>
      <c r="B3" s="16">
        <f>COUNTIFS(Crowdfunding!D2:D1001, "&gt;=1000", Crowdfunding!D2:D1001, "&lt;5000", Crowdfunding!G2:G1001, "successful")</f>
        <v>191</v>
      </c>
      <c r="C3" s="18">
        <f>COUNTIFS(Crowdfunding!D2:D1001, "&gt;=1000", Crowdfunding!D2:D1001, "&lt;5000", Crowdfunding!G2:G1001, "failed")</f>
        <v>38</v>
      </c>
      <c r="D3" s="18">
        <f>COUNTIFS(Crowdfunding!D2:D1001, "&gt;=1000", Crowdfunding!D2:D1001, "&lt;5000", Crowdfunding!G2:G1001, "canceled")</f>
        <v>2</v>
      </c>
      <c r="E3" s="15">
        <f t="shared" ref="E3:E13" si="0">SUM(B3,D3,C3)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25">
      <c r="A4" s="15" t="s">
        <v>2094</v>
      </c>
      <c r="B4" s="16">
        <f>COUNTIFS(Crowdfunding!D2:D1001, "&gt;=5000", Crowdfunding!D2:D1001, "&lt;10000", Crowdfunding!G2:G1001, "successful")</f>
        <v>164</v>
      </c>
      <c r="C4" s="18">
        <f>COUNTIFS(Crowdfunding!D2:D1001, "&gt;=5000", Crowdfunding!D2:D1001, "&lt;10000", Crowdfunding!G2:G1001, "failed")</f>
        <v>126</v>
      </c>
      <c r="D4" s="18">
        <f>COUNTIFS(Crowdfunding!D2:D1001, "&gt;=5000", Crowdfunding!D2:D1001, "&lt;10000", Crowdfunding!G2:G1001, "canceled")</f>
        <v>25</v>
      </c>
      <c r="E4" s="15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5">
      <c r="A5" s="15" t="s">
        <v>2095</v>
      </c>
      <c r="B5" s="16">
        <f>COUNTIFS(Crowdfunding!D2:D1001, "&gt;=10000", Crowdfunding!D2:D1001, "&lt;15000", Crowdfunding!G2:G1001, "successful")</f>
        <v>4</v>
      </c>
      <c r="C5" s="18">
        <f>COUNTIFS(Crowdfunding!D2:D1001, "&gt;=10000", Crowdfunding!D2:D1001, "&lt;15000", Crowdfunding!G2:G1001, "failed")</f>
        <v>5</v>
      </c>
      <c r="D5" s="18">
        <f>COUNTIFS(Crowdfunding!D2:D1001, "&gt;=10000", Crowdfunding!D2:D1001, "&lt;15000", Crowdfunding!G2:G1001, "canceled")</f>
        <v>0</v>
      </c>
      <c r="E5" s="1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s="15" t="s">
        <v>2096</v>
      </c>
      <c r="B6" s="16">
        <f>COUNTIFS(Crowdfunding!D2:D1001, "&gt;=15000", Crowdfunding!D2:D1001, "&lt;20000", Crowdfunding!G2:G1001, "successful")</f>
        <v>10</v>
      </c>
      <c r="C6" s="18">
        <f>COUNTIFS(Crowdfunding!D2:D1001, "&gt;=15000", Crowdfunding!D2:D1001, "&lt;20000", Crowdfunding!G2:G1001, "failed")</f>
        <v>0</v>
      </c>
      <c r="D6" s="18">
        <f>COUNTIFS(Crowdfunding!D2:D1001, "&gt;=15000", Crowdfunding!D2:D1001, "&lt;20000", Crowdfunding!G2:G1001, "canceled")</f>
        <v>0</v>
      </c>
      <c r="E6" s="15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s="15" t="s">
        <v>2097</v>
      </c>
      <c r="B7" s="16">
        <f>COUNTIFS(Crowdfunding!D2:D1001, "&gt;=20000", Crowdfunding!D2:D1001, "&lt;25000", Crowdfunding!G2:G1001, "successful")</f>
        <v>7</v>
      </c>
      <c r="C7" s="18">
        <f>COUNTIFS(Crowdfunding!D2:D1001, "&gt;=20000", Crowdfunding!D2:D1001, "&lt;25000", Crowdfunding!G2:G1001, "failed")</f>
        <v>0</v>
      </c>
      <c r="D7" s="18">
        <f>COUNTIFS(Crowdfunding!D2:D1001, "&gt;=20000", Crowdfunding!D2:D1001, "&lt;25000", Crowdfunding!G2:G1001, "canceled")</f>
        <v>0</v>
      </c>
      <c r="E7" s="15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s="15" t="s">
        <v>2098</v>
      </c>
      <c r="B8" s="16">
        <f>COUNTIFS(Crowdfunding!D2:D1001, "&gt;=25000", Crowdfunding!D2:D1001, "&lt;30000", Crowdfunding!G2:G1001, "successful")</f>
        <v>11</v>
      </c>
      <c r="C8" s="17">
        <f>COUNTIFS(Crowdfunding!D2:D1001, "&gt;=25000", Crowdfunding!D2:D1001, "&lt;30000", Crowdfunding!G2:G1001, "failed")</f>
        <v>3</v>
      </c>
      <c r="D8" s="17">
        <f>COUNTIFS(Crowdfunding!D2:D1001, "&gt;=25000", Crowdfunding!D2:D1001, "&lt;30000", Crowdfunding!G2:G1001, "canceled")</f>
        <v>0</v>
      </c>
      <c r="E8" s="15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s="15" t="s">
        <v>2099</v>
      </c>
      <c r="B9" s="16">
        <f>COUNTIFS(Crowdfunding!D2:D1001, "&gt;=30000", Crowdfunding!D2:D1001, "&lt;35000", Crowdfunding!G2:G1001, "successful")</f>
        <v>7</v>
      </c>
      <c r="C9" s="18">
        <f>COUNTIFS(Crowdfunding!D2:D1001, "&gt;=30000", Crowdfunding!D2:D1001, "&lt;35000", Crowdfunding!G2:G1001, "failed")</f>
        <v>0</v>
      </c>
      <c r="D9" s="18">
        <f>COUNTIFS(Crowdfunding!D2:D1001, "&gt;=30000", Crowdfunding!D2:D1001, "&lt;35000", Crowdfunding!G2:G1001, "canceled")</f>
        <v>0</v>
      </c>
      <c r="E9" s="15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s="15" t="s">
        <v>2100</v>
      </c>
      <c r="B10" s="16">
        <f>COUNTIFS(Crowdfunding!D2:D1001, "&gt;=35000", Crowdfunding!D2:D1001, "&lt;40000", Crowdfunding!G2:G1001, "successful")</f>
        <v>8</v>
      </c>
      <c r="C10" s="18">
        <f>COUNTIFS(Crowdfunding!D2:D1001, "&gt;=35000", Crowdfunding!D2:D1001, "&lt;40000", Crowdfunding!G2:G1001, "failed")</f>
        <v>3</v>
      </c>
      <c r="D10" s="18">
        <f>COUNTIFS(Crowdfunding!D2:D1001, "&gt;=35000", Crowdfunding!D2:D1001, "&lt;40000", Crowdfunding!G2:G1001, "canceled")</f>
        <v>1</v>
      </c>
      <c r="E10" s="15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s="15" t="s">
        <v>2101</v>
      </c>
      <c r="B11" s="16">
        <f>COUNTIFS(Crowdfunding!D2:D1001, "&gt;=40000", Crowdfunding!D2:D1001, "&lt;45000", Crowdfunding!G2:G1001, "successful")</f>
        <v>11</v>
      </c>
      <c r="C11" s="18">
        <f>COUNTIFS(Crowdfunding!D2:D1001, "&gt;=40000", Crowdfunding!D2:D1001, "&lt;45000", Crowdfunding!G2:G1001, "failed")</f>
        <v>3</v>
      </c>
      <c r="D11" s="18">
        <f>COUNTIFS(Crowdfunding!D2:D1001, "&gt;=40000", Crowdfunding!D2:D1001, "&lt;45000", Crowdfunding!G2:G1001, "canceled")</f>
        <v>0</v>
      </c>
      <c r="E11" s="15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s="15" t="s">
        <v>2102</v>
      </c>
      <c r="B12" s="16">
        <f>COUNTIFS(Crowdfunding!D2:D1001, "&gt;=45000", Crowdfunding!D2:D1001, "&lt;50000", Crowdfunding!G2:G1001, "successful")</f>
        <v>8</v>
      </c>
      <c r="C12" s="18">
        <f>COUNTIFS(Crowdfunding!D2:D1001, "&gt;=45000", Crowdfunding!D2:D1001, "&lt;50000", Crowdfunding!G2:G1001, "failed")</f>
        <v>3</v>
      </c>
      <c r="D12" s="18">
        <f>COUNTIFS(Crowdfunding!D2:D1001, "&gt;=45000", Crowdfunding!D2:D1001, "&lt;50000", Crowdfunding!G2:G1001, "canceled")</f>
        <v>0</v>
      </c>
      <c r="E12" s="15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s="15" t="s">
        <v>2103</v>
      </c>
      <c r="B13" s="16">
        <f>COUNTIFS(Crowdfunding!D2:D1001, "&gt;=50000", Crowdfunding!G2:G1001, "successful")</f>
        <v>114</v>
      </c>
      <c r="C13" s="18">
        <f>COUNTIFS(Crowdfunding!D2:D1001, "&gt;=50000", Crowdfunding!G2:G1001, "failed")</f>
        <v>163</v>
      </c>
      <c r="D13" s="18">
        <f>COUNTIFS(Crowdfunding!D2:D1001, "&gt;=50000", Crowdfunding!G2:G1001, "canceled")</f>
        <v>28</v>
      </c>
      <c r="E13" s="15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9D50-B3A9-42AE-B3FE-0D5ED10E050D}">
  <dimension ref="A1:N566"/>
  <sheetViews>
    <sheetView tabSelected="1" topLeftCell="C1" workbookViewId="0">
      <selection activeCell="P2" sqref="P2"/>
    </sheetView>
  </sheetViews>
  <sheetFormatPr defaultRowHeight="15.75" x14ac:dyDescent="0.25"/>
  <cols>
    <col min="2" max="2" width="16.75" customWidth="1"/>
    <col min="5" max="5" width="13.375" customWidth="1"/>
    <col min="14" max="14" width="17" customWidth="1"/>
  </cols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2111</v>
      </c>
      <c r="L1" t="s">
        <v>2108</v>
      </c>
      <c r="M1" t="s">
        <v>2109</v>
      </c>
      <c r="N1" t="s">
        <v>2110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  <c r="H5" s="14" t="s">
        <v>2112</v>
      </c>
      <c r="I5">
        <f>I2/I3</f>
        <v>1.7554585152838429</v>
      </c>
      <c r="J5">
        <f>J2/J3</f>
        <v>1.453423057206525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</row>
    <row r="7" spans="1:14" x14ac:dyDescent="0.25">
      <c r="A7" t="s">
        <v>20</v>
      </c>
      <c r="B7">
        <v>98</v>
      </c>
      <c r="D7" t="s">
        <v>14</v>
      </c>
      <c r="E7">
        <v>27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1047940">
    <cfRule type="containsText" dxfId="11" priority="9" operator="containsText" text="live">
      <formula>NOT(ISERROR(SEARCH("live",D1)))</formula>
    </cfRule>
    <cfRule type="containsText" dxfId="10" priority="10" operator="containsText" text="canceled">
      <formula>NOT(ISERROR(SEARCH("canceled",D1)))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H2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successful">
      <formula>NOT(ISERROR(SEARCH("successful",H2)))</formula>
    </cfRule>
    <cfRule type="containsText" dxfId="4" priority="8" operator="containsText" text="failed">
      <formula>NOT(ISERROR(SEARCH("failed",H2)))</formula>
    </cfRule>
  </conditionalFormatting>
  <conditionalFormatting sqref="H3">
    <cfRule type="containsText" dxfId="3" priority="1" operator="containsText" text="live">
      <formula>NOT(ISERROR(SEARCH("live",H3)))</formula>
    </cfRule>
    <cfRule type="containsText" dxfId="2" priority="2" operator="containsText" text="canceled">
      <formula>NOT(ISERROR(SEARCH("canceled",H3)))</formula>
    </cfRule>
    <cfRule type="containsText" dxfId="1" priority="3" operator="containsText" text="successful">
      <formula>NOT(ISERROR(SEARCH("successful",H3)))</formula>
    </cfRule>
    <cfRule type="containsText" dxfId="0" priority="4" operator="containsText" text="failed">
      <formula>NOT(ISERROR(SEARCH("failed",H3)))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Stats</vt:lpstr>
      <vt:lpstr>Sub-Category Stats</vt:lpstr>
      <vt:lpstr>outcomes based on launch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Kidest Getahun</cp:lastModifiedBy>
  <dcterms:created xsi:type="dcterms:W3CDTF">2021-09-29T18:52:28Z</dcterms:created>
  <dcterms:modified xsi:type="dcterms:W3CDTF">2024-10-21T20:45:36Z</dcterms:modified>
</cp:coreProperties>
</file>