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240" windowWidth="25360" windowHeight="14080"/>
  </bookViews>
  <sheets>
    <sheet name="Sheet1" sheetId="1" r:id="rId1"/>
  </sheets>
  <externalReferences>
    <externalReference r:id="rId2"/>
  </externalReferences>
  <definedNames>
    <definedName name="solver_adj" localSheetId="0" hidden="1">Sheet1!$C$34:$T$39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Sheet1!$C$41:$E$41</definedName>
    <definedName name="solver_lhs2" localSheetId="0" hidden="1">Sheet1!$C$44:$E$44</definedName>
    <definedName name="solver_lhs3" localSheetId="0" hidden="1">Sheet1!$C$48:$E$48</definedName>
    <definedName name="solver_lhs4" localSheetId="0" hidden="1">Sheet1!$M$41:$O$41</definedName>
    <definedName name="solver_lhs5" localSheetId="0" hidden="1">Sheet1!$D$41</definedName>
    <definedName name="solver_lhs6" localSheetId="0" hidden="1">Sheet1!$D$48</definedName>
    <definedName name="solver_lhs7" localSheetId="0" hidden="1">Sheet1!$E$41</definedName>
    <definedName name="solver_lhs8" localSheetId="0" hidden="1">Sheet1!$E$41</definedName>
    <definedName name="solver_lhs9" localSheetId="0" hidden="1">Sheet1!$E$48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Sheet1!$M$49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Sheet1!$C$43:$E$43</definedName>
    <definedName name="solver_rhs2" localSheetId="0" hidden="1">Sheet1!$C$46:$E$46</definedName>
    <definedName name="solver_rhs3" localSheetId="0" hidden="1">Sheet1!$C$50:$E$50</definedName>
    <definedName name="solver_rhs4" localSheetId="0" hidden="1">Sheet1!$M$43:$O$43</definedName>
    <definedName name="solver_rhs5" localSheetId="0" hidden="1">Sheet1!$D$43</definedName>
    <definedName name="solver_rhs6" localSheetId="0" hidden="1">Sheet1!$D$50</definedName>
    <definedName name="solver_rhs7" localSheetId="0" hidden="1">Sheet1!$E$46</definedName>
    <definedName name="solver_rhs8" localSheetId="0" hidden="1">Sheet1!$E$43</definedName>
    <definedName name="solver_rhs9" localSheetId="0" hidden="1">Sheet1!$E$50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1" l="1"/>
  <c r="X34" i="1"/>
  <c r="E44" i="1"/>
  <c r="D44" i="1"/>
  <c r="C44" i="1"/>
  <c r="W41" i="1"/>
  <c r="V41" i="1"/>
  <c r="U41" i="1"/>
  <c r="M41" i="1"/>
  <c r="N44" i="1"/>
  <c r="M44" i="1"/>
  <c r="M45" i="1"/>
  <c r="O45" i="1"/>
  <c r="N45" i="1"/>
  <c r="E43" i="1"/>
  <c r="D43" i="1"/>
  <c r="C43" i="1"/>
  <c r="E41" i="1"/>
  <c r="O41" i="1"/>
  <c r="W34" i="1"/>
  <c r="W35" i="1"/>
  <c r="W36" i="1"/>
  <c r="W37" i="1"/>
  <c r="W38" i="1"/>
  <c r="W39" i="1"/>
  <c r="D41" i="1"/>
  <c r="N41" i="1"/>
  <c r="V34" i="1"/>
  <c r="V35" i="1"/>
  <c r="V36" i="1"/>
  <c r="V37" i="1"/>
  <c r="V38" i="1"/>
  <c r="V39" i="1"/>
  <c r="U34" i="1"/>
  <c r="U35" i="1"/>
  <c r="U36" i="1"/>
  <c r="U37" i="1"/>
  <c r="U38" i="1"/>
  <c r="U39" i="1"/>
  <c r="C41" i="1"/>
  <c r="X38" i="1"/>
  <c r="AI38" i="1"/>
  <c r="AJ38" i="1"/>
  <c r="AG38" i="1"/>
  <c r="AH38" i="1"/>
  <c r="AE38" i="1"/>
  <c r="AF38" i="1"/>
  <c r="AC38" i="1"/>
  <c r="AD38" i="1"/>
  <c r="AA38" i="1"/>
  <c r="AB38" i="1"/>
  <c r="Y38" i="1"/>
  <c r="Z38" i="1"/>
  <c r="Z54" i="1"/>
  <c r="C55" i="1"/>
  <c r="C56" i="1"/>
  <c r="C57" i="1"/>
  <c r="C58" i="1"/>
  <c r="C64" i="1"/>
  <c r="C63" i="1"/>
  <c r="C62" i="1"/>
  <c r="M43" i="1"/>
  <c r="M46" i="1"/>
  <c r="D64" i="1"/>
  <c r="E64" i="1"/>
  <c r="D63" i="1"/>
  <c r="D62" i="1"/>
  <c r="C18" i="1"/>
  <c r="M49" i="1"/>
  <c r="M50" i="1"/>
  <c r="O43" i="1"/>
  <c r="O46" i="1"/>
  <c r="N43" i="1"/>
  <c r="N46" i="1"/>
  <c r="X36" i="1"/>
  <c r="AG36" i="1"/>
  <c r="AH36" i="1"/>
  <c r="AD52" i="1"/>
  <c r="X39" i="1"/>
  <c r="AI39" i="1"/>
  <c r="AJ39" i="1"/>
  <c r="AE55" i="1"/>
  <c r="AE54" i="1"/>
  <c r="X37" i="1"/>
  <c r="AI37" i="1"/>
  <c r="AJ37" i="1"/>
  <c r="AE53" i="1"/>
  <c r="AI36" i="1"/>
  <c r="AJ36" i="1"/>
  <c r="AE52" i="1"/>
  <c r="X35" i="1"/>
  <c r="AI35" i="1"/>
  <c r="AJ35" i="1"/>
  <c r="AE51" i="1"/>
  <c r="AI34" i="1"/>
  <c r="AJ34" i="1"/>
  <c r="AE50" i="1"/>
  <c r="AG39" i="1"/>
  <c r="AH39" i="1"/>
  <c r="AD55" i="1"/>
  <c r="AD54" i="1"/>
  <c r="AG37" i="1"/>
  <c r="AH37" i="1"/>
  <c r="AD53" i="1"/>
  <c r="AG35" i="1"/>
  <c r="AH35" i="1"/>
  <c r="AD51" i="1"/>
  <c r="AG34" i="1"/>
  <c r="AH34" i="1"/>
  <c r="AD50" i="1"/>
  <c r="AE39" i="1"/>
  <c r="AF39" i="1"/>
  <c r="AC55" i="1"/>
  <c r="AC54" i="1"/>
  <c r="AE37" i="1"/>
  <c r="AF37" i="1"/>
  <c r="AC53" i="1"/>
  <c r="AE36" i="1"/>
  <c r="AF36" i="1"/>
  <c r="AC52" i="1"/>
  <c r="AE35" i="1"/>
  <c r="AF35" i="1"/>
  <c r="AC51" i="1"/>
  <c r="AE34" i="1"/>
  <c r="AF34" i="1"/>
  <c r="AC50" i="1"/>
  <c r="AC39" i="1"/>
  <c r="AD39" i="1"/>
  <c r="AB55" i="1"/>
  <c r="AB54" i="1"/>
  <c r="AC37" i="1"/>
  <c r="AD37" i="1"/>
  <c r="AB53" i="1"/>
  <c r="AC36" i="1"/>
  <c r="AD36" i="1"/>
  <c r="AB52" i="1"/>
  <c r="AC35" i="1"/>
  <c r="AD35" i="1"/>
  <c r="AB51" i="1"/>
  <c r="AC34" i="1"/>
  <c r="AD34" i="1"/>
  <c r="AB50" i="1"/>
  <c r="AA39" i="1"/>
  <c r="AB39" i="1"/>
  <c r="AA55" i="1"/>
  <c r="AA54" i="1"/>
  <c r="AA37" i="1"/>
  <c r="AB37" i="1"/>
  <c r="AA53" i="1"/>
  <c r="AA36" i="1"/>
  <c r="AB36" i="1"/>
  <c r="AA52" i="1"/>
  <c r="AA35" i="1"/>
  <c r="AB35" i="1"/>
  <c r="AA51" i="1"/>
  <c r="AA34" i="1"/>
  <c r="AB34" i="1"/>
  <c r="AA50" i="1"/>
  <c r="Y39" i="1"/>
  <c r="Z39" i="1"/>
  <c r="Z55" i="1"/>
  <c r="Y37" i="1"/>
  <c r="Z37" i="1"/>
  <c r="Z53" i="1"/>
  <c r="Y36" i="1"/>
  <c r="Z36" i="1"/>
  <c r="Z52" i="1"/>
  <c r="Y35" i="1"/>
  <c r="Z35" i="1"/>
  <c r="Z51" i="1"/>
  <c r="Y34" i="1"/>
  <c r="Z34" i="1"/>
  <c r="Z50" i="1"/>
  <c r="H63" i="1"/>
  <c r="H64" i="1"/>
  <c r="H62" i="1"/>
  <c r="G63" i="1"/>
  <c r="G64" i="1"/>
  <c r="G62" i="1"/>
  <c r="F63" i="1"/>
  <c r="F64" i="1"/>
  <c r="F62" i="1"/>
  <c r="E63" i="1"/>
  <c r="E62" i="1"/>
  <c r="E55" i="1"/>
  <c r="E56" i="1"/>
  <c r="E57" i="1"/>
  <c r="E58" i="1"/>
  <c r="D55" i="1"/>
  <c r="D56" i="1"/>
  <c r="D57" i="1"/>
  <c r="D58" i="1"/>
  <c r="E48" i="1"/>
  <c r="D48" i="1"/>
  <c r="C48" i="1"/>
  <c r="C17" i="1"/>
  <c r="D19" i="1"/>
  <c r="D18" i="1"/>
  <c r="E18" i="1"/>
  <c r="C19" i="1"/>
  <c r="E19" i="1"/>
  <c r="C20" i="1"/>
  <c r="D20" i="1"/>
  <c r="E20" i="1"/>
  <c r="C21" i="1"/>
  <c r="D21" i="1"/>
  <c r="E21" i="1"/>
  <c r="C22" i="1"/>
  <c r="D22" i="1"/>
  <c r="E22" i="1"/>
  <c r="D17" i="1"/>
  <c r="E17" i="1"/>
</calcChain>
</file>

<file path=xl/sharedStrings.xml><?xml version="1.0" encoding="utf-8"?>
<sst xmlns="http://schemas.openxmlformats.org/spreadsheetml/2006/main" count="165" uniqueCount="52">
  <si>
    <t>Input Data</t>
  </si>
  <si>
    <t>Transportation Model from Grove to Storage Units for ORA</t>
  </si>
  <si>
    <t>Cost of purchase per ton from each Grove</t>
  </si>
  <si>
    <t>FLA</t>
  </si>
  <si>
    <t>CAL</t>
  </si>
  <si>
    <t>TEX</t>
  </si>
  <si>
    <t>ARZ</t>
  </si>
  <si>
    <t>BRA</t>
  </si>
  <si>
    <t>SPA</t>
  </si>
  <si>
    <t>Unit Shipping Cost</t>
  </si>
  <si>
    <t>From</t>
  </si>
  <si>
    <t>To</t>
  </si>
  <si>
    <t>S15</t>
  </si>
  <si>
    <t>S48</t>
  </si>
  <si>
    <t>S61</t>
  </si>
  <si>
    <t>Distance matrix</t>
  </si>
  <si>
    <t>Shipping Plan, and constraints on supply and demand</t>
  </si>
  <si>
    <t>&gt;=</t>
  </si>
  <si>
    <t>Demand Min</t>
  </si>
  <si>
    <t>Additionally</t>
  </si>
  <si>
    <t>&lt;=</t>
  </si>
  <si>
    <t>Minimize Cost</t>
  </si>
  <si>
    <t>Capacity</t>
  </si>
  <si>
    <t>Obj</t>
  </si>
  <si>
    <t>Averages of prices from 2015</t>
  </si>
  <si>
    <t>P01</t>
  </si>
  <si>
    <t>P05</t>
  </si>
  <si>
    <t>P07</t>
  </si>
  <si>
    <t>P01-S15</t>
  </si>
  <si>
    <t>P01-S48</t>
  </si>
  <si>
    <t>P05-S48</t>
  </si>
  <si>
    <t>P07-S61</t>
  </si>
  <si>
    <t>P01-S61</t>
  </si>
  <si>
    <t>P05-S15</t>
  </si>
  <si>
    <t>P05-S61</t>
  </si>
  <si>
    <t>P07-S15</t>
  </si>
  <si>
    <t>P07-S48</t>
  </si>
  <si>
    <t>POJ</t>
  </si>
  <si>
    <t>FCOJ</t>
  </si>
  <si>
    <t>Total POJ Received</t>
  </si>
  <si>
    <t>Total FCOJ Received</t>
  </si>
  <si>
    <t>Total Received Storage</t>
  </si>
  <si>
    <t>Total Received Plant</t>
  </si>
  <si>
    <t>SUM</t>
  </si>
  <si>
    <t>Percentage</t>
  </si>
  <si>
    <t>ORA</t>
  </si>
  <si>
    <t>FCOJ and ROJ</t>
  </si>
  <si>
    <t>percent poj</t>
  </si>
  <si>
    <t>Demand FCOJ</t>
  </si>
  <si>
    <t>Demand ROJ</t>
  </si>
  <si>
    <t>Percent ROJ</t>
  </si>
  <si>
    <t>ORA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</si>
</sst>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1" fillId="0" borderId="0" xfId="1"/>
    <xf numFmtId="0" fontId="5" fillId="0" borderId="0" xfId="0" applyFont="1"/>
    <xf numFmtId="11" fontId="0" fillId="0" borderId="0" xfId="0" applyNumberFormat="1"/>
    <xf numFmtId="43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NumberFormat="1" applyFill="1" applyBorder="1" applyAlignment="1" applyProtection="1">
      <protection locked="0"/>
    </xf>
    <xf numFmtId="43" fontId="0" fillId="0" borderId="0" xfId="0" applyNumberFormat="1"/>
    <xf numFmtId="0" fontId="6" fillId="0" borderId="0" xfId="0" applyFont="1" applyFill="1"/>
    <xf numFmtId="0" fontId="5" fillId="0" borderId="0" xfId="0" applyFont="1" applyBorder="1"/>
    <xf numFmtId="0" fontId="5" fillId="0" borderId="5" xfId="0" applyFont="1" applyBorder="1"/>
    <xf numFmtId="0" fontId="5" fillId="0" borderId="4" xfId="0" applyFont="1" applyBorder="1"/>
    <xf numFmtId="2" fontId="6" fillId="2" borderId="0" xfId="0" applyNumberFormat="1" applyFont="1" applyFill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Fill="1"/>
    <xf numFmtId="11" fontId="6" fillId="2" borderId="0" xfId="0" applyNumberFormat="1" applyFont="1" applyFill="1"/>
    <xf numFmtId="0" fontId="0" fillId="2" borderId="0" xfId="0" applyFill="1"/>
  </cellXfs>
  <cellStyles count="379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llescharfstein/Documents/Princeton/Senior/ORF%20411/OJ%20Game/Solver%20for%20ORA_grove%20to%20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8">
          <cell r="C28">
            <v>0</v>
          </cell>
          <cell r="D28">
            <v>0</v>
          </cell>
          <cell r="E28">
            <v>696.7</v>
          </cell>
        </row>
        <row r="29">
          <cell r="C29">
            <v>0</v>
          </cell>
          <cell r="D29">
            <v>194.99999999999997</v>
          </cell>
          <cell r="E29">
            <v>0</v>
          </cell>
        </row>
        <row r="30">
          <cell r="C30">
            <v>175</v>
          </cell>
          <cell r="D30">
            <v>1.7763568394002505E-15</v>
          </cell>
          <cell r="E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</row>
        <row r="33">
          <cell r="C33">
            <v>0</v>
          </cell>
          <cell r="D33">
            <v>0</v>
          </cell>
          <cell r="E33">
            <v>1.7763568394002505E-15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abSelected="1" topLeftCell="A26" workbookViewId="0">
      <selection activeCell="C45" sqref="C45"/>
    </sheetView>
  </sheetViews>
  <sheetFormatPr baseColWidth="10" defaultColWidth="8.83203125" defaultRowHeight="14" x14ac:dyDescent="0"/>
  <cols>
    <col min="2" max="2" width="16.1640625" customWidth="1"/>
    <col min="5" max="5" width="9.1640625" customWidth="1"/>
    <col min="7" max="7" width="10.33203125" customWidth="1"/>
    <col min="12" max="12" width="16.1640625" bestFit="1" customWidth="1"/>
    <col min="13" max="13" width="14" customWidth="1"/>
    <col min="14" max="14" width="16.1640625" bestFit="1" customWidth="1"/>
    <col min="20" max="20" width="11" bestFit="1" customWidth="1"/>
    <col min="22" max="22" width="12.1640625" bestFit="1" customWidth="1"/>
    <col min="23" max="23" width="12.83203125" bestFit="1" customWidth="1"/>
    <col min="28" max="28" width="12.1640625" bestFit="1" customWidth="1"/>
  </cols>
  <sheetData>
    <row r="1" spans="1:14">
      <c r="A1" t="s">
        <v>1</v>
      </c>
    </row>
    <row r="3" spans="1:14">
      <c r="A3" t="s">
        <v>0</v>
      </c>
    </row>
    <row r="5" spans="1:14">
      <c r="A5" t="s">
        <v>2</v>
      </c>
      <c r="F5" t="s">
        <v>15</v>
      </c>
    </row>
    <row r="6" spans="1:14">
      <c r="B6" t="s">
        <v>24</v>
      </c>
      <c r="G6" t="s">
        <v>25</v>
      </c>
      <c r="H6" t="s">
        <v>26</v>
      </c>
      <c r="I6" t="s">
        <v>27</v>
      </c>
      <c r="L6" t="s">
        <v>12</v>
      </c>
      <c r="M6" t="s">
        <v>13</v>
      </c>
      <c r="N6" t="s">
        <v>14</v>
      </c>
    </row>
    <row r="7" spans="1:14">
      <c r="B7" t="s">
        <v>3</v>
      </c>
      <c r="C7">
        <v>1319.7263618062332</v>
      </c>
      <c r="F7" t="s">
        <v>3</v>
      </c>
      <c r="G7">
        <v>454</v>
      </c>
      <c r="H7">
        <v>2589</v>
      </c>
      <c r="I7">
        <v>1161</v>
      </c>
      <c r="J7" s="2"/>
      <c r="K7" t="s">
        <v>25</v>
      </c>
      <c r="L7">
        <v>1335</v>
      </c>
      <c r="M7">
        <v>2334</v>
      </c>
      <c r="N7">
        <v>718</v>
      </c>
    </row>
    <row r="8" spans="1:14">
      <c r="B8" t="s">
        <v>4</v>
      </c>
      <c r="C8">
        <v>1400.4360414897174</v>
      </c>
      <c r="F8" t="s">
        <v>4</v>
      </c>
      <c r="G8">
        <v>2669</v>
      </c>
      <c r="H8">
        <v>351</v>
      </c>
      <c r="I8">
        <v>2190</v>
      </c>
      <c r="K8" t="s">
        <v>26</v>
      </c>
      <c r="L8">
        <v>1225</v>
      </c>
      <c r="M8">
        <v>89</v>
      </c>
      <c r="N8">
        <v>2339</v>
      </c>
    </row>
    <row r="9" spans="1:14">
      <c r="B9" t="s">
        <v>5</v>
      </c>
      <c r="C9">
        <v>1512.6262631974948</v>
      </c>
      <c r="F9" t="s">
        <v>5</v>
      </c>
      <c r="G9">
        <v>1277</v>
      </c>
      <c r="H9">
        <v>1211</v>
      </c>
      <c r="I9">
        <v>1154</v>
      </c>
      <c r="K9" t="s">
        <v>27</v>
      </c>
      <c r="L9">
        <v>1245</v>
      </c>
      <c r="M9">
        <v>1893</v>
      </c>
      <c r="N9">
        <v>495</v>
      </c>
    </row>
    <row r="10" spans="1:14">
      <c r="B10" t="s">
        <v>6</v>
      </c>
      <c r="C10">
        <v>1475.1045685136467</v>
      </c>
      <c r="F10" t="s">
        <v>6</v>
      </c>
      <c r="G10">
        <v>2321</v>
      </c>
      <c r="H10">
        <v>88</v>
      </c>
      <c r="I10">
        <v>1881</v>
      </c>
    </row>
    <row r="11" spans="1:14">
      <c r="B11" t="s">
        <v>7</v>
      </c>
      <c r="C11">
        <v>1462.8488055031073</v>
      </c>
      <c r="F11" t="s">
        <v>7</v>
      </c>
      <c r="G11">
        <v>454</v>
      </c>
      <c r="H11">
        <v>2589</v>
      </c>
      <c r="I11">
        <v>1161</v>
      </c>
    </row>
    <row r="12" spans="1:14">
      <c r="B12" t="s">
        <v>8</v>
      </c>
      <c r="C12">
        <v>1582.7483998515036</v>
      </c>
      <c r="F12" t="s">
        <v>8</v>
      </c>
      <c r="G12">
        <v>454</v>
      </c>
      <c r="H12">
        <v>2589</v>
      </c>
      <c r="I12">
        <v>1161</v>
      </c>
    </row>
    <row r="14" spans="1:14">
      <c r="A14" t="s">
        <v>9</v>
      </c>
    </row>
    <row r="15" spans="1:14">
      <c r="C15" t="s">
        <v>11</v>
      </c>
    </row>
    <row r="16" spans="1:14">
      <c r="C16" t="s">
        <v>25</v>
      </c>
      <c r="D16" t="s">
        <v>26</v>
      </c>
      <c r="E16" t="s">
        <v>27</v>
      </c>
      <c r="I16" t="s">
        <v>12</v>
      </c>
      <c r="J16" t="s">
        <v>13</v>
      </c>
      <c r="K16" t="s">
        <v>14</v>
      </c>
    </row>
    <row r="17" spans="1:24">
      <c r="A17" t="s">
        <v>10</v>
      </c>
      <c r="B17" t="s">
        <v>3</v>
      </c>
      <c r="C17">
        <f t="shared" ref="C17:E22" si="0">$C7+0.22*G7</f>
        <v>1419.6063618062331</v>
      </c>
      <c r="D17">
        <f t="shared" si="0"/>
        <v>1889.3063618062333</v>
      </c>
      <c r="E17">
        <f t="shared" si="0"/>
        <v>1575.1463618062332</v>
      </c>
      <c r="G17" t="s">
        <v>10</v>
      </c>
      <c r="H17" s="1" t="s">
        <v>25</v>
      </c>
      <c r="I17" s="29">
        <v>3990.96</v>
      </c>
      <c r="J17" s="29">
        <v>4583.1000000000004</v>
      </c>
      <c r="K17" s="29">
        <v>1132.1199999999999</v>
      </c>
      <c r="N17" s="20"/>
    </row>
    <row r="18" spans="1:24">
      <c r="B18" t="s">
        <v>4</v>
      </c>
      <c r="C18">
        <f t="shared" si="0"/>
        <v>1987.6160414897172</v>
      </c>
      <c r="D18">
        <f t="shared" si="0"/>
        <v>1477.6560414897174</v>
      </c>
      <c r="E18">
        <f t="shared" si="0"/>
        <v>1882.2360414897173</v>
      </c>
      <c r="H18" t="s">
        <v>26</v>
      </c>
      <c r="I18" s="29">
        <v>726.09</v>
      </c>
      <c r="J18" s="29">
        <v>81.5</v>
      </c>
      <c r="K18" s="29">
        <v>2509.5100000000002</v>
      </c>
      <c r="N18" s="20"/>
    </row>
    <row r="19" spans="1:24">
      <c r="B19" t="s">
        <v>5</v>
      </c>
      <c r="C19">
        <f t="shared" si="0"/>
        <v>1793.5662631974949</v>
      </c>
      <c r="D19">
        <f t="shared" si="0"/>
        <v>1779.0462631974949</v>
      </c>
      <c r="E19">
        <f t="shared" si="0"/>
        <v>1766.5062631974947</v>
      </c>
      <c r="H19" t="s">
        <v>27</v>
      </c>
      <c r="I19" s="29">
        <v>2981.41</v>
      </c>
      <c r="J19" s="29">
        <v>3546.4</v>
      </c>
      <c r="K19" s="29">
        <v>511.17</v>
      </c>
      <c r="N19" s="20"/>
    </row>
    <row r="20" spans="1:24">
      <c r="B20" t="s">
        <v>6</v>
      </c>
      <c r="C20">
        <f t="shared" si="0"/>
        <v>1985.7245685136468</v>
      </c>
      <c r="D20">
        <f t="shared" si="0"/>
        <v>1494.4645685136466</v>
      </c>
      <c r="E20">
        <f t="shared" si="0"/>
        <v>1888.9245685136466</v>
      </c>
    </row>
    <row r="21" spans="1:24">
      <c r="B21" t="s">
        <v>7</v>
      </c>
      <c r="C21">
        <f t="shared" si="0"/>
        <v>1562.7288055031072</v>
      </c>
      <c r="D21">
        <f t="shared" si="0"/>
        <v>2032.4288055031075</v>
      </c>
      <c r="E21">
        <f t="shared" si="0"/>
        <v>1718.2688055031074</v>
      </c>
    </row>
    <row r="22" spans="1:24">
      <c r="B22" t="s">
        <v>8</v>
      </c>
      <c r="C22">
        <f t="shared" si="0"/>
        <v>1682.6283998515037</v>
      </c>
      <c r="D22">
        <f t="shared" si="0"/>
        <v>2152.3283998515035</v>
      </c>
      <c r="E22">
        <f t="shared" si="0"/>
        <v>1838.1683998515036</v>
      </c>
    </row>
    <row r="27" spans="1:24">
      <c r="H27" s="2"/>
      <c r="I27" s="2"/>
      <c r="J27" s="2"/>
      <c r="K27" s="2"/>
    </row>
    <row r="28" spans="1:24">
      <c r="I28" s="2"/>
      <c r="J28" s="2"/>
      <c r="K28" s="2"/>
    </row>
    <row r="29" spans="1:24">
      <c r="I29" s="2"/>
      <c r="J29" s="2"/>
      <c r="K29" s="2"/>
    </row>
    <row r="30" spans="1:24">
      <c r="A30" t="s">
        <v>16</v>
      </c>
      <c r="X30" t="s">
        <v>51</v>
      </c>
    </row>
    <row r="31" spans="1:24">
      <c r="C31" s="6"/>
      <c r="D31" s="7"/>
      <c r="E31" s="26" t="s">
        <v>37</v>
      </c>
      <c r="F31" s="26"/>
      <c r="G31" s="26"/>
      <c r="H31" s="26"/>
      <c r="I31" s="26"/>
      <c r="J31" s="26"/>
      <c r="K31" s="27"/>
      <c r="L31" s="6"/>
      <c r="M31" s="26" t="s">
        <v>46</v>
      </c>
      <c r="N31" s="26"/>
      <c r="O31" s="26"/>
      <c r="P31" s="26"/>
      <c r="Q31" s="26"/>
      <c r="R31" s="26"/>
      <c r="S31" s="26"/>
      <c r="T31" s="27"/>
      <c r="U31" s="28" t="s">
        <v>45</v>
      </c>
      <c r="V31" s="26"/>
      <c r="W31" s="27"/>
      <c r="X31" s="31"/>
    </row>
    <row r="32" spans="1:24">
      <c r="C32" s="9" t="s">
        <v>11</v>
      </c>
      <c r="D32" s="10"/>
      <c r="E32" s="10"/>
      <c r="F32" s="10"/>
      <c r="G32" s="10"/>
      <c r="H32" s="10"/>
      <c r="I32" s="10"/>
      <c r="J32" s="10"/>
      <c r="K32" s="11"/>
      <c r="L32" s="9"/>
      <c r="M32" s="10"/>
      <c r="N32" s="10"/>
      <c r="O32" s="10"/>
      <c r="P32" s="10"/>
      <c r="Q32" s="10"/>
      <c r="R32" s="10"/>
      <c r="S32" s="10"/>
      <c r="T32" s="11"/>
      <c r="U32" s="9"/>
      <c r="V32" s="10"/>
      <c r="W32" s="11"/>
    </row>
    <row r="33" spans="1:36">
      <c r="C33" s="9" t="s">
        <v>28</v>
      </c>
      <c r="D33" s="10" t="s">
        <v>29</v>
      </c>
      <c r="E33" s="10" t="s">
        <v>32</v>
      </c>
      <c r="F33" s="10" t="s">
        <v>33</v>
      </c>
      <c r="G33" s="10" t="s">
        <v>30</v>
      </c>
      <c r="H33" s="10" t="s">
        <v>34</v>
      </c>
      <c r="I33" s="21" t="s">
        <v>35</v>
      </c>
      <c r="J33" s="21" t="s">
        <v>36</v>
      </c>
      <c r="K33" s="22" t="s">
        <v>31</v>
      </c>
      <c r="L33" s="9" t="s">
        <v>28</v>
      </c>
      <c r="M33" s="10" t="s">
        <v>29</v>
      </c>
      <c r="N33" s="10" t="s">
        <v>32</v>
      </c>
      <c r="O33" s="10" t="s">
        <v>33</v>
      </c>
      <c r="P33" s="10" t="s">
        <v>30</v>
      </c>
      <c r="Q33" s="10" t="s">
        <v>34</v>
      </c>
      <c r="R33" s="21" t="s">
        <v>35</v>
      </c>
      <c r="S33" s="21" t="s">
        <v>36</v>
      </c>
      <c r="T33" s="22" t="s">
        <v>31</v>
      </c>
      <c r="U33" s="23" t="s">
        <v>12</v>
      </c>
      <c r="V33" s="21" t="s">
        <v>13</v>
      </c>
      <c r="W33" s="22" t="s">
        <v>14</v>
      </c>
      <c r="X33" s="3" t="s">
        <v>43</v>
      </c>
      <c r="Y33" s="3" t="s">
        <v>25</v>
      </c>
      <c r="Z33" s="3" t="s">
        <v>44</v>
      </c>
      <c r="AA33" s="3" t="s">
        <v>26</v>
      </c>
      <c r="AB33" s="3" t="s">
        <v>44</v>
      </c>
      <c r="AC33" s="3" t="s">
        <v>27</v>
      </c>
      <c r="AD33" s="3" t="s">
        <v>44</v>
      </c>
      <c r="AE33" s="3" t="s">
        <v>12</v>
      </c>
      <c r="AF33" s="3" t="s">
        <v>44</v>
      </c>
      <c r="AG33" s="3" t="s">
        <v>13</v>
      </c>
      <c r="AH33" s="3" t="s">
        <v>44</v>
      </c>
      <c r="AI33" s="3" t="s">
        <v>14</v>
      </c>
      <c r="AJ33" s="3" t="s">
        <v>44</v>
      </c>
    </row>
    <row r="34" spans="1:36">
      <c r="A34" t="s">
        <v>10</v>
      </c>
      <c r="B34" t="s">
        <v>3</v>
      </c>
      <c r="C34" s="6">
        <v>0</v>
      </c>
      <c r="D34" s="7">
        <v>8.5803149185714744E-7</v>
      </c>
      <c r="E34" s="7">
        <v>0</v>
      </c>
      <c r="F34" s="7">
        <v>0</v>
      </c>
      <c r="G34" s="7">
        <v>0</v>
      </c>
      <c r="H34" s="7">
        <v>0</v>
      </c>
      <c r="I34" s="7">
        <v>169.88489023222172</v>
      </c>
      <c r="J34" s="7">
        <v>0</v>
      </c>
      <c r="K34" s="8">
        <v>733.91450000000009</v>
      </c>
      <c r="L34" s="6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227.01987618110579</v>
      </c>
      <c r="S34" s="7">
        <v>5.8373861025927414E-7</v>
      </c>
      <c r="T34" s="8">
        <v>986.73599999999988</v>
      </c>
      <c r="U34" s="6">
        <f>[1]Sheet1!$C$28</f>
        <v>0</v>
      </c>
      <c r="V34" s="7">
        <f>[1]Sheet1!$D$28</f>
        <v>0</v>
      </c>
      <c r="W34" s="8">
        <f>[1]Sheet1!$E$28</f>
        <v>696.7</v>
      </c>
      <c r="X34" s="16">
        <f>+SUM(C34:W34)-X31</f>
        <v>2814.2552678550974</v>
      </c>
      <c r="Y34">
        <f t="shared" ref="Y34:Y39" si="1">SUM(C34,D34,E34,M34,N34,L34)</f>
        <v>8.5803149185714744E-7</v>
      </c>
      <c r="Z34" s="17">
        <f>Y34/X34*100</f>
        <v>3.0488758488177286E-8</v>
      </c>
      <c r="AA34">
        <f>SUM(F34,G34,H34,O34,P34,Q34)</f>
        <v>0</v>
      </c>
      <c r="AB34" s="17">
        <f>AA34/X34*100</f>
        <v>0</v>
      </c>
      <c r="AC34">
        <f>SUM(K34,J34,I34,T34,S34,R34)</f>
        <v>2117.5552669970662</v>
      </c>
      <c r="AD34" s="17">
        <f>AC34/X34*100</f>
        <v>75.243894581424172</v>
      </c>
      <c r="AE34" s="17">
        <f>U34</f>
        <v>0</v>
      </c>
      <c r="AF34" s="17">
        <f>AE34/X34*100</f>
        <v>0</v>
      </c>
      <c r="AG34" s="17">
        <f>V34</f>
        <v>0</v>
      </c>
      <c r="AH34" s="17">
        <f>AG34/X34*100</f>
        <v>0</v>
      </c>
      <c r="AI34" s="17">
        <f>W34</f>
        <v>696.7</v>
      </c>
      <c r="AJ34" s="17">
        <f>AI34/X34*100</f>
        <v>24.756105388087075</v>
      </c>
    </row>
    <row r="35" spans="1:36">
      <c r="B35" t="s">
        <v>4</v>
      </c>
      <c r="C35" s="9">
        <v>0</v>
      </c>
      <c r="D35" s="10">
        <v>3.4775184420965388E-7</v>
      </c>
      <c r="E35" s="10">
        <v>0</v>
      </c>
      <c r="F35" s="10">
        <v>22.285109446178641</v>
      </c>
      <c r="G35" s="10">
        <v>191.52099785077093</v>
      </c>
      <c r="H35" s="10">
        <v>0</v>
      </c>
      <c r="I35" s="10">
        <v>0</v>
      </c>
      <c r="J35" s="10">
        <v>0</v>
      </c>
      <c r="K35" s="11">
        <v>0</v>
      </c>
      <c r="L35" s="9">
        <v>0</v>
      </c>
      <c r="M35" s="10">
        <v>0</v>
      </c>
      <c r="N35" s="10">
        <v>0</v>
      </c>
      <c r="O35" s="10">
        <v>0</v>
      </c>
      <c r="P35" s="10">
        <v>286.19399941626136</v>
      </c>
      <c r="Q35" s="10">
        <v>0</v>
      </c>
      <c r="R35" s="10">
        <v>0</v>
      </c>
      <c r="S35" s="10">
        <v>0</v>
      </c>
      <c r="T35" s="11">
        <v>0</v>
      </c>
      <c r="U35" s="9">
        <f>[1]Sheet1!$C$29</f>
        <v>0</v>
      </c>
      <c r="V35" s="10">
        <f>[1]Sheet1!$D$29</f>
        <v>194.99999999999997</v>
      </c>
      <c r="W35" s="11">
        <f>[1]Sheet1!$E$29</f>
        <v>0</v>
      </c>
      <c r="X35" s="16">
        <f>+SUM(C35:W35)</f>
        <v>695.0001070609627</v>
      </c>
      <c r="Y35">
        <f t="shared" si="1"/>
        <v>3.4775184420965388E-7</v>
      </c>
      <c r="Z35" s="17">
        <f t="shared" ref="Z35:Z39" si="2">Y35/X35*100</f>
        <v>5.0036228869120223E-8</v>
      </c>
      <c r="AA35">
        <f t="shared" ref="AA35:AA39" si="3">SUM(F35,G35,H35,O35,P35,Q35)</f>
        <v>500.00010671321093</v>
      </c>
      <c r="AB35" s="17">
        <f t="shared" ref="AB35:AB39" si="4">AA35/X35*100</f>
        <v>71.942450315241885</v>
      </c>
      <c r="AC35">
        <f t="shared" ref="AC35:AC39" si="5">SUM(K35,J35,I35,T35,S35,R35)</f>
        <v>0</v>
      </c>
      <c r="AD35" s="17">
        <f t="shared" ref="AD35:AD39" si="6">AC35/X35*100</f>
        <v>0</v>
      </c>
      <c r="AE35" s="17">
        <f t="shared" ref="AE35:AE39" si="7">U35</f>
        <v>0</v>
      </c>
      <c r="AF35" s="17">
        <f t="shared" ref="AF35:AF39" si="8">AE35/X35*100</f>
        <v>0</v>
      </c>
      <c r="AG35" s="17">
        <f t="shared" ref="AG35:AG39" si="9">V35</f>
        <v>194.99999999999997</v>
      </c>
      <c r="AH35" s="17">
        <f t="shared" ref="AH35:AH39" si="10">AG35/X35*100</f>
        <v>28.057549634721902</v>
      </c>
      <c r="AI35" s="17">
        <f t="shared" ref="AI35:AI39" si="11">W35</f>
        <v>0</v>
      </c>
      <c r="AJ35" s="17">
        <f t="shared" ref="AJ35:AJ39" si="12">AI35/X35*100</f>
        <v>0</v>
      </c>
    </row>
    <row r="36" spans="1:36">
      <c r="B36" t="s">
        <v>5</v>
      </c>
      <c r="C36" s="9">
        <v>0</v>
      </c>
      <c r="D36" s="10">
        <v>4.2412435297123352E-7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1">
        <v>0</v>
      </c>
      <c r="L36" s="9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1">
        <v>0</v>
      </c>
      <c r="U36" s="9">
        <f>[1]Sheet1!$C$30</f>
        <v>175</v>
      </c>
      <c r="V36" s="10">
        <f>[1]Sheet1!$D$30</f>
        <v>1.7763568394002505E-15</v>
      </c>
      <c r="W36" s="11">
        <f>[1]Sheet1!$E$30</f>
        <v>0</v>
      </c>
      <c r="X36" s="16">
        <f t="shared" ref="X36:X39" si="13">+SUM(C36:W36)</f>
        <v>175.00000042412435</v>
      </c>
      <c r="Y36">
        <f t="shared" si="1"/>
        <v>4.2412435297123352E-7</v>
      </c>
      <c r="Z36" s="17">
        <f t="shared" si="2"/>
        <v>2.4235677253905108E-7</v>
      </c>
      <c r="AA36">
        <f t="shared" si="3"/>
        <v>0</v>
      </c>
      <c r="AB36" s="17">
        <f t="shared" si="4"/>
        <v>0</v>
      </c>
      <c r="AC36">
        <f t="shared" si="5"/>
        <v>0</v>
      </c>
      <c r="AD36" s="17">
        <f t="shared" si="6"/>
        <v>0</v>
      </c>
      <c r="AE36" s="17">
        <f t="shared" si="7"/>
        <v>175</v>
      </c>
      <c r="AF36" s="17">
        <f t="shared" si="8"/>
        <v>99.999999757643238</v>
      </c>
      <c r="AG36" s="17">
        <f t="shared" si="9"/>
        <v>1.7763568394002505E-15</v>
      </c>
      <c r="AH36" s="17">
        <f t="shared" si="10"/>
        <v>1.0150610486257881E-15</v>
      </c>
      <c r="AI36" s="17">
        <f t="shared" si="11"/>
        <v>0</v>
      </c>
      <c r="AJ36" s="17">
        <f t="shared" si="12"/>
        <v>0</v>
      </c>
    </row>
    <row r="37" spans="1:36">
      <c r="B37" t="s">
        <v>6</v>
      </c>
      <c r="C37" s="9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5.193192376129474E-7</v>
      </c>
      <c r="K37" s="11">
        <v>0</v>
      </c>
      <c r="L37" s="9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1">
        <v>0</v>
      </c>
      <c r="U37" s="9">
        <f>[1]Sheet1!$C$31</f>
        <v>0</v>
      </c>
      <c r="V37" s="10">
        <f>[1]Sheet1!$D$31</f>
        <v>0</v>
      </c>
      <c r="W37" s="11">
        <f>[1]Sheet1!$E$31</f>
        <v>0</v>
      </c>
      <c r="X37" s="16">
        <f t="shared" si="13"/>
        <v>5.193192376129474E-7</v>
      </c>
      <c r="Y37">
        <f t="shared" si="1"/>
        <v>0</v>
      </c>
      <c r="Z37" s="17">
        <f t="shared" si="2"/>
        <v>0</v>
      </c>
      <c r="AA37">
        <f t="shared" si="3"/>
        <v>0</v>
      </c>
      <c r="AB37" s="17">
        <f t="shared" si="4"/>
        <v>0</v>
      </c>
      <c r="AC37">
        <f t="shared" si="5"/>
        <v>5.193192376129474E-7</v>
      </c>
      <c r="AD37" s="17">
        <f t="shared" si="6"/>
        <v>100</v>
      </c>
      <c r="AE37" s="17">
        <f t="shared" si="7"/>
        <v>0</v>
      </c>
      <c r="AF37" s="17">
        <f t="shared" si="8"/>
        <v>0</v>
      </c>
      <c r="AG37" s="17">
        <f t="shared" si="9"/>
        <v>0</v>
      </c>
      <c r="AH37" s="17">
        <f t="shared" si="10"/>
        <v>0</v>
      </c>
      <c r="AI37" s="17">
        <f t="shared" si="11"/>
        <v>0</v>
      </c>
      <c r="AJ37" s="17">
        <f t="shared" si="12"/>
        <v>0</v>
      </c>
    </row>
    <row r="38" spans="1:36">
      <c r="B38" t="s">
        <v>7</v>
      </c>
      <c r="C38" s="9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1">
        <v>0</v>
      </c>
      <c r="L38" s="9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0</v>
      </c>
      <c r="U38" s="9">
        <f>[1]Sheet1!$C$32</f>
        <v>0</v>
      </c>
      <c r="V38" s="10">
        <f>[1]Sheet1!$D$32</f>
        <v>0</v>
      </c>
      <c r="W38" s="11">
        <f>[1]Sheet1!$E$32</f>
        <v>0</v>
      </c>
      <c r="X38" s="16">
        <f t="shared" si="13"/>
        <v>0</v>
      </c>
      <c r="Y38">
        <f t="shared" si="1"/>
        <v>0</v>
      </c>
      <c r="Z38" s="17">
        <f>IF(X38,Y38/X38*100,0)</f>
        <v>0</v>
      </c>
      <c r="AA38">
        <f t="shared" si="3"/>
        <v>0</v>
      </c>
      <c r="AB38" s="17">
        <f>IF(X38,AA38/X38*100,0)</f>
        <v>0</v>
      </c>
      <c r="AC38">
        <f t="shared" si="5"/>
        <v>0</v>
      </c>
      <c r="AD38" s="17">
        <f>IF(X38,AC38/X38*100,0)</f>
        <v>0</v>
      </c>
      <c r="AE38" s="17">
        <f t="shared" si="7"/>
        <v>0</v>
      </c>
      <c r="AF38" s="17">
        <f>IF(X38,AE38/X38*100,0)</f>
        <v>0</v>
      </c>
      <c r="AG38" s="17">
        <f t="shared" si="9"/>
        <v>0</v>
      </c>
      <c r="AH38" s="17">
        <f>IF(X38,AG38/X38*100,0)</f>
        <v>0</v>
      </c>
      <c r="AI38" s="17">
        <f t="shared" si="11"/>
        <v>0</v>
      </c>
      <c r="AJ38" s="17">
        <f>IF(X38,AI38/X38*100,0)</f>
        <v>0</v>
      </c>
    </row>
    <row r="39" spans="1:36">
      <c r="B39" t="s">
        <v>8</v>
      </c>
      <c r="C39" s="12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4">
        <v>0</v>
      </c>
      <c r="L39" s="12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4">
        <v>0</v>
      </c>
      <c r="U39" s="12">
        <f>[1]Sheet1!$C$33</f>
        <v>0</v>
      </c>
      <c r="V39" s="13">
        <f>[1]Sheet1!$D$33</f>
        <v>0</v>
      </c>
      <c r="W39" s="14">
        <f>[1]Sheet1!$E$33</f>
        <v>1.7763568394002505E-15</v>
      </c>
      <c r="X39" s="16">
        <f t="shared" si="13"/>
        <v>1.7763568394002505E-15</v>
      </c>
      <c r="Y39">
        <f t="shared" si="1"/>
        <v>0</v>
      </c>
      <c r="Z39" s="17">
        <f t="shared" si="2"/>
        <v>0</v>
      </c>
      <c r="AA39">
        <f t="shared" si="3"/>
        <v>0</v>
      </c>
      <c r="AB39" s="17">
        <f t="shared" si="4"/>
        <v>0</v>
      </c>
      <c r="AC39">
        <f t="shared" si="5"/>
        <v>0</v>
      </c>
      <c r="AD39" s="17">
        <f t="shared" si="6"/>
        <v>0</v>
      </c>
      <c r="AE39" s="17">
        <f t="shared" si="7"/>
        <v>0</v>
      </c>
      <c r="AF39" s="17">
        <f t="shared" si="8"/>
        <v>0</v>
      </c>
      <c r="AG39" s="17">
        <f t="shared" si="9"/>
        <v>0</v>
      </c>
      <c r="AH39" s="17">
        <f t="shared" si="10"/>
        <v>0</v>
      </c>
      <c r="AI39" s="17">
        <f t="shared" si="11"/>
        <v>1.7763568394002505E-15</v>
      </c>
      <c r="AJ39" s="17">
        <f t="shared" si="12"/>
        <v>100</v>
      </c>
    </row>
    <row r="40" spans="1:36">
      <c r="C40" t="s">
        <v>12</v>
      </c>
      <c r="D40" t="s">
        <v>13</v>
      </c>
      <c r="E40" t="s">
        <v>14</v>
      </c>
      <c r="M40" t="s">
        <v>12</v>
      </c>
      <c r="N40" t="s">
        <v>13</v>
      </c>
      <c r="O40" t="s">
        <v>14</v>
      </c>
      <c r="U40" t="s">
        <v>12</v>
      </c>
      <c r="V40" t="s">
        <v>13</v>
      </c>
      <c r="W40" t="s">
        <v>14</v>
      </c>
    </row>
    <row r="41" spans="1:36">
      <c r="B41" t="s">
        <v>39</v>
      </c>
      <c r="C41">
        <f>SUM(C34:C39)+SUM(F34:F39)+SUM(I34:I39)</f>
        <v>192.16999967840036</v>
      </c>
      <c r="D41">
        <f>SUM(D34:D39)+SUM(G34:G39)+SUM(J34:J39)</f>
        <v>191.52099999999785</v>
      </c>
      <c r="E41">
        <f>SUM(E34:E39)+SUM(H34:H39)+SUM(K34:K39)</f>
        <v>733.91450000000009</v>
      </c>
      <c r="L41" t="s">
        <v>40</v>
      </c>
      <c r="M41">
        <f>SUM(L34:L39)+SUM(O34:O39)+SUM(R34:R39)</f>
        <v>227.01987618110579</v>
      </c>
      <c r="N41">
        <f>SUM(M34:M39)+SUM(P34:P39)+SUM(S34:S39)</f>
        <v>286.19399999999996</v>
      </c>
      <c r="O41">
        <f>SUM(N34:N39)+SUM(Q34:Q39)+SUM(T34:T39)</f>
        <v>986.73599999999988</v>
      </c>
      <c r="U41">
        <f>SUM(U34:U39)</f>
        <v>175</v>
      </c>
      <c r="V41">
        <f>SUM(V34:V39)</f>
        <v>194.99999999999997</v>
      </c>
      <c r="W41">
        <f>SUM(W34:W39)</f>
        <v>696.7</v>
      </c>
    </row>
    <row r="42" spans="1:36">
      <c r="C42" t="s">
        <v>17</v>
      </c>
      <c r="D42" t="s">
        <v>17</v>
      </c>
      <c r="E42" t="s">
        <v>17</v>
      </c>
      <c r="M42" t="s">
        <v>17</v>
      </c>
      <c r="N42" t="s">
        <v>17</v>
      </c>
      <c r="O42" t="s">
        <v>17</v>
      </c>
      <c r="U42" t="s">
        <v>17</v>
      </c>
      <c r="V42" t="s">
        <v>17</v>
      </c>
      <c r="W42" t="s">
        <v>17</v>
      </c>
    </row>
    <row r="43" spans="1:36">
      <c r="B43" t="s">
        <v>18</v>
      </c>
      <c r="C43" s="15">
        <f>1.1*174.7</f>
        <v>192.17000000000002</v>
      </c>
      <c r="D43" s="15">
        <f>1.1*174.11</f>
        <v>191.52100000000004</v>
      </c>
      <c r="E43" s="24">
        <f>1.1*667.195</f>
        <v>733.91450000000009</v>
      </c>
      <c r="L43" t="s">
        <v>18</v>
      </c>
      <c r="M43">
        <f>SUM(M44:M45)</f>
        <v>228.34</v>
      </c>
      <c r="N43">
        <f>SUM(N44:N45)</f>
        <v>299.44</v>
      </c>
      <c r="O43">
        <f>SUM(O44:O45)</f>
        <v>1042.49</v>
      </c>
      <c r="T43" t="s">
        <v>18</v>
      </c>
      <c r="U43" s="31"/>
      <c r="V43" s="31"/>
      <c r="W43" s="31"/>
    </row>
    <row r="44" spans="1:36">
      <c r="B44" t="s">
        <v>41</v>
      </c>
      <c r="C44">
        <f>C41+M41+U41</f>
        <v>594.18987585950617</v>
      </c>
      <c r="D44">
        <f>D41+N41+V41</f>
        <v>672.71499999999776</v>
      </c>
      <c r="E44" s="25">
        <f>E41+O41+W41</f>
        <v>2417.3505</v>
      </c>
      <c r="L44" t="s">
        <v>48</v>
      </c>
      <c r="M44" s="30">
        <f>125.59</f>
        <v>125.59</v>
      </c>
      <c r="N44" s="15">
        <f>146.92</f>
        <v>146.91999999999999</v>
      </c>
      <c r="O44" s="15">
        <f>555.66</f>
        <v>555.66</v>
      </c>
      <c r="Q44" s="4"/>
    </row>
    <row r="45" spans="1:36">
      <c r="B45" t="s">
        <v>19</v>
      </c>
      <c r="C45" t="s">
        <v>20</v>
      </c>
      <c r="D45" t="s">
        <v>20</v>
      </c>
      <c r="E45" t="s">
        <v>20</v>
      </c>
      <c r="L45" t="s">
        <v>49</v>
      </c>
      <c r="M45" s="15">
        <f>102.75</f>
        <v>102.75</v>
      </c>
      <c r="N45" s="15">
        <f>152.52</f>
        <v>152.52000000000001</v>
      </c>
      <c r="O45" s="15">
        <f>486.83</f>
        <v>486.83</v>
      </c>
    </row>
    <row r="46" spans="1:36">
      <c r="B46" t="s">
        <v>22</v>
      </c>
      <c r="C46">
        <v>4000</v>
      </c>
      <c r="D46">
        <v>10000</v>
      </c>
      <c r="E46">
        <v>20000</v>
      </c>
      <c r="L46" t="s">
        <v>50</v>
      </c>
      <c r="M46" s="16">
        <f>100*M45/(M43+43.75)</f>
        <v>37.763240104377225</v>
      </c>
      <c r="N46" s="16">
        <f>100*N45/(N43+43)</f>
        <v>44.539189347038906</v>
      </c>
      <c r="O46" s="16">
        <f>100*O45/(O43+143)</f>
        <v>41.065719660224886</v>
      </c>
    </row>
    <row r="47" spans="1:36">
      <c r="C47" t="s">
        <v>25</v>
      </c>
      <c r="D47" t="s">
        <v>26</v>
      </c>
      <c r="E47" t="s">
        <v>27</v>
      </c>
    </row>
    <row r="48" spans="1:36">
      <c r="B48" t="s">
        <v>42</v>
      </c>
      <c r="C48">
        <f>SUM(C34:C39)+SUM(D34:D39)+SUM(E34:E39)+SUM(L34:L39)+SUM(M34:M39)+SUM(N34:N39)</f>
        <v>1.6299076890380348E-6</v>
      </c>
      <c r="D48">
        <f>SUM(F34:F39)+SUM(G34:G39)+SUM(H34:H39)+SUM(O34:O39)+SUM(P34:P39)+SUM(Q34:Q39)</f>
        <v>500.00010671321093</v>
      </c>
      <c r="E48">
        <f>SUM(I34:I39)+SUM(J34:J39)+SUM(K34:K39)+SUM(R34:R39)+SUM(S34:S39)+SUM(T34:T39)</f>
        <v>2117.5552675163854</v>
      </c>
      <c r="L48" t="s">
        <v>23</v>
      </c>
    </row>
    <row r="49" spans="2:31">
      <c r="C49" t="s">
        <v>20</v>
      </c>
      <c r="D49" t="s">
        <v>20</v>
      </c>
      <c r="E49" t="s">
        <v>20</v>
      </c>
      <c r="L49" t="s">
        <v>21</v>
      </c>
      <c r="M49" s="5">
        <f>SUMPRODUCT(C17:C22,C34:C39+L34:L39)+I17*(SUM(C34:C39)+SUM(L34:L39))+SUMPRODUCT(C17:C22,D34:D39+M34:M39)+J17*(SUM(D34:D39)+SUM(M34:M39))+SUMPRODUCT(C17:C22,E34:E39+N34:N39)+K17*(SUM(E34:E39)+SUM(N34:N39))+SUMPRODUCT(D17:D22,F34:F39+O34:O39)+I18*(SUM(F34:F39)+SUM(O34:O39))+SUMPRODUCT(D17:D22,G34:G39+P34:P39)+J18*(SUM(G34:G39)+SUM(P34:P39))+SUMPRODUCT(D17:D22,H34:H39+Q34:Q39)+K18*(SUM(H34:H39)+SUM(Q34:Q39))+SUMPRODUCT(E17:E22,I34:I39+R34:R39)+I19*(SUM(I34:I39)+SUM(R34:R39))+SUMPRODUCT(E17:E22,J34:J39+S34:S39)+J19*(SUM(J34:J39)+SUM(S34:S39))+SUMPRODUCT(E17:E22,K34:K39+T34:T39)+K19*(SUM(K34:K39)+SUM(T34:T39))</f>
        <v>6192283.191309561</v>
      </c>
      <c r="Z49" t="s">
        <v>25</v>
      </c>
      <c r="AA49" t="s">
        <v>26</v>
      </c>
      <c r="AB49" t="s">
        <v>27</v>
      </c>
      <c r="AC49" t="s">
        <v>12</v>
      </c>
      <c r="AD49" t="s">
        <v>13</v>
      </c>
      <c r="AE49" t="s">
        <v>14</v>
      </c>
    </row>
    <row r="50" spans="2:31">
      <c r="B50" t="s">
        <v>22</v>
      </c>
      <c r="C50">
        <v>1000</v>
      </c>
      <c r="D50">
        <v>500</v>
      </c>
      <c r="E50">
        <v>3589</v>
      </c>
      <c r="M50" s="19">
        <f>48*M49</f>
        <v>297229593.18285894</v>
      </c>
      <c r="Y50" t="s">
        <v>3</v>
      </c>
      <c r="Z50" s="16">
        <f>Z34</f>
        <v>3.0488758488177286E-8</v>
      </c>
      <c r="AA50" s="16">
        <f>AB34</f>
        <v>0</v>
      </c>
      <c r="AB50" s="16">
        <f>AD34</f>
        <v>75.243894581424172</v>
      </c>
      <c r="AC50" s="16">
        <f>AF34</f>
        <v>0</v>
      </c>
      <c r="AD50" s="16">
        <f>AH34</f>
        <v>0</v>
      </c>
      <c r="AE50" s="16">
        <f>AJ34</f>
        <v>24.756105388087075</v>
      </c>
    </row>
    <row r="51" spans="2:31">
      <c r="Y51" t="s">
        <v>4</v>
      </c>
      <c r="Z51" s="16">
        <f>Z35</f>
        <v>5.0036228869120223E-8</v>
      </c>
      <c r="AA51" s="16">
        <f>AB35</f>
        <v>71.942450315241885</v>
      </c>
      <c r="AB51" s="16">
        <f>AD35</f>
        <v>0</v>
      </c>
      <c r="AC51" s="16">
        <f>AF35</f>
        <v>0</v>
      </c>
      <c r="AD51" s="16">
        <f>AH35</f>
        <v>28.057549634721902</v>
      </c>
      <c r="AE51" s="16">
        <f>AJ35</f>
        <v>0</v>
      </c>
    </row>
    <row r="52" spans="2:31">
      <c r="M52" s="20"/>
      <c r="N52" s="20"/>
      <c r="O52" s="20"/>
      <c r="Y52" t="s">
        <v>5</v>
      </c>
      <c r="Z52" s="16">
        <f>Z36</f>
        <v>2.4235677253905108E-7</v>
      </c>
      <c r="AA52" s="16">
        <f>AB36</f>
        <v>0</v>
      </c>
      <c r="AB52" s="16">
        <f>AD36</f>
        <v>0</v>
      </c>
      <c r="AC52" s="16">
        <f>AF36</f>
        <v>99.999999757643238</v>
      </c>
      <c r="AD52" s="16">
        <f>AH36</f>
        <v>1.0150610486257881E-15</v>
      </c>
      <c r="AE52" s="16">
        <f>AJ36</f>
        <v>0</v>
      </c>
    </row>
    <row r="53" spans="2:31">
      <c r="L53" s="18"/>
      <c r="M53" s="20"/>
      <c r="N53" s="20"/>
      <c r="O53" s="20"/>
      <c r="Y53" t="s">
        <v>6</v>
      </c>
      <c r="Z53" s="16">
        <f>Z37</f>
        <v>0</v>
      </c>
      <c r="AA53" s="16">
        <f>AB37</f>
        <v>0</v>
      </c>
      <c r="AB53" s="16">
        <f>AD37</f>
        <v>100</v>
      </c>
      <c r="AC53" s="16">
        <f>AF37</f>
        <v>0</v>
      </c>
      <c r="AD53" s="16">
        <f>AH37</f>
        <v>0</v>
      </c>
      <c r="AE53" s="16">
        <f>AJ37</f>
        <v>0</v>
      </c>
    </row>
    <row r="54" spans="2:31">
      <c r="C54" t="s">
        <v>25</v>
      </c>
      <c r="D54" t="s">
        <v>26</v>
      </c>
      <c r="E54" t="s">
        <v>27</v>
      </c>
      <c r="L54" s="18"/>
      <c r="Y54" t="s">
        <v>7</v>
      </c>
      <c r="Z54" s="16">
        <f>Z38</f>
        <v>0</v>
      </c>
      <c r="AA54" s="16">
        <f>AB38</f>
        <v>0</v>
      </c>
      <c r="AB54" s="16">
        <f>AD38</f>
        <v>0</v>
      </c>
      <c r="AC54" s="16">
        <f>AF38</f>
        <v>0</v>
      </c>
      <c r="AD54" s="16">
        <f>AH38</f>
        <v>0</v>
      </c>
      <c r="AE54" s="16">
        <f>AJ38</f>
        <v>0</v>
      </c>
    </row>
    <row r="55" spans="2:31">
      <c r="B55" t="s">
        <v>37</v>
      </c>
      <c r="C55">
        <f>SUM(C34:C39)+SUM(D34:D39)+SUM(E34:E39)</f>
        <v>1.6299076890380348E-6</v>
      </c>
      <c r="D55">
        <f>SUM(F34:H39)</f>
        <v>213.80610729694956</v>
      </c>
      <c r="E55">
        <f>SUM(I34:K39)</f>
        <v>903.79939075154107</v>
      </c>
      <c r="L55" s="18"/>
      <c r="Y55" t="s">
        <v>8</v>
      </c>
      <c r="Z55" s="16">
        <f>Z39</f>
        <v>0</v>
      </c>
      <c r="AA55" s="16">
        <f>AB39</f>
        <v>0</v>
      </c>
      <c r="AB55" s="16">
        <f>AD39</f>
        <v>0</v>
      </c>
      <c r="AC55" s="16">
        <f>AF39</f>
        <v>0</v>
      </c>
      <c r="AD55" s="16">
        <f>AH39</f>
        <v>0</v>
      </c>
      <c r="AE55" s="16">
        <f>AJ39</f>
        <v>100</v>
      </c>
    </row>
    <row r="56" spans="2:31">
      <c r="B56" t="s">
        <v>38</v>
      </c>
      <c r="C56">
        <f>SUM(L34:N39)</f>
        <v>0</v>
      </c>
      <c r="D56">
        <f>SUM(O34:Q39)</f>
        <v>286.19399941626136</v>
      </c>
      <c r="E56">
        <f>SUM(R34:T39)</f>
        <v>1213.7558767648443</v>
      </c>
      <c r="L56" s="18"/>
    </row>
    <row r="57" spans="2:31">
      <c r="B57" t="s">
        <v>43</v>
      </c>
      <c r="C57">
        <f>SUM(C55:C56)</f>
        <v>1.6299076890380348E-6</v>
      </c>
      <c r="D57">
        <f>SUM(D55:D56)</f>
        <v>500.00010671321093</v>
      </c>
      <c r="E57">
        <f>SUM(E55:E56)</f>
        <v>2117.5552675163854</v>
      </c>
      <c r="L57" s="18"/>
    </row>
    <row r="58" spans="2:31">
      <c r="B58" s="16" t="s">
        <v>47</v>
      </c>
      <c r="C58" s="16">
        <f>IF(C57,C55/C57*100,0)</f>
        <v>100</v>
      </c>
      <c r="D58" s="16">
        <f>D55/D57*100</f>
        <v>42.761212333017369</v>
      </c>
      <c r="E58" s="16">
        <f>E55/E57*100</f>
        <v>42.681265732042931</v>
      </c>
      <c r="L58" s="18"/>
    </row>
    <row r="59" spans="2:31">
      <c r="L59" s="10"/>
    </row>
    <row r="60" spans="2:31">
      <c r="B60" s="16"/>
      <c r="C60" s="16" t="s">
        <v>25</v>
      </c>
      <c r="D60" s="16"/>
      <c r="E60" s="16" t="s">
        <v>26</v>
      </c>
      <c r="F60" s="16"/>
      <c r="G60" s="16" t="s">
        <v>27</v>
      </c>
      <c r="H60" s="16"/>
    </row>
    <row r="61" spans="2:31">
      <c r="B61" s="16"/>
      <c r="C61" s="16" t="s">
        <v>38</v>
      </c>
      <c r="D61" s="16" t="s">
        <v>37</v>
      </c>
      <c r="E61" s="16" t="s">
        <v>38</v>
      </c>
      <c r="F61" s="16" t="s">
        <v>37</v>
      </c>
      <c r="G61" s="16" t="s">
        <v>38</v>
      </c>
      <c r="H61" s="16" t="s">
        <v>37</v>
      </c>
    </row>
    <row r="62" spans="2:31">
      <c r="B62" s="16" t="s">
        <v>12</v>
      </c>
      <c r="C62" s="16">
        <f>IF((SUM(L34:L39)+SUM(M34:M39)+SUM(N34:N39)),100*SUM(L34:L39)/(SUM(L34:L39)+SUM(M34:M39)+SUM(N34:N39)),0)</f>
        <v>0</v>
      </c>
      <c r="D62" s="16">
        <f>IF((SUM($C$34:$C$39)+SUM($D$34:$D$39)+SUM($E$34:$E$39)),100*SUM(C34:C39)/(SUM($C$34:$C$39)+SUM($D$34:$D$39)+SUM($E$34:$E$39)),0)</f>
        <v>0</v>
      </c>
      <c r="E62" s="16">
        <f>100*SUM(O34:O39)/(SUM(O34:O39)+SUM(P34:P39)+SUM(Q34:Q39))</f>
        <v>0</v>
      </c>
      <c r="F62" s="16">
        <f>100*SUM(F34:F39)/(SUM($F$34:$F$39)+SUM($G$34:$G$39)+SUM($H$34:$H$39))</f>
        <v>10.423046248733883</v>
      </c>
      <c r="G62" s="16">
        <f>100*SUM(R34:R39)/(SUM($R$34:$R$39)+SUM($S$34:$S$39)+SUM($T$34:$T$39))</f>
        <v>18.703915715424305</v>
      </c>
      <c r="H62" s="16">
        <f>SUM(I$34:I$39)*100/(SUM($I$34:$I$39)+SUM($J$34:$J$39)+SUM($K$34:$K$39))</f>
        <v>18.796747593617699</v>
      </c>
    </row>
    <row r="63" spans="2:31">
      <c r="B63" s="16" t="s">
        <v>13</v>
      </c>
      <c r="C63" s="16">
        <f>IF((SUM(L34:L39)+SUM(M34:M39)+SUM(N34:N39)),100*SUM(M34:M39)/(SUM(L34:L39)+SUM(M34:M39)+SUM(N34:N39)),0)</f>
        <v>0</v>
      </c>
      <c r="D63" s="16">
        <f>IF((SUM($C$34:$C$39)+SUM($D$34:$D$39)+SUM($E$34:$E$39)),100*SUM(D34:D39)/(SUM($C$34:$C$39)+SUM($D$34:$D$39)+SUM($E$34:$E$39)),0)</f>
        <v>100</v>
      </c>
      <c r="E63" s="16">
        <f>100*SUM(P34:P39)/(SUM(O34:O39)+SUM(P34:P39)+SUM(Q34:Q39))</f>
        <v>100</v>
      </c>
      <c r="F63" s="16">
        <f>100*SUM(G34:G39)/(SUM($F$34:$F$39)+SUM($G$34:$G$39)+SUM($H$34:$H$39))</f>
        <v>89.576953751266117</v>
      </c>
      <c r="G63" s="16">
        <f>100*SUM(S34:S39)/(SUM($R$34:$R$39)+SUM($S$34:$S$39)+SUM($T$34:$T$39))</f>
        <v>4.8093576429485658E-8</v>
      </c>
      <c r="H63" s="16">
        <f>SUM(J$34:J$39)*100/(SUM($I$34:$I$39)+SUM($J$34:$J$39)+SUM($K$34:$K$39))</f>
        <v>5.7459569338845774E-8</v>
      </c>
    </row>
    <row r="64" spans="2:31">
      <c r="B64" s="16" t="s">
        <v>14</v>
      </c>
      <c r="C64" s="16">
        <f>IF((SUM(L34:L39)+SUM(M34:M39)+SUM(N34:N39)),100*SUM(N34:N39)/(SUM(L34:L39)+SUM(M34:M39)+SUM(N34:N39)),0)</f>
        <v>0</v>
      </c>
      <c r="D64" s="16">
        <f>IF((SUM($C$34:$C$39)+SUM($D$34:$D$39)+SUM($E$34:$E$39)),100*SUM(E34:E39)/(SUM($C$34:$C$39)+SUM($D$34:$D$39)+SUM($E$34:$E$39)),0)</f>
        <v>0</v>
      </c>
      <c r="E64" s="16">
        <f>100*SUM(Q34:Q39)/(SUM(O34:O39)+SUM(P34:P39)+SUM(Q34:Q39))</f>
        <v>0</v>
      </c>
      <c r="F64" s="16">
        <f>100*SUM(H34:H39)/(SUM($F$34:$F$39)+SUM($G$34:$G$39)+SUM($H$34:$H$39))</f>
        <v>0</v>
      </c>
      <c r="G64" s="16">
        <f>100*SUM(T34:T39)/(SUM($R$34:$R$39)+SUM($S$34:$S$39)+SUM($T$34:$T$39))</f>
        <v>81.296084236482116</v>
      </c>
      <c r="H64" s="16">
        <f>SUM(K$34:K$39)*100/(SUM($I$34:$I$39)+SUM($J$34:$J$39)+SUM($K$34:$K$39))</f>
        <v>81.203252348922732</v>
      </c>
    </row>
  </sheetData>
  <mergeCells count="3">
    <mergeCell ref="E31:K31"/>
    <mergeCell ref="M31:T31"/>
    <mergeCell ref="U31:W31"/>
  </mergeCells>
  <dataValidations xWindow="805" yWindow="614" count="1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L53:L58">
      <formula1>0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Dhore</dc:creator>
  <cp:lastModifiedBy>Michelle Scharfstein</cp:lastModifiedBy>
  <dcterms:created xsi:type="dcterms:W3CDTF">2014-11-30T17:14:49Z</dcterms:created>
  <dcterms:modified xsi:type="dcterms:W3CDTF">2014-12-04T18:53:04Z</dcterms:modified>
</cp:coreProperties>
</file>