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ffsys\Radio data\IC-900_IC-901\Front Unit 2V0\UXFFu web page\"/>
    </mc:Choice>
  </mc:AlternateContent>
  <xr:revisionPtr revIDLastSave="0" documentId="13_ncr:1_{71A8B803-6A15-4DF4-8C48-9302AF6BD0E0}" xr6:coauthVersionLast="44" xr6:coauthVersionMax="44" xr10:uidLastSave="{00000000-0000-0000-0000-000000000000}"/>
  <bookViews>
    <workbookView xWindow="1170" yWindow="1170" windowWidth="24705" windowHeight="11385" xr2:uid="{563D5A93-05C8-413C-AF3F-CB5D14A8B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" i="1" l="1"/>
  <c r="I14" i="1" l="1"/>
  <c r="L13" i="1"/>
  <c r="AH14" i="1"/>
  <c r="AH15" i="1"/>
  <c r="AA17" i="1"/>
  <c r="AD17" i="1" s="1"/>
  <c r="AA24" i="1" l="1"/>
  <c r="AA25" i="1"/>
  <c r="I13" i="1"/>
  <c r="AA12" i="1"/>
  <c r="L12" i="1" s="1"/>
  <c r="AA14" i="1"/>
  <c r="AA15" i="1"/>
  <c r="AC15" i="1" s="1"/>
  <c r="AA16" i="1"/>
  <c r="K16" i="1" s="1"/>
  <c r="AC26" i="1"/>
  <c r="AA27" i="1" s="1"/>
  <c r="AF26" i="1"/>
  <c r="AJ26" i="1" s="1"/>
  <c r="AM26" i="1" s="1"/>
  <c r="AE14" i="1" l="1"/>
  <c r="AD14" i="1"/>
  <c r="AC14" i="1"/>
  <c r="AE15" i="1"/>
  <c r="AD15" i="1"/>
  <c r="AE17" i="1"/>
  <c r="AF17" i="1"/>
  <c r="AJ17" i="1" s="1"/>
  <c r="AD26" i="1"/>
  <c r="AE26" i="1"/>
  <c r="AI26" i="1" s="1"/>
  <c r="AL26" i="1" s="1"/>
  <c r="AF14" i="1" l="1"/>
  <c r="AF15" i="1"/>
  <c r="AI15" i="1" s="1"/>
  <c r="AK15" i="1" s="1"/>
  <c r="AI17" i="1"/>
  <c r="AL17" i="1" s="1"/>
  <c r="AH17" i="1"/>
  <c r="AH26" i="1"/>
  <c r="AK26" i="1" s="1"/>
  <c r="AI14" i="1" l="1"/>
  <c r="AJ14" i="1"/>
  <c r="AL14" i="1" s="1"/>
  <c r="AJ15" i="1"/>
  <c r="AL15" i="1" s="1"/>
  <c r="AA29" i="1"/>
  <c r="AB29" i="1" s="1"/>
  <c r="AC29" i="1" s="1"/>
  <c r="AD29" i="1" s="1"/>
  <c r="AB27" i="1"/>
  <c r="AC27" i="1" s="1"/>
  <c r="AD27" i="1" s="1"/>
  <c r="AA28" i="1"/>
  <c r="AB28" i="1" s="1"/>
  <c r="AC28" i="1" s="1"/>
  <c r="AD28" i="1" s="1"/>
  <c r="AK14" i="1" l="1"/>
  <c r="AB14" i="1" s="1"/>
  <c r="K14" i="1" s="1"/>
  <c r="AB15" i="1"/>
  <c r="K15" i="1" s="1"/>
  <c r="AB26" i="1"/>
  <c r="AM17" i="1" l="1"/>
  <c r="AK17" i="1" l="1"/>
  <c r="AC17" i="1" s="1"/>
  <c r="AA18" i="1" l="1"/>
  <c r="AB18" i="1" s="1"/>
  <c r="AA19" i="1"/>
  <c r="AB19" i="1" s="1"/>
  <c r="AC19" i="1" s="1"/>
  <c r="AD19" i="1" s="1"/>
  <c r="AA20" i="1"/>
  <c r="AB20" i="1" s="1"/>
  <c r="AC20" i="1" l="1"/>
  <c r="AD20" i="1" s="1"/>
  <c r="AC18" i="1"/>
  <c r="AD18" i="1" l="1"/>
  <c r="AB17" i="1" s="1"/>
  <c r="L17" i="1" s="1"/>
</calcChain>
</file>

<file path=xl/sharedStrings.xml><?xml version="1.0" encoding="utf-8"?>
<sst xmlns="http://schemas.openxmlformats.org/spreadsheetml/2006/main" count="59" uniqueCount="50">
  <si>
    <t>Freq =&gt;</t>
  </si>
  <si>
    <t>RX PLL base</t>
  </si>
  <si>
    <t>0x01e3b</t>
  </si>
  <si>
    <t>0x05cd0</t>
  </si>
  <si>
    <t>0x1266a</t>
  </si>
  <si>
    <t>0x11e70</t>
  </si>
  <si>
    <t>Fupper</t>
  </si>
  <si>
    <t>Fbase</t>
  </si>
  <si>
    <t>Fstep</t>
  </si>
  <si>
    <t>0x1400a110</t>
  </si>
  <si>
    <t>0x04000000</t>
  </si>
  <si>
    <t>0x04000003</t>
  </si>
  <si>
    <t>0x0400000f</t>
  </si>
  <si>
    <t>0x14001325</t>
  </si>
  <si>
    <t>Notes</t>
  </si>
  <si>
    <t>Scratchpad area DO NOT EDIT!!!</t>
  </si>
  <si>
    <t>bit reverse</t>
  </si>
  <si>
    <t>UXFFront Unit PLL Calc, Joe Haas, 9/16/2019</t>
  </si>
  <si>
    <t>PLL Frames</t>
  </si>
  <si>
    <t>UX-19</t>
  </si>
  <si>
    <t>UX-29</t>
  </si>
  <si>
    <t>UX-39</t>
  </si>
  <si>
    <t>UX-49</t>
  </si>
  <si>
    <t>UX-59</t>
  </si>
  <si>
    <t>UX-129</t>
  </si>
  <si>
    <t>The appropriate module PLL frames are highlighted in green (ignore data for the other modules)</t>
  </si>
  <si>
    <t>Mod bit 7</t>
  </si>
  <si>
    <t>mod shifted/rvrs</t>
  </si>
  <si>
    <t>Scratch-pad area starts at column Z (!! DO NOT EDIT THIS AREA !!)</t>
  </si>
  <si>
    <r>
      <rPr>
        <b/>
        <sz val="11"/>
        <color theme="1"/>
        <rFont val="Courier New"/>
        <family val="3"/>
      </rPr>
      <t xml:space="preserve">Module </t>
    </r>
    <r>
      <rPr>
        <b/>
        <u/>
        <sz val="11"/>
        <color theme="1"/>
        <rFont val="Courier New"/>
        <family val="3"/>
      </rPr>
      <t>ID</t>
    </r>
  </si>
  <si>
    <t xml:space="preserve"> </t>
  </si>
  <si>
    <t>0x19F64</t>
  </si>
  <si>
    <t>2m</t>
  </si>
  <si>
    <t>6m</t>
  </si>
  <si>
    <t>10m</t>
  </si>
  <si>
    <t>*</t>
  </si>
  <si>
    <t>Init frame &amp; PLL data left shifted by 1 bit after calculating</t>
  </si>
  <si>
    <t>Mod bit 7; Bit reversed, plus init frames</t>
  </si>
  <si>
    <t>Calculates PLL data for uxff project stand-alone RX configuration</t>
  </si>
  <si>
    <t>see www.rollanet.org/~joeh/projects/uxff/ for project details.</t>
  </si>
  <si>
    <t>Enter "Freq" in MHz (5KHz increments, 10KHz for UX-129)</t>
  </si>
  <si>
    <t>All freqs in MHz</t>
  </si>
  <si>
    <t>RX PLL Frame</t>
  </si>
  <si>
    <t>If no highlighted area is displayed, the "Freq" entry is out of range.</t>
  </si>
  <si>
    <r>
      <t xml:space="preserve">Module </t>
    </r>
    <r>
      <rPr>
        <b/>
        <u/>
        <sz val="11"/>
        <color theme="1"/>
        <rFont val="Courier New"/>
        <family val="3"/>
      </rPr>
      <t>Model#</t>
    </r>
  </si>
  <si>
    <r>
      <rPr>
        <b/>
        <sz val="11"/>
        <color theme="1"/>
        <rFont val="Courier New"/>
        <family val="3"/>
      </rPr>
      <t xml:space="preserve">BAND </t>
    </r>
    <r>
      <rPr>
        <b/>
        <u/>
        <sz val="11"/>
        <color theme="1"/>
        <rFont val="Courier New"/>
        <family val="3"/>
      </rPr>
      <t>Signal</t>
    </r>
  </si>
  <si>
    <t>A "1" in the "baND Signal" column indicates that the BAND signal should be active for the</t>
  </si>
  <si>
    <t xml:space="preserve">   current FREQ entry.  Only valid for UX29 &amp; UX-59.</t>
  </si>
  <si>
    <t>00a110</t>
  </si>
  <si>
    <t>0x02a2e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</si>
</sst>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z val="11"/>
      <color theme="0" tint="-4.9989318521683403E-2"/>
      <name val="Courier New"/>
      <family val="3"/>
    </font>
    <font>
      <i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i/>
      <sz val="11"/>
      <color theme="0" tint="-4.9989318521683403E-2"/>
      <name val="Calibri Light"/>
      <family val="2"/>
    </font>
    <font>
      <b/>
      <sz val="11"/>
      <color theme="4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1" fillId="0" borderId="9" xfId="0" applyFont="1" applyBorder="1" applyAlignment="1">
      <alignment horizontal="right"/>
    </xf>
    <xf numFmtId="0" fontId="8" fillId="0" borderId="10" xfId="0" applyFont="1" applyBorder="1"/>
    <xf numFmtId="0" fontId="8" fillId="0" borderId="0" xfId="0" applyFont="1" applyBorder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05EA-37B7-4F81-9F84-7898479CC613}">
  <dimension ref="A1:AM31"/>
  <sheetViews>
    <sheetView tabSelected="1" topLeftCell="A11" workbookViewId="0">
      <selection activeCell="B13" sqref="B13"/>
    </sheetView>
  </sheetViews>
  <sheetFormatPr defaultRowHeight="15" x14ac:dyDescent="0.25"/>
  <cols>
    <col min="1" max="1" width="10.140625" style="1" customWidth="1"/>
    <col min="2" max="2" width="11.140625" style="1" customWidth="1"/>
    <col min="3" max="3" width="2.28515625" style="1" customWidth="1"/>
    <col min="4" max="4" width="9.5703125" style="1" customWidth="1"/>
    <col min="5" max="5" width="9.28515625" style="1" customWidth="1"/>
    <col min="6" max="6" width="9.140625" style="1"/>
    <col min="7" max="7" width="10.5703125" style="1" customWidth="1"/>
    <col min="8" max="8" width="15" style="1" customWidth="1"/>
    <col min="9" max="9" width="8.7109375" style="1" customWidth="1"/>
    <col min="10" max="10" width="9.140625" style="1" customWidth="1"/>
    <col min="11" max="11" width="15" style="1" customWidth="1"/>
    <col min="12" max="15" width="15.85546875" style="1" customWidth="1"/>
    <col min="16" max="16" width="52" style="1" customWidth="1"/>
    <col min="17" max="25" width="37.7109375" style="1" customWidth="1"/>
    <col min="26" max="26" width="3.140625" style="1" customWidth="1"/>
    <col min="27" max="27" width="17.28515625" style="1" customWidth="1"/>
    <col min="28" max="28" width="17.140625" style="1" customWidth="1"/>
    <col min="29" max="29" width="12.140625" style="1" customWidth="1"/>
    <col min="30" max="30" width="12.85546875" style="1" customWidth="1"/>
    <col min="31" max="31" width="14.5703125" style="1" customWidth="1"/>
    <col min="32" max="32" width="45.5703125" style="1" customWidth="1"/>
    <col min="33" max="33" width="2.85546875" style="1" customWidth="1"/>
    <col min="34" max="34" width="13.42578125" style="1" customWidth="1"/>
    <col min="35" max="35" width="14.28515625" style="1" customWidth="1"/>
    <col min="36" max="36" width="13.85546875" style="1" customWidth="1"/>
    <col min="37" max="16384" width="9.140625" style="1"/>
  </cols>
  <sheetData>
    <row r="1" spans="1:38" x14ac:dyDescent="0.25">
      <c r="A1" s="1" t="s">
        <v>17</v>
      </c>
      <c r="Q1" s="3"/>
      <c r="R1" s="3"/>
      <c r="S1" s="3"/>
      <c r="T1" s="3"/>
      <c r="U1" s="3"/>
      <c r="V1" s="3"/>
      <c r="W1" s="3"/>
      <c r="X1" s="3"/>
    </row>
    <row r="2" spans="1:38" x14ac:dyDescent="0.25">
      <c r="A2" s="1" t="s">
        <v>38</v>
      </c>
      <c r="Q2" s="3"/>
      <c r="R2" s="3"/>
      <c r="S2" s="3"/>
      <c r="T2" s="3"/>
      <c r="U2" s="3"/>
      <c r="V2" s="3"/>
      <c r="W2" s="3"/>
      <c r="X2" s="3"/>
    </row>
    <row r="3" spans="1:38" x14ac:dyDescent="0.25">
      <c r="A3" s="1" t="s">
        <v>39</v>
      </c>
      <c r="Q3" s="3"/>
      <c r="R3" s="3"/>
      <c r="S3" s="3"/>
      <c r="T3" s="3"/>
      <c r="U3" s="3"/>
      <c r="V3" s="3"/>
      <c r="W3" s="3"/>
      <c r="X3" s="3"/>
    </row>
    <row r="4" spans="1:38" x14ac:dyDescent="0.25">
      <c r="A4" s="1" t="s">
        <v>40</v>
      </c>
      <c r="Q4" s="3"/>
      <c r="R4" s="3"/>
      <c r="S4" s="3"/>
      <c r="T4" s="3"/>
      <c r="U4" s="3"/>
      <c r="V4" s="3"/>
      <c r="W4" s="3"/>
      <c r="X4" s="3"/>
    </row>
    <row r="5" spans="1:38" x14ac:dyDescent="0.25">
      <c r="A5" s="1" t="s">
        <v>25</v>
      </c>
      <c r="Q5" s="3"/>
      <c r="R5" s="3"/>
      <c r="S5" s="3"/>
      <c r="T5" s="3"/>
      <c r="U5" s="3"/>
      <c r="V5" s="3"/>
      <c r="W5" s="3"/>
      <c r="X5" s="3"/>
    </row>
    <row r="6" spans="1:38" x14ac:dyDescent="0.25">
      <c r="A6" s="1" t="s">
        <v>43</v>
      </c>
      <c r="Q6" s="3"/>
      <c r="R6" s="3"/>
      <c r="S6" s="3"/>
      <c r="T6" s="3"/>
      <c r="U6" s="3"/>
      <c r="V6" s="3"/>
      <c r="W6" s="3"/>
      <c r="X6" s="3"/>
    </row>
    <row r="7" spans="1:38" x14ac:dyDescent="0.25">
      <c r="A7" s="1" t="s">
        <v>28</v>
      </c>
      <c r="Q7" s="3"/>
      <c r="R7" s="3"/>
      <c r="S7" s="3"/>
      <c r="T7" s="3"/>
      <c r="U7" s="3"/>
      <c r="V7" s="3"/>
      <c r="W7" s="3"/>
      <c r="X7" s="3"/>
    </row>
    <row r="8" spans="1:38" x14ac:dyDescent="0.25">
      <c r="A8" s="1" t="s">
        <v>46</v>
      </c>
      <c r="Q8" s="3"/>
      <c r="R8" s="3"/>
      <c r="S8" s="3"/>
      <c r="T8" s="3"/>
      <c r="U8" s="3"/>
      <c r="V8" s="3"/>
      <c r="W8" s="3"/>
      <c r="X8" s="3"/>
    </row>
    <row r="9" spans="1:38" x14ac:dyDescent="0.25">
      <c r="A9" s="1" t="s">
        <v>47</v>
      </c>
      <c r="Q9" s="3"/>
      <c r="R9" s="3"/>
      <c r="S9" s="3"/>
      <c r="T9" s="3"/>
      <c r="U9" s="3"/>
      <c r="V9" s="3"/>
      <c r="W9" s="3"/>
      <c r="X9" s="3"/>
    </row>
    <row r="10" spans="1:38" ht="15.75" x14ac:dyDescent="0.3">
      <c r="K10" s="4" t="s">
        <v>18</v>
      </c>
      <c r="L10" s="4"/>
      <c r="P10" s="9"/>
      <c r="Q10" s="3"/>
      <c r="R10" s="3"/>
      <c r="S10" s="3"/>
      <c r="T10" s="3"/>
      <c r="U10" s="3"/>
      <c r="V10" s="3"/>
      <c r="W10" s="3"/>
      <c r="X10" s="3"/>
      <c r="Y10" s="9"/>
      <c r="Z10" s="9"/>
      <c r="AA10" s="5" t="s">
        <v>15</v>
      </c>
    </row>
    <row r="11" spans="1:38" ht="48" thickBot="1" x14ac:dyDescent="0.35">
      <c r="A11" s="26" t="s">
        <v>41</v>
      </c>
      <c r="D11" s="27" t="s">
        <v>44</v>
      </c>
      <c r="E11" s="5" t="s">
        <v>7</v>
      </c>
      <c r="F11" s="5" t="s">
        <v>6</v>
      </c>
      <c r="G11" s="6" t="s">
        <v>8</v>
      </c>
      <c r="H11" s="5" t="s">
        <v>1</v>
      </c>
      <c r="I11" s="25" t="s">
        <v>45</v>
      </c>
      <c r="J11" s="25" t="s">
        <v>29</v>
      </c>
      <c r="K11" s="6">
        <v>0</v>
      </c>
      <c r="L11" s="6">
        <v>1</v>
      </c>
      <c r="M11" s="6">
        <v>2</v>
      </c>
      <c r="N11" s="6">
        <v>3</v>
      </c>
      <c r="O11" s="6">
        <v>4</v>
      </c>
      <c r="P11" s="10" t="s">
        <v>14</v>
      </c>
      <c r="Q11" s="3"/>
      <c r="R11" s="3"/>
      <c r="S11" s="3"/>
      <c r="T11" s="3"/>
      <c r="U11" s="3"/>
      <c r="V11" s="3"/>
      <c r="W11" s="3"/>
      <c r="X11" s="3"/>
      <c r="Y11" s="10"/>
      <c r="Z11" s="10"/>
      <c r="AA11" s="1" t="s">
        <v>42</v>
      </c>
      <c r="AB11" s="1" t="s">
        <v>27</v>
      </c>
    </row>
    <row r="12" spans="1:38" ht="17.25" thickTop="1" thickBot="1" x14ac:dyDescent="0.35">
      <c r="A12" s="22" t="s">
        <v>0</v>
      </c>
      <c r="B12" s="23">
        <v>1292</v>
      </c>
      <c r="C12" s="24"/>
      <c r="D12" s="4" t="s">
        <v>19</v>
      </c>
      <c r="E12" s="1">
        <v>28</v>
      </c>
      <c r="F12" s="1">
        <v>39.994999999999997</v>
      </c>
      <c r="G12" s="2">
        <v>5.0000000000000001E-3</v>
      </c>
      <c r="H12" s="3" t="s">
        <v>2</v>
      </c>
      <c r="I12" s="7"/>
      <c r="J12" s="7">
        <v>1</v>
      </c>
      <c r="K12" s="8" t="s">
        <v>13</v>
      </c>
      <c r="L12" s="8" t="str">
        <f>_xlfn.CONCAT("0x14",RIGHT(_xlfn.CONCAT("00000000",AA12),6))</f>
        <v>0x1407F376</v>
      </c>
      <c r="M12" s="8"/>
      <c r="N12" s="8"/>
      <c r="O12" s="8"/>
      <c r="P12" s="11" t="s">
        <v>36</v>
      </c>
      <c r="Q12" s="3"/>
      <c r="R12" s="3"/>
      <c r="S12" s="3"/>
      <c r="T12" s="3"/>
      <c r="U12" s="3"/>
      <c r="V12" s="3"/>
      <c r="W12" s="3"/>
      <c r="X12" s="3"/>
      <c r="Y12" s="3" t="s">
        <v>34</v>
      </c>
      <c r="Z12" s="1" t="s">
        <v>35</v>
      </c>
      <c r="AA12" s="1" t="str">
        <f>RIGHT(_xlfn.CONCAT("00000",DEC2HEX(2*((($B$12-E12)/G12)+HEX2DEC(RIGHT(H12,5))))),6)</f>
        <v>07F376</v>
      </c>
    </row>
    <row r="13" spans="1:38" ht="16.5" thickTop="1" x14ac:dyDescent="0.3">
      <c r="A13" s="3"/>
      <c r="D13" s="4" t="s">
        <v>23</v>
      </c>
      <c r="E13" s="1">
        <v>40</v>
      </c>
      <c r="F13" s="1">
        <v>60</v>
      </c>
      <c r="G13" s="2">
        <v>5.0000000000000001E-3</v>
      </c>
      <c r="H13" s="3" t="s">
        <v>49</v>
      </c>
      <c r="I13" s="7" t="str">
        <f>IF(B12&lt;50,"1",IF(B12&gt;54.999,"1","0"))</f>
        <v>1</v>
      </c>
      <c r="J13" s="7">
        <v>2</v>
      </c>
      <c r="K13" s="8" t="s">
        <v>13</v>
      </c>
      <c r="L13" s="8" t="str">
        <f>_xlfn.CONCAT("0x14",RIGHT(_xlfn.CONCAT("00000000",AA13),6))</f>
        <v>0x1407F89C</v>
      </c>
      <c r="M13" s="8"/>
      <c r="N13" s="8"/>
      <c r="O13" s="8"/>
      <c r="P13" s="11" t="s">
        <v>36</v>
      </c>
      <c r="Q13" s="3"/>
      <c r="R13" s="3"/>
      <c r="S13" s="3"/>
      <c r="T13" s="3"/>
      <c r="U13" s="3"/>
      <c r="V13" s="3"/>
      <c r="W13" s="3"/>
      <c r="X13" s="3"/>
      <c r="Y13" s="3" t="s">
        <v>33</v>
      </c>
      <c r="Z13" s="1" t="s">
        <v>35</v>
      </c>
      <c r="AA13" s="1" t="str">
        <f>RIGHT(_xlfn.CONCAT("00000",DEC2HEX((2*( (($B$12-E13)/G13) + HEX2DEC(RIGHT(H13,5)) )) ) ),6)</f>
        <v>07F89C</v>
      </c>
    </row>
    <row r="14" spans="1:38" ht="15.75" x14ac:dyDescent="0.3">
      <c r="A14" s="3"/>
      <c r="D14" s="4" t="s">
        <v>20</v>
      </c>
      <c r="E14" s="1">
        <v>136</v>
      </c>
      <c r="F14" s="1">
        <v>180</v>
      </c>
      <c r="G14" s="2">
        <v>5.0000000000000001E-3</v>
      </c>
      <c r="H14" s="3" t="s">
        <v>3</v>
      </c>
      <c r="I14" s="7" t="str">
        <f>IF(B12&lt;144,"1",IF(B12&gt;147.999,"1","0"))</f>
        <v>1</v>
      </c>
      <c r="J14" s="7">
        <v>3</v>
      </c>
      <c r="K14" s="8" t="str">
        <f>_xlfn.CONCAT("0x14",RIGHT(_xlfn.CONCAT("00000000",AB14),6))</f>
        <v>0x1400C7B0</v>
      </c>
      <c r="L14" s="8"/>
      <c r="M14" s="8"/>
      <c r="N14" s="8"/>
      <c r="O14" s="8"/>
      <c r="P14" s="11" t="s">
        <v>26</v>
      </c>
      <c r="Q14" s="3"/>
      <c r="R14" s="3"/>
      <c r="S14" s="3"/>
      <c r="T14" s="3"/>
      <c r="U14" s="3"/>
      <c r="V14" s="3"/>
      <c r="W14" s="3"/>
      <c r="X14" s="3"/>
      <c r="Y14" s="3" t="s">
        <v>32</v>
      </c>
      <c r="Z14" s="1" t="s">
        <v>35</v>
      </c>
      <c r="AA14" s="1" t="str">
        <f>RIGHT(_xlfn.CONCAT("00000",DEC2HEX(((($B$12-E14)/G14)+HEX2DEC(RIGHT(H14,5))))),6)</f>
        <v>03E3F0</v>
      </c>
      <c r="AB14" s="1" t="str">
        <f>_xlfn.CONCAT(AK14,AL14)</f>
        <v>0C7B0</v>
      </c>
      <c r="AC14" s="1" t="str">
        <f>RIGHT(_xlfn.CONCAT("0000000",HEX2BIN(LEFT(AA14,2))),8)</f>
        <v>00000011</v>
      </c>
      <c r="AD14" s="1" t="str">
        <f>RIGHT(_xlfn.CONCAT("00000000",HEX2BIN(MID(AA14,3,2))),8)</f>
        <v>11100011</v>
      </c>
      <c r="AE14" s="1" t="str">
        <f>RIGHT(_xlfn.CONCAT("00000000",HEX2BIN(RIGHT(AA14,2))),8)</f>
        <v>11110000</v>
      </c>
      <c r="AF14" s="1" t="str">
        <f>_xlfn.CONCAT(AC14,AD14,AE14)</f>
        <v>000000111110001111110000</v>
      </c>
      <c r="AH14" s="1" t="str">
        <f>"00000000"</f>
        <v>00000000</v>
      </c>
      <c r="AI14" s="1" t="str">
        <f>MID(AF14,10,8)</f>
        <v>11000111</v>
      </c>
      <c r="AJ14" s="1" t="str">
        <f>_xlfn.CONCAT(MID(AF14,18,1),"0",RIGHT(AF14,6))</f>
        <v>10110000</v>
      </c>
      <c r="AK14" s="1" t="str">
        <f>RIGHT(_xlfn.CONCAT("000",BIN2HEX(AH14),BIN2HEX(AI14)),3)</f>
        <v>0C7</v>
      </c>
      <c r="AL14" s="1" t="str">
        <f>RIGHT(_xlfn.CONCAT("0",BIN2HEX(AJ14)),2)</f>
        <v>B0</v>
      </c>
    </row>
    <row r="15" spans="1:38" ht="15.75" x14ac:dyDescent="0.3">
      <c r="A15" s="3"/>
      <c r="D15" s="4" t="s">
        <v>21</v>
      </c>
      <c r="E15" s="1">
        <v>220</v>
      </c>
      <c r="F15" s="1">
        <v>225</v>
      </c>
      <c r="G15" s="2">
        <v>5.0000000000000001E-3</v>
      </c>
      <c r="H15" s="3" t="s">
        <v>5</v>
      </c>
      <c r="I15" s="7"/>
      <c r="J15" s="7">
        <v>4</v>
      </c>
      <c r="K15" s="8" t="str">
        <f>_xlfn.CONCAT("0x14",RIGHT(_xlfn.CONCAT("00000000",AB15),6))</f>
        <v>0x1401C7B0</v>
      </c>
      <c r="L15" s="8"/>
      <c r="M15" s="8"/>
      <c r="N15" s="8"/>
      <c r="O15" s="8"/>
      <c r="P15" s="11" t="s">
        <v>26</v>
      </c>
      <c r="Q15" s="3"/>
      <c r="R15" s="3"/>
      <c r="S15" s="3"/>
      <c r="T15" s="3"/>
      <c r="U15" s="3"/>
      <c r="V15" s="3"/>
      <c r="W15" s="3"/>
      <c r="X15" s="3"/>
      <c r="Y15" s="3">
        <v>220</v>
      </c>
      <c r="Z15" s="1" t="s">
        <v>35</v>
      </c>
      <c r="AA15" s="1" t="str">
        <f>RIGHT(_xlfn.CONCAT("00000",DEC2HEX(((($B$12-E15)/G15)+HEX2DEC(RIGHT(H15,5))))),6)</f>
        <v>0463F0</v>
      </c>
      <c r="AB15" s="1" t="str">
        <f>_xlfn.CONCAT(AK15,AL15)</f>
        <v>1C7B0</v>
      </c>
      <c r="AC15" s="1" t="str">
        <f>RIGHT(_xlfn.CONCAT("0000000",HEX2BIN(LEFT(AA15,2))),8)</f>
        <v>00000100</v>
      </c>
      <c r="AD15" s="1" t="str">
        <f>RIGHT(_xlfn.CONCAT("00000000",HEX2BIN(MID(AA15,3,2))),8)</f>
        <v>01100011</v>
      </c>
      <c r="AE15" s="1" t="str">
        <f>RIGHT(_xlfn.CONCAT("00000000",HEX2BIN(RIGHT(AA15,2))),8)</f>
        <v>11110000</v>
      </c>
      <c r="AF15" s="1" t="str">
        <f>_xlfn.CONCAT(AC15,AD15,AE15)</f>
        <v>000001000110001111110000</v>
      </c>
      <c r="AH15" s="1" t="str">
        <f>"00000001"</f>
        <v>00000001</v>
      </c>
      <c r="AI15" s="1" t="str">
        <f>MID(AF15,10,8)</f>
        <v>11000111</v>
      </c>
      <c r="AJ15" s="1" t="str">
        <f>_xlfn.CONCAT(MID(AF15,18,1),"0",RIGHT(AF15,6))</f>
        <v>10110000</v>
      </c>
      <c r="AK15" s="1" t="str">
        <f>RIGHT(_xlfn.CONCAT("000",BIN2HEX(AH15),BIN2HEX(AI15)),3)</f>
        <v>1C7</v>
      </c>
      <c r="AL15" s="1" t="str">
        <f>RIGHT(_xlfn.CONCAT("0",BIN2HEX(AJ15)),2)</f>
        <v>B0</v>
      </c>
    </row>
    <row r="16" spans="1:38" ht="15.75" x14ac:dyDescent="0.3">
      <c r="A16" s="3"/>
      <c r="D16" s="4" t="s">
        <v>22</v>
      </c>
      <c r="E16" s="1">
        <v>400</v>
      </c>
      <c r="F16" s="1">
        <v>450</v>
      </c>
      <c r="G16" s="2">
        <v>5.0000000000000001E-3</v>
      </c>
      <c r="H16" s="3" t="s">
        <v>4</v>
      </c>
      <c r="I16" s="7"/>
      <c r="J16" s="7">
        <v>5</v>
      </c>
      <c r="K16" s="8" t="str">
        <f>_xlfn.CONCAT("0x14",RIGHT(_xlfn.CONCAT("00000000",AA16),6))</f>
        <v>0x1403DF4A</v>
      </c>
      <c r="L16" s="8"/>
      <c r="M16" s="8"/>
      <c r="N16" s="8"/>
      <c r="O16" s="8"/>
      <c r="P16" s="11"/>
      <c r="Q16" s="3"/>
      <c r="R16" s="3"/>
      <c r="S16" s="3"/>
      <c r="T16" s="3"/>
      <c r="U16" s="3"/>
      <c r="V16" s="3"/>
      <c r="W16" s="3"/>
      <c r="X16" s="3"/>
      <c r="Y16" s="3">
        <v>440</v>
      </c>
      <c r="Z16" s="1" t="s">
        <v>35</v>
      </c>
      <c r="AA16" s="1" t="str">
        <f>RIGHT(_xlfn.CONCAT("00000",DEC2HEX(((($B$12-E16)/G16)+HEX2DEC(RIGHT(H16,5))))),6)</f>
        <v>03DF4A</v>
      </c>
    </row>
    <row r="17" spans="1:39" ht="16.5" thickBot="1" x14ac:dyDescent="0.35">
      <c r="A17" s="3"/>
      <c r="B17" s="3"/>
      <c r="C17" s="3"/>
      <c r="D17" s="4" t="s">
        <v>24</v>
      </c>
      <c r="E17" s="1">
        <v>1200</v>
      </c>
      <c r="F17" s="1">
        <v>1320</v>
      </c>
      <c r="G17" s="2">
        <v>0.01</v>
      </c>
      <c r="H17" s="3" t="s">
        <v>31</v>
      </c>
      <c r="I17" s="7"/>
      <c r="J17" s="7">
        <v>6</v>
      </c>
      <c r="K17" s="8" t="s">
        <v>9</v>
      </c>
      <c r="L17" s="8" t="str">
        <f>_xlfn.CONCAT("0x14",AB17)</f>
        <v>0x142961E</v>
      </c>
      <c r="M17" s="8" t="s">
        <v>10</v>
      </c>
      <c r="N17" s="8" t="s">
        <v>12</v>
      </c>
      <c r="O17" s="8" t="s">
        <v>11</v>
      </c>
      <c r="P17" s="11" t="s">
        <v>37</v>
      </c>
      <c r="Q17" s="3"/>
      <c r="R17" s="3"/>
      <c r="S17" s="3"/>
      <c r="T17" s="3"/>
      <c r="U17" s="3"/>
      <c r="V17" s="3"/>
      <c r="W17" s="3"/>
      <c r="X17" s="3"/>
      <c r="Y17" s="3">
        <v>1200</v>
      </c>
      <c r="Z17" s="1" t="s">
        <v>35</v>
      </c>
      <c r="AA17" s="1" t="str">
        <f>RIGHT(_xlfn.CONCAT("00000",DEC2HEX( (($B$12-E17)/G17)+HEX2DEC(RIGHT(H17,5)) )),6)</f>
        <v>01C354</v>
      </c>
      <c r="AB17" s="1" t="str">
        <f>_xlfn.CONCAT(AD20,AD19,AD18)</f>
        <v>2961E</v>
      </c>
      <c r="AC17" s="1" t="str">
        <f>RIGHT(_xlfn.CONCAT(AK17:AM17),5)</f>
        <v>78694</v>
      </c>
      <c r="AD17" s="1" t="str">
        <f>RIGHT(_xlfn.CONCAT("00000000",HEX2BIN(LEFT(AA17,2))),8)</f>
        <v>00000001</v>
      </c>
      <c r="AE17" s="1" t="str">
        <f>RIGHT(_xlfn.CONCAT("00000000",HEX2BIN(LEFT(RIGHT(AA17,4),2))),8)</f>
        <v>11000011</v>
      </c>
      <c r="AF17" s="1" t="str">
        <f>RIGHT(_xlfn.CONCAT("00000000",HEX2BIN(RIGHT(AA17,2))),8)</f>
        <v>01010100</v>
      </c>
      <c r="AH17" s="1" t="str">
        <f>_xlfn.CONCAT("01",MID(_xlfn.CONCAT(AD17,AE17),8,2))</f>
        <v>0111</v>
      </c>
      <c r="AI17" s="1" t="str">
        <f>MID(_xlfn.CONCAT(AE17,AF17),2,8)</f>
        <v>10000110</v>
      </c>
      <c r="AJ17" s="1" t="str">
        <f>_xlfn.CONCAT(LEFT(AF17,2),"0",RIGHT(AF17,6))</f>
        <v>010010100</v>
      </c>
      <c r="AK17" s="1" t="str">
        <f>RIGHT(_xlfn.CONCAT("00",BIN2HEX(AH17)),3)</f>
        <v>007</v>
      </c>
      <c r="AL17" s="1" t="str">
        <f>RIGHT(_xlfn.CONCAT("00",BIN2HEX(AI17)),2)</f>
        <v>86</v>
      </c>
      <c r="AM17" s="1" t="str">
        <f>RIGHT(_xlfn.CONCAT("00",BIN2HEX(AJ17)),2)</f>
        <v>94</v>
      </c>
    </row>
    <row r="18" spans="1:39" ht="15.75" thickTop="1" x14ac:dyDescent="0.25">
      <c r="Q18" s="3"/>
      <c r="R18" s="3"/>
      <c r="S18" s="3"/>
      <c r="T18" s="3"/>
      <c r="U18" s="3"/>
      <c r="V18" s="3"/>
      <c r="W18" s="3"/>
      <c r="X18" s="3"/>
      <c r="AA18" s="12" t="str">
        <f>HEX2BIN(LEFT(AC17,1))</f>
        <v>111</v>
      </c>
      <c r="AB18" s="13" t="str">
        <f>RIGHT(_xlfn.CONCAT("00000000",AA18),4)</f>
        <v>0111</v>
      </c>
      <c r="AC18" s="13" t="str">
        <f>_xlfn.CONCAT(MID(AB18,8,1),MID(AB18,7,1),MID(AB18,6,1),MID(AB18,5,1),MID(AB18,4,1),MID(AB18,3,1),MID(AB18,2,1),MID(AB18,1,1))</f>
        <v>1110</v>
      </c>
      <c r="AD18" s="14" t="str">
        <f>RIGHT(_xlfn.CONCAT("0",BIN2HEX(AC18)),1)</f>
        <v>E</v>
      </c>
    </row>
    <row r="19" spans="1:39" x14ac:dyDescent="0.25">
      <c r="Q19" s="3"/>
      <c r="R19" s="3"/>
      <c r="S19" s="3"/>
      <c r="T19" s="3"/>
      <c r="U19" s="3"/>
      <c r="V19" s="3"/>
      <c r="W19" s="3"/>
      <c r="X19" s="3"/>
      <c r="AA19" s="15" t="str">
        <f>HEX2BIN(MID(AC17,2,2))</f>
        <v>10000110</v>
      </c>
      <c r="AB19" s="16" t="str">
        <f t="shared" ref="AB19" si="0">RIGHT(_xlfn.CONCAT("00000000",AA19),8)</f>
        <v>10000110</v>
      </c>
      <c r="AC19" s="16" t="str">
        <f t="shared" ref="AC19:AC20" si="1">_xlfn.CONCAT(MID(AB19,8,1),MID(AB19,7,1),MID(AB19,6,1),MID(AB19,5,1),MID(AB19,4,1),MID(AB19,3,1),MID(AB19,2,1),MID(AB19,1,1))</f>
        <v>01100001</v>
      </c>
      <c r="AD19" s="17" t="str">
        <f>RIGHT(_xlfn.CONCAT("0",BIN2HEX(AC19)),2)</f>
        <v>61</v>
      </c>
    </row>
    <row r="20" spans="1:39" x14ac:dyDescent="0.25">
      <c r="Q20" s="3"/>
      <c r="R20" s="3"/>
      <c r="S20" s="3"/>
      <c r="T20" s="3"/>
      <c r="U20" s="3"/>
      <c r="V20" s="3"/>
      <c r="W20" s="3"/>
      <c r="X20" s="3"/>
      <c r="AA20" s="15" t="str">
        <f>HEX2BIN(RIGHT(AC17,2))</f>
        <v>10010100</v>
      </c>
      <c r="AB20" s="16" t="str">
        <f>RIGHT(_xlfn.CONCAT("00000000",AA20),8)</f>
        <v>10010100</v>
      </c>
      <c r="AC20" s="16" t="str">
        <f t="shared" si="1"/>
        <v>00101001</v>
      </c>
      <c r="AD20" s="17" t="str">
        <f>RIGHT(_xlfn.CONCAT("0",BIN2HEX(AC20)),2)</f>
        <v>29</v>
      </c>
    </row>
    <row r="21" spans="1:39" ht="15.75" thickBot="1" x14ac:dyDescent="0.3">
      <c r="Q21" s="3"/>
      <c r="R21" s="3"/>
      <c r="S21" s="3"/>
      <c r="T21" s="3"/>
      <c r="U21" s="3"/>
      <c r="V21" s="3"/>
      <c r="W21" s="3"/>
      <c r="X21" s="3"/>
      <c r="AA21" s="18" t="s">
        <v>16</v>
      </c>
      <c r="AB21" s="19"/>
      <c r="AC21" s="19"/>
      <c r="AD21" s="20"/>
    </row>
    <row r="22" spans="1:39" ht="15.75" thickTop="1" x14ac:dyDescent="0.25">
      <c r="Q22" s="3"/>
      <c r="R22" s="3"/>
      <c r="S22" s="3"/>
      <c r="T22" s="3"/>
      <c r="U22" s="3"/>
      <c r="V22" s="3"/>
      <c r="W22" s="3"/>
      <c r="X22" s="3"/>
    </row>
    <row r="24" spans="1:39" x14ac:dyDescent="0.25">
      <c r="AA24" s="1">
        <f>(($B$12-E17)/G17)+HEX2DEC(RIGHT(H17,5))</f>
        <v>115540</v>
      </c>
    </row>
    <row r="25" spans="1:39" x14ac:dyDescent="0.25">
      <c r="P25" s="1" t="s">
        <v>30</v>
      </c>
      <c r="AA25" s="1" t="str">
        <f>DEC2HEX(((($B$12-E17)/G17)+HEX2DEC(RIGHT(H17,5))))</f>
        <v>1C354</v>
      </c>
    </row>
    <row r="26" spans="1:39" ht="15.75" thickBot="1" x14ac:dyDescent="0.3">
      <c r="AA26" s="21" t="s">
        <v>48</v>
      </c>
      <c r="AB26" s="1" t="str">
        <f>_xlfn.CONCAT(AD27,AD28,AD29)</f>
        <v>088500</v>
      </c>
      <c r="AC26" s="1" t="str">
        <f>AA26</f>
        <v>00a110</v>
      </c>
      <c r="AD26" s="1" t="str">
        <f>RIGHT(_xlfn.CONCAT("00000000",HEX2BIN(LEFT(RIGHT(AA26,6),2))),8)</f>
        <v>00000000</v>
      </c>
      <c r="AE26" s="1" t="str">
        <f>RIGHT(_xlfn.CONCAT("00000000",HEX2BIN(LEFT(RIGHT(AA26,4),2))),8)</f>
        <v>10100001</v>
      </c>
      <c r="AF26" s="1" t="str">
        <f>RIGHT(_xlfn.CONCAT("00000000",HEX2BIN(RIGHT(AA26,2))),8)</f>
        <v>00010000</v>
      </c>
      <c r="AH26" s="1" t="str">
        <f>_xlfn.CONCAT("000000",RIGHT(AD26,1),LEFT(AE26,1))</f>
        <v>00000001</v>
      </c>
      <c r="AI26" s="1" t="str">
        <f>MID(_xlfn.CONCAT(AE26,AF26),2,8)</f>
        <v>01000010</v>
      </c>
      <c r="AJ26" s="1" t="str">
        <f>_xlfn.CONCAT("0",RIGHT(AF26,7))</f>
        <v>00010000</v>
      </c>
      <c r="AK26" s="1" t="str">
        <f>RIGHT(_xlfn.CONCAT("00",BIN2HEX(AH26)),2)</f>
        <v>01</v>
      </c>
      <c r="AL26" s="1" t="str">
        <f>RIGHT(_xlfn.CONCAT("00",BIN2HEX(AI26)),2)</f>
        <v>42</v>
      </c>
      <c r="AM26" s="1" t="str">
        <f>RIGHT(_xlfn.CONCAT("00",BIN2HEX(AJ26)),2)</f>
        <v>10</v>
      </c>
    </row>
    <row r="27" spans="1:39" ht="15.75" thickTop="1" x14ac:dyDescent="0.25">
      <c r="AA27" s="12" t="str">
        <f>HEX2BIN(RIGHT(AC26,2))</f>
        <v>10000</v>
      </c>
      <c r="AB27" s="13" t="str">
        <f>RIGHT(_xlfn.CONCAT("00000000",AA27),8)</f>
        <v>00010000</v>
      </c>
      <c r="AC27" s="13" t="str">
        <f>_xlfn.CONCAT(MID(AB27,8,1),MID(AB27,7,1),MID(AB27,6,1),MID(AB27,5,1),MID(AB27,4,1),MID(AB27,3,1),MID(AB27,2,1),MID(AB27,1,1))</f>
        <v>00001000</v>
      </c>
      <c r="AD27" s="14" t="str">
        <f>RIGHT(_xlfn.CONCAT("0",BIN2HEX(AC27)),2)</f>
        <v>08</v>
      </c>
    </row>
    <row r="28" spans="1:39" x14ac:dyDescent="0.25">
      <c r="AA28" s="15" t="str">
        <f>HEX2BIN(LEFT(RIGHT(AC26,4),2))</f>
        <v>10100001</v>
      </c>
      <c r="AB28" s="16" t="str">
        <f t="shared" ref="AB28:AB29" si="2">RIGHT(_xlfn.CONCAT("00000000",AA28),8)</f>
        <v>10100001</v>
      </c>
      <c r="AC28" s="16" t="str">
        <f t="shared" ref="AC28:AC29" si="3">_xlfn.CONCAT(MID(AB28,8,1),MID(AB28,7,1),MID(AB28,6,1),MID(AB28,5,1),MID(AB28,4,1),MID(AB28,3,1),MID(AB28,2,1),MID(AB28,1,1))</f>
        <v>10000101</v>
      </c>
      <c r="AD28" s="17" t="str">
        <f>RIGHT(_xlfn.CONCAT("0",BIN2HEX(AC28)),2)</f>
        <v>85</v>
      </c>
    </row>
    <row r="29" spans="1:39" x14ac:dyDescent="0.25">
      <c r="AA29" s="15" t="str">
        <f>HEX2BIN(LEFT(RIGHT(AC26,6),2))</f>
        <v>0</v>
      </c>
      <c r="AB29" s="16" t="str">
        <f t="shared" si="2"/>
        <v>00000000</v>
      </c>
      <c r="AC29" s="16" t="str">
        <f t="shared" si="3"/>
        <v>00000000</v>
      </c>
      <c r="AD29" s="17" t="str">
        <f>RIGHT(_xlfn.CONCAT("0",BIN2HEX(AC29)),2)</f>
        <v>00</v>
      </c>
    </row>
    <row r="30" spans="1:39" ht="15.75" thickBot="1" x14ac:dyDescent="0.3">
      <c r="AA30" s="18" t="s">
        <v>16</v>
      </c>
      <c r="AB30" s="19"/>
      <c r="AC30" s="19"/>
      <c r="AD30" s="20"/>
    </row>
    <row r="31" spans="1:39" ht="15.75" thickTop="1" x14ac:dyDescent="0.25"/>
  </sheetData>
  <conditionalFormatting sqref="I12:P17">
    <cfRule type="expression" dxfId="0" priority="7">
      <formula>IF($B$12&gt;=$E12,IF($B$12&lt;=$F12,TRUE,FALSE),FALSE)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Haas</dc:creator>
  <cp:lastModifiedBy>Joseph Haas</cp:lastModifiedBy>
  <dcterms:created xsi:type="dcterms:W3CDTF">2019-09-16T20:31:38Z</dcterms:created>
  <dcterms:modified xsi:type="dcterms:W3CDTF">2019-09-22T19:35:44Z</dcterms:modified>
</cp:coreProperties>
</file>