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_board. " sheetId="1" r:id="rId1"/>
  </sheets>
  <definedNames>
    <definedName name="BoardQty">'power_board. '!$G$1</definedName>
    <definedName name="digikey_part_data">'power_board. '!$H$5:$L$34</definedName>
    <definedName name="farnell_part_data">'power_board. '!$M$5:$Q$34</definedName>
    <definedName name="global_part_data">'power_board. '!$A$5:$G$34</definedName>
    <definedName name="mouser_part_data">'power_board. '!$R$5:$V$34</definedName>
    <definedName name="newark_part_data">'power_board. '!$W$5:$AA$34</definedName>
    <definedName name="rs_part_data">'power_board. '!$AB$5:$AF$34</definedName>
    <definedName name="tme_part_data">'power_board. '!$AG$5:$AK$34</definedName>
    <definedName name="TotalCost">'power_board.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J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$0.62      $0.62
    10   $0.44      $4.41
   100   $0.29     $29.03
   500   $0.22    $107.53
  1000   $0.16    $158.95
  2000   $0.15    $299.20</t>
        </r>
      </text>
    </comment>
    <comment ref="O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$1.11      $1.11
    50   $0.55     $27.61
   100   $0.35     $35.27
   250   $0.31     $76.65
   500   $0.25    $123.39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$0.66      $0.66
    10   $0.63      $6.33
    25   $0.51     $12.68
    50   $0.38     $19.05
   100   $0.26     $25.50
   250   $0.24     $61.00
   500   $0.23    $116.00</t>
        </r>
      </text>
    </comment>
    <comment ref="AD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$0.40      $0.40
    20   $0.40      $7.90
   100   $0.36     $35.65
   200   $0.32     $63.32
   500   $0.28    $138.35
  1000   $0.22    $216.87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$0.58      $0.58
    10   $0.40      $4.02
   100   $0.24     $24.11
   500   $0.18     $90.41
  1000   $0.15    $152.69
  2500   $0.14    $361.62
  5000   $0.14    $683.10
 10000   $0.11   $1118.00</t>
        </r>
      </text>
    </comment>
    <comment ref="M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$0.07      $0.07
   100   $0.07      $6.93
   500   $0.05     $23.43
  2500   $0.03     $79.77
  5000   $0.03    $132.74</t>
        </r>
      </text>
    </comment>
    <comment ref="W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$0.26      $0.26
    10   $0.26      $2.60
    25   $0.23      $5.65
    50   $0.19      $9.55
   100   $0.16     $15.70
   250   $0.15     $37.50
   500   $0.14     $71.50
  1000   $0.13    $129.00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$8.95      $8.95
     2   $8.46     $16.93
     5   $7.49     $37.45
    10   $7.25     $72.54
    25   $6.05    $151.13</t>
        </r>
      </text>
    </comment>
    <comment ref="H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4000   $0.11    $459.00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100   $0.11     $10.94
   500   $0.07     $37.02
  1000   $0.06     $62.94
  2000   $0.05    $100.71</t>
        </r>
      </text>
    </comment>
    <comment ref="Y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$0.25      $0.25
    10   $0.25      $2.51
    25   $0.22      $5.45
    50   $0.18      $9.25
   100   $0.15     $15.20
   250   $0.14     $36.25
   500   $0.14     $69.00
  1000   $0.12    $125.00</t>
        </r>
      </text>
    </comment>
    <comment ref="J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$0.40      $0.40
    10   $0.28      $2.80
   100   $0.17     $16.82
   500   $0.13     $63.07
  1000   $0.11    $106.52
  4000   $0.09    $360.76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$0.09      $0.09
   100   $0.09      $9.40
   500   $0.06     $30.91
  1000   $0.05     $49.86
  2000   $0.04     $85.00
  4000   $0.03    $138.60
 20000   $0.03    $568.36</t>
        </r>
      </text>
    </comment>
    <comment ref="Y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25   $0.20      $4.88
    50   $0.16      $7.85
   100   $0.12     $11.80
   250   $0.11     $27.75
   500   $0.10     $52.00
  1000   $0.09     $92.00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10000   $0.15   $1533.07
 20000   $0.13   $2542.66
 40000   $0.11   $4571.80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$0.09      $0.09
 10000   $0.09    $860.00
 20000   $0.08   $1620.00
 40000   $0.08   $3040.00
 60000   $0.07   $4380.00</t>
        </r>
      </text>
    </comment>
    <comment ref="AD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$0.16      $0.16
   100   $0.16     $15.58
   500   $0.12     $58.58
  1000   $0.11    $108.44</t>
        </r>
      </text>
    </comment>
    <comment ref="J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$0.26      $2.62
   100   $0.16     $15.72
   500   $0.12     $58.96
  1000   $0.10     $99.57
  2000   $0.08    $164.06
  4000   $0.08    $309.88
 10000   $0.07    $729.10
 14000   $0.07    $988.82
 50000   $0.06   $3190.00
100000   $0.06   $5924.00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$0.19      $0.19
    50   $0.19      $9.35
   250   $0.14     $35.21
   500   $0.14     $69.80
  1000   $0.14    $137.10
  2000   $0.14    $271.72
 10000   $0.13   $1333.65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$0.39      $0.39
    10   $0.20      $2.05
    25   $0.18      $4.55
    50   $0.16      $7.90
   100   $0.14     $13.50
   250   $0.13     $32.25
   500   $0.12     $61.50
  1000   $0.11    $111.00</t>
        </r>
      </text>
    </comment>
    <comment ref="J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10   $0.37      $3.74
   100   $0.22     $22.43
   500   $0.17     $84.09
  1000   $0.14    $142.03
  2500   $0.13    $336.38
  5000   $0.13    $635.40
 10000   $0.10   $1040.00</t>
        </r>
      </text>
    </comment>
    <comment ref="O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$0.42      $0.42
   100   $0.42     $41.88
   500   $0.28    $137.73
  2500   $0.22    $554.65
  5000   $0.19    $947.26
 10000   $0.15   $1545.54
 50000   $0.13   $6356.64</t>
        </r>
      </text>
    </comment>
    <comment ref="Y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$0.42      $0.42
    25   $0.24      $6.05
   100   $0.15     $14.60
   250   $0.14     $35.00
   500   $0.13     $66.50
  1000   $0.12    $120.00
  2500   $0.10    $247.50</t>
        </r>
      </text>
    </comment>
    <comment ref="H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$0.45      $0.45
    10   $0.31      $3.09
   100   $0.19     $18.56
   500   $0.14     $69.61
  1000   $0.12    $117.56
  2000   $0.11    $222.76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$0.98      $0.98
     5   $0.98      $4.92
    50   $0.54     $26.86
   250   $0.37     $92.23
   500   $0.28    $140.84
  1000   $0.23    $226.84</t>
        </r>
      </text>
    </comment>
    <comment ref="W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$0.80      $0.80
     5   $0.80      $4.00
    10   $0.58      $5.85
    25   $0.52     $13.10
    50   $0.46     $23.10
   100   $0.40     $40.10
   250   $0.38     $96.00
   500   $0.32    $158.50
  1000   $0.27    $267.00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25   $0.24      $6.08
   125   $0.15     $18.23
   250   $0.12     $29.91
  1250   $0.10    $121.52
  2500   $0.09    $233.70</t>
        </r>
      </text>
    </comment>
    <comment ref="AI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$0.49      $0.49
    10   $0.49      $4.94
   100   $0.23     $22.88
   500   $0.15     $74.91
  2000   $0.10    $198.94
  6000   $0.09    $517.26</t>
        </r>
      </text>
    </comment>
    <comment ref="H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$1.12      $1.12
    10   $0.88      $8.81
   100   $0.66     $66.10
   500   $0.46    $229.92
  1000   $0.40    $395.97
  2500   $0.37    $926.05
  5000   $0.35   $1756.30
 12500   $0.33   $4160.88
 25000   $0.33   $8272.25</t>
        </r>
      </text>
    </comment>
    <comment ref="O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$1.56      $1.56
    10   $1.04     $10.39
    50   $0.82     $40.88
   100   $0.66     $65.56
   200   $0.60    $119.41
   500   $0.54    $269.22
  2500   $0.48   $1199.66</t>
        </r>
      </text>
    </comment>
    <comment ref="Y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$1.32      $1.32
    10   $0.95      $9.52
    25   $0.85     $21.15
    50   $0.74     $37.00
   100   $0.63     $63.40</t>
        </r>
      </text>
    </comment>
    <comment ref="AD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$1.45      $1.45
     5   $1.45      $7.23
    50   $1.30     $64.94
   250   $1.15    $288.54
   500   $1.01    $506.04
  1000   $0.80    $795.20</t>
        </r>
      </text>
    </comment>
    <comment ref="J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$2.92      $2.92
    10   $2.62     $26.20
   100   $2.11    $210.55
   500   $1.73    $864.93
  1000   $1.39   $1391.57
  2000   $1.30   $2591.20</t>
        </r>
      </text>
    </comment>
    <comment ref="O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$2.59      $2.59
     5   $2.59     $12.96
    25   $2.37     $59.20
   100   $1.94    $194.44
   250   $1.88    $470.52
   500   $1.65    $822.62
  1000   $1.31   $1308.72
  5000   $1.26   $6294.32</t>
        </r>
      </text>
    </comment>
    <comment ref="Y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$2.69      $2.69
     5   $2.69     $13.45
    10   $2.29     $22.90
   100   $1.83    $183.00
   500   $1.60    $800.00
  1000   $1.50   $1500.00
  2500   $1.19   $2975.00
  5000   $1.11   $5550.00</t>
        </r>
      </text>
    </comment>
    <comment ref="AD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$2.89      $2.89
     5   $2.89     $14.46
    50   $2.34    $117.16
   250   $1.87    $467.40
   500   $1.63    $816.39
  1000   $1.36   $1358.58</t>
        </r>
      </text>
    </comment>
    <comment ref="H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   5   $0.34      $1.70
    25   $0.26      $6.51
   100   $0.15     $14.58
   250   $0.12     $30.85
   500   $0.12     $60.08
  1000   $0.09     $88.12
  5000   $0.08    $378.28</t>
        </r>
      </text>
    </comment>
    <comment ref="Y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   5   $0.34      $1.69
    10   $0.23      $2.35
   100   $0.14     $13.60
   500   $0.10     $50.50
  1000   $0.08     $80.00
  2500   $0.07    $170.00
 10000   $0.07    $660.00
 25000   $0.06   $1400.00</t>
        </r>
      </text>
    </comment>
    <comment ref="AD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 100   $0.17     $16.83
   200   $0.15     $30.91
   500   $0.14     $71.04
  1000   $0.13    $128.38
  2000   $0.12    $236.82</t>
        </r>
      </text>
    </comment>
    <comment ref="AI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 5   $0.14      $0.71
    25   $0.13      $3.24
   100   $0.11     $10.75
   500   $0.09     $46.05
  2500   $0.08    $204.25</t>
        </r>
      </text>
    </comment>
    <comment ref="J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$1.13      $1.13
    10   $0.99      $9.95
   100   $0.86     $85.86
   500   $0.70    $351.25
  1000   $0.57    $567.68
  2000   $0.53   $1064.40
  3000   $0.51   $1543.38
  5000   $0.50   $2483.60
 10000   $0.47   $4718.80</t>
        </r>
      </text>
    </comment>
    <comment ref="O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$0.55      $0.55
  1000   $0.55    $553.40
  5000   $0.53   $2673.53
 10000   $0.51   $5072.85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$0.90      $0.90
    10   $0.82      $8.16
   100   $0.71     $71.00
   500   $0.57    $284.00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$0.76      $0.76
     5   $0.76      $3.78
   100   $0.65     $65.31
   375   $0.57    $215.00
  1500   $0.50    $747.84
  3000   $0.44   $1316.20</t>
        </r>
      </text>
    </comment>
    <comment ref="AI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$0.52      $0.52
    50   $0.34     $16.95
   200   $0.18     $35.86
  1000   $0.14    $141.20</t>
        </r>
      </text>
    </comment>
    <comment ref="J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  10   $0.16      $1.57
   100   $0.10      $9.66
   500   $0.08     $39.99
  1000   $0.07     $69.99
  5000   $0.06    $299.95
 10000   $0.06    $583.20</t>
        </r>
      </text>
    </comment>
    <comment ref="O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100   $0.08      $8.34
  1000   $0.07     $73.04
  2500   $0.07    $169.51
  5000   $0.06    $312.85
 10000   $0.06    $608.24
 20000   $0.06   $1191.56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100   $0.11     $11.30
   250   $0.10     $25.00
   500   $0.10     $48.00
  1000   $0.08     $79.00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$0.32      $0.32
    10   $0.32      $3.24
    50   $0.31     $15.64
   250   $0.30     $75.10
   500   $0.29    $145.83
  1000   $0.28    $279.19</t>
        </r>
      </text>
    </comment>
    <comment ref="J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$4.01      $4.01
    10   $3.93     $39.31
    50   $3.63    $181.45
   100   $3.48    $347.80
   250   $3.25    $812.75
   700   $2.87   $2011.11</t>
        </r>
      </text>
    </comment>
    <comment ref="O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$7.04      $7.04
     3   $5.87     $17.61
     5   $5.04     $25.18
    10   $4.40     $44.00
    20   $4.15     $83.01
    50   $3.90    $195.06
   250   $3.64    $909.87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$4.01      $4.01
    10   $3.93     $39.30
    25   $3.78     $94.50
    50   $3.62    $181.00
   100   $3.47    $347.00
   250   $3.25    $812.50</t>
        </r>
      </text>
    </comment>
    <comment ref="J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$4.01      $4.01
    10   $3.93     $39.31
    50   $3.63    $181.45
   100   $3.48    $347.80
   250   $3.25    $812.75
   700   $2.87   $2011.11</t>
        </r>
      </text>
    </comment>
    <comment ref="O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$7.04      $7.04
     3   $5.87     $17.61
     5   $5.04     $25.18
    10   $4.40     $44.00
    20   $4.34     $86.75
    50   $3.84    $191.95
   250   $3.59    $897.41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$4.01      $4.01
    10   $3.93     $39.30
    25   $3.78     $94.50
    50   $3.62    $181.00
   100   $3.47    $347.00
   250   $3.25    $812.50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$2.23      $2.23
    10   $2.01     $20.14
   100   $1.62    $161.87
   500   $1.26    $629.51
   800   $1.67   $1334.11
  1000   $1.04   $1043.19</t>
        </r>
      </text>
    </comment>
    <comment ref="O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$0.73      $0.73
     5   $0.73      $3.65
    25   $0.73     $18.17
   100   $0.72     $72.29
   250   $0.72    $179.79
   500   $0.71    $357.09
  1000   $0.71    $710.45
  5000   $0.71   $3533.54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$1.86      $1.86
    10   $1.55     $15.50
    25   $1.44     $36.00
    50   $1.33     $66.50
   100   $1.22    $122.00
   500   $1.16    $580.00
  1000   $1.10   $1100.00
  2500   $1.07   $2675.00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$1.24      $1.24
     5   $1.24      $6.22
    50   $1.02     $51.10
   100   $0.94     $93.73
   250   $0.88    $219.37
   500   $0.83    $416.30</t>
        </r>
      </text>
    </comment>
    <comment ref="J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$0.17
   100   $0.01      $0.68
  1000   $0.00      $3.06
  2500   $0.00      $6.65
  5000   $0.00     $10.95
 10000   $0.00     $19.10
 30000   $0.00     $50.10
 50000   $0.00     $77.00
100000   $0.00    $152.00</t>
        </r>
      </text>
    </comment>
    <comment ref="J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$1.78
  1000   $0.01      $8.02
  2500   $0.01     $17.40
  5000   $0.01     $28.75
 10000   $0.00     $45.40
 30000   $0.00    $127.50</t>
        </r>
      </text>
    </comment>
    <comment ref="M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10   $0.03      $0.31
   100   $0.02      $2.13
   500   $0.01      $4.99
  2500   $0.01     $19.32
  5000   $0.01     $31.78</t>
        </r>
      </text>
    </comment>
    <comment ref="Y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$0.04      $1.10
   100   $0.02      $1.80
   250   $0.01      $3.50
   500   $0.01      $5.00
  1000   $0.01      $6.00</t>
        </r>
      </text>
    </comment>
    <comment ref="J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$0.43
   100   $0.02      $1.76
  1000   $0.01      $7.91
  2500   $0.01     $17.15
  5000   $0.01     $28.35
 10000   $0.00     $44.80
 30000   $0.00    $117.90
 50000   $0.00    $180.50
100000   $0.00    $353.00</t>
        </r>
      </text>
    </comment>
    <comment ref="O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$2.08
   500   $0.02      $8.10
  2500   $0.01     $31.16
  5000   $0.01     $53.60</t>
        </r>
      </text>
    </comment>
    <comment ref="Y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  25   $0.02      $0.53
   100   $0.01      $1.20
   250   $0.01      $2.75
   500   $0.01      $5.00
  1000   $0.01      $7.00
  2500   $0.01     $17.50
  5000   $0.01     $30.00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$0.13
   100   $0.01      $0.54
  1000   $0.00      $2.44
  2500   $0.00      $5.30
  5000   $0.00      $8.75
 10000   $0.00     $13.90
 30000   $0.00     $36.60
 50000   $0.00     $56.00
100000   $0.00    $109.00</t>
        </r>
      </text>
    </comment>
    <comment ref="O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$2.16
   500   $0.01      $6.05
  2500   $0.01     $20.57
  5000   $0.01     $31.78</t>
        </r>
      </text>
    </comment>
    <comment ref="W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10000   $0.01     $50.00
 20000   $0.00     $60.00
 30000   $0.00     $60.00</t>
        </r>
      </text>
    </comment>
    <comment ref="AB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10   $0.10      $0.98
   100   $0.04      $3.76
  1000   $0.02     $16.54
  2500   $0.01     $35.70
  5000   $0.01     $58.10
 10000   $0.01    $104.20
 25000   $0.01    $239.25
 50000   $0.01    $472.00</t>
        </r>
      </text>
    </comment>
    <comment ref="O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$0.05      $0.05
   100   $0.05      $4.71
   500   $0.04     $18.32</t>
        </r>
      </text>
    </comment>
    <comment ref="Y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$0.09      $0.94
    50   $0.05      $2.50
   100   $0.04      $3.60
   250   $0.03      $7.00
   500   $0.02     $11.00
  1000   $0.01     $15.00
  2500   $0.01     $35.00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$2.49
  1000   $0.02     $23.68
  5000   $0.02    $112.18
 10000   $0.02    $211.89
 25000   $0.02    $498.56</t>
        </r>
      </text>
    </comment>
    <comment ref="J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$0.13
   100   $0.01      $0.54
  1000   $0.00      $2.44
  2500   $0.00      $5.30
  5000   $0.00      $8.75
 10000   $0.00     $13.90
 30000   $0.00     $36.60
 50000   $0.00     $56.00
100000   $0.00    $109.00</t>
        </r>
      </text>
    </comment>
    <comment ref="O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 10   $0.07      $0.73
    25   $0.07      $1.65
   100   $0.06      $5.87
   250   $0.05     $12.65</t>
        </r>
      </text>
    </comment>
    <comment ref="Y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 10   $0.01      $0.14
    25   $0.01      $0.22
   100   $0.01      $0.60
   250   $0.00      $1.00
  1000   $0.00      $2.00</t>
        </r>
      </text>
    </comment>
    <comment ref="J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$0.03      $0.26
   100   $0.01      $1.04
  1000   $0.00      $4.67
  2500   $0.00     $10.15
  5000   $0.00     $16.75
 10000   $0.00     $44.80
 30000   $0.00    $117.90
 50000   $0.00    $180.50
100000   $0.00    $353.00</t>
        </r>
      </text>
    </comment>
    <comment ref="O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$0.67
   500   $0.00      $2.43
  2500   $0.00     $10.91
  5000   $0.00     $21.19</t>
        </r>
      </text>
    </comment>
    <comment ref="Y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  25   $0.02      $0.53
   100   $0.01      $1.20
   250   $0.01      $2.75
   500   $0.01      $5.00
  1000   $0.01      $7.00
  2500   $0.01     $17.50
  5000   $0.01     $30.00</t>
        </r>
      </text>
    </comment>
    <comment ref="J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$1.78
  1000   $0.01      $8.02
  2500   $0.01     $17.40
  5000   $0.01     $28.75
 10000   $0.00     $45.40
 30000   $0.00    $127.50
 50000   $0.00    $212.50</t>
        </r>
      </text>
    </comment>
    <comment ref="O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$2.16
   500   $0.01      $6.05
  2500   $0.01     $20.57
  5000   $0.01     $31.78</t>
        </r>
      </text>
    </comment>
    <comment ref="Y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$0.10      $1.00
    25   $0.04      $1.12
   100   $0.03      $2.60
   250   $0.02      $5.75
   500   $0.02     $10.50
  1000   $0.02     $18.00</t>
        </r>
      </text>
    </comment>
    <comment ref="AD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 50   $0.01      $0.62
   150   $0.01      $1.68
  1000   $0.01      $9.97
  5000   $0.01     $31.16</t>
        </r>
      </text>
    </comment>
    <comment ref="J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$0.14
   100   $0.01      $0.56
  1000   $0.00      $2.53
  2500   $0.00      $5.50
  5000   $0.00      $9.05
 10000   $0.00     $15.80
 30000   $0.00     $41.40
 50000   $0.00     $63.50
100000   $0.00    $124.00</t>
        </r>
      </text>
    </comment>
    <comment ref="O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25   $0.03      $0.63
   100   $0.02      $1.82
   250   $0.01      $3.52
   500   $0.01      $4.99</t>
        </r>
      </text>
    </comment>
    <comment ref="W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10000   $0.01     $50.00
 20000   $0.00     $60.00
 30000   $0.00     $60.00</t>
        </r>
      </text>
    </comment>
    <comment ref="AB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$5.52      $5.52
    10   $4.96     $49.62
   100   $4.07    $406.52
   250   $4.31   $1076.70
   500   $3.46   $1730.32
  1000   $2.92   $2918.61
  1250   $3.26   $4074.00
  3000   $2.69   $8075.76</t>
        </r>
      </text>
    </comment>
    <comment ref="O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$7.32      $7.32
    10   $5.96     $59.58
    25   $5.77    $144.27
    50   $5.32    $266.11
   100   $4.87    $487.34
   250   $4.66   $1165.38
   500   $3.44   $1720.03</t>
        </r>
      </text>
    </comment>
    <comment ref="Y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$6.30      $6.30
    10   $5.66     $56.60
    25   $5.45    $136.25
    50   $5.05    $252.50
   100   $4.64    $464.00</t>
        </r>
      </text>
    </comment>
    <comment ref="I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<sst xmlns="http://schemas.openxmlformats.org/spreadsheetml/2006/main" count="371" uniqueCount="218">
  <si>
    <t>Global Part Info</t>
  </si>
  <si>
    <t>Manf#</t>
  </si>
  <si>
    <t>Ext$</t>
  </si>
  <si>
    <t>Unit$</t>
  </si>
  <si>
    <t>Footprint</t>
  </si>
  <si>
    <t>Refs</t>
  </si>
  <si>
    <t>Qty</t>
  </si>
  <si>
    <t>Value</t>
  </si>
  <si>
    <t>C11,C17</t>
  </si>
  <si>
    <t>CGA6P3X7R1H335K250AB</t>
  </si>
  <si>
    <t>Capacitors_SMD:C_1210</t>
  </si>
  <si>
    <t>3.3uF</t>
  </si>
  <si>
    <t>C12</t>
  </si>
  <si>
    <t>C0402C751J5GACTU</t>
  </si>
  <si>
    <t>Capacitors_SMD:C_0402</t>
  </si>
  <si>
    <t>750pF50V</t>
  </si>
  <si>
    <t>C13,C19</t>
  </si>
  <si>
    <t>C0603C689C1GACTU</t>
  </si>
  <si>
    <t>Capacitors_SMD:C_0603</t>
  </si>
  <si>
    <t>6.8pF100V</t>
  </si>
  <si>
    <t>C14,C20</t>
  </si>
  <si>
    <t>C0603C272J5RACTU</t>
  </si>
  <si>
    <t>2.7nF50V</t>
  </si>
  <si>
    <t>C15,C21</t>
  </si>
  <si>
    <t>04025C104KAT2A</t>
  </si>
  <si>
    <t>100nF</t>
  </si>
  <si>
    <t>C16</t>
  </si>
  <si>
    <t>EEE-1CA4R7NR</t>
  </si>
  <si>
    <t>Capacitor_SMD:CP_Elec_4x5.3</t>
  </si>
  <si>
    <t>4.7uF</t>
  </si>
  <si>
    <t>C18</t>
  </si>
  <si>
    <t>C0402C182J5RACTU</t>
  </si>
  <si>
    <t>1.8nF50V</t>
  </si>
  <si>
    <t>C22</t>
  </si>
  <si>
    <t>CL31A476MQHNNNE</t>
  </si>
  <si>
    <t>Capacitor_SMD:C_1206_3216Metric_Pad1.24x1.80mm_HandSolder</t>
  </si>
  <si>
    <t>47uF</t>
  </si>
  <si>
    <t>C1-C10</t>
  </si>
  <si>
    <t>EEUFR1C222B</t>
  </si>
  <si>
    <t>Capacitor_THT:CP_Radial_D12.5mm_P5.00mm</t>
  </si>
  <si>
    <t>2m2</t>
  </si>
  <si>
    <t>D1,D2</t>
  </si>
  <si>
    <t>STPS20M100SG-TR</t>
  </si>
  <si>
    <t>TO_SOT_Packages_SMD:TO-263-2</t>
  </si>
  <si>
    <t>STPS20M100S</t>
  </si>
  <si>
    <t>D3</t>
  </si>
  <si>
    <t>1SMB5925B</t>
  </si>
  <si>
    <t>Diodes_SMD:D_SMB</t>
  </si>
  <si>
    <t>10V 3W</t>
  </si>
  <si>
    <t>J1,J3,J5,J7,J9,J11,J13,J15,J23,J25</t>
  </si>
  <si>
    <t>MB_LIB:via_sq</t>
  </si>
  <si>
    <t>Conn_01x01</t>
  </si>
  <si>
    <t>J2,J4,J6,J8,J10,J12,J14,J16,J24,J26</t>
  </si>
  <si>
    <t>MB_LIB:via</t>
  </si>
  <si>
    <t>J17-J19</t>
  </si>
  <si>
    <t>53261-0371</t>
  </si>
  <si>
    <t>Connector_Molex:Molex_Panelmate_53780-0370_1x03_P1.25mm_Horizontal</t>
  </si>
  <si>
    <t>Conn_01x03</t>
  </si>
  <si>
    <t>J20-J22</t>
  </si>
  <si>
    <t>S2B-EH(LF)(SN)</t>
  </si>
  <si>
    <t>Connector_JST:JST_EH_S02B-EH_1x02_P2.50mm_Horizontal</t>
  </si>
  <si>
    <t>Conn_01x02</t>
  </si>
  <si>
    <t>L1</t>
  </si>
  <si>
    <t>7443251600</t>
  </si>
  <si>
    <t>Inductors_SMD:L_Wuerth_HCI-1050</t>
  </si>
  <si>
    <t>16uH</t>
  </si>
  <si>
    <t>L2</t>
  </si>
  <si>
    <t>744325650</t>
  </si>
  <si>
    <t>6.5uH</t>
  </si>
  <si>
    <t>Q1-Q4</t>
  </si>
  <si>
    <t>IRF540SPBF</t>
  </si>
  <si>
    <t>IRF540S</t>
  </si>
  <si>
    <t>R1</t>
  </si>
  <si>
    <t>RMCF0402FT61K9CT-ND</t>
  </si>
  <si>
    <t>Resistors_SMD:R_0402</t>
  </si>
  <si>
    <t>61.9K</t>
  </si>
  <si>
    <t>R2</t>
  </si>
  <si>
    <t>CRCW0402143KFKED</t>
  </si>
  <si>
    <t>143k</t>
  </si>
  <si>
    <t>R3</t>
  </si>
  <si>
    <t>ERJ2RKF1473X</t>
  </si>
  <si>
    <t>147k</t>
  </si>
  <si>
    <t>R4</t>
  </si>
  <si>
    <t>RC0402FR-0710K5L</t>
  </si>
  <si>
    <t>10.5k</t>
  </si>
  <si>
    <t>R5</t>
  </si>
  <si>
    <t>RR1220P-103-D</t>
  </si>
  <si>
    <t>Resistors_SMD:R_1206</t>
  </si>
  <si>
    <t>220R</t>
  </si>
  <si>
    <t>R6</t>
  </si>
  <si>
    <t>RC0402FR-0736K5L</t>
  </si>
  <si>
    <t>36.5k</t>
  </si>
  <si>
    <t>R7</t>
  </si>
  <si>
    <t>ERJ-2RKF1470X</t>
  </si>
  <si>
    <t>147</t>
  </si>
  <si>
    <t>R8</t>
  </si>
  <si>
    <t>CRCW040260K4FKED</t>
  </si>
  <si>
    <t>60.4k</t>
  </si>
  <si>
    <t>R9</t>
  </si>
  <si>
    <t>RC0402FR-0711K5L</t>
  </si>
  <si>
    <t>11.5k</t>
  </si>
  <si>
    <t>U1,U2</t>
  </si>
  <si>
    <t>TPS54561DPRT</t>
  </si>
  <si>
    <t>MB_LIB:TPS54561</t>
  </si>
  <si>
    <t>TPS54561</t>
  </si>
  <si>
    <t>Prj:</t>
  </si>
  <si>
    <t>power_board.xml</t>
  </si>
  <si>
    <t>Co.:</t>
  </si>
  <si>
    <t>Prj date:</t>
  </si>
  <si>
    <t>Tue 10 Apr 2018 05:53:32 PM CEST</t>
  </si>
  <si>
    <t>Board Qty:</t>
  </si>
  <si>
    <t>Total Cost:</t>
  </si>
  <si>
    <t>Unit Cost:</t>
  </si>
  <si>
    <t>$ date:</t>
  </si>
  <si>
    <t>2018-04-10 17:54:49</t>
  </si>
  <si>
    <t>Digi-Key</t>
  </si>
  <si>
    <t>Avail</t>
  </si>
  <si>
    <t>Purch</t>
  </si>
  <si>
    <t>Cat#</t>
  </si>
  <si>
    <t>445-5716-1-ND</t>
  </si>
  <si>
    <t>399-14469-1-ND</t>
  </si>
  <si>
    <t>C0603C689C1GACTU-ND</t>
  </si>
  <si>
    <t>NonStk</t>
  </si>
  <si>
    <t>399-11149-1-ND</t>
  </si>
  <si>
    <t>478-10043-2-ND</t>
  </si>
  <si>
    <t>PCE4290CT-ND</t>
  </si>
  <si>
    <t>399-8953-1-ND</t>
  </si>
  <si>
    <t>1276-1167-1-ND</t>
  </si>
  <si>
    <t>P15338CT-ND</t>
  </si>
  <si>
    <t>497-10993-1-ND</t>
  </si>
  <si>
    <t>1SMB5925BT3OSCT-ND</t>
  </si>
  <si>
    <t>WM7621CT-ND</t>
  </si>
  <si>
    <t>455-1625-ND</t>
  </si>
  <si>
    <t>732-4180-1-ND</t>
  </si>
  <si>
    <t>732-3877-1-ND</t>
  </si>
  <si>
    <t>IRF540SPBF-ND</t>
  </si>
  <si>
    <t>541-143KLCT-ND</t>
  </si>
  <si>
    <t>P147KLCT-ND</t>
  </si>
  <si>
    <t>YAG2951CT-ND</t>
  </si>
  <si>
    <t>RR12P10.0KDCT-ND</t>
  </si>
  <si>
    <t>YAG3135CT-ND</t>
  </si>
  <si>
    <t>P147LCT-ND</t>
  </si>
  <si>
    <t>541-60.4KLCT-ND</t>
  </si>
  <si>
    <t>311-11.5KLRCT-ND</t>
  </si>
  <si>
    <t>296-40803-1-ND</t>
  </si>
  <si>
    <t>Farnell</t>
  </si>
  <si>
    <t>2211157</t>
  </si>
  <si>
    <t>1865436</t>
  </si>
  <si>
    <t>1865503</t>
  </si>
  <si>
    <t>2773146</t>
  </si>
  <si>
    <t>2690952</t>
  </si>
  <si>
    <t>2326125</t>
  </si>
  <si>
    <t>2773079</t>
  </si>
  <si>
    <t>1907351</t>
  </si>
  <si>
    <t>2479889</t>
  </si>
  <si>
    <t>2325907</t>
  </si>
  <si>
    <t>1894811</t>
  </si>
  <si>
    <t>1125359</t>
  </si>
  <si>
    <t>2481437</t>
  </si>
  <si>
    <t>2211625RL</t>
  </si>
  <si>
    <t>2211621RL</t>
  </si>
  <si>
    <t>1013379</t>
  </si>
  <si>
    <t>2121874</t>
  </si>
  <si>
    <t>2302855</t>
  </si>
  <si>
    <t>2121732</t>
  </si>
  <si>
    <t>1653284</t>
  </si>
  <si>
    <t>1799208</t>
  </si>
  <si>
    <t>2302543</t>
  </si>
  <si>
    <t>1652810</t>
  </si>
  <si>
    <t>9956905</t>
  </si>
  <si>
    <t>2392484</t>
  </si>
  <si>
    <t>Mouser</t>
  </si>
  <si>
    <t>Newark</t>
  </si>
  <si>
    <t>62W5996</t>
  </si>
  <si>
    <t>29T8964</t>
  </si>
  <si>
    <t>29T9046</t>
  </si>
  <si>
    <t>96Y7023</t>
  </si>
  <si>
    <t>64W0440</t>
  </si>
  <si>
    <t>53W3776</t>
  </si>
  <si>
    <t>07X0695</t>
  </si>
  <si>
    <t>24R6344</t>
  </si>
  <si>
    <t>49W7400</t>
  </si>
  <si>
    <t>97W2949</t>
  </si>
  <si>
    <t>47T5746</t>
  </si>
  <si>
    <t>93K4243</t>
  </si>
  <si>
    <t>49Y7626</t>
  </si>
  <si>
    <t>44W4638</t>
  </si>
  <si>
    <t>44W4640</t>
  </si>
  <si>
    <t>19K8213</t>
  </si>
  <si>
    <t>52K6700</t>
  </si>
  <si>
    <t>53W4225</t>
  </si>
  <si>
    <t>66R1118</t>
  </si>
  <si>
    <t>28K0930</t>
  </si>
  <si>
    <t>67R9928</t>
  </si>
  <si>
    <t>90W2974</t>
  </si>
  <si>
    <t>27W4008</t>
  </si>
  <si>
    <t>66R1135</t>
  </si>
  <si>
    <t>37X8879</t>
  </si>
  <si>
    <t>Rs Components</t>
  </si>
  <si>
    <t>915-5433</t>
  </si>
  <si>
    <t>146-923</t>
  </si>
  <si>
    <t>135-6693</t>
  </si>
  <si>
    <t>766-1069</t>
  </si>
  <si>
    <t>708-3661</t>
  </si>
  <si>
    <t>880-5437</t>
  </si>
  <si>
    <t>807-9893</t>
  </si>
  <si>
    <t>542-7107</t>
  </si>
  <si>
    <t>515-1305</t>
  </si>
  <si>
    <t>708-4737</t>
  </si>
  <si>
    <t>815-4521</t>
  </si>
  <si>
    <t>618-5832</t>
  </si>
  <si>
    <t>391-5567</t>
  </si>
  <si>
    <t>678-9493</t>
  </si>
  <si>
    <t>618-6166</t>
  </si>
  <si>
    <t>Tme</t>
  </si>
  <si>
    <t>1SMB5925BT3G</t>
  </si>
  <si>
    <t>MX-53261-0371</t>
  </si>
  <si>
    <t>Distributors scraped by KiCost\N{REGISTERED SIGN} v.0.1.43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</si>
</sst>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tdk-corporation/CGA6P3X7R1H335K250AB/445-5716-1-ND/2443756" TargetMode="External"/><Relationship Id="rId2" Type="http://schemas.openxmlformats.org/officeDocument/2006/relationships/hyperlink" Target="http://it.farnell.com/tdk/cga6p3x7r1h335k250ab/condensatore-mlcc-x7r-3-3uf-50v/dp/2211157?st=CGA6P3X7R1H335K250AB%20" TargetMode="External"/><Relationship Id="rId3" Type="http://schemas.openxmlformats.org/officeDocument/2006/relationships/hyperlink" Target="http://www.newark.com/tdk/cga6p3x7r1h335k250ab/smd-multilayer-ceramic-capacitor/dp/62W5996?st=CGA6P3X7R1H335K250AB%20" TargetMode="External"/><Relationship Id="rId4" Type="http://schemas.openxmlformats.org/officeDocument/2006/relationships/hyperlink" Target="http://it.rs-online.com/web/p/condensatori-ceramici-multistrato/9155433/" TargetMode="External"/><Relationship Id="rId5" Type="http://schemas.openxmlformats.org/officeDocument/2006/relationships/hyperlink" Target="http://www.digikey.com/product-detail/en/kemet/C0402C751J5GAC7867/399-14469-1-ND/7103761" TargetMode="External"/><Relationship Id="rId6" Type="http://schemas.openxmlformats.org/officeDocument/2006/relationships/hyperlink" Target="http://it.farnell.com/kemet/c0402c751j5gactu/conden-mlcc-c0g-np0-750pf-50v/dp/1865436?st=C0402C751J5GACTU%20" TargetMode="External"/><Relationship Id="rId7" Type="http://schemas.openxmlformats.org/officeDocument/2006/relationships/hyperlink" Target="http://www.newark.com/webapp/wcs/stores/servlet/Search?catalogId=15003&amp;langId=-1&amp;storeId=10194&amp;gs=true&amp;st=C0402C751J5GACTU+" TargetMode="External"/><Relationship Id="rId8" Type="http://schemas.openxmlformats.org/officeDocument/2006/relationships/hyperlink" Target="http://it.rs-online.com/web/c/?searchTerm=C0402C751J5GACTU+" TargetMode="External"/><Relationship Id="rId9" Type="http://schemas.openxmlformats.org/officeDocument/2006/relationships/hyperlink" Target="http://www.digikey.com/scripts/DkSearch/dksus.dll?WT.z_header=search_go&amp;lang=en&amp;keywords=C0603C689C1GACTU+" TargetMode="External"/><Relationship Id="rId10" Type="http://schemas.openxmlformats.org/officeDocument/2006/relationships/hyperlink" Target="http://it.farnell.com/kemet/c0603c689c1gactu/cond-mlcc-c0g-np0-6-8pf-100v-0603/dp/1865503?st=C0603C689C1GACTU%20" TargetMode="External"/><Relationship Id="rId11" Type="http://schemas.openxmlformats.org/officeDocument/2006/relationships/hyperlink" Target="http://www.newark.com/kemet/c0603c689c1gactu/multilayer-ceramic-capacitor-c/dp/29T9046?st=C0603C689C1GACTU%20" TargetMode="External"/><Relationship Id="rId12" Type="http://schemas.openxmlformats.org/officeDocument/2006/relationships/hyperlink" Target="http://www.digikey.com/product-detail/en/kemet/C0603C272J5RACTU/399-11149-1-ND/4357847" TargetMode="External"/><Relationship Id="rId13" Type="http://schemas.openxmlformats.org/officeDocument/2006/relationships/hyperlink" Target="http://it.farnell.com/kemet/c0603c272j5rac7867/condens-mlcc-x7r-2700pf-50v-0603/dp/2773146?st=C0603C272J5RACTU%20" TargetMode="External"/><Relationship Id="rId14" Type="http://schemas.openxmlformats.org/officeDocument/2006/relationships/hyperlink" Target="http://www.newark.com/webapp/wcs/stores/servlet/Search?catalogId=15003&amp;langId=-1&amp;storeId=10194&amp;gs=true&amp;st=C0603C272J5RACTU+" TargetMode="External"/><Relationship Id="rId15" Type="http://schemas.openxmlformats.org/officeDocument/2006/relationships/hyperlink" Target="http://www.digikey.com/product-detail/en/avx-corporation/04025C104KAT2A/478-10043-2-ND/6564238" TargetMode="External"/><Relationship Id="rId16" Type="http://schemas.openxmlformats.org/officeDocument/2006/relationships/hyperlink" Target="http://it.farnell.com/webapp/wcs/stores/servlet/Search?catalogId=15001&amp;langId=-4&amp;storeId=10165&amp;gs=true&amp;st=04025C104KAT2A+" TargetMode="External"/><Relationship Id="rId17" Type="http://schemas.openxmlformats.org/officeDocument/2006/relationships/hyperlink" Target="http://www.newark.com/avx/04025c104kat2a/cap-mlcc-x7r-0-1uf-50v-0402/dp/64W0440?st=04025C104KAT2A%20" TargetMode="External"/><Relationship Id="rId18" Type="http://schemas.openxmlformats.org/officeDocument/2006/relationships/hyperlink" Target="http://it.rs-online.com/web/p/condensatori-ceramici-multistrato/1356693/" TargetMode="External"/><Relationship Id="rId19" Type="http://schemas.openxmlformats.org/officeDocument/2006/relationships/hyperlink" Target="http://www.digikey.com/product-detail/en/panasonic-electronic-components/EEE-1CA4R7NR/PCE4290CT-ND/946225" TargetMode="External"/><Relationship Id="rId20" Type="http://schemas.openxmlformats.org/officeDocument/2006/relationships/hyperlink" Target="http://it.farnell.com/panasonic-electronic-components/eee1ca4r7nr/condens-elett-allum-4-7uf-16v/dp/2326125?st=EEE-1CA4R7NR%20" TargetMode="External"/><Relationship Id="rId21" Type="http://schemas.openxmlformats.org/officeDocument/2006/relationships/hyperlink" Target="http://www.newark.com/webapp/wcs/stores/servlet/Search?catalogId=15003&amp;langId=-1&amp;storeId=10194&amp;gs=true&amp;st=EEE-1CA4R7NR+" TargetMode="External"/><Relationship Id="rId22" Type="http://schemas.openxmlformats.org/officeDocument/2006/relationships/hyperlink" Target="http://www.digikey.com/product-detail/en/kemet/C0402C182J5RACTU/399-8953-1-ND/3522470" TargetMode="External"/><Relationship Id="rId23" Type="http://schemas.openxmlformats.org/officeDocument/2006/relationships/hyperlink" Target="http://it.farnell.com/kemet/c0402c182j5rac7867/condensatore-mlcc-x7r-1800pf-50v/dp/2773079?st=C0402C182J5RACTU%20" TargetMode="External"/><Relationship Id="rId24" Type="http://schemas.openxmlformats.org/officeDocument/2006/relationships/hyperlink" Target="http://www.newark.com/kemet/c0402c182j5ractu/mlcc-capacitor-1800pf-50v-x7r/dp/07X0695?st=C0402C182J5RACTU%20" TargetMode="External"/><Relationship Id="rId25" Type="http://schemas.openxmlformats.org/officeDocument/2006/relationships/hyperlink" Target="http://www.digikey.com/product-detail/en/samsung-electro-mechanics/CL31A476MQHNNNE/1276-1167-1-ND/3889253" TargetMode="External"/><Relationship Id="rId26" Type="http://schemas.openxmlformats.org/officeDocument/2006/relationships/hyperlink" Target="http://it.farnell.com/tdk/c3216x5r0j476m160ac/condensatore-mlcc-x5r-47uf-6-3v/dp/1907351?iscrfnonsku=true&amp;st=CL31A476MQHNNNE%20" TargetMode="External"/><Relationship Id="rId27" Type="http://schemas.openxmlformats.org/officeDocument/2006/relationships/hyperlink" Target="http://www.newark.com/murata/grm31cr60j476me19l/capacitor-mlcc-x5r-47uf-6-3v-1206/dp/24R6344?iscrfnonsku=true&amp;st=CL31A476MQHNNNE%20" TargetMode="External"/><Relationship Id="rId28" Type="http://schemas.openxmlformats.org/officeDocument/2006/relationships/hyperlink" Target="http://it.rs-online.com/web/p/condensatori-ceramici-multistrato/7661069/" TargetMode="External"/><Relationship Id="rId29" Type="http://schemas.openxmlformats.org/officeDocument/2006/relationships/hyperlink" Target="https://www.tme.eu/en/details/cl31a476mqhnnne/1206-mlcc-smd-capacitors/samsung/" TargetMode="External"/><Relationship Id="rId30" Type="http://schemas.openxmlformats.org/officeDocument/2006/relationships/hyperlink" Target="http://www.digikey.com/product-detail/en/panasonic-electronic-components/EEU-FR1C222B/P15338CT-ND/3072218" TargetMode="External"/><Relationship Id="rId31" Type="http://schemas.openxmlformats.org/officeDocument/2006/relationships/hyperlink" Target="http://it.farnell.com/panasonic-electronic-components/eeufr1c222b/cap-alu-elec-2200uf-16v-rad/dp/2479889?st=EEUFR1C222B%20" TargetMode="External"/><Relationship Id="rId32" Type="http://schemas.openxmlformats.org/officeDocument/2006/relationships/hyperlink" Target="http://www.newark.com/webapp/wcs/stores/servlet/Search?catalogId=15003&amp;langId=-1&amp;storeId=10194&amp;gs=true&amp;st=EEUFR1C222B+" TargetMode="External"/><Relationship Id="rId33" Type="http://schemas.openxmlformats.org/officeDocument/2006/relationships/hyperlink" Target="http://it.rs-online.com/web/p/condensatori-elettrolitici/7083661/" TargetMode="External"/><Relationship Id="rId34" Type="http://schemas.openxmlformats.org/officeDocument/2006/relationships/hyperlink" Target="http://www.digikey.com/product-detail/en/stmicroelectronics/STPS20M100SG-TR/497-10993-1-ND/2522589" TargetMode="External"/><Relationship Id="rId35" Type="http://schemas.openxmlformats.org/officeDocument/2006/relationships/hyperlink" Target="http://it.farnell.com/webapp/wcs/stores/servlet/Search?catalogId=15001&amp;langId=-4&amp;storeId=10165&amp;gs=true&amp;st=STPS20M100SG-TR+" TargetMode="External"/><Relationship Id="rId36" Type="http://schemas.openxmlformats.org/officeDocument/2006/relationships/hyperlink" Target="http://www.newark.com/webapp/wcs/stores/servlet/Search?catalogId=15003&amp;langId=-1&amp;storeId=10194&amp;gs=true&amp;st=STPS20M100SG-TR+" TargetMode="External"/><Relationship Id="rId37" Type="http://schemas.openxmlformats.org/officeDocument/2006/relationships/hyperlink" Target="http://it.rs-online.com/web/p/diodi-rettificatori-e-schottky/8805437/" TargetMode="External"/><Relationship Id="rId38" Type="http://schemas.openxmlformats.org/officeDocument/2006/relationships/hyperlink" Target="http://www.digikey.com/product-detail/en/on-semiconductor/1SMB5925BT3/1SMB5925BT3OSCT-ND/608066" TargetMode="External"/><Relationship Id="rId39" Type="http://schemas.openxmlformats.org/officeDocument/2006/relationships/hyperlink" Target="http://it.farnell.com/diodes-inc/1smb5925b/diodo-zener-10v-3w-smb/dp/1894811?st=1SMB5925B%20" TargetMode="External"/><Relationship Id="rId40" Type="http://schemas.openxmlformats.org/officeDocument/2006/relationships/hyperlink" Target="http://www.newark.com/diodes-inc/1smb5925b/diode-zener-10v-3w-smb/dp/47T5746?st=1SMB5925B%20" TargetMode="External"/><Relationship Id="rId41" Type="http://schemas.openxmlformats.org/officeDocument/2006/relationships/hyperlink" Target="http://it.rs-online.com/web/p/diodi-zener/8079893/" TargetMode="External"/><Relationship Id="rId42" Type="http://schemas.openxmlformats.org/officeDocument/2006/relationships/hyperlink" Target="https://www.tme.eu/en/details/1smb5925bt3g/smd-zener-diodes/on-semiconductor/" TargetMode="External"/><Relationship Id="rId43" Type="http://schemas.openxmlformats.org/officeDocument/2006/relationships/hyperlink" Target="http://www.digikey.com/product-detail/en/molex-llc/0532610371/WM7621CT-ND/699108" TargetMode="External"/><Relationship Id="rId44" Type="http://schemas.openxmlformats.org/officeDocument/2006/relationships/hyperlink" Target="http://it.farnell.com/molex/53261-0371/connector-header-smt-ra-1-25mm/dp/1125359?st=53261-0371%20" TargetMode="External"/><Relationship Id="rId45" Type="http://schemas.openxmlformats.org/officeDocument/2006/relationships/hyperlink" Target="http://www.newark.com/webapp/wcs/stores/servlet/Search?catalogId=15003&amp;langId=-1&amp;storeId=10194&amp;gs=true&amp;st=53261-0371+" TargetMode="External"/><Relationship Id="rId46" Type="http://schemas.openxmlformats.org/officeDocument/2006/relationships/hyperlink" Target="http://it.rs-online.com/web/c/?searchTerm=53261-0371+" TargetMode="External"/><Relationship Id="rId47" Type="http://schemas.openxmlformats.org/officeDocument/2006/relationships/hyperlink" Target="https://www.tme.eu/en/details/mx-53261-0371/raster-signal-connectors-125mm/molex/0532610371/" TargetMode="External"/><Relationship Id="rId48" Type="http://schemas.openxmlformats.org/officeDocument/2006/relationships/hyperlink" Target="http://www.digikey.com/scripts/DkSearch/dksus.dll?WT.z_header=search_go&amp;lang=en&amp;keywords=S2B-EH%28LF%29%28SN%29+" TargetMode="External"/><Relationship Id="rId49" Type="http://schemas.openxmlformats.org/officeDocument/2006/relationships/hyperlink" Target="http://it.farnell.com/webapp/wcs/stores/servlet/Search?catalogId=15001&amp;langId=-4&amp;storeId=10165&amp;gs=true&amp;st=S2B-EH%28LF%29%28SN%29+" TargetMode="External"/><Relationship Id="rId50" Type="http://schemas.openxmlformats.org/officeDocument/2006/relationships/hyperlink" Target="http://www.newark.com/webapp/wcs/stores/servlet/Search?catalogId=15003&amp;langId=-1&amp;storeId=10194&amp;gs=true&amp;st=S2B-EH%28LF%29%28SN%29+" TargetMode="External"/><Relationship Id="rId51" Type="http://schemas.openxmlformats.org/officeDocument/2006/relationships/hyperlink" Target="http://it.rs-online.com/web/p/file-di-contatti-da-pcb/5151305/" TargetMode="External"/><Relationship Id="rId52" Type="http://schemas.openxmlformats.org/officeDocument/2006/relationships/hyperlink" Target="http://www.digikey.com/product-detail/en/wurth-electronics-inc/7443251600/732-4180-1-ND/3476496" TargetMode="External"/><Relationship Id="rId53" Type="http://schemas.openxmlformats.org/officeDocument/2006/relationships/hyperlink" Target="http://it.farnell.com/wurth-elektronik/7443251600/induttore-alim-16-uh-20-11-5x10/dp/2211625RL?st=7443251600%20" TargetMode="External"/><Relationship Id="rId54" Type="http://schemas.openxmlformats.org/officeDocument/2006/relationships/hyperlink" Target="http://www.newark.com/webapp/wcs/stores/servlet/Search?catalogId=15003&amp;langId=-1&amp;storeId=10194&amp;gs=true&amp;st=7443251600+" TargetMode="External"/><Relationship Id="rId55" Type="http://schemas.openxmlformats.org/officeDocument/2006/relationships/hyperlink" Target="http://www.digikey.com/product-detail/en/wurth-electronics-inc/744325650/732-3877-1-ND/3315105" TargetMode="External"/><Relationship Id="rId56" Type="http://schemas.openxmlformats.org/officeDocument/2006/relationships/hyperlink" Target="http://it.farnell.com/wurth-elektronik/744325650/induttore-alim-6-5-uh-20-11-5x10/dp/2211621RL?st=744325650%20" TargetMode="External"/><Relationship Id="rId57" Type="http://schemas.openxmlformats.org/officeDocument/2006/relationships/hyperlink" Target="http://www.newark.com/webapp/wcs/stores/servlet/Search?catalogId=15003&amp;langId=-1&amp;storeId=10194&amp;gs=true&amp;st=744325650+" TargetMode="External"/><Relationship Id="rId58" Type="http://schemas.openxmlformats.org/officeDocument/2006/relationships/hyperlink" Target="http://www.digikey.com/scripts/DkSearch/dksus.dll?WT.z_header=search_go&amp;lang=en&amp;keywords=IRF540SPBF+" TargetMode="External"/><Relationship Id="rId59" Type="http://schemas.openxmlformats.org/officeDocument/2006/relationships/hyperlink" Target="http://it.farnell.com/webapp/wcs/stores/servlet/Search?catalogId=15001&amp;langId=-4&amp;storeId=10165&amp;gs=true&amp;st=IRF540SPBF+" TargetMode="External"/><Relationship Id="rId60" Type="http://schemas.openxmlformats.org/officeDocument/2006/relationships/hyperlink" Target="http://www.newark.com/webapp/wcs/stores/servlet/Search?catalogId=15003&amp;langId=-1&amp;storeId=10194&amp;gs=true&amp;st=IRF540SPBF+" TargetMode="External"/><Relationship Id="rId61" Type="http://schemas.openxmlformats.org/officeDocument/2006/relationships/hyperlink" Target="http://it.rs-online.com/web/p/transistor-mosfet/7084737/" TargetMode="External"/><Relationship Id="rId62" Type="http://schemas.openxmlformats.org/officeDocument/2006/relationships/hyperlink" Target="http://www.digikey.com/scripts/DkSearch/dksus.dll?WT.z_header=search_go&amp;lang=en&amp;keywords=RMCF0402FT61K9CT-ND+" TargetMode="External"/><Relationship Id="rId63" Type="http://schemas.openxmlformats.org/officeDocument/2006/relationships/hyperlink" Target="http://www.digikey.com/product-detail/en/vishay-dale/CRCW0402143KFKED/541-143KLCT-ND/1183367" TargetMode="External"/><Relationship Id="rId64" Type="http://schemas.openxmlformats.org/officeDocument/2006/relationships/hyperlink" Target="http://it.farnell.com/vishay/crcw0402143kfked/res-film-spesso-143k-1-0-063w/dp/2121874?st=CRCW0402143KFKED%20" TargetMode="External"/><Relationship Id="rId65" Type="http://schemas.openxmlformats.org/officeDocument/2006/relationships/hyperlink" Target="http://www.newark.com/vishay/crcw0402143kfked/res-thick-film-143k-1-0-063w-0402/dp/52K6700?st=CRCW0402143KFKED%20" TargetMode="External"/><Relationship Id="rId66" Type="http://schemas.openxmlformats.org/officeDocument/2006/relationships/hyperlink" Target="http://www.digikey.com/product-detail/en/panasonic-electronic-components/ERJ-2RKF1473X/P147KLCT-ND/194184" TargetMode="External"/><Relationship Id="rId67" Type="http://schemas.openxmlformats.org/officeDocument/2006/relationships/hyperlink" Target="http://it.farnell.com/panasonic-electronic-components/erj2rkf1473x/res-film-spesso-147k-1-0-1w-0402/dp/2302855?st=ERJ2RKF1473X%20" TargetMode="External"/><Relationship Id="rId68" Type="http://schemas.openxmlformats.org/officeDocument/2006/relationships/hyperlink" Target="http://www.newark.com/panasonic-electronic-components/erj-2rkf1473x/res-thick-film-147k-1-0-1w-0402/dp/53W4225?st=ERJ2RKF1473X%20" TargetMode="External"/><Relationship Id="rId69" Type="http://schemas.openxmlformats.org/officeDocument/2006/relationships/hyperlink" Target="http://it.rs-online.com/web/c/?searchTerm=ERJ2RKF1473X+" TargetMode="External"/><Relationship Id="rId70" Type="http://schemas.openxmlformats.org/officeDocument/2006/relationships/hyperlink" Target="http://www.digikey.com/product-detail/en/yageo/RC0402FR-0710K5L/YAG2951CT-ND/5281816" TargetMode="External"/><Relationship Id="rId71" Type="http://schemas.openxmlformats.org/officeDocument/2006/relationships/hyperlink" Target="http://it.farnell.com/vishay/crcw040210k5fked/res-film-spesso-10k5-1-0-063w/dp/2121732?iscrfnonsku=true&amp;st=RC0402FR-0710K5L%20" TargetMode="External"/><Relationship Id="rId72" Type="http://schemas.openxmlformats.org/officeDocument/2006/relationships/hyperlink" Target="http://www.newark.com/webapp/wcs/stores/servlet/Search?catalogId=15003&amp;langId=-1&amp;storeId=10194&amp;gs=true&amp;st=RC0402FR-0710K5L+" TargetMode="External"/><Relationship Id="rId73" Type="http://schemas.openxmlformats.org/officeDocument/2006/relationships/hyperlink" Target="http://it.rs-online.com/web/c/?searchTerm=RC0402FR-0710K5L+" TargetMode="External"/><Relationship Id="rId74" Type="http://schemas.openxmlformats.org/officeDocument/2006/relationships/hyperlink" Target="http://www.digikey.com/product-detail/en/susumu/RR1220P-103-D/RR12P10.0KDCT-ND/432854" TargetMode="External"/><Relationship Id="rId75" Type="http://schemas.openxmlformats.org/officeDocument/2006/relationships/hyperlink" Target="http://it.farnell.com/susumu/rr1220p-103-d/res-film-sott-10k-0-5-0-1w-0805/dp/1653284?st=RR1220P-103-D%20" TargetMode="External"/><Relationship Id="rId76" Type="http://schemas.openxmlformats.org/officeDocument/2006/relationships/hyperlink" Target="http://www.newark.com/susumu/rr1220p-103-d/res-thin-film-10k-0-5-0-1w-0805/dp/28K0930?st=RR1220P-103-D%20" TargetMode="External"/><Relationship Id="rId77" Type="http://schemas.openxmlformats.org/officeDocument/2006/relationships/hyperlink" Target="http://it.rs-online.com/web/c/?searchTerm=RR1220P-103-D+" TargetMode="External"/><Relationship Id="rId78" Type="http://schemas.openxmlformats.org/officeDocument/2006/relationships/hyperlink" Target="http://www.digikey.com/product-detail/en/yageo/RC0402FR-0736K5L/YAG3135CT-ND/5282000" TargetMode="External"/><Relationship Id="rId79" Type="http://schemas.openxmlformats.org/officeDocument/2006/relationships/hyperlink" Target="http://it.farnell.com/webapp/wcs/stores/servlet/Search?catalogId=15001&amp;langId=-4&amp;storeId=10165&amp;gs=true&amp;st=RC0402FR-0736K5L+" TargetMode="External"/><Relationship Id="rId80" Type="http://schemas.openxmlformats.org/officeDocument/2006/relationships/hyperlink" Target="http://www.newark.com/webapp/wcs/stores/servlet/Search?catalogId=15003&amp;langId=-1&amp;storeId=10194&amp;gs=true&amp;st=RC0402FR-0736K5L+" TargetMode="External"/><Relationship Id="rId81" Type="http://schemas.openxmlformats.org/officeDocument/2006/relationships/hyperlink" Target="http://www.digikey.com/product-detail/en/panasonic-electronic-components/ERJ-2RKF1470X/P147LCT-ND/194183" TargetMode="External"/><Relationship Id="rId82" Type="http://schemas.openxmlformats.org/officeDocument/2006/relationships/hyperlink" Target="http://it.farnell.com/panasonic-electronic-components/erj2rkf1470x/res-film-spesso-147r-1-0-1w-0402/dp/2302543?st=ERJ-2RKF1470X%20" TargetMode="External"/><Relationship Id="rId83" Type="http://schemas.openxmlformats.org/officeDocument/2006/relationships/hyperlink" Target="http://www.newark.com/panasonic-electronic-components/erj-2rkf1470x/res-thick-film-147r-1-0-1w-0402/dp/90W2974?st=ERJ-2RKF1470X%20" TargetMode="External"/><Relationship Id="rId84" Type="http://schemas.openxmlformats.org/officeDocument/2006/relationships/hyperlink" Target="http://www.digikey.com/product-detail/en/vishay-dale/CRCW040260K4FKED/541-60.4KLCT-ND/1183326" TargetMode="External"/><Relationship Id="rId85" Type="http://schemas.openxmlformats.org/officeDocument/2006/relationships/hyperlink" Target="http://it.farnell.com/vishay/crcw040260k4fked/res-film-spesso-60k4-1-0-063w/dp/1652810?st=CRCW040260K4FKED%20" TargetMode="External"/><Relationship Id="rId86" Type="http://schemas.openxmlformats.org/officeDocument/2006/relationships/hyperlink" Target="http://www.newark.com/vishay/crcw040260k4fked/surface-mount-thick-film-resistor/dp/27W4008?st=CRCW040260K4FKED%20" TargetMode="External"/><Relationship Id="rId87" Type="http://schemas.openxmlformats.org/officeDocument/2006/relationships/hyperlink" Target="http://it.rs-online.com/web/p/resistori-smd/6789493/" TargetMode="External"/><Relationship Id="rId88" Type="http://schemas.openxmlformats.org/officeDocument/2006/relationships/hyperlink" Target="http://www.digikey.com/product-detail/en/yageo/RC0402FR-0711K5L/311-11.5KLRCT-ND/729477" TargetMode="External"/><Relationship Id="rId89" Type="http://schemas.openxmlformats.org/officeDocument/2006/relationships/hyperlink" Target="http://it.farnell.com/vishay/crcw040211k5fked/res-thick-film-11k5-1-0-063w-0402/dp/9956905?iscrfnonsku=true&amp;st=RC0402FR-0711K5L%20" TargetMode="External"/><Relationship Id="rId90" Type="http://schemas.openxmlformats.org/officeDocument/2006/relationships/hyperlink" Target="http://www.newark.com/yageo/rc0402fr-0711k5l/resistor/dp/66R1135?st=RC0402FR-0711K5L%20" TargetMode="External"/><Relationship Id="rId91" Type="http://schemas.openxmlformats.org/officeDocument/2006/relationships/hyperlink" Target="http://it.rs-online.com/web/c/?searchTerm=RC0402FR-0711K5L+" TargetMode="External"/><Relationship Id="rId92" Type="http://schemas.openxmlformats.org/officeDocument/2006/relationships/hyperlink" Target="http://www.digikey.com/product-detail/en/texas-instruments/TPS54561DPRR/296-40803-1-ND/5178680" TargetMode="External"/><Relationship Id="rId93" Type="http://schemas.openxmlformats.org/officeDocument/2006/relationships/hyperlink" Target="http://it.farnell.com/webapp/wcs/stores/servlet/Search?catalogId=15001&amp;langId=-4&amp;storeId=10165&amp;gs=true&amp;st=TPS54561DPRT+" TargetMode="External"/><Relationship Id="rId94" Type="http://schemas.openxmlformats.org/officeDocument/2006/relationships/hyperlink" Target="http://www.newark.com/webapp/wcs/stores/servlet/Search?catalogId=15003&amp;langId=-1&amp;storeId=10194&amp;gs=true&amp;st=TPS54561DPRT+" TargetMode="External"/><Relationship Id="rId95" Type="http://schemas.openxmlformats.org/officeDocument/2006/relationships/vmlDrawing" Target="../drawings/vmlDrawing1.vml"/><Relationship Id="rId9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4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</cols>
  <sheetData>
    <row r="1" spans="1:37">
      <c r="A1" s="2" t="s">
        <v>105</v>
      </c>
      <c r="B1" s="3" t="s">
        <v>106</v>
      </c>
      <c r="F1" s="4" t="s">
        <v>110</v>
      </c>
      <c r="G1" s="4">
        <v>100</v>
      </c>
    </row>
    <row r="2" spans="1:37">
      <c r="A2" s="2" t="s">
        <v>107</v>
      </c>
      <c r="B2" s="3"/>
      <c r="F2" s="2" t="s">
        <v>112</v>
      </c>
      <c r="G2" s="5">
        <f>TotalCost/BoardQty</f>
        <v>0</v>
      </c>
    </row>
    <row r="3" spans="1:37">
      <c r="A3" s="2" t="s">
        <v>108</v>
      </c>
      <c r="B3" s="3" t="s">
        <v>109</v>
      </c>
      <c r="F3" s="2" t="s">
        <v>111</v>
      </c>
      <c r="G3" s="6">
        <f>SUM(G7:G34)</f>
        <v>0</v>
      </c>
      <c r="K3" s="6">
        <f>SUM(K7:K34)</f>
        <v>0</v>
      </c>
      <c r="L3" s="7">
        <f>(ROWS(K7:K34)-COUNTBLANK(K7:K34))&amp;" of "&amp;ROWS(K7:K34)&amp;" parts found"</f>
        <v>0</v>
      </c>
      <c r="P3" s="6">
        <f>SUM(P7:P34)</f>
        <v>0</v>
      </c>
      <c r="Q3" s="7">
        <f>(ROWS(P7:P34)-COUNTBLANK(P7:P34))&amp;" of "&amp;ROWS(P7:P34)&amp;" parts found"</f>
        <v>0</v>
      </c>
      <c r="U3" s="6">
        <f>SUM(U7:U34)</f>
        <v>0</v>
      </c>
      <c r="V3" s="7">
        <f>(ROWS(U7:U34)-COUNTBLANK(U7:U34))&amp;" of "&amp;ROWS(U7:U34)&amp;" parts found"</f>
        <v>0</v>
      </c>
      <c r="Z3" s="6">
        <f>SUM(Z7:Z34)</f>
        <v>0</v>
      </c>
      <c r="AA3" s="7">
        <f>(ROWS(Z7:Z34)-COUNTBLANK(Z7:Z34))&amp;" of "&amp;ROWS(Z7:Z34)&amp;" parts found"</f>
        <v>0</v>
      </c>
      <c r="AE3" s="6">
        <f>SUM(AE7:AE34)</f>
        <v>0</v>
      </c>
      <c r="AF3" s="7">
        <f>(ROWS(AE7:AE34)-COUNTBLANK(AE7:AE34))&amp;" of "&amp;ROWS(AE7:AE34)&amp;" parts found"</f>
        <v>0</v>
      </c>
      <c r="AJ3" s="6">
        <f>SUM(AJ7:AJ34)</f>
        <v>0</v>
      </c>
      <c r="AK3" s="7">
        <f>(ROWS(AJ7:AJ34)-COUNTBLANK(AJ7:AJ34))&amp;" of "&amp;ROWS(AJ7:AJ34)&amp;" parts found"</f>
        <v>0</v>
      </c>
    </row>
    <row r="4" spans="1:37">
      <c r="A4" s="2" t="s">
        <v>113</v>
      </c>
      <c r="B4" s="3" t="s">
        <v>114</v>
      </c>
    </row>
    <row r="5" spans="1:37">
      <c r="A5" s="8" t="s">
        <v>0</v>
      </c>
      <c r="B5" s="8"/>
      <c r="C5" s="8"/>
      <c r="D5" s="8"/>
      <c r="E5" s="8"/>
      <c r="F5" s="8"/>
      <c r="G5" s="8"/>
      <c r="H5" s="9" t="s">
        <v>115</v>
      </c>
      <c r="I5" s="9"/>
      <c r="J5" s="9"/>
      <c r="K5" s="9"/>
      <c r="L5" s="9"/>
      <c r="M5" s="10" t="s">
        <v>145</v>
      </c>
      <c r="N5" s="10"/>
      <c r="O5" s="10"/>
      <c r="P5" s="10"/>
      <c r="Q5" s="10"/>
      <c r="R5" s="11" t="s">
        <v>171</v>
      </c>
      <c r="S5" s="11"/>
      <c r="T5" s="11"/>
      <c r="U5" s="11"/>
      <c r="V5" s="11"/>
      <c r="W5" s="12" t="s">
        <v>172</v>
      </c>
      <c r="X5" s="12"/>
      <c r="Y5" s="12"/>
      <c r="Z5" s="12"/>
      <c r="AA5" s="12"/>
      <c r="AB5" s="13" t="s">
        <v>198</v>
      </c>
      <c r="AC5" s="13"/>
      <c r="AD5" s="13"/>
      <c r="AE5" s="13"/>
      <c r="AF5" s="13"/>
      <c r="AG5" s="14" t="s">
        <v>214</v>
      </c>
      <c r="AH5" s="14"/>
      <c r="AI5" s="14"/>
      <c r="AJ5" s="14"/>
      <c r="AK5" s="14"/>
    </row>
    <row r="6" spans="1:37">
      <c r="A6" s="15" t="s">
        <v>5</v>
      </c>
      <c r="B6" s="15" t="s">
        <v>7</v>
      </c>
      <c r="C6" s="15" t="s">
        <v>4</v>
      </c>
      <c r="D6" s="15" t="s">
        <v>1</v>
      </c>
      <c r="E6" s="15" t="s">
        <v>6</v>
      </c>
      <c r="F6" s="15" t="s">
        <v>3</v>
      </c>
      <c r="G6" s="15" t="s">
        <v>2</v>
      </c>
      <c r="H6" s="15" t="s">
        <v>116</v>
      </c>
      <c r="I6" s="15" t="s">
        <v>117</v>
      </c>
      <c r="J6" s="15" t="s">
        <v>3</v>
      </c>
      <c r="K6" s="15" t="s">
        <v>2</v>
      </c>
      <c r="L6" s="15" t="s">
        <v>118</v>
      </c>
      <c r="M6" s="15" t="s">
        <v>116</v>
      </c>
      <c r="N6" s="15" t="s">
        <v>117</v>
      </c>
      <c r="O6" s="15" t="s">
        <v>3</v>
      </c>
      <c r="P6" s="15" t="s">
        <v>2</v>
      </c>
      <c r="Q6" s="15" t="s">
        <v>118</v>
      </c>
      <c r="R6" s="15" t="s">
        <v>116</v>
      </c>
      <c r="S6" s="15" t="s">
        <v>117</v>
      </c>
      <c r="T6" s="15" t="s">
        <v>3</v>
      </c>
      <c r="U6" s="15" t="s">
        <v>2</v>
      </c>
      <c r="V6" s="15" t="s">
        <v>118</v>
      </c>
      <c r="W6" s="15" t="s">
        <v>116</v>
      </c>
      <c r="X6" s="15" t="s">
        <v>117</v>
      </c>
      <c r="Y6" s="15" t="s">
        <v>3</v>
      </c>
      <c r="Z6" s="15" t="s">
        <v>2</v>
      </c>
      <c r="AA6" s="15" t="s">
        <v>118</v>
      </c>
      <c r="AB6" s="15" t="s">
        <v>116</v>
      </c>
      <c r="AC6" s="15" t="s">
        <v>117</v>
      </c>
      <c r="AD6" s="15" t="s">
        <v>3</v>
      </c>
      <c r="AE6" s="15" t="s">
        <v>2</v>
      </c>
      <c r="AF6" s="15" t="s">
        <v>118</v>
      </c>
      <c r="AG6" s="15" t="s">
        <v>116</v>
      </c>
      <c r="AH6" s="15" t="s">
        <v>117</v>
      </c>
      <c r="AI6" s="15" t="s">
        <v>3</v>
      </c>
      <c r="AJ6" s="15" t="s">
        <v>2</v>
      </c>
      <c r="AK6" s="15" t="s">
        <v>118</v>
      </c>
    </row>
    <row r="7" spans="1:37">
      <c r="A7" s="16" t="s">
        <v>8</v>
      </c>
      <c r="B7" s="16" t="s">
        <v>11</v>
      </c>
      <c r="C7" s="16" t="s">
        <v>10</v>
      </c>
      <c r="D7" s="16" t="s">
        <v>9</v>
      </c>
      <c r="E7" s="16">
        <f>BoardQty*2</f>
        <v>0</v>
      </c>
      <c r="F7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7" s="17">
        <f>iferror(E7*F7,"")</f>
        <v>0</v>
      </c>
      <c r="H7" s="16">
        <v>348</v>
      </c>
      <c r="J7" s="17">
        <f>iferror(lookup(if(I7="",E7,I7),{0,1,10,100,500,1000,2000},{0.0,0.62,0.441,0.2903,0.21506,0.15895,0.1496}),"")</f>
        <v>0</v>
      </c>
      <c r="K7" s="17">
        <f>iferror(if(I7="",E7,I7)*J7,"")</f>
        <v>0</v>
      </c>
      <c r="L7" s="18" t="s">
        <v>119</v>
      </c>
      <c r="M7" s="16">
        <v>4711</v>
      </c>
      <c r="O7" s="17">
        <f>iferror(lookup(if(N7="",E7,N7),{0,1,50,100,250,500},{0.0,1.1105424,0.5521552,0.3527312,0.3066144,0.2467872}),"")</f>
        <v>0</v>
      </c>
      <c r="P7" s="17">
        <f>iferror(if(N7="",E7,N7)*O7,"")</f>
        <v>0</v>
      </c>
      <c r="Q7" s="18" t="s">
        <v>146</v>
      </c>
      <c r="W7" s="16">
        <v>4670</v>
      </c>
      <c r="Y7" s="17">
        <f>iferror(lookup(if(X7="",E7,X7),{0,1,10,25,50,100,250,500},{0.0,0.66,0.633,0.507,0.381,0.255,0.244,0.232}),"")</f>
        <v>0</v>
      </c>
      <c r="Z7" s="17">
        <f>iferror(if(X7="",E7,X7)*Y7,"")</f>
        <v>0</v>
      </c>
      <c r="AA7" s="18" t="s">
        <v>173</v>
      </c>
      <c r="AB7" s="16">
        <v>5800</v>
      </c>
      <c r="AD7" s="17">
        <f>iferror(lookup(if(AC7="",E7,AC7),{0,1,20,100,200,500,1000},{0.0,0.3951088,0.3951088,0.3564704,0.3165856,0.2767008,0.2168736}),"")</f>
        <v>0</v>
      </c>
      <c r="AE7" s="17">
        <f>iferror(if(AC7="",E7,AC7)*AD7,"")</f>
        <v>0</v>
      </c>
      <c r="AF7" s="18" t="s">
        <v>199</v>
      </c>
    </row>
    <row r="8" spans="1:37">
      <c r="A8" s="16" t="s">
        <v>12</v>
      </c>
      <c r="B8" s="16" t="s">
        <v>15</v>
      </c>
      <c r="C8" s="16" t="s">
        <v>14</v>
      </c>
      <c r="D8" s="16" t="s">
        <v>13</v>
      </c>
      <c r="E8" s="16">
        <f>BoardQty*1</f>
        <v>0</v>
      </c>
      <c r="F8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8" s="17">
        <f>iferror(E8*F8,"")</f>
        <v>0</v>
      </c>
      <c r="H8" s="16">
        <v>80</v>
      </c>
      <c r="J8" s="17">
        <f>iferror(lookup(if(I8="",E8,I8),{0,1,10,100,500,1000,2500,5000,10000},{0.0,0.58,0.402,0.2411,0.18082,0.15269,0.14465,0.13662,0.1118}),"")</f>
        <v>0</v>
      </c>
      <c r="K8" s="17">
        <f>iferror(if(I8="",E8,I8)*J8,"")</f>
        <v>0</v>
      </c>
      <c r="L8" s="18" t="s">
        <v>120</v>
      </c>
      <c r="M8" s="19" t="s">
        <v>122</v>
      </c>
      <c r="O8" s="17">
        <f>iferror(lookup(if(N8="",E8,N8),{0,1,100,500,2500,5000},{0.0,0.06929984,0.06929984,0.04686464,0.03190784,0.02654832}),"")</f>
        <v>0</v>
      </c>
      <c r="P8" s="17">
        <f>iferror(if(N8="",E8,N8)*O8,"")</f>
        <v>0</v>
      </c>
      <c r="Q8" s="18" t="s">
        <v>147</v>
      </c>
      <c r="W8" s="19" t="s">
        <v>122</v>
      </c>
      <c r="Y8" s="17">
        <f>iferror(lookup(if(X8="",E8,X8),{0,1,10,25,50,100,250,500,1000},{0.0,0.26,0.26,0.226,0.191,0.157,0.15,0.143,0.129}),"")</f>
        <v>0</v>
      </c>
      <c r="Z8" s="17">
        <f>iferror(if(X8="",E8,X8)*Y8,"")</f>
        <v>0</v>
      </c>
      <c r="AA8" s="18" t="s">
        <v>174</v>
      </c>
      <c r="AB8" s="19" t="s">
        <v>122</v>
      </c>
      <c r="AD8" s="17">
        <f>iferror(lookup(if(AC8="",E8,AC8),{0,1,2,5,10,25},{0.0,8.949152,8.463056,7.490864,7.254048,6.04504}),"")</f>
        <v>0</v>
      </c>
      <c r="AE8" s="17">
        <f>iferror(if(AC8="",E8,AC8)*AD8,"")</f>
        <v>0</v>
      </c>
      <c r="AF8" s="18" t="s">
        <v>200</v>
      </c>
    </row>
    <row r="9" spans="1:37">
      <c r="A9" s="16" t="s">
        <v>16</v>
      </c>
      <c r="B9" s="16" t="s">
        <v>19</v>
      </c>
      <c r="C9" s="16" t="s">
        <v>18</v>
      </c>
      <c r="D9" s="16" t="s">
        <v>17</v>
      </c>
      <c r="E9" s="16">
        <f>BoardQty*2</f>
        <v>0</v>
      </c>
      <c r="F9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9" s="17">
        <f>iferror(E9*F9,"")</f>
        <v>0</v>
      </c>
      <c r="H9" s="19" t="s">
        <v>122</v>
      </c>
      <c r="J9" s="17">
        <f>iferror(lookup(if(I9="",E9,I9),{0,1,4000},{0.0,0.11475,0.11475}),"")</f>
        <v>0</v>
      </c>
      <c r="K9" s="17">
        <f>iferror(if(I9="",E9,I9)*J9,"")</f>
        <v>0</v>
      </c>
      <c r="L9" s="18" t="s">
        <v>121</v>
      </c>
      <c r="M9" s="16">
        <v>4976</v>
      </c>
      <c r="O9" s="17">
        <f>iferror(lookup(if(N9="",E9,N9),{0,1,100,500,1000,2000},{0.0,0.10943392,0.10943392,0.07403616,0.0629432,0.05035456}),"")</f>
        <v>0</v>
      </c>
      <c r="P9" s="17">
        <f>iferror(if(N9="",E9,N9)*O9,"")</f>
        <v>0</v>
      </c>
      <c r="Q9" s="18" t="s">
        <v>148</v>
      </c>
      <c r="W9" s="16">
        <v>1678</v>
      </c>
      <c r="Y9" s="17">
        <f>iferror(lookup(if(X9="",E9,X9),{0,1,10,25,50,100,250,500,1000},{0.0,0.251,0.251,0.218,0.185,0.152,0.145,0.138,0.125}),"")</f>
        <v>0</v>
      </c>
      <c r="Z9" s="17">
        <f>iferror(if(X9="",E9,X9)*Y9,"")</f>
        <v>0</v>
      </c>
      <c r="AA9" s="18" t="s">
        <v>175</v>
      </c>
    </row>
    <row r="10" spans="1:37">
      <c r="A10" s="16" t="s">
        <v>20</v>
      </c>
      <c r="B10" s="16" t="s">
        <v>22</v>
      </c>
      <c r="C10" s="16" t="s">
        <v>18</v>
      </c>
      <c r="D10" s="16" t="s">
        <v>21</v>
      </c>
      <c r="E10" s="16">
        <f>BoardQty*2</f>
        <v>0</v>
      </c>
      <c r="F10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10" s="17">
        <f>iferror(E10*F10,"")</f>
        <v>0</v>
      </c>
      <c r="H10" s="16">
        <v>11616</v>
      </c>
      <c r="J10" s="17">
        <f>iferror(lookup(if(I10="",E10,I10),{0,1,10,100,500,1000,4000},{0.0,0.4,0.28,0.1682,0.12614,0.10652,0.09019}),"")</f>
        <v>0</v>
      </c>
      <c r="K10" s="17">
        <f>iferror(if(I10="",E10,I10)*J10,"")</f>
        <v>0</v>
      </c>
      <c r="L10" s="18" t="s">
        <v>123</v>
      </c>
      <c r="M10" s="16">
        <v>3659</v>
      </c>
      <c r="O10" s="17">
        <f>iferror(lookup(if(N10="",E10,N10),{0,1,100,500,1000,2000,4000,20000},{0.0,0.09397856,0.09397856,0.06182144,0.049856,0.04250224,0.03464992,0.02841792}),"")</f>
        <v>0</v>
      </c>
      <c r="P10" s="17">
        <f>iferror(if(N10="",E10,N10)*O10,"")</f>
        <v>0</v>
      </c>
      <c r="Q10" s="18" t="s">
        <v>149</v>
      </c>
      <c r="W10" s="16">
        <v>3571</v>
      </c>
      <c r="Y10" s="17">
        <f>iferror(lookup(if(X10="",E10,X10),{0,1,25,50,100,250,500,1000},{0.0,0.38,0.195,0.157,0.118,0.111,0.104,0.092}),"")</f>
        <v>0</v>
      </c>
      <c r="Z10" s="17">
        <f>iferror(if(X10="",E10,X10)*Y10,"")</f>
        <v>0</v>
      </c>
      <c r="AA10" s="18" t="s">
        <v>176</v>
      </c>
    </row>
    <row r="11" spans="1:37">
      <c r="A11" s="16" t="s">
        <v>23</v>
      </c>
      <c r="B11" s="16" t="s">
        <v>25</v>
      </c>
      <c r="C11" s="16" t="s">
        <v>14</v>
      </c>
      <c r="D11" s="16" t="s">
        <v>24</v>
      </c>
      <c r="E11" s="16">
        <f>BoardQty*2</f>
        <v>0</v>
      </c>
      <c r="F11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11" s="17">
        <f>iferror(E11*F11,"")</f>
        <v>0</v>
      </c>
      <c r="H11" s="19" t="s">
        <v>122</v>
      </c>
      <c r="L11" s="18" t="s">
        <v>124</v>
      </c>
      <c r="M11" s="19" t="s">
        <v>122</v>
      </c>
      <c r="O11" s="17">
        <f>iferror(lookup(if(N11="",E11,N11),{0,1,10000,20000,40000},{0.0,0.1533072,0.1533072,0.1271328,0.11429488}),"")</f>
        <v>0</v>
      </c>
      <c r="P11" s="17">
        <f>iferror(if(N11="",E11,N11)*O11,"")</f>
        <v>0</v>
      </c>
      <c r="Q11" s="18" t="s">
        <v>150</v>
      </c>
      <c r="W11" s="19" t="s">
        <v>122</v>
      </c>
      <c r="Y11" s="17">
        <f>iferror(lookup(if(X11="",E11,X11),{0,1,10000,20000,40000,60000},{0.0,0.086,0.086,0.081,0.076,0.073}),"")</f>
        <v>0</v>
      </c>
      <c r="Z11" s="17">
        <f>iferror(if(X11="",E11,X11)*Y11,"")</f>
        <v>0</v>
      </c>
      <c r="AA11" s="18" t="s">
        <v>177</v>
      </c>
      <c r="AB11" s="16">
        <v>5200</v>
      </c>
      <c r="AD11" s="17">
        <f>iferror(lookup(if(AC11="",E11,AC11),{0,1,100,500,1000},{0.0,0.1558,0.1558,0.1171616,0.1084368}),"")</f>
        <v>0</v>
      </c>
      <c r="AE11" s="17">
        <f>iferror(if(AC11="",E11,AC11)*AD11,"")</f>
        <v>0</v>
      </c>
      <c r="AF11" s="18" t="s">
        <v>201</v>
      </c>
    </row>
    <row r="12" spans="1:37">
      <c r="A12" s="16" t="s">
        <v>26</v>
      </c>
      <c r="B12" s="16" t="s">
        <v>29</v>
      </c>
      <c r="C12" s="16" t="s">
        <v>28</v>
      </c>
      <c r="D12" s="16" t="s">
        <v>27</v>
      </c>
      <c r="E12" s="16">
        <f>BoardQty*1</f>
        <v>0</v>
      </c>
      <c r="F12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12" s="17">
        <f>iferror(E12*F12,"")</f>
        <v>0</v>
      </c>
      <c r="H12" s="16">
        <v>58546</v>
      </c>
      <c r="J12" s="17">
        <f>iferror(lookup(if(I12="",E12,I12),{0,1,10,100,500,1000,2000,4000,10000,14000,50000,100000},{0.0,0.38,0.262,0.1572,0.11792,0.09957,0.08203,0.07747,0.07291,0.07063,0.0638,0.05924}),"")</f>
        <v>0</v>
      </c>
      <c r="K12" s="17">
        <f>iferror(if(I12="",E12,I12)*J12,"")</f>
        <v>0</v>
      </c>
      <c r="L12" s="18" t="s">
        <v>125</v>
      </c>
      <c r="M12" s="16">
        <v>1043</v>
      </c>
      <c r="O12" s="17">
        <f>iferror(lookup(if(N12="",E12,N12),{0,1,50,250,500,1000,2000,10000},{0.0,0.18696,0.18696,0.1408432,0.1395968,0.137104,0.1358576,0.1333648}),"")</f>
        <v>0</v>
      </c>
      <c r="P12" s="17">
        <f>iferror(if(N12="",E12,N12)*O12,"")</f>
        <v>0</v>
      </c>
      <c r="Q12" s="18" t="s">
        <v>151</v>
      </c>
      <c r="W12" s="16">
        <v>41</v>
      </c>
      <c r="Y12" s="17">
        <f>iferror(lookup(if(X12="",E12,X12),{0,1,10,25,50,100,250,500,1000},{0.0,0.39,0.205,0.182,0.158,0.135,0.129,0.123,0.111}),"")</f>
        <v>0</v>
      </c>
      <c r="Z12" s="17">
        <f>iferror(if(X12="",E12,X12)*Y12,"")</f>
        <v>0</v>
      </c>
      <c r="AA12" s="18" t="s">
        <v>178</v>
      </c>
    </row>
    <row r="13" spans="1:37">
      <c r="A13" s="16" t="s">
        <v>30</v>
      </c>
      <c r="B13" s="16" t="s">
        <v>32</v>
      </c>
      <c r="C13" s="16" t="s">
        <v>14</v>
      </c>
      <c r="D13" s="16" t="s">
        <v>31</v>
      </c>
      <c r="E13" s="16">
        <f>BoardQty*1</f>
        <v>0</v>
      </c>
      <c r="F13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13" s="17">
        <f>iferror(E13*F13,"")</f>
        <v>0</v>
      </c>
      <c r="H13" s="16">
        <v>6854</v>
      </c>
      <c r="J13" s="17">
        <f>iferror(lookup(if(I13="",E13,I13),{0,1,10,100,500,1000,2500,5000,10000},{0.0,0.54,0.374,0.2243,0.16818,0.14203,0.13455,0.12708,0.104}),"")</f>
        <v>0</v>
      </c>
      <c r="K13" s="17">
        <f>iferror(if(I13="",E13,I13)*J13,"")</f>
        <v>0</v>
      </c>
      <c r="L13" s="18" t="s">
        <v>126</v>
      </c>
      <c r="M13" s="16">
        <v>9380</v>
      </c>
      <c r="O13" s="17">
        <f>iferror(lookup(if(N13="",E13,N13),{0,1,100,500,2500,5000,10000,50000},{0.0,0.4187904,0.4187904,0.2754544,0.2218592,0.1894528,0.1545536,0.1271328}),"")</f>
        <v>0</v>
      </c>
      <c r="P13" s="17">
        <f>iferror(if(N13="",E13,N13)*O13,"")</f>
        <v>0</v>
      </c>
      <c r="Q13" s="18" t="s">
        <v>152</v>
      </c>
      <c r="W13" s="16">
        <v>8335</v>
      </c>
      <c r="Y13" s="17">
        <f>iferror(lookup(if(X13="",E13,X13),{0,1,25,100,250,500,1000,2500},{0.0,0.42,0.242,0.146,0.14,0.133,0.12,0.099}),"")</f>
        <v>0</v>
      </c>
      <c r="Z13" s="17">
        <f>iferror(if(X13="",E13,X13)*Y13,"")</f>
        <v>0</v>
      </c>
      <c r="AA13" s="18" t="s">
        <v>179</v>
      </c>
    </row>
    <row r="14" spans="1:37">
      <c r="A14" s="16" t="s">
        <v>33</v>
      </c>
      <c r="B14" s="16" t="s">
        <v>36</v>
      </c>
      <c r="C14" s="16" t="s">
        <v>35</v>
      </c>
      <c r="D14" s="16" t="s">
        <v>34</v>
      </c>
      <c r="E14" s="16">
        <f>BoardQty*1</f>
        <v>0</v>
      </c>
      <c r="F14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14" s="17">
        <f>iferror(E14*F14,"")</f>
        <v>0</v>
      </c>
      <c r="H14" s="19" t="s">
        <v>122</v>
      </c>
      <c r="J14" s="17">
        <f>iferror(lookup(if(I14="",E14,I14),{0,1,10,100,500,1000,2000},{0.0,0.45,0.309,0.1856,0.13922,0.11756,0.11138}),"")</f>
        <v>0</v>
      </c>
      <c r="K14" s="17">
        <f>iferror(if(I14="",E14,I14)*J14,"")</f>
        <v>0</v>
      </c>
      <c r="L14" s="18" t="s">
        <v>127</v>
      </c>
      <c r="M14" s="16">
        <v>18742</v>
      </c>
      <c r="O14" s="17">
        <f>iferror(lookup(if(N14="",E14,N14),{0,1,5,50,250,500,1000},{0.0,0.984656,0.984656,0.5371984,0.3689344,0.2816864,0.2268448}),"")</f>
        <v>0</v>
      </c>
      <c r="P14" s="17">
        <f>iferror(if(N14="",E14,N14)*O14,"")</f>
        <v>0</v>
      </c>
      <c r="Q14" s="18" t="s">
        <v>153</v>
      </c>
      <c r="W14" s="19" t="s">
        <v>122</v>
      </c>
      <c r="Y14" s="17">
        <f>iferror(lookup(if(X14="",E14,X14),{0,1,5,10,25,50,100,250,500,1000},{0.0,0.8,0.8,0.585,0.524,0.462,0.401,0.384,0.317,0.267}),"")</f>
        <v>0</v>
      </c>
      <c r="Z14" s="17">
        <f>iferror(if(X14="",E14,X14)*Y14,"")</f>
        <v>0</v>
      </c>
      <c r="AA14" s="18" t="s">
        <v>180</v>
      </c>
      <c r="AB14" s="16">
        <v>100</v>
      </c>
      <c r="AD14" s="17">
        <f>iferror(lookup(if(AC14="",E14,AC14),{0,1,25,125,250,1250,2500},{0.0,0.243048,0.243048,0.1458288,0.1196544,0.0972192,0.09348}),"")</f>
        <v>0</v>
      </c>
      <c r="AE14" s="17">
        <f>iferror(if(AC14="",E14,AC14)*AD14,"")</f>
        <v>0</v>
      </c>
      <c r="AF14" s="18" t="s">
        <v>202</v>
      </c>
      <c r="AG14" s="16">
        <v>57720</v>
      </c>
      <c r="AI14" s="17">
        <f>iferror(lookup(if(AH14="",E14,AH14),{0,1,10,100,500,2000,6000},{0.0,0.49367,0.49367,0.22878,0.14982,0.09947,0.08621}),"")</f>
        <v>0</v>
      </c>
      <c r="AJ14" s="17">
        <f>iferror(if(AH14="",E14,AH14)*AI14,"")</f>
        <v>0</v>
      </c>
      <c r="AK14" s="18" t="s">
        <v>34</v>
      </c>
    </row>
    <row r="15" spans="1:37">
      <c r="A15" s="16" t="s">
        <v>37</v>
      </c>
      <c r="B15" s="16" t="s">
        <v>40</v>
      </c>
      <c r="C15" s="16" t="s">
        <v>39</v>
      </c>
      <c r="D15" s="16" t="s">
        <v>38</v>
      </c>
      <c r="E15" s="16">
        <f>BoardQty*10</f>
        <v>0</v>
      </c>
      <c r="F15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15" s="17">
        <f>iferror(E15*F15,"")</f>
        <v>0</v>
      </c>
      <c r="H15" s="19" t="s">
        <v>122</v>
      </c>
      <c r="J15" s="17">
        <f>iferror(lookup(if(I15="",E15,I15),{0,1,10,100,500,1000,2500,5000,12500,25000},{0.0,1.12,0.881,0.661,0.45984,0.39597,0.37042,0.35126,0.33287,0.33089}),"")</f>
        <v>0</v>
      </c>
      <c r="K15" s="17">
        <f>iferror(if(I15="",E15,I15)*J15,"")</f>
        <v>0</v>
      </c>
      <c r="L15" s="18" t="s">
        <v>128</v>
      </c>
      <c r="M15" s="16">
        <v>1352</v>
      </c>
      <c r="O15" s="17">
        <f>iferror(lookup(if(N15="",E15,N15),{0,1,10,50,100,200,500,2500},{0.0,1.558,1.0394976,0.8176384,0.6556064,0.5970256,0.5384448,0.479864}),"")</f>
        <v>0</v>
      </c>
      <c r="P15" s="17">
        <f>iferror(if(N15="",E15,N15)*O15,"")</f>
        <v>0</v>
      </c>
      <c r="Q15" s="18" t="s">
        <v>154</v>
      </c>
      <c r="W15" s="16">
        <v>154</v>
      </c>
      <c r="Y15" s="17">
        <f>iferror(lookup(if(X15="",E15,X15),{0,1,10,25,50,100},{0.0,1.32,0.952,0.846,0.74,0.634}),"")</f>
        <v>0</v>
      </c>
      <c r="Z15" s="17">
        <f>iferror(if(X15="",E15,X15)*Y15,"")</f>
        <v>0</v>
      </c>
      <c r="AA15" s="18" t="s">
        <v>181</v>
      </c>
      <c r="AB15" s="16">
        <v>20</v>
      </c>
      <c r="AD15" s="17">
        <f>iferror(lookup(if(AC15="",E15,AC15),{0,1,5,50,250,500,1000},{0.0,1.445824,1.445824,1.2987488,1.1541664,1.0120768,0.7952032}),"")</f>
        <v>0</v>
      </c>
      <c r="AE15" s="17">
        <f>iferror(if(AC15="",E15,AC15)*AD15,"")</f>
        <v>0</v>
      </c>
      <c r="AF15" s="18" t="s">
        <v>203</v>
      </c>
    </row>
    <row r="16" spans="1:37">
      <c r="A16" s="16" t="s">
        <v>41</v>
      </c>
      <c r="B16" s="16" t="s">
        <v>44</v>
      </c>
      <c r="C16" s="16" t="s">
        <v>43</v>
      </c>
      <c r="D16" s="16" t="s">
        <v>42</v>
      </c>
      <c r="E16" s="16">
        <f>BoardQty*2</f>
        <v>0</v>
      </c>
      <c r="F16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16" s="17">
        <f>iferror(E16*F16,"")</f>
        <v>0</v>
      </c>
      <c r="H16" s="16">
        <v>684</v>
      </c>
      <c r="J16" s="17">
        <f>iferror(lookup(if(I16="",E16,I16),{0,1,10,100,500,1000,2000},{0.0,2.92,2.62,2.1055,1.72986,1.39157,1.2956}),"")</f>
        <v>0</v>
      </c>
      <c r="K16" s="17">
        <f>iferror(if(I16="",E16,I16)*J16,"")</f>
        <v>0</v>
      </c>
      <c r="L16" s="18" t="s">
        <v>129</v>
      </c>
      <c r="M16" s="16">
        <v>4848</v>
      </c>
      <c r="O16" s="17">
        <f>iferror(lookup(if(N16="",E16,N16),{0,1,5,25,100,250,500,1000,5000},{0.0,2.592512,2.592512,2.36816,1.944384,1.882064,1.645248,1.30872,1.258864}),"")</f>
        <v>0</v>
      </c>
      <c r="P16" s="17">
        <f>iferror(if(N16="",E16,N16)*O16,"")</f>
        <v>0</v>
      </c>
      <c r="Q16" s="18" t="s">
        <v>155</v>
      </c>
      <c r="W16" s="16">
        <v>4423</v>
      </c>
      <c r="Y16" s="17">
        <f>iferror(lookup(if(X16="",E16,X16),{0,1,5,10,100,500,1000,2500,5000},{0.0,2.69,2.69,2.29,1.83,1.6,1.5,1.19,1.11}),"")</f>
        <v>0</v>
      </c>
      <c r="Z16" s="17">
        <f>iferror(if(X16="",E16,X16)*Y16,"")</f>
        <v>0</v>
      </c>
      <c r="AA16" s="18" t="s">
        <v>182</v>
      </c>
      <c r="AB16" s="16">
        <v>305</v>
      </c>
      <c r="AD16" s="17">
        <f>iferror(lookup(if(AC16="",E16,AC16),{0,1,5,50,250,500,1000},{0.0,2.891648,2.891648,2.343232,1.8696,1.632784,1.358576}),"")</f>
        <v>0</v>
      </c>
      <c r="AE16" s="17">
        <f>iferror(if(AC16="",E16,AC16)*AD16,"")</f>
        <v>0</v>
      </c>
      <c r="AF16" s="18" t="s">
        <v>204</v>
      </c>
    </row>
    <row r="17" spans="1:37">
      <c r="A17" s="16" t="s">
        <v>45</v>
      </c>
      <c r="B17" s="16" t="s">
        <v>48</v>
      </c>
      <c r="C17" s="16" t="s">
        <v>47</v>
      </c>
      <c r="D17" s="16" t="s">
        <v>46</v>
      </c>
      <c r="E17" s="16">
        <f>BoardQty*1</f>
        <v>0</v>
      </c>
      <c r="F17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17" s="17">
        <f>iferror(E17*F17,"")</f>
        <v>0</v>
      </c>
      <c r="H17" s="19" t="s">
        <v>122</v>
      </c>
      <c r="L17" s="18" t="s">
        <v>130</v>
      </c>
      <c r="M17" s="16">
        <v>1363</v>
      </c>
      <c r="O17" s="17">
        <f>iferror(lookup(if(N17="",E17,N17),{0,1,5,25,100,250,500,1000,5000},{0.0,0.3390208,0.3390208,0.2604976,0.1458288,0.1233936,0.12015296,0.08812048,0.07565648}),"")</f>
        <v>0</v>
      </c>
      <c r="P17" s="17">
        <f>iferror(if(N17="",E17,N17)*O17,"")</f>
        <v>0</v>
      </c>
      <c r="Q17" s="18" t="s">
        <v>156</v>
      </c>
      <c r="W17" s="16">
        <v>1199</v>
      </c>
      <c r="Y17" s="17">
        <f>iferror(lookup(if(X17="",E17,X17),{0,1,5,10,100,500,1000,2500,10000,25000},{0.0,0.337,0.337,0.235,0.136,0.101,0.08,0.068,0.066,0.056}),"")</f>
        <v>0</v>
      </c>
      <c r="Z17" s="17">
        <f>iferror(if(X17="",E17,X17)*Y17,"")</f>
        <v>0</v>
      </c>
      <c r="AA17" s="18" t="s">
        <v>183</v>
      </c>
      <c r="AB17" s="16">
        <v>700</v>
      </c>
      <c r="AD17" s="17">
        <f>iferror(lookup(if(AC17="",E17,AC17),{0,1,100,200,500,1000,2000},{0.0,0.168264,0.168264,0.1545536,0.1420896,0.1283792,0.118408}),"")</f>
        <v>0</v>
      </c>
      <c r="AE17" s="17">
        <f>iferror(if(AC17="",E17,AC17)*AD17,"")</f>
        <v>0</v>
      </c>
      <c r="AF17" s="18" t="s">
        <v>205</v>
      </c>
      <c r="AG17" s="16">
        <v>3206</v>
      </c>
      <c r="AI17" s="17">
        <f>iferror(lookup(if(AH17="",E17,AH17),{0,1,5,25,100,500,2500},{0.0,0.1412,0.1412,0.1297,0.1075,0.0921,0.0817}),"")</f>
        <v>0</v>
      </c>
      <c r="AJ17" s="17">
        <f>iferror(if(AH17="",E17,AH17)*AI17,"")</f>
        <v>0</v>
      </c>
      <c r="AK17" s="18" t="s">
        <v>215</v>
      </c>
    </row>
    <row r="18" spans="1:37">
      <c r="A18" s="16" t="s">
        <v>49</v>
      </c>
      <c r="B18" s="16" t="s">
        <v>51</v>
      </c>
      <c r="C18" s="16" t="s">
        <v>50</v>
      </c>
      <c r="E18" s="16">
        <f>BoardQty*10</f>
        <v>0</v>
      </c>
      <c r="F18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18" s="17">
        <f>iferror(E18*F18,"")</f>
        <v>0</v>
      </c>
    </row>
    <row r="19" spans="1:37">
      <c r="A19" s="16" t="s">
        <v>52</v>
      </c>
      <c r="B19" s="16" t="s">
        <v>51</v>
      </c>
      <c r="C19" s="16" t="s">
        <v>53</v>
      </c>
      <c r="E19" s="16">
        <f>BoardQty*10</f>
        <v>0</v>
      </c>
      <c r="F19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19" s="17">
        <f>iferror(E19*F19,"")</f>
        <v>0</v>
      </c>
    </row>
    <row r="20" spans="1:37">
      <c r="A20" s="16" t="s">
        <v>54</v>
      </c>
      <c r="B20" s="16" t="s">
        <v>57</v>
      </c>
      <c r="C20" s="16" t="s">
        <v>56</v>
      </c>
      <c r="D20" s="16" t="s">
        <v>55</v>
      </c>
      <c r="E20" s="16">
        <f>BoardQty*3</f>
        <v>0</v>
      </c>
      <c r="F20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20" s="17">
        <f>iferror(E20*F20,"")</f>
        <v>0</v>
      </c>
      <c r="H20" s="16">
        <v>28147</v>
      </c>
      <c r="J20" s="17">
        <f>iferror(lookup(if(I20="",E20,I20),{0,1,10,100,500,1000,2000,3000,5000,10000},{0.0,1.13,0.995,0.8586,0.7025,0.56768,0.5322,0.51446,0.49672,0.47188}),"")</f>
        <v>0</v>
      </c>
      <c r="K20" s="17">
        <f>iferror(if(I20="",E20,I20)*J20,"")</f>
        <v>0</v>
      </c>
      <c r="L20" s="18" t="s">
        <v>131</v>
      </c>
      <c r="M20" s="16">
        <v>14300</v>
      </c>
      <c r="O20" s="17">
        <f>iferror(lookup(if(N20="",E20,N20),{0,1,1000,5000,10000},{0.0,0.5534016,0.5534016,0.5347056,0.5072848}),"")</f>
        <v>0</v>
      </c>
      <c r="P20" s="17">
        <f>iferror(if(N20="",E20,N20)*O20,"")</f>
        <v>0</v>
      </c>
      <c r="Q20" s="18" t="s">
        <v>157</v>
      </c>
      <c r="W20" s="16">
        <v>780</v>
      </c>
      <c r="Y20" s="17">
        <f>iferror(lookup(if(X20="",E20,X20),{0,1,10,100,500},{0.0,0.9,0.816,0.71,0.568}),"")</f>
        <v>0</v>
      </c>
      <c r="Z20" s="17">
        <f>iferror(if(X20="",E20,X20)*Y20,"")</f>
        <v>0</v>
      </c>
      <c r="AA20" s="18" t="s">
        <v>184</v>
      </c>
      <c r="AB20" s="16">
        <v>155</v>
      </c>
      <c r="AD20" s="17">
        <f>iferror(lookup(if(AC20="",E20,AC20),{0,1,5,100,375,1500,3000},{0.0,0.7553184,0.7553184,0.6531136,0.573344,0.49856,0.4387328}),"")</f>
        <v>0</v>
      </c>
      <c r="AE20" s="17">
        <f>iferror(if(AC20="",E20,AC20)*AD20,"")</f>
        <v>0</v>
      </c>
      <c r="AF20" s="18" t="s">
        <v>206</v>
      </c>
      <c r="AG20" s="16">
        <v>1962</v>
      </c>
      <c r="AI20" s="17">
        <f>iferror(lookup(if(AH20="",E20,AH20),{0,1,50,200,1000},{0.0,0.5195,0.3389,0.1793,0.1412}),"")</f>
        <v>0</v>
      </c>
      <c r="AJ20" s="17">
        <f>iferror(if(AH20="",E20,AH20)*AI20,"")</f>
        <v>0</v>
      </c>
      <c r="AK20" s="18" t="s">
        <v>216</v>
      </c>
    </row>
    <row r="21" spans="1:37">
      <c r="A21" s="16" t="s">
        <v>58</v>
      </c>
      <c r="B21" s="16" t="s">
        <v>61</v>
      </c>
      <c r="C21" s="16" t="s">
        <v>60</v>
      </c>
      <c r="D21" s="16" t="s">
        <v>59</v>
      </c>
      <c r="E21" s="16">
        <f>BoardQty*3</f>
        <v>0</v>
      </c>
      <c r="F21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21" s="17">
        <f>iferror(E21*F21,"")</f>
        <v>0</v>
      </c>
      <c r="H21" s="16">
        <v>52937</v>
      </c>
      <c r="J21" s="17">
        <f>iferror(lookup(if(I21="",E21,I21),{0,1,10,100,500,1000,5000,10000},{0.0,0.17,0.157,0.0966,0.07998,0.06999,0.05999,0.05832}),"")</f>
        <v>0</v>
      </c>
      <c r="K21" s="17">
        <f>iferror(if(I21="",E21,I21)*J21,"")</f>
        <v>0</v>
      </c>
      <c r="L21" s="18" t="s">
        <v>132</v>
      </c>
      <c r="M21" s="16">
        <v>143699</v>
      </c>
      <c r="O21" s="17">
        <f>iferror(lookup(if(N21="",E21,N21),{0,1,100,1000,2500,5000,10000,20000},{0.0,0.08338416,0.08338416,0.07303904,0.06780416,0.06256928,0.06082432,0.05957792}),"")</f>
        <v>0</v>
      </c>
      <c r="P21" s="17">
        <f>iferror(if(N21="",E21,N21)*O21,"")</f>
        <v>0</v>
      </c>
      <c r="Q21" s="18" t="s">
        <v>158</v>
      </c>
      <c r="W21" s="16">
        <v>142699</v>
      </c>
      <c r="Y21" s="17">
        <f>iferror(lookup(if(X21="",E21,X21),{0,1,100,250,500,1000},{0.0,0.113,0.113,0.1,0.096,0.079}),"")</f>
        <v>0</v>
      </c>
      <c r="Z21" s="17">
        <f>iferror(if(X21="",E21,X21)*Y21,"")</f>
        <v>0</v>
      </c>
      <c r="AA21" s="18" t="s">
        <v>185</v>
      </c>
      <c r="AB21" s="16">
        <v>200</v>
      </c>
      <c r="AD21" s="17">
        <f>iferror(lookup(if(AC21="",E21,AC21),{0,1,10,50,250,500,1000},{0.0,0.324064,0.324064,0.3128464,0.3003824,0.2916576,0.2791936}),"")</f>
        <v>0</v>
      </c>
      <c r="AE21" s="17">
        <f>iferror(if(AC21="",E21,AC21)*AD21,"")</f>
        <v>0</v>
      </c>
      <c r="AF21" s="18" t="s">
        <v>207</v>
      </c>
    </row>
    <row r="22" spans="1:37">
      <c r="A22" s="16" t="s">
        <v>62</v>
      </c>
      <c r="B22" s="16" t="s">
        <v>65</v>
      </c>
      <c r="C22" s="16" t="s">
        <v>64</v>
      </c>
      <c r="D22" s="16" t="s">
        <v>63</v>
      </c>
      <c r="E22" s="16">
        <f>BoardQty*1</f>
        <v>0</v>
      </c>
      <c r="F22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22" s="17">
        <f>iferror(E22*F22,"")</f>
        <v>0</v>
      </c>
      <c r="H22" s="16">
        <v>841</v>
      </c>
      <c r="J22" s="17">
        <f>iferror(lookup(if(I22="",E22,I22),{0,1,10,50,100,250,700},{0.0,4.01,3.931,3.629,3.478,3.251,2.87301}),"")</f>
        <v>0</v>
      </c>
      <c r="K22" s="17">
        <f>iferror(if(I22="",E22,I22)*J22,"")</f>
        <v>0</v>
      </c>
      <c r="L22" s="18" t="s">
        <v>133</v>
      </c>
      <c r="M22" s="16">
        <v>210</v>
      </c>
      <c r="O22" s="17">
        <f>iferror(lookup(if(N22="",E22,N22),{0,1,3,5,10,20,50,250},{0.0,7.04216,5.870544,5.035456,4.399792,4.150512,3.901232,3.639488}),"")</f>
        <v>0</v>
      </c>
      <c r="P22" s="17">
        <f>iferror(if(N22="",E22,N22)*O22,"")</f>
        <v>0</v>
      </c>
      <c r="Q22" s="18" t="s">
        <v>159</v>
      </c>
      <c r="W22" s="16">
        <v>87</v>
      </c>
      <c r="Y22" s="17">
        <f>iferror(lookup(if(X22="",E22,X22),{0,1,10,25,50,100,250},{0.0,4.01,3.93,3.78,3.62,3.47,3.25}),"")</f>
        <v>0</v>
      </c>
      <c r="Z22" s="17">
        <f>iferror(if(X22="",E22,X22)*Y22,"")</f>
        <v>0</v>
      </c>
      <c r="AA22" s="18" t="s">
        <v>186</v>
      </c>
    </row>
    <row r="23" spans="1:37">
      <c r="A23" s="16" t="s">
        <v>66</v>
      </c>
      <c r="B23" s="16" t="s">
        <v>68</v>
      </c>
      <c r="C23" s="16" t="s">
        <v>64</v>
      </c>
      <c r="D23" s="16" t="s">
        <v>67</v>
      </c>
      <c r="E23" s="16">
        <f>BoardQty*1</f>
        <v>0</v>
      </c>
      <c r="F23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23" s="17">
        <f>iferror(E23*F23,"")</f>
        <v>0</v>
      </c>
      <c r="H23" s="16">
        <v>1023</v>
      </c>
      <c r="J23" s="17">
        <f>iferror(lookup(if(I23="",E23,I23),{0,1,10,50,100,250,700},{0.0,4.01,3.931,3.629,3.478,3.251,2.87301}),"")</f>
        <v>0</v>
      </c>
      <c r="K23" s="17">
        <f>iferror(if(I23="",E23,I23)*J23,"")</f>
        <v>0</v>
      </c>
      <c r="L23" s="18" t="s">
        <v>134</v>
      </c>
      <c r="M23" s="16">
        <v>47</v>
      </c>
      <c r="O23" s="17">
        <f>iferror(lookup(if(N23="",E23,N23),{0,1,3,5,10,20,50,250},{0.0,7.04216,5.870544,5.035456,4.399792,4.337472,3.838912,3.589632}),"")</f>
        <v>0</v>
      </c>
      <c r="P23" s="17">
        <f>iferror(if(N23="",E23,N23)*O23,"")</f>
        <v>0</v>
      </c>
      <c r="Q23" s="18" t="s">
        <v>160</v>
      </c>
      <c r="W23" s="16">
        <v>47</v>
      </c>
      <c r="Y23" s="17">
        <f>iferror(lookup(if(X23="",E23,X23),{0,1,10,25,50,100,250},{0.0,4.01,3.93,3.78,3.62,3.47,3.25}),"")</f>
        <v>0</v>
      </c>
      <c r="Z23" s="17">
        <f>iferror(if(X23="",E23,X23)*Y23,"")</f>
        <v>0</v>
      </c>
      <c r="AA23" s="18" t="s">
        <v>187</v>
      </c>
    </row>
    <row r="24" spans="1:37">
      <c r="A24" s="16" t="s">
        <v>69</v>
      </c>
      <c r="B24" s="16" t="s">
        <v>71</v>
      </c>
      <c r="C24" s="16" t="s">
        <v>43</v>
      </c>
      <c r="D24" s="16" t="s">
        <v>70</v>
      </c>
      <c r="E24" s="16">
        <f>BoardQty*4</f>
        <v>0</v>
      </c>
      <c r="F24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24" s="17">
        <f>iferror(E24*F24,"")</f>
        <v>0</v>
      </c>
      <c r="H24" s="16">
        <v>893</v>
      </c>
      <c r="J24" s="17">
        <f>iferror(lookup(if(I24="",E24,I24),{0,1,10,100,500,800,1000},{0.0,2.23,2.014,1.6187,1.25902,1.66764,1.04319}),"")</f>
        <v>0</v>
      </c>
      <c r="K24" s="17">
        <f>iferror(if(I24="",E24,I24)*J24,"")</f>
        <v>0</v>
      </c>
      <c r="L24" s="18" t="s">
        <v>135</v>
      </c>
      <c r="M24" s="16">
        <v>1434</v>
      </c>
      <c r="O24" s="17">
        <f>iferror(lookup(if(N24="",E24,N24),{0,1,5,25,100,250,500,1000,5000},{0.0,0.7303904,0.7303904,0.7266512,0.722912,0.7191728,0.7141872,0.710448,0.7067088}),"")</f>
        <v>0</v>
      </c>
      <c r="P24" s="17">
        <f>iferror(if(N24="",E24,N24)*O24,"")</f>
        <v>0</v>
      </c>
      <c r="Q24" s="18" t="s">
        <v>161</v>
      </c>
      <c r="W24" s="16">
        <v>231</v>
      </c>
      <c r="Y24" s="17">
        <f>iferror(lookup(if(X24="",E24,X24),{0,1,10,25,50,100,500,1000,2500},{0.0,1.86,1.55,1.44,1.33,1.22,1.16,1.1,1.07}),"")</f>
        <v>0</v>
      </c>
      <c r="Z24" s="17">
        <f>iferror(if(X24="",E24,X24)*Y24,"")</f>
        <v>0</v>
      </c>
      <c r="AA24" s="18" t="s">
        <v>188</v>
      </c>
      <c r="AB24" s="16">
        <v>120</v>
      </c>
      <c r="AD24" s="17">
        <f>iferror(lookup(if(AC24="",E24,AC24),{0,1,5,50,100,250,500},{0.0,1.2439072,1.2439072,1.022048,0.9372928,0.8774656,0.8325952}),"")</f>
        <v>0</v>
      </c>
      <c r="AE24" s="17">
        <f>iferror(if(AC24="",E24,AC24)*AD24,"")</f>
        <v>0</v>
      </c>
      <c r="AF24" s="18" t="s">
        <v>208</v>
      </c>
    </row>
    <row r="25" spans="1:37">
      <c r="A25" s="16" t="s">
        <v>72</v>
      </c>
      <c r="B25" s="16" t="s">
        <v>75</v>
      </c>
      <c r="C25" s="16" t="s">
        <v>74</v>
      </c>
      <c r="D25" s="16" t="s">
        <v>73</v>
      </c>
      <c r="E25" s="16">
        <f>BoardQty*1</f>
        <v>0</v>
      </c>
      <c r="F25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25" s="17">
        <f>iferror(E25*F25,"")</f>
        <v>0</v>
      </c>
      <c r="H25" s="16">
        <v>53525</v>
      </c>
      <c r="J25" s="17">
        <f>iferror(lookup(if(I25="",E25,I25),{0,1,10,100,1000,2500,5000,10000,30000,50000,100000},{0.0,0.1,0.017,0.0068,0.00306,0.00266,0.00219,0.00191,0.00167,0.00154,0.00152}),"")</f>
        <v>0</v>
      </c>
      <c r="K25" s="17">
        <f>iferror(if(I25="",E25,I25)*J25,"")</f>
        <v>0</v>
      </c>
      <c r="L25" s="18" t="s">
        <v>73</v>
      </c>
    </row>
    <row r="26" spans="1:37">
      <c r="A26" s="16" t="s">
        <v>76</v>
      </c>
      <c r="B26" s="16" t="s">
        <v>78</v>
      </c>
      <c r="C26" s="16" t="s">
        <v>74</v>
      </c>
      <c r="D26" s="16" t="s">
        <v>77</v>
      </c>
      <c r="E26" s="16">
        <f>BoardQty*1</f>
        <v>0</v>
      </c>
      <c r="F26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26" s="17">
        <f>iferror(E26*F26,"")</f>
        <v>0</v>
      </c>
      <c r="H26" s="16">
        <v>107550</v>
      </c>
      <c r="J26" s="17">
        <f>iferror(lookup(if(I26="",E26,I26),{0,1,10,100,1000,2500,5000,10000,30000},{0.0,0.1,0.044,0.0178,0.00802,0.00696,0.00575,0.00454,0.00425}),"")</f>
        <v>0</v>
      </c>
      <c r="K26" s="17">
        <f>iferror(if(I26="",E26,I26)*J26,"")</f>
        <v>0</v>
      </c>
      <c r="L26" s="18" t="s">
        <v>136</v>
      </c>
      <c r="M26" s="19" t="s">
        <v>122</v>
      </c>
      <c r="O26" s="17">
        <f>iferror(lookup(if(N26="",E26,N26),{0,1,10,100,500,2500,5000},{0.0,0.0305368,0.0305368,0.02131344,0.0099712,0.00772768,0.00635664}),"")</f>
        <v>0</v>
      </c>
      <c r="P26" s="17">
        <f>iferror(if(N26="",E26,N26)*O26,"")</f>
        <v>0</v>
      </c>
      <c r="Q26" s="18" t="s">
        <v>162</v>
      </c>
      <c r="W26" s="16">
        <v>9840</v>
      </c>
      <c r="Y26" s="17">
        <f>iferror(lookup(if(X26="",E26,X26),{0,1,25,100,250,500,1000},{0.0,0.1,0.044,0.018,0.014,0.01,0.006}),"")</f>
        <v>0</v>
      </c>
      <c r="Z26" s="17">
        <f>iferror(if(X26="",E26,X26)*Y26,"")</f>
        <v>0</v>
      </c>
      <c r="AA26" s="18" t="s">
        <v>189</v>
      </c>
    </row>
    <row r="27" spans="1:37">
      <c r="A27" s="16" t="s">
        <v>79</v>
      </c>
      <c r="B27" s="16" t="s">
        <v>81</v>
      </c>
      <c r="C27" s="16" t="s">
        <v>74</v>
      </c>
      <c r="D27" s="16" t="s">
        <v>80</v>
      </c>
      <c r="E27" s="16">
        <f>BoardQty*1</f>
        <v>0</v>
      </c>
      <c r="F27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27" s="17">
        <f>iferror(E27*F27,"")</f>
        <v>0</v>
      </c>
      <c r="H27" s="16">
        <v>115975</v>
      </c>
      <c r="J27" s="17">
        <f>iferror(lookup(if(I27="",E27,I27),{0,1,10,100,1000,2500,5000,10000,30000,50000,100000},{0.0,0.1,0.043,0.0176,0.00791,0.00686,0.00567,0.00448,0.00393,0.00361,0.00353}),"")</f>
        <v>0</v>
      </c>
      <c r="K27" s="17">
        <f>iferror(if(I27="",E27,I27)*J27,"")</f>
        <v>0</v>
      </c>
      <c r="L27" s="18" t="s">
        <v>137</v>
      </c>
      <c r="M27" s="16">
        <v>16938</v>
      </c>
      <c r="O27" s="17">
        <f>iferror(lookup(if(N27="",E27,N27),{0,1,100,500,2500,5000},{0.0,0.02081488,0.02081488,0.0162032,0.012464,0.01071904}),"")</f>
        <v>0</v>
      </c>
      <c r="P27" s="17">
        <f>iferror(if(N27="",E27,N27)*O27,"")</f>
        <v>0</v>
      </c>
      <c r="Q27" s="18" t="s">
        <v>163</v>
      </c>
      <c r="W27" s="16">
        <v>2209</v>
      </c>
      <c r="Y27" s="17">
        <f>iferror(lookup(if(X27="",E27,X27),{0,1,25,100,250,500,1000,2500,5000},{0.0,0.15,0.021,0.012,0.011,0.01,0.007,0.007,0.006}),"")</f>
        <v>0</v>
      </c>
      <c r="Z27" s="17">
        <f>iferror(if(X27="",E27,X27)*Y27,"")</f>
        <v>0</v>
      </c>
      <c r="AA27" s="18" t="s">
        <v>190</v>
      </c>
      <c r="AB27" s="19" t="s">
        <v>122</v>
      </c>
      <c r="AF27" s="18" t="s">
        <v>209</v>
      </c>
    </row>
    <row r="28" spans="1:37">
      <c r="A28" s="16" t="s">
        <v>82</v>
      </c>
      <c r="B28" s="16" t="s">
        <v>84</v>
      </c>
      <c r="C28" s="16" t="s">
        <v>74</v>
      </c>
      <c r="D28" s="16" t="s">
        <v>83</v>
      </c>
      <c r="E28" s="16">
        <f>BoardQty*1</f>
        <v>0</v>
      </c>
      <c r="F28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28" s="17">
        <f>iferror(E28*F28,"")</f>
        <v>0</v>
      </c>
      <c r="H28" s="16">
        <v>124398</v>
      </c>
      <c r="J28" s="17">
        <f>iferror(lookup(if(I28="",E28,I28),{0,1,10,100,1000,2500,5000,10000,30000,50000,100000},{0.0,0.1,0.013,0.0054,0.00244,0.00212,0.00175,0.00139,0.00122,0.00112,0.00109}),"")</f>
        <v>0</v>
      </c>
      <c r="K28" s="17">
        <f>iferror(if(I28="",E28,I28)*J28,"")</f>
        <v>0</v>
      </c>
      <c r="L28" s="18" t="s">
        <v>138</v>
      </c>
      <c r="M28" s="16">
        <v>20000</v>
      </c>
      <c r="O28" s="17">
        <f>iferror(lookup(if(N28="",E28,N28),{0,1,100,500,2500,5000},{0.0,0.02156272,0.02156272,0.01209008,0.00822624,0.00635664}),"")</f>
        <v>0</v>
      </c>
      <c r="P28" s="17">
        <f>iferror(if(N28="",E28,N28)*O28,"")</f>
        <v>0</v>
      </c>
      <c r="Q28" s="18" t="s">
        <v>164</v>
      </c>
      <c r="W28" s="19" t="s">
        <v>122</v>
      </c>
      <c r="Y28" s="17">
        <f>iferror(lookup(if(X28="",E28,X28),{0,1,10000,20000,30000},{0.0,0.005,0.005,0.003,0.002}),"")</f>
        <v>0</v>
      </c>
      <c r="Z28" s="17">
        <f>iferror(if(X28="",E28,X28)*Y28,"")</f>
        <v>0</v>
      </c>
      <c r="AA28" s="18" t="s">
        <v>191</v>
      </c>
      <c r="AB28" s="19" t="s">
        <v>122</v>
      </c>
      <c r="AF28" s="18" t="s">
        <v>210</v>
      </c>
    </row>
    <row r="29" spans="1:37">
      <c r="A29" s="16" t="s">
        <v>85</v>
      </c>
      <c r="B29" s="16" t="s">
        <v>88</v>
      </c>
      <c r="C29" s="16" t="s">
        <v>87</v>
      </c>
      <c r="D29" s="16" t="s">
        <v>86</v>
      </c>
      <c r="E29" s="16">
        <f>BoardQty*1</f>
        <v>0</v>
      </c>
      <c r="F29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29" s="17">
        <f>iferror(E29*F29,"")</f>
        <v>0</v>
      </c>
      <c r="H29" s="16">
        <v>856218</v>
      </c>
      <c r="J29" s="17">
        <f>iferror(lookup(if(I29="",E29,I29),{0,1,10,100,1000,2500,5000,10000,25000,50000},{0.0,0.11,0.098,0.0376,0.01654,0.01428,0.01162,0.01042,0.00957,0.00944}),"")</f>
        <v>0</v>
      </c>
      <c r="K29" s="17">
        <f>iferror(if(I29="",E29,I29)*J29,"")</f>
        <v>0</v>
      </c>
      <c r="L29" s="18" t="s">
        <v>139</v>
      </c>
      <c r="M29" s="16">
        <v>14247</v>
      </c>
      <c r="O29" s="17">
        <f>iferror(lookup(if(N29="",E29,N29),{0,1,100,500},{0.0,0.04711392,0.04711392,0.03664416}),"")</f>
        <v>0</v>
      </c>
      <c r="P29" s="17">
        <f>iferror(if(N29="",E29,N29)*O29,"")</f>
        <v>0</v>
      </c>
      <c r="Q29" s="18" t="s">
        <v>165</v>
      </c>
      <c r="W29" s="16">
        <v>15757</v>
      </c>
      <c r="Y29" s="17">
        <f>iferror(lookup(if(X29="",E29,X29),{0,1,10,50,100,250,500,1000,2500},{0.0,0.104,0.094,0.05,0.036,0.028,0.022,0.015,0.014}),"")</f>
        <v>0</v>
      </c>
      <c r="Z29" s="17">
        <f>iferror(if(X29="",E29,X29)*Y29,"")</f>
        <v>0</v>
      </c>
      <c r="AA29" s="18" t="s">
        <v>192</v>
      </c>
      <c r="AB29" s="19" t="s">
        <v>122</v>
      </c>
      <c r="AD29" s="17">
        <f>iferror(lookup(if(AC29="",E29,AC29),{0,1,100,1000,5000,10000,25000},{0.0,0.024928,0.024928,0.0236816,0.0224352,0.0211888,0.0199424}),"")</f>
        <v>0</v>
      </c>
      <c r="AE29" s="17">
        <f>iferror(if(AC29="",E29,AC29)*AD29,"")</f>
        <v>0</v>
      </c>
      <c r="AF29" s="18" t="s">
        <v>211</v>
      </c>
    </row>
    <row r="30" spans="1:37">
      <c r="A30" s="16" t="s">
        <v>89</v>
      </c>
      <c r="B30" s="16" t="s">
        <v>91</v>
      </c>
      <c r="C30" s="16" t="s">
        <v>74</v>
      </c>
      <c r="D30" s="16" t="s">
        <v>90</v>
      </c>
      <c r="E30" s="16">
        <f>BoardQty*1</f>
        <v>0</v>
      </c>
      <c r="F30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30" s="17">
        <f>iferror(E30*F30,"")</f>
        <v>0</v>
      </c>
      <c r="H30" s="16">
        <v>63485</v>
      </c>
      <c r="J30" s="17">
        <f>iferror(lookup(if(I30="",E30,I30),{0,1,10,100,1000,2500,5000,10000,30000,50000,100000},{0.0,0.1,0.013,0.0054,0.00244,0.00212,0.00175,0.00139,0.00122,0.00112,0.00109}),"")</f>
        <v>0</v>
      </c>
      <c r="K30" s="17">
        <f>iferror(if(I30="",E30,I30)*J30,"")</f>
        <v>0</v>
      </c>
      <c r="L30" s="18" t="s">
        <v>140</v>
      </c>
      <c r="M30" s="16">
        <v>1484</v>
      </c>
      <c r="O30" s="17">
        <f>iferror(lookup(if(N30="",E30,N30),{0,1,10,25,100,250},{0.0,0.0803928,0.07278976,0.06618384,0.05870544,0.05060384}),"")</f>
        <v>0</v>
      </c>
      <c r="P30" s="17">
        <f>iferror(if(N30="",E30,N30)*O30,"")</f>
        <v>0</v>
      </c>
      <c r="Q30" s="18" t="s">
        <v>166</v>
      </c>
      <c r="W30" s="16">
        <v>1484</v>
      </c>
      <c r="Y30" s="17">
        <f>iferror(lookup(if(X30="",E30,X30),{0,1,10,25,100,250,1000},{0.0,0.08,0.014,0.009,0.006,0.004,0.002}),"")</f>
        <v>0</v>
      </c>
      <c r="Z30" s="17">
        <f>iferror(if(X30="",E30,X30)*Y30,"")</f>
        <v>0</v>
      </c>
      <c r="AA30" s="18" t="s">
        <v>193</v>
      </c>
    </row>
    <row r="31" spans="1:37">
      <c r="A31" s="16" t="s">
        <v>92</v>
      </c>
      <c r="B31" s="16" t="s">
        <v>94</v>
      </c>
      <c r="C31" s="16" t="s">
        <v>74</v>
      </c>
      <c r="D31" s="16" t="s">
        <v>93</v>
      </c>
      <c r="E31" s="16">
        <f>BoardQty*1</f>
        <v>0</v>
      </c>
      <c r="F31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31" s="17">
        <f>iferror(E31*F31,"")</f>
        <v>0</v>
      </c>
      <c r="H31" s="16">
        <v>75569</v>
      </c>
      <c r="J31" s="17">
        <f>iferror(lookup(if(I31="",E31,I31),{0,1,10,100,1000,2500,5000,10000,30000,50000,100000},{0.0,0.1,0.026,0.0104,0.00467,0.00406,0.00335,0.00448,0.00393,0.00361,0.00353}),"")</f>
        <v>0</v>
      </c>
      <c r="K31" s="17">
        <f>iferror(if(I31="",E31,I31)*J31,"")</f>
        <v>0</v>
      </c>
      <c r="L31" s="18" t="s">
        <v>141</v>
      </c>
      <c r="M31" s="16">
        <v>5775</v>
      </c>
      <c r="O31" s="17">
        <f>iferror(lookup(if(N31="",E31,N31),{0,1,100,500,2500,5000},{0.0,0.00673056,0.00673056,0.00486096,0.0043624,0.00423776}),"")</f>
        <v>0</v>
      </c>
      <c r="P31" s="17">
        <f>iferror(if(N31="",E31,N31)*O31,"")</f>
        <v>0</v>
      </c>
      <c r="Q31" s="18" t="s">
        <v>167</v>
      </c>
      <c r="W31" s="16">
        <v>44628</v>
      </c>
      <c r="Y31" s="17">
        <f>iferror(lookup(if(X31="",E31,X31),{0,1,25,100,250,500,1000,2500,5000},{0.0,0.15,0.021,0.012,0.011,0.01,0.007,0.007,0.006}),"")</f>
        <v>0</v>
      </c>
      <c r="Z31" s="17">
        <f>iferror(if(X31="",E31,X31)*Y31,"")</f>
        <v>0</v>
      </c>
      <c r="AA31" s="18" t="s">
        <v>194</v>
      </c>
    </row>
    <row r="32" spans="1:37">
      <c r="A32" s="16" t="s">
        <v>95</v>
      </c>
      <c r="B32" s="16" t="s">
        <v>97</v>
      </c>
      <c r="C32" s="16" t="s">
        <v>74</v>
      </c>
      <c r="D32" s="16" t="s">
        <v>96</v>
      </c>
      <c r="E32" s="16">
        <f>BoardQty*1</f>
        <v>0</v>
      </c>
      <c r="F32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32" s="17">
        <f>iferror(E32*F32,"")</f>
        <v>0</v>
      </c>
      <c r="H32" s="16">
        <v>47025</v>
      </c>
      <c r="J32" s="17">
        <f>iferror(lookup(if(I32="",E32,I32),{0,1,10,100,1000,2500,5000,10000,30000,50000},{0.0,0.1,0.044,0.0178,0.00802,0.00696,0.00575,0.00454,0.00425,0.00425}),"")</f>
        <v>0</v>
      </c>
      <c r="K32" s="17">
        <f>iferror(if(I32="",E32,I32)*J32,"")</f>
        <v>0</v>
      </c>
      <c r="L32" s="18" t="s">
        <v>142</v>
      </c>
      <c r="M32" s="16">
        <v>32321</v>
      </c>
      <c r="O32" s="17">
        <f>iferror(lookup(if(N32="",E32,N32),{0,1,100,500,2500,5000},{0.0,0.02156272,0.02156272,0.01209008,0.00822624,0.00635664}),"")</f>
        <v>0</v>
      </c>
      <c r="P32" s="17">
        <f>iferror(if(N32="",E32,N32)*O32,"")</f>
        <v>0</v>
      </c>
      <c r="Q32" s="18" t="s">
        <v>168</v>
      </c>
      <c r="W32" s="16">
        <v>23771</v>
      </c>
      <c r="Y32" s="17">
        <f>iferror(lookup(if(X32="",E32,X32),{0,1,10,25,100,250,500,1000},{0.0,0.1,0.1,0.045,0.026,0.023,0.021,0.018}),"")</f>
        <v>0</v>
      </c>
      <c r="Z32" s="17">
        <f>iferror(if(X32="",E32,X32)*Y32,"")</f>
        <v>0</v>
      </c>
      <c r="AA32" s="18" t="s">
        <v>195</v>
      </c>
      <c r="AB32" s="16">
        <v>11250</v>
      </c>
      <c r="AD32" s="17">
        <f>iferror(lookup(if(AC32="",E32,AC32),{0,1,50,150,1000,5000},{0.0,0.012464,0.012464,0.0112176,0.0099712,0.006232}),"")</f>
        <v>0</v>
      </c>
      <c r="AE32" s="17">
        <f>iferror(if(AC32="",E32,AC32)*AD32,"")</f>
        <v>0</v>
      </c>
      <c r="AF32" s="18" t="s">
        <v>212</v>
      </c>
    </row>
    <row r="33" spans="1:36">
      <c r="A33" s="16" t="s">
        <v>98</v>
      </c>
      <c r="B33" s="16" t="s">
        <v>100</v>
      </c>
      <c r="C33" s="16" t="s">
        <v>74</v>
      </c>
      <c r="D33" s="16" t="s">
        <v>99</v>
      </c>
      <c r="E33" s="16">
        <f>BoardQty*1</f>
        <v>0</v>
      </c>
      <c r="F33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33" s="17">
        <f>iferror(E33*F33,"")</f>
        <v>0</v>
      </c>
      <c r="H33" s="16">
        <v>206582</v>
      </c>
      <c r="J33" s="17">
        <f>iferror(lookup(if(I33="",E33,I33),{0,1,10,100,1000,2500,5000,10000,30000,50000,100000},{0.0,0.1,0.014,0.0056,0.00253,0.0022,0.00181,0.00158,0.00138,0.00127,0.00124}),"")</f>
        <v>0</v>
      </c>
      <c r="K33" s="17">
        <f>iferror(if(I33="",E33,I33)*J33,"")</f>
        <v>0</v>
      </c>
      <c r="L33" s="18" t="s">
        <v>143</v>
      </c>
      <c r="M33" s="16">
        <v>5000</v>
      </c>
      <c r="O33" s="17">
        <f>iferror(lookup(if(N33="",E33,N33),{0,1,25,100,250,500},{0.0,0.03253104,0.02530192,0.01819744,0.01408432,0.0099712}),"")</f>
        <v>0</v>
      </c>
      <c r="P33" s="17">
        <f>iferror(if(N33="",E33,N33)*O33,"")</f>
        <v>0</v>
      </c>
      <c r="Q33" s="18" t="s">
        <v>169</v>
      </c>
      <c r="W33" s="19" t="s">
        <v>122</v>
      </c>
      <c r="Y33" s="17">
        <f>iferror(lookup(if(X33="",E33,X33),{0,1,10000,20000,30000},{0.0,0.005,0.005,0.003,0.002}),"")</f>
        <v>0</v>
      </c>
      <c r="Z33" s="17">
        <f>iferror(if(X33="",E33,X33)*Y33,"")</f>
        <v>0</v>
      </c>
      <c r="AA33" s="18" t="s">
        <v>196</v>
      </c>
      <c r="AB33" s="19" t="s">
        <v>122</v>
      </c>
      <c r="AF33" s="18" t="s">
        <v>213</v>
      </c>
    </row>
    <row r="34" spans="1:36">
      <c r="A34" s="16" t="s">
        <v>101</v>
      </c>
      <c r="B34" s="16" t="s">
        <v>104</v>
      </c>
      <c r="C34" s="16" t="s">
        <v>103</v>
      </c>
      <c r="D34" s="16" t="s">
        <v>102</v>
      </c>
      <c r="E34" s="16">
        <f>BoardQty*2</f>
        <v>0</v>
      </c>
      <c r="F34" s="17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G34" s="17">
        <f>iferror(E34*F34,"")</f>
        <v>0</v>
      </c>
      <c r="H34" s="16">
        <v>5188</v>
      </c>
      <c r="J34" s="17">
        <f>iferror(lookup(if(I34="",E34,I34),{0,1,10,100,250,500,1000,1250,3000},{0.0,5.52,4.962,4.0652,4.3068,3.46064,2.91861,3.2592,2.69192}),"")</f>
        <v>0</v>
      </c>
      <c r="K34" s="17">
        <f>iferror(if(I34="",E34,I34)*J34,"")</f>
        <v>0</v>
      </c>
      <c r="L34" s="18" t="s">
        <v>144</v>
      </c>
      <c r="M34" s="16">
        <v>316</v>
      </c>
      <c r="O34" s="17">
        <f>iferror(lookup(if(N34="",E34,N34),{0,1,10,25,50,100,250,500},{0.0,7.316368,5.957792,5.770832,5.322128,4.873424,4.661536,3.440064}),"")</f>
        <v>0</v>
      </c>
      <c r="P34" s="17">
        <f>iferror(if(N34="",E34,N34)*O34,"")</f>
        <v>0</v>
      </c>
      <c r="Q34" s="18" t="s">
        <v>170</v>
      </c>
      <c r="W34" s="16">
        <v>328</v>
      </c>
      <c r="Y34" s="17">
        <f>iferror(lookup(if(X34="",E34,X34),{0,1,10,25,50,100},{0.0,6.3,5.66,5.45,5.05,4.64}),"")</f>
        <v>0</v>
      </c>
      <c r="Z34" s="17">
        <f>iferror(if(X34="",E34,X34)*Y34,"")</f>
        <v>0</v>
      </c>
      <c r="AA34" s="18" t="s">
        <v>197</v>
      </c>
    </row>
    <row r="36" spans="1:36">
      <c r="A36" s="3" t="s">
        <v>217</v>
      </c>
      <c r="I36" s="7">
        <f>IFERROR(IF(OR(I7:I34),COUNTIF(I7:I34,"&gt;0")&amp;" of "&amp;ROWS(I7:I34)&amp;" parts purchased",""),"")</f>
        <v>0</v>
      </c>
      <c r="N36" s="7">
        <f>IFERROR(IF(OR(N7:N34),COUNTIF(N7:N34,"&gt;0")&amp;" of "&amp;ROWS(N7:N34)&amp;" parts purchased",""),"")</f>
        <v>0</v>
      </c>
      <c r="S36" s="7">
        <f>IFERROR(IF(OR(S7:S34),COUNTIF(S7:S34,"&gt;0")&amp;" of "&amp;ROWS(S7:S34)&amp;" parts purchased",""),"")</f>
        <v>0</v>
      </c>
      <c r="X36" s="7">
        <f>IFERROR(IF(OR(X7:X34),COUNTIF(X7:X34,"&gt;0")&amp;" of "&amp;ROWS(X7:X34)&amp;" parts purchased",""),"")</f>
        <v>0</v>
      </c>
      <c r="AC36" s="7">
        <f>IFERROR(IF(OR(AC7:AC34),COUNTIF(AC7:AC34,"&gt;0")&amp;" of "&amp;ROWS(AC7:AC34)&amp;" parts purchased",""),"")</f>
        <v>0</v>
      </c>
      <c r="AH36" s="7">
        <f>IFERROR(IF(OR(AH7:AH34),COUNTIF(AH7:AH34,"&gt;0")&amp;" of "&amp;ROWS(AH7:AH34)&amp;" parts purchased",""),"")</f>
        <v>0</v>
      </c>
    </row>
    <row r="37" spans="1:36">
      <c r="I37">
        <f t="array" ref="I37">IFERROR(CONCATENATE(TEXT(INDEX($I$7:$I$34,SMALL(IF($L$7:$L$34&lt;&gt;"",IF($I$7:$I$34&lt;&gt;"",ROW($I$7:$I$34)-MIN(ROW($I$7:$I$34))+1,""),""),ROW()-ROW(A$37)+1)),"##0"),","),"")</f>
        <v>0</v>
      </c>
      <c r="J37">
        <f t="array" ref="J37">IFERROR(CONCATENATE((INDEX($L$7:$L$34,SMALL(IF($L$7:$L$34&lt;&gt;"",IF($I$7:$I$34&lt;&gt;"",ROW($I$7:$I$34)-MIN(ROW($I$7:$I$34))+1,""),""),ROW()-ROW(A$37)+1))),","),"")</f>
        <v>0</v>
      </c>
      <c r="K37">
        <f t="array" ref="K37">IFERROR(CONCATENATE((INDEX($A$7:$A$34,SMALL(IF($L$7:$L$34&lt;&gt;"",IF($I$7:$I$34&lt;&gt;"",ROW($I$7:$I$34)-MIN(ROW($I$7:$I$34))+1,""),""),ROW()-ROW(A$37)+1))),),"")</f>
        <v>0</v>
      </c>
      <c r="N37">
        <f t="array" ref="N37">IFERROR(CONCATENATE((INDEX($Q$7:$Q$34,SMALL(IF($Q$7:$Q$34&lt;&gt;"",IF($N$7:$N$34&lt;&gt;"",ROW($N$7:$N$34)-MIN(ROW($N$7:$N$34))+1,""),""),ROW()-ROW(A$37)+1)))," "),"")</f>
        <v>0</v>
      </c>
      <c r="O37">
        <f t="array" ref="O37">IFERROR(CONCATENATE(TEXT(INDEX($N$7:$N$34,SMALL(IF($Q$7:$Q$34&lt;&gt;"",IF($N$7:$N$34&lt;&gt;"",ROW($N$7:$N$34)-MIN(ROW($N$7:$N$34))+1,""),""),ROW()-ROW(A$37)+1)),"##0")," "),"")</f>
        <v>0</v>
      </c>
      <c r="P37">
        <f t="array" ref="P37">IFERROR(CONCATENATE((INDEX($A$7:$A$34,SMALL(IF($Q$7:$Q$34&lt;&gt;"",IF($N$7:$N$34&lt;&gt;"",ROW($N$7:$N$34)-MIN(ROW($N$7:$N$34))+1,""),""),ROW()-ROW(A$37)+1))),),"")</f>
        <v>0</v>
      </c>
      <c r="S37">
        <f t="array" ref="S37">IFERROR(CONCATENATE((INDEX($V$7:$V$34,SMALL(IF($V$7:$V$34&lt;&gt;"",IF($S$7:$S$34&lt;&gt;"",ROW($S$7:$S$34)-MIN(ROW($S$7:$S$34))+1,""),""),ROW()-ROW(A$37)+1)))," "),"")</f>
        <v>0</v>
      </c>
      <c r="T37">
        <f t="array" ref="T37">IFERROR(CONCATENATE(TEXT(INDEX($S$7:$S$34,SMALL(IF($V$7:$V$34&lt;&gt;"",IF($S$7:$S$34&lt;&gt;"",ROW($S$7:$S$34)-MIN(ROW($S$7:$S$34))+1,""),""),ROW()-ROW(A$37)+1)),"##0")," "),"")</f>
        <v>0</v>
      </c>
      <c r="U37">
        <f t="array" ref="U37">IFERROR(CONCATENATE((INDEX($A$7:$A$34,SMALL(IF($V$7:$V$34&lt;&gt;"",IF($S$7:$S$34&lt;&gt;"",ROW($S$7:$S$34)-MIN(ROW($S$7:$S$34))+1,""),""),ROW()-ROW(A$37)+1))),),"")</f>
        <v>0</v>
      </c>
      <c r="X37">
        <f t="array" ref="X37">IFERROR(CONCATENATE((INDEX($AA$7:$AA$34,SMALL(IF($AA$7:$AA$34&lt;&gt;"",IF($X$7:$X$34&lt;&gt;"",ROW($X$7:$X$34)-MIN(ROW($X$7:$X$34))+1,""),""),ROW()-ROW(A$37)+1))),","),"")</f>
        <v>0</v>
      </c>
      <c r="Y37">
        <f t="array" ref="Y37">IFERROR(CONCATENATE(TEXT(INDEX($X$7:$X$34,SMALL(IF($AA$7:$AA$34&lt;&gt;"",IF($X$7:$X$34&lt;&gt;"",ROW($X$7:$X$34)-MIN(ROW($X$7:$X$34))+1,""),""),ROW()-ROW(A$37)+1)),"##0"),","),"")</f>
        <v>0</v>
      </c>
      <c r="Z37">
        <f t="array" ref="Z37">IFERROR(CONCATENATE((INDEX($A$7:$A$34,SMALL(IF($AA$7:$AA$34&lt;&gt;"",IF($X$7:$X$34&lt;&gt;"",ROW($X$7:$X$34)-MIN(ROW($X$7:$X$34))+1,""),""),ROW()-ROW(A$37)+1))),),"")</f>
        <v>0</v>
      </c>
      <c r="AC37">
        <f t="array" ref="AC37">IFERROR(CONCATENATE((INDEX($AF$7:$AF$34,SMALL(IF($AF$7:$AF$34&lt;&gt;"",IF($AC$7:$AC$34&lt;&gt;"",ROW($AC$7:$AC$34)-MIN(ROW($AC$7:$AC$34))+1,""),""),ROW()-ROW(A$37)+1)))," "),"")</f>
        <v>0</v>
      </c>
      <c r="AD37">
        <f t="array" ref="AD37">IFERROR(CONCATENATE(TEXT(INDEX($AC$7:$AC$34,SMALL(IF($AF$7:$AF$34&lt;&gt;"",IF($AC$7:$AC$34&lt;&gt;"",ROW($AC$7:$AC$34)-MIN(ROW($AC$7:$AC$34))+1,""),""),ROW()-ROW(A$37)+1)),"##0")," "),"")</f>
        <v>0</v>
      </c>
      <c r="AE37">
        <f t="array" ref="AE37">IFERROR(CONCATENATE((INDEX($A$7:$A$34,SMALL(IF($AF$7:$AF$34&lt;&gt;"",IF($AC$7:$AC$34&lt;&gt;"",ROW($AC$7:$AC$34)-MIN(ROW($AC$7:$AC$34))+1,""),""),ROW()-ROW(A$37)+1))),),"")</f>
        <v>0</v>
      </c>
      <c r="AH37">
        <f t="array" ref="AH37">IFERROR(CONCATENATE((INDEX($AK$7:$AK$34,SMALL(IF($AK$7:$AK$34&lt;&gt;"",IF($AH$7:$AH$34&lt;&gt;"",ROW($AH$7:$AH$34)-MIN(ROW($AH$7:$AH$34))+1,""),""),ROW()-ROW(A$37)+1)))," "),"")</f>
        <v>0</v>
      </c>
      <c r="AI37">
        <f t="array" ref="AI37">IFERROR(CONCATENATE(TEXT(INDEX($AH$7:$AH$34,SMALL(IF($AK$7:$AK$34&lt;&gt;"",IF($AH$7:$AH$34&lt;&gt;"",ROW($AH$7:$AH$34)-MIN(ROW($AH$7:$AH$34))+1,""),""),ROW()-ROW(A$37)+1)),"##0")," "),"")</f>
        <v>0</v>
      </c>
      <c r="AJ37">
        <f t="array" ref="AJ37">IFERROR(CONCATENATE((INDEX($A$7:$A$34,SMALL(IF($AK$7:$AK$34&lt;&gt;"",IF($AH$7:$AH$34&lt;&gt;"",ROW($AH$7:$AH$34)-MIN(ROW($AH$7:$AH$34))+1,""),""),ROW()-ROW(A$37)+1))),),"")</f>
        <v>0</v>
      </c>
    </row>
    <row r="38" spans="1:36">
      <c r="I38">
        <f t="array" ref="I38">IFERROR(CONCATENATE(TEXT(INDEX($I$7:$I$34,SMALL(IF($L$7:$L$34&lt;&gt;"",IF($I$7:$I$34&lt;&gt;"",ROW($I$7:$I$34)-MIN(ROW($I$7:$I$34))+1,""),""),ROW()-ROW(A$37)+1)),"##0"),","),"")</f>
        <v>0</v>
      </c>
      <c r="J38">
        <f t="array" ref="J38">IFERROR(CONCATENATE((INDEX($L$7:$L$34,SMALL(IF($L$7:$L$34&lt;&gt;"",IF($I$7:$I$34&lt;&gt;"",ROW($I$7:$I$34)-MIN(ROW($I$7:$I$34))+1,""),""),ROW()-ROW(A$37)+1))),","),"")</f>
        <v>0</v>
      </c>
      <c r="K38">
        <f t="array" ref="K38">IFERROR(CONCATENATE((INDEX($A$7:$A$34,SMALL(IF($L$7:$L$34&lt;&gt;"",IF($I$7:$I$34&lt;&gt;"",ROW($I$7:$I$34)-MIN(ROW($I$7:$I$34))+1,""),""),ROW()-ROW(A$37)+1))),),"")</f>
        <v>0</v>
      </c>
      <c r="N38">
        <f t="array" ref="N38">IFERROR(CONCATENATE((INDEX($Q$7:$Q$34,SMALL(IF($Q$7:$Q$34&lt;&gt;"",IF($N$7:$N$34&lt;&gt;"",ROW($N$7:$N$34)-MIN(ROW($N$7:$N$34))+1,""),""),ROW()-ROW(A$37)+1)))," "),"")</f>
        <v>0</v>
      </c>
      <c r="O38">
        <f t="array" ref="O38">IFERROR(CONCATENATE(TEXT(INDEX($N$7:$N$34,SMALL(IF($Q$7:$Q$34&lt;&gt;"",IF($N$7:$N$34&lt;&gt;"",ROW($N$7:$N$34)-MIN(ROW($N$7:$N$34))+1,""),""),ROW()-ROW(A$37)+1)),"##0")," "),"")</f>
        <v>0</v>
      </c>
      <c r="P38">
        <f t="array" ref="P38">IFERROR(CONCATENATE((INDEX($A$7:$A$34,SMALL(IF($Q$7:$Q$34&lt;&gt;"",IF($N$7:$N$34&lt;&gt;"",ROW($N$7:$N$34)-MIN(ROW($N$7:$N$34))+1,""),""),ROW()-ROW(A$37)+1))),),"")</f>
        <v>0</v>
      </c>
      <c r="S38">
        <f t="array" ref="S38">IFERROR(CONCATENATE((INDEX($V$7:$V$34,SMALL(IF($V$7:$V$34&lt;&gt;"",IF($S$7:$S$34&lt;&gt;"",ROW($S$7:$S$34)-MIN(ROW($S$7:$S$34))+1,""),""),ROW()-ROW(A$37)+1)))," "),"")</f>
        <v>0</v>
      </c>
      <c r="T38">
        <f t="array" ref="T38">IFERROR(CONCATENATE(TEXT(INDEX($S$7:$S$34,SMALL(IF($V$7:$V$34&lt;&gt;"",IF($S$7:$S$34&lt;&gt;"",ROW($S$7:$S$34)-MIN(ROW($S$7:$S$34))+1,""),""),ROW()-ROW(A$37)+1)),"##0")," "),"")</f>
        <v>0</v>
      </c>
      <c r="U38">
        <f t="array" ref="U38">IFERROR(CONCATENATE((INDEX($A$7:$A$34,SMALL(IF($V$7:$V$34&lt;&gt;"",IF($S$7:$S$34&lt;&gt;"",ROW($S$7:$S$34)-MIN(ROW($S$7:$S$34))+1,""),""),ROW()-ROW(A$37)+1))),),"")</f>
        <v>0</v>
      </c>
      <c r="X38">
        <f t="array" ref="X38">IFERROR(CONCATENATE((INDEX($AA$7:$AA$34,SMALL(IF($AA$7:$AA$34&lt;&gt;"",IF($X$7:$X$34&lt;&gt;"",ROW($X$7:$X$34)-MIN(ROW($X$7:$X$34))+1,""),""),ROW()-ROW(A$37)+1))),","),"")</f>
        <v>0</v>
      </c>
      <c r="Y38">
        <f t="array" ref="Y38">IFERROR(CONCATENATE(TEXT(INDEX($X$7:$X$34,SMALL(IF($AA$7:$AA$34&lt;&gt;"",IF($X$7:$X$34&lt;&gt;"",ROW($X$7:$X$34)-MIN(ROW($X$7:$X$34))+1,""),""),ROW()-ROW(A$37)+1)),"##0"),","),"")</f>
        <v>0</v>
      </c>
      <c r="Z38">
        <f t="array" ref="Z38">IFERROR(CONCATENATE((INDEX($A$7:$A$34,SMALL(IF($AA$7:$AA$34&lt;&gt;"",IF($X$7:$X$34&lt;&gt;"",ROW($X$7:$X$34)-MIN(ROW($X$7:$X$34))+1,""),""),ROW()-ROW(A$37)+1))),),"")</f>
        <v>0</v>
      </c>
      <c r="AC38">
        <f t="array" ref="AC38">IFERROR(CONCATENATE((INDEX($AF$7:$AF$34,SMALL(IF($AF$7:$AF$34&lt;&gt;"",IF($AC$7:$AC$34&lt;&gt;"",ROW($AC$7:$AC$34)-MIN(ROW($AC$7:$AC$34))+1,""),""),ROW()-ROW(A$37)+1)))," "),"")</f>
        <v>0</v>
      </c>
      <c r="AD38">
        <f t="array" ref="AD38">IFERROR(CONCATENATE(TEXT(INDEX($AC$7:$AC$34,SMALL(IF($AF$7:$AF$34&lt;&gt;"",IF($AC$7:$AC$34&lt;&gt;"",ROW($AC$7:$AC$34)-MIN(ROW($AC$7:$AC$34))+1,""),""),ROW()-ROW(A$37)+1)),"##0")," "),"")</f>
        <v>0</v>
      </c>
      <c r="AE38">
        <f t="array" ref="AE38">IFERROR(CONCATENATE((INDEX($A$7:$A$34,SMALL(IF($AF$7:$AF$34&lt;&gt;"",IF($AC$7:$AC$34&lt;&gt;"",ROW($AC$7:$AC$34)-MIN(ROW($AC$7:$AC$34))+1,""),""),ROW()-ROW(A$37)+1))),),"")</f>
        <v>0</v>
      </c>
      <c r="AH38">
        <f t="array" ref="AH38">IFERROR(CONCATENATE((INDEX($AK$7:$AK$34,SMALL(IF($AK$7:$AK$34&lt;&gt;"",IF($AH$7:$AH$34&lt;&gt;"",ROW($AH$7:$AH$34)-MIN(ROW($AH$7:$AH$34))+1,""),""),ROW()-ROW(A$37)+1)))," "),"")</f>
        <v>0</v>
      </c>
      <c r="AI38">
        <f t="array" ref="AI38">IFERROR(CONCATENATE(TEXT(INDEX($AH$7:$AH$34,SMALL(IF($AK$7:$AK$34&lt;&gt;"",IF($AH$7:$AH$34&lt;&gt;"",ROW($AH$7:$AH$34)-MIN(ROW($AH$7:$AH$34))+1,""),""),ROW()-ROW(A$37)+1)),"##0")," "),"")</f>
        <v>0</v>
      </c>
      <c r="AJ38">
        <f t="array" ref="AJ38">IFERROR(CONCATENATE((INDEX($A$7:$A$34,SMALL(IF($AK$7:$AK$34&lt;&gt;"",IF($AH$7:$AH$34&lt;&gt;"",ROW($AH$7:$AH$34)-MIN(ROW($AH$7:$AH$34))+1,""),""),ROW()-ROW(A$37)+1))),),"")</f>
        <v>0</v>
      </c>
    </row>
    <row r="39" spans="1:36">
      <c r="I39">
        <f t="array" ref="I39">IFERROR(CONCATENATE(TEXT(INDEX($I$7:$I$34,SMALL(IF($L$7:$L$34&lt;&gt;"",IF($I$7:$I$34&lt;&gt;"",ROW($I$7:$I$34)-MIN(ROW($I$7:$I$34))+1,""),""),ROW()-ROW(A$37)+1)),"##0"),","),"")</f>
        <v>0</v>
      </c>
      <c r="J39">
        <f t="array" ref="J39">IFERROR(CONCATENATE((INDEX($L$7:$L$34,SMALL(IF($L$7:$L$34&lt;&gt;"",IF($I$7:$I$34&lt;&gt;"",ROW($I$7:$I$34)-MIN(ROW($I$7:$I$34))+1,""),""),ROW()-ROW(A$37)+1))),","),"")</f>
        <v>0</v>
      </c>
      <c r="K39">
        <f t="array" ref="K39">IFERROR(CONCATENATE((INDEX($A$7:$A$34,SMALL(IF($L$7:$L$34&lt;&gt;"",IF($I$7:$I$34&lt;&gt;"",ROW($I$7:$I$34)-MIN(ROW($I$7:$I$34))+1,""),""),ROW()-ROW(A$37)+1))),),"")</f>
        <v>0</v>
      </c>
      <c r="N39">
        <f t="array" ref="N39">IFERROR(CONCATENATE((INDEX($Q$7:$Q$34,SMALL(IF($Q$7:$Q$34&lt;&gt;"",IF($N$7:$N$34&lt;&gt;"",ROW($N$7:$N$34)-MIN(ROW($N$7:$N$34))+1,""),""),ROW()-ROW(A$37)+1)))," "),"")</f>
        <v>0</v>
      </c>
      <c r="O39">
        <f t="array" ref="O39">IFERROR(CONCATENATE(TEXT(INDEX($N$7:$N$34,SMALL(IF($Q$7:$Q$34&lt;&gt;"",IF($N$7:$N$34&lt;&gt;"",ROW($N$7:$N$34)-MIN(ROW($N$7:$N$34))+1,""),""),ROW()-ROW(A$37)+1)),"##0")," "),"")</f>
        <v>0</v>
      </c>
      <c r="P39">
        <f t="array" ref="P39">IFERROR(CONCATENATE((INDEX($A$7:$A$34,SMALL(IF($Q$7:$Q$34&lt;&gt;"",IF($N$7:$N$34&lt;&gt;"",ROW($N$7:$N$34)-MIN(ROW($N$7:$N$34))+1,""),""),ROW()-ROW(A$37)+1))),),"")</f>
        <v>0</v>
      </c>
      <c r="S39">
        <f t="array" ref="S39">IFERROR(CONCATENATE((INDEX($V$7:$V$34,SMALL(IF($V$7:$V$34&lt;&gt;"",IF($S$7:$S$34&lt;&gt;"",ROW($S$7:$S$34)-MIN(ROW($S$7:$S$34))+1,""),""),ROW()-ROW(A$37)+1)))," "),"")</f>
        <v>0</v>
      </c>
      <c r="T39">
        <f t="array" ref="T39">IFERROR(CONCATENATE(TEXT(INDEX($S$7:$S$34,SMALL(IF($V$7:$V$34&lt;&gt;"",IF($S$7:$S$34&lt;&gt;"",ROW($S$7:$S$34)-MIN(ROW($S$7:$S$34))+1,""),""),ROW()-ROW(A$37)+1)),"##0")," "),"")</f>
        <v>0</v>
      </c>
      <c r="U39">
        <f t="array" ref="U39">IFERROR(CONCATENATE((INDEX($A$7:$A$34,SMALL(IF($V$7:$V$34&lt;&gt;"",IF($S$7:$S$34&lt;&gt;"",ROW($S$7:$S$34)-MIN(ROW($S$7:$S$34))+1,""),""),ROW()-ROW(A$37)+1))),),"")</f>
        <v>0</v>
      </c>
      <c r="X39">
        <f t="array" ref="X39">IFERROR(CONCATENATE((INDEX($AA$7:$AA$34,SMALL(IF($AA$7:$AA$34&lt;&gt;"",IF($X$7:$X$34&lt;&gt;"",ROW($X$7:$X$34)-MIN(ROW($X$7:$X$34))+1,""),""),ROW()-ROW(A$37)+1))),","),"")</f>
        <v>0</v>
      </c>
      <c r="Y39">
        <f t="array" ref="Y39">IFERROR(CONCATENATE(TEXT(INDEX($X$7:$X$34,SMALL(IF($AA$7:$AA$34&lt;&gt;"",IF($X$7:$X$34&lt;&gt;"",ROW($X$7:$X$34)-MIN(ROW($X$7:$X$34))+1,""),""),ROW()-ROW(A$37)+1)),"##0"),","),"")</f>
        <v>0</v>
      </c>
      <c r="Z39">
        <f t="array" ref="Z39">IFERROR(CONCATENATE((INDEX($A$7:$A$34,SMALL(IF($AA$7:$AA$34&lt;&gt;"",IF($X$7:$X$34&lt;&gt;"",ROW($X$7:$X$34)-MIN(ROW($X$7:$X$34))+1,""),""),ROW()-ROW(A$37)+1))),),"")</f>
        <v>0</v>
      </c>
      <c r="AC39">
        <f t="array" ref="AC39">IFERROR(CONCATENATE((INDEX($AF$7:$AF$34,SMALL(IF($AF$7:$AF$34&lt;&gt;"",IF($AC$7:$AC$34&lt;&gt;"",ROW($AC$7:$AC$34)-MIN(ROW($AC$7:$AC$34))+1,""),""),ROW()-ROW(A$37)+1)))," "),"")</f>
        <v>0</v>
      </c>
      <c r="AD39">
        <f t="array" ref="AD39">IFERROR(CONCATENATE(TEXT(INDEX($AC$7:$AC$34,SMALL(IF($AF$7:$AF$34&lt;&gt;"",IF($AC$7:$AC$34&lt;&gt;"",ROW($AC$7:$AC$34)-MIN(ROW($AC$7:$AC$34))+1,""),""),ROW()-ROW(A$37)+1)),"##0")," "),"")</f>
        <v>0</v>
      </c>
      <c r="AE39">
        <f t="array" ref="AE39">IFERROR(CONCATENATE((INDEX($A$7:$A$34,SMALL(IF($AF$7:$AF$34&lt;&gt;"",IF($AC$7:$AC$34&lt;&gt;"",ROW($AC$7:$AC$34)-MIN(ROW($AC$7:$AC$34))+1,""),""),ROW()-ROW(A$37)+1))),),"")</f>
        <v>0</v>
      </c>
      <c r="AH39">
        <f t="array" ref="AH39">IFERROR(CONCATENATE((INDEX($AK$7:$AK$34,SMALL(IF($AK$7:$AK$34&lt;&gt;"",IF($AH$7:$AH$34&lt;&gt;"",ROW($AH$7:$AH$34)-MIN(ROW($AH$7:$AH$34))+1,""),""),ROW()-ROW(A$37)+1)))," "),"")</f>
        <v>0</v>
      </c>
      <c r="AI39">
        <f t="array" ref="AI39">IFERROR(CONCATENATE(TEXT(INDEX($AH$7:$AH$34,SMALL(IF($AK$7:$AK$34&lt;&gt;"",IF($AH$7:$AH$34&lt;&gt;"",ROW($AH$7:$AH$34)-MIN(ROW($AH$7:$AH$34))+1,""),""),ROW()-ROW(A$37)+1)),"##0")," "),"")</f>
        <v>0</v>
      </c>
      <c r="AJ39">
        <f t="array" ref="AJ39">IFERROR(CONCATENATE((INDEX($A$7:$A$34,SMALL(IF($AK$7:$AK$34&lt;&gt;"",IF($AH$7:$AH$34&lt;&gt;"",ROW($AH$7:$AH$34)-MIN(ROW($AH$7:$AH$34))+1,""),""),ROW()-ROW(A$37)+1))),),"")</f>
        <v>0</v>
      </c>
    </row>
    <row r="40" spans="1:36">
      <c r="I40">
        <f t="array" ref="I40">IFERROR(CONCATENATE(TEXT(INDEX($I$7:$I$34,SMALL(IF($L$7:$L$34&lt;&gt;"",IF($I$7:$I$34&lt;&gt;"",ROW($I$7:$I$34)-MIN(ROW($I$7:$I$34))+1,""),""),ROW()-ROW(A$37)+1)),"##0"),","),"")</f>
        <v>0</v>
      </c>
      <c r="J40">
        <f t="array" ref="J40">IFERROR(CONCATENATE((INDEX($L$7:$L$34,SMALL(IF($L$7:$L$34&lt;&gt;"",IF($I$7:$I$34&lt;&gt;"",ROW($I$7:$I$34)-MIN(ROW($I$7:$I$34))+1,""),""),ROW()-ROW(A$37)+1))),","),"")</f>
        <v>0</v>
      </c>
      <c r="K40">
        <f t="array" ref="K40">IFERROR(CONCATENATE((INDEX($A$7:$A$34,SMALL(IF($L$7:$L$34&lt;&gt;"",IF($I$7:$I$34&lt;&gt;"",ROW($I$7:$I$34)-MIN(ROW($I$7:$I$34))+1,""),""),ROW()-ROW(A$37)+1))),),"")</f>
        <v>0</v>
      </c>
      <c r="N40">
        <f t="array" ref="N40">IFERROR(CONCATENATE((INDEX($Q$7:$Q$34,SMALL(IF($Q$7:$Q$34&lt;&gt;"",IF($N$7:$N$34&lt;&gt;"",ROW($N$7:$N$34)-MIN(ROW($N$7:$N$34))+1,""),""),ROW()-ROW(A$37)+1)))," "),"")</f>
        <v>0</v>
      </c>
      <c r="O40">
        <f t="array" ref="O40">IFERROR(CONCATENATE(TEXT(INDEX($N$7:$N$34,SMALL(IF($Q$7:$Q$34&lt;&gt;"",IF($N$7:$N$34&lt;&gt;"",ROW($N$7:$N$34)-MIN(ROW($N$7:$N$34))+1,""),""),ROW()-ROW(A$37)+1)),"##0")," "),"")</f>
        <v>0</v>
      </c>
      <c r="P40">
        <f t="array" ref="P40">IFERROR(CONCATENATE((INDEX($A$7:$A$34,SMALL(IF($Q$7:$Q$34&lt;&gt;"",IF($N$7:$N$34&lt;&gt;"",ROW($N$7:$N$34)-MIN(ROW($N$7:$N$34))+1,""),""),ROW()-ROW(A$37)+1))),),"")</f>
        <v>0</v>
      </c>
      <c r="S40">
        <f t="array" ref="S40">IFERROR(CONCATENATE((INDEX($V$7:$V$34,SMALL(IF($V$7:$V$34&lt;&gt;"",IF($S$7:$S$34&lt;&gt;"",ROW($S$7:$S$34)-MIN(ROW($S$7:$S$34))+1,""),""),ROW()-ROW(A$37)+1)))," "),"")</f>
        <v>0</v>
      </c>
      <c r="T40">
        <f t="array" ref="T40">IFERROR(CONCATENATE(TEXT(INDEX($S$7:$S$34,SMALL(IF($V$7:$V$34&lt;&gt;"",IF($S$7:$S$34&lt;&gt;"",ROW($S$7:$S$34)-MIN(ROW($S$7:$S$34))+1,""),""),ROW()-ROW(A$37)+1)),"##0")," "),"")</f>
        <v>0</v>
      </c>
      <c r="U40">
        <f t="array" ref="U40">IFERROR(CONCATENATE((INDEX($A$7:$A$34,SMALL(IF($V$7:$V$34&lt;&gt;"",IF($S$7:$S$34&lt;&gt;"",ROW($S$7:$S$34)-MIN(ROW($S$7:$S$34))+1,""),""),ROW()-ROW(A$37)+1))),),"")</f>
        <v>0</v>
      </c>
      <c r="X40">
        <f t="array" ref="X40">IFERROR(CONCATENATE((INDEX($AA$7:$AA$34,SMALL(IF($AA$7:$AA$34&lt;&gt;"",IF($X$7:$X$34&lt;&gt;"",ROW($X$7:$X$34)-MIN(ROW($X$7:$X$34))+1,""),""),ROW()-ROW(A$37)+1))),","),"")</f>
        <v>0</v>
      </c>
      <c r="Y40">
        <f t="array" ref="Y40">IFERROR(CONCATENATE(TEXT(INDEX($X$7:$X$34,SMALL(IF($AA$7:$AA$34&lt;&gt;"",IF($X$7:$X$34&lt;&gt;"",ROW($X$7:$X$34)-MIN(ROW($X$7:$X$34))+1,""),""),ROW()-ROW(A$37)+1)),"##0"),","),"")</f>
        <v>0</v>
      </c>
      <c r="Z40">
        <f t="array" ref="Z40">IFERROR(CONCATENATE((INDEX($A$7:$A$34,SMALL(IF($AA$7:$AA$34&lt;&gt;"",IF($X$7:$X$34&lt;&gt;"",ROW($X$7:$X$34)-MIN(ROW($X$7:$X$34))+1,""),""),ROW()-ROW(A$37)+1))),),"")</f>
        <v>0</v>
      </c>
      <c r="AC40">
        <f t="array" ref="AC40">IFERROR(CONCATENATE((INDEX($AF$7:$AF$34,SMALL(IF($AF$7:$AF$34&lt;&gt;"",IF($AC$7:$AC$34&lt;&gt;"",ROW($AC$7:$AC$34)-MIN(ROW($AC$7:$AC$34))+1,""),""),ROW()-ROW(A$37)+1)))," "),"")</f>
        <v>0</v>
      </c>
      <c r="AD40">
        <f t="array" ref="AD40">IFERROR(CONCATENATE(TEXT(INDEX($AC$7:$AC$34,SMALL(IF($AF$7:$AF$34&lt;&gt;"",IF($AC$7:$AC$34&lt;&gt;"",ROW($AC$7:$AC$34)-MIN(ROW($AC$7:$AC$34))+1,""),""),ROW()-ROW(A$37)+1)),"##0")," "),"")</f>
        <v>0</v>
      </c>
      <c r="AE40">
        <f t="array" ref="AE40">IFERROR(CONCATENATE((INDEX($A$7:$A$34,SMALL(IF($AF$7:$AF$34&lt;&gt;"",IF($AC$7:$AC$34&lt;&gt;"",ROW($AC$7:$AC$34)-MIN(ROW($AC$7:$AC$34))+1,""),""),ROW()-ROW(A$37)+1))),),"")</f>
        <v>0</v>
      </c>
      <c r="AH40">
        <f t="array" ref="AH40">IFERROR(CONCATENATE((INDEX($AK$7:$AK$34,SMALL(IF($AK$7:$AK$34&lt;&gt;"",IF($AH$7:$AH$34&lt;&gt;"",ROW($AH$7:$AH$34)-MIN(ROW($AH$7:$AH$34))+1,""),""),ROW()-ROW(A$37)+1)))," "),"")</f>
        <v>0</v>
      </c>
      <c r="AI40">
        <f t="array" ref="AI40">IFERROR(CONCATENATE(TEXT(INDEX($AH$7:$AH$34,SMALL(IF($AK$7:$AK$34&lt;&gt;"",IF($AH$7:$AH$34&lt;&gt;"",ROW($AH$7:$AH$34)-MIN(ROW($AH$7:$AH$34))+1,""),""),ROW()-ROW(A$37)+1)),"##0")," "),"")</f>
        <v>0</v>
      </c>
      <c r="AJ40">
        <f t="array" ref="AJ40">IFERROR(CONCATENATE((INDEX($A$7:$A$34,SMALL(IF($AK$7:$AK$34&lt;&gt;"",IF($AH$7:$AH$34&lt;&gt;"",ROW($AH$7:$AH$34)-MIN(ROW($AH$7:$AH$34))+1,""),""),ROW()-ROW(A$37)+1))),),"")</f>
        <v>0</v>
      </c>
    </row>
    <row r="41" spans="1:36">
      <c r="I41">
        <f t="array" ref="I41">IFERROR(CONCATENATE(TEXT(INDEX($I$7:$I$34,SMALL(IF($L$7:$L$34&lt;&gt;"",IF($I$7:$I$34&lt;&gt;"",ROW($I$7:$I$34)-MIN(ROW($I$7:$I$34))+1,""),""),ROW()-ROW(A$37)+1)),"##0"),","),"")</f>
        <v>0</v>
      </c>
      <c r="J41">
        <f t="array" ref="J41">IFERROR(CONCATENATE((INDEX($L$7:$L$34,SMALL(IF($L$7:$L$34&lt;&gt;"",IF($I$7:$I$34&lt;&gt;"",ROW($I$7:$I$34)-MIN(ROW($I$7:$I$34))+1,""),""),ROW()-ROW(A$37)+1))),","),"")</f>
        <v>0</v>
      </c>
      <c r="K41">
        <f t="array" ref="K41">IFERROR(CONCATENATE((INDEX($A$7:$A$34,SMALL(IF($L$7:$L$34&lt;&gt;"",IF($I$7:$I$34&lt;&gt;"",ROW($I$7:$I$34)-MIN(ROW($I$7:$I$34))+1,""),""),ROW()-ROW(A$37)+1))),),"")</f>
        <v>0</v>
      </c>
      <c r="N41">
        <f t="array" ref="N41">IFERROR(CONCATENATE((INDEX($Q$7:$Q$34,SMALL(IF($Q$7:$Q$34&lt;&gt;"",IF($N$7:$N$34&lt;&gt;"",ROW($N$7:$N$34)-MIN(ROW($N$7:$N$34))+1,""),""),ROW()-ROW(A$37)+1)))," "),"")</f>
        <v>0</v>
      </c>
      <c r="O41">
        <f t="array" ref="O41">IFERROR(CONCATENATE(TEXT(INDEX($N$7:$N$34,SMALL(IF($Q$7:$Q$34&lt;&gt;"",IF($N$7:$N$34&lt;&gt;"",ROW($N$7:$N$34)-MIN(ROW($N$7:$N$34))+1,""),""),ROW()-ROW(A$37)+1)),"##0")," "),"")</f>
        <v>0</v>
      </c>
      <c r="P41">
        <f t="array" ref="P41">IFERROR(CONCATENATE((INDEX($A$7:$A$34,SMALL(IF($Q$7:$Q$34&lt;&gt;"",IF($N$7:$N$34&lt;&gt;"",ROW($N$7:$N$34)-MIN(ROW($N$7:$N$34))+1,""),""),ROW()-ROW(A$37)+1))),),"")</f>
        <v>0</v>
      </c>
      <c r="S41">
        <f t="array" ref="S41">IFERROR(CONCATENATE((INDEX($V$7:$V$34,SMALL(IF($V$7:$V$34&lt;&gt;"",IF($S$7:$S$34&lt;&gt;"",ROW($S$7:$S$34)-MIN(ROW($S$7:$S$34))+1,""),""),ROW()-ROW(A$37)+1)))," "),"")</f>
        <v>0</v>
      </c>
      <c r="T41">
        <f t="array" ref="T41">IFERROR(CONCATENATE(TEXT(INDEX($S$7:$S$34,SMALL(IF($V$7:$V$34&lt;&gt;"",IF($S$7:$S$34&lt;&gt;"",ROW($S$7:$S$34)-MIN(ROW($S$7:$S$34))+1,""),""),ROW()-ROW(A$37)+1)),"##0")," "),"")</f>
        <v>0</v>
      </c>
      <c r="U41">
        <f t="array" ref="U41">IFERROR(CONCATENATE((INDEX($A$7:$A$34,SMALL(IF($V$7:$V$34&lt;&gt;"",IF($S$7:$S$34&lt;&gt;"",ROW($S$7:$S$34)-MIN(ROW($S$7:$S$34))+1,""),""),ROW()-ROW(A$37)+1))),),"")</f>
        <v>0</v>
      </c>
      <c r="X41">
        <f t="array" ref="X41">IFERROR(CONCATENATE((INDEX($AA$7:$AA$34,SMALL(IF($AA$7:$AA$34&lt;&gt;"",IF($X$7:$X$34&lt;&gt;"",ROW($X$7:$X$34)-MIN(ROW($X$7:$X$34))+1,""),""),ROW()-ROW(A$37)+1))),","),"")</f>
        <v>0</v>
      </c>
      <c r="Y41">
        <f t="array" ref="Y41">IFERROR(CONCATENATE(TEXT(INDEX($X$7:$X$34,SMALL(IF($AA$7:$AA$34&lt;&gt;"",IF($X$7:$X$34&lt;&gt;"",ROW($X$7:$X$34)-MIN(ROW($X$7:$X$34))+1,""),""),ROW()-ROW(A$37)+1)),"##0"),","),"")</f>
        <v>0</v>
      </c>
      <c r="Z41">
        <f t="array" ref="Z41">IFERROR(CONCATENATE((INDEX($A$7:$A$34,SMALL(IF($AA$7:$AA$34&lt;&gt;"",IF($X$7:$X$34&lt;&gt;"",ROW($X$7:$X$34)-MIN(ROW($X$7:$X$34))+1,""),""),ROW()-ROW(A$37)+1))),),"")</f>
        <v>0</v>
      </c>
      <c r="AC41">
        <f t="array" ref="AC41">IFERROR(CONCATENATE((INDEX($AF$7:$AF$34,SMALL(IF($AF$7:$AF$34&lt;&gt;"",IF($AC$7:$AC$34&lt;&gt;"",ROW($AC$7:$AC$34)-MIN(ROW($AC$7:$AC$34))+1,""),""),ROW()-ROW(A$37)+1)))," "),"")</f>
        <v>0</v>
      </c>
      <c r="AD41">
        <f t="array" ref="AD41">IFERROR(CONCATENATE(TEXT(INDEX($AC$7:$AC$34,SMALL(IF($AF$7:$AF$34&lt;&gt;"",IF($AC$7:$AC$34&lt;&gt;"",ROW($AC$7:$AC$34)-MIN(ROW($AC$7:$AC$34))+1,""),""),ROW()-ROW(A$37)+1)),"##0")," "),"")</f>
        <v>0</v>
      </c>
      <c r="AE41">
        <f t="array" ref="AE41">IFERROR(CONCATENATE((INDEX($A$7:$A$34,SMALL(IF($AF$7:$AF$34&lt;&gt;"",IF($AC$7:$AC$34&lt;&gt;"",ROW($AC$7:$AC$34)-MIN(ROW($AC$7:$AC$34))+1,""),""),ROW()-ROW(A$37)+1))),),"")</f>
        <v>0</v>
      </c>
      <c r="AH41">
        <f t="array" ref="AH41">IFERROR(CONCATENATE((INDEX($AK$7:$AK$34,SMALL(IF($AK$7:$AK$34&lt;&gt;"",IF($AH$7:$AH$34&lt;&gt;"",ROW($AH$7:$AH$34)-MIN(ROW($AH$7:$AH$34))+1,""),""),ROW()-ROW(A$37)+1)))," "),"")</f>
        <v>0</v>
      </c>
      <c r="AI41">
        <f t="array" ref="AI41">IFERROR(CONCATENATE(TEXT(INDEX($AH$7:$AH$34,SMALL(IF($AK$7:$AK$34&lt;&gt;"",IF($AH$7:$AH$34&lt;&gt;"",ROW($AH$7:$AH$34)-MIN(ROW($AH$7:$AH$34))+1,""),""),ROW()-ROW(A$37)+1)),"##0")," "),"")</f>
        <v>0</v>
      </c>
      <c r="AJ41">
        <f t="array" ref="AJ41">IFERROR(CONCATENATE((INDEX($A$7:$A$34,SMALL(IF($AK$7:$AK$34&lt;&gt;"",IF($AH$7:$AH$34&lt;&gt;"",ROW($AH$7:$AH$34)-MIN(ROW($AH$7:$AH$34))+1,""),""),ROW()-ROW(A$37)+1))),),"")</f>
        <v>0</v>
      </c>
    </row>
    <row r="42" spans="1:36">
      <c r="I42">
        <f t="array" ref="I42">IFERROR(CONCATENATE(TEXT(INDEX($I$7:$I$34,SMALL(IF($L$7:$L$34&lt;&gt;"",IF($I$7:$I$34&lt;&gt;"",ROW($I$7:$I$34)-MIN(ROW($I$7:$I$34))+1,""),""),ROW()-ROW(A$37)+1)),"##0"),","),"")</f>
        <v>0</v>
      </c>
      <c r="J42">
        <f t="array" ref="J42">IFERROR(CONCATENATE((INDEX($L$7:$L$34,SMALL(IF($L$7:$L$34&lt;&gt;"",IF($I$7:$I$34&lt;&gt;"",ROW($I$7:$I$34)-MIN(ROW($I$7:$I$34))+1,""),""),ROW()-ROW(A$37)+1))),","),"")</f>
        <v>0</v>
      </c>
      <c r="K42">
        <f t="array" ref="K42">IFERROR(CONCATENATE((INDEX($A$7:$A$34,SMALL(IF($L$7:$L$34&lt;&gt;"",IF($I$7:$I$34&lt;&gt;"",ROW($I$7:$I$34)-MIN(ROW($I$7:$I$34))+1,""),""),ROW()-ROW(A$37)+1))),),"")</f>
        <v>0</v>
      </c>
      <c r="N42">
        <f t="array" ref="N42">IFERROR(CONCATENATE((INDEX($Q$7:$Q$34,SMALL(IF($Q$7:$Q$34&lt;&gt;"",IF($N$7:$N$34&lt;&gt;"",ROW($N$7:$N$34)-MIN(ROW($N$7:$N$34))+1,""),""),ROW()-ROW(A$37)+1)))," "),"")</f>
        <v>0</v>
      </c>
      <c r="O42">
        <f t="array" ref="O42">IFERROR(CONCATENATE(TEXT(INDEX($N$7:$N$34,SMALL(IF($Q$7:$Q$34&lt;&gt;"",IF($N$7:$N$34&lt;&gt;"",ROW($N$7:$N$34)-MIN(ROW($N$7:$N$34))+1,""),""),ROW()-ROW(A$37)+1)),"##0")," "),"")</f>
        <v>0</v>
      </c>
      <c r="P42">
        <f t="array" ref="P42">IFERROR(CONCATENATE((INDEX($A$7:$A$34,SMALL(IF($Q$7:$Q$34&lt;&gt;"",IF($N$7:$N$34&lt;&gt;"",ROW($N$7:$N$34)-MIN(ROW($N$7:$N$34))+1,""),""),ROW()-ROW(A$37)+1))),),"")</f>
        <v>0</v>
      </c>
      <c r="S42">
        <f t="array" ref="S42">IFERROR(CONCATENATE((INDEX($V$7:$V$34,SMALL(IF($V$7:$V$34&lt;&gt;"",IF($S$7:$S$34&lt;&gt;"",ROW($S$7:$S$34)-MIN(ROW($S$7:$S$34))+1,""),""),ROW()-ROW(A$37)+1)))," "),"")</f>
        <v>0</v>
      </c>
      <c r="T42">
        <f t="array" ref="T42">IFERROR(CONCATENATE(TEXT(INDEX($S$7:$S$34,SMALL(IF($V$7:$V$34&lt;&gt;"",IF($S$7:$S$34&lt;&gt;"",ROW($S$7:$S$34)-MIN(ROW($S$7:$S$34))+1,""),""),ROW()-ROW(A$37)+1)),"##0")," "),"")</f>
        <v>0</v>
      </c>
      <c r="U42">
        <f t="array" ref="U42">IFERROR(CONCATENATE((INDEX($A$7:$A$34,SMALL(IF($V$7:$V$34&lt;&gt;"",IF($S$7:$S$34&lt;&gt;"",ROW($S$7:$S$34)-MIN(ROW($S$7:$S$34))+1,""),""),ROW()-ROW(A$37)+1))),),"")</f>
        <v>0</v>
      </c>
      <c r="X42">
        <f t="array" ref="X42">IFERROR(CONCATENATE((INDEX($AA$7:$AA$34,SMALL(IF($AA$7:$AA$34&lt;&gt;"",IF($X$7:$X$34&lt;&gt;"",ROW($X$7:$X$34)-MIN(ROW($X$7:$X$34))+1,""),""),ROW()-ROW(A$37)+1))),","),"")</f>
        <v>0</v>
      </c>
      <c r="Y42">
        <f t="array" ref="Y42">IFERROR(CONCATENATE(TEXT(INDEX($X$7:$X$34,SMALL(IF($AA$7:$AA$34&lt;&gt;"",IF($X$7:$X$34&lt;&gt;"",ROW($X$7:$X$34)-MIN(ROW($X$7:$X$34))+1,""),""),ROW()-ROW(A$37)+1)),"##0"),","),"")</f>
        <v>0</v>
      </c>
      <c r="Z42">
        <f t="array" ref="Z42">IFERROR(CONCATENATE((INDEX($A$7:$A$34,SMALL(IF($AA$7:$AA$34&lt;&gt;"",IF($X$7:$X$34&lt;&gt;"",ROW($X$7:$X$34)-MIN(ROW($X$7:$X$34))+1,""),""),ROW()-ROW(A$37)+1))),),"")</f>
        <v>0</v>
      </c>
      <c r="AC42">
        <f t="array" ref="AC42">IFERROR(CONCATENATE((INDEX($AF$7:$AF$34,SMALL(IF($AF$7:$AF$34&lt;&gt;"",IF($AC$7:$AC$34&lt;&gt;"",ROW($AC$7:$AC$34)-MIN(ROW($AC$7:$AC$34))+1,""),""),ROW()-ROW(A$37)+1)))," "),"")</f>
        <v>0</v>
      </c>
      <c r="AD42">
        <f t="array" ref="AD42">IFERROR(CONCATENATE(TEXT(INDEX($AC$7:$AC$34,SMALL(IF($AF$7:$AF$34&lt;&gt;"",IF($AC$7:$AC$34&lt;&gt;"",ROW($AC$7:$AC$34)-MIN(ROW($AC$7:$AC$34))+1,""),""),ROW()-ROW(A$37)+1)),"##0")," "),"")</f>
        <v>0</v>
      </c>
      <c r="AE42">
        <f t="array" ref="AE42">IFERROR(CONCATENATE((INDEX($A$7:$A$34,SMALL(IF($AF$7:$AF$34&lt;&gt;"",IF($AC$7:$AC$34&lt;&gt;"",ROW($AC$7:$AC$34)-MIN(ROW($AC$7:$AC$34))+1,""),""),ROW()-ROW(A$37)+1))),),"")</f>
        <v>0</v>
      </c>
      <c r="AH42">
        <f t="array" ref="AH42">IFERROR(CONCATENATE((INDEX($AK$7:$AK$34,SMALL(IF($AK$7:$AK$34&lt;&gt;"",IF($AH$7:$AH$34&lt;&gt;"",ROW($AH$7:$AH$34)-MIN(ROW($AH$7:$AH$34))+1,""),""),ROW()-ROW(A$37)+1)))," "),"")</f>
        <v>0</v>
      </c>
      <c r="AI42">
        <f t="array" ref="AI42">IFERROR(CONCATENATE(TEXT(INDEX($AH$7:$AH$34,SMALL(IF($AK$7:$AK$34&lt;&gt;"",IF($AH$7:$AH$34&lt;&gt;"",ROW($AH$7:$AH$34)-MIN(ROW($AH$7:$AH$34))+1,""),""),ROW()-ROW(A$37)+1)),"##0")," "),"")</f>
        <v>0</v>
      </c>
      <c r="AJ42">
        <f t="array" ref="AJ42">IFERROR(CONCATENATE((INDEX($A$7:$A$34,SMALL(IF($AK$7:$AK$34&lt;&gt;"",IF($AH$7:$AH$34&lt;&gt;"",ROW($AH$7:$AH$34)-MIN(ROW($AH$7:$AH$34))+1,""),""),ROW()-ROW(A$37)+1))),),"")</f>
        <v>0</v>
      </c>
    </row>
    <row r="43" spans="1:36">
      <c r="I43">
        <f t="array" ref="I43">IFERROR(CONCATENATE(TEXT(INDEX($I$7:$I$34,SMALL(IF($L$7:$L$34&lt;&gt;"",IF($I$7:$I$34&lt;&gt;"",ROW($I$7:$I$34)-MIN(ROW($I$7:$I$34))+1,""),""),ROW()-ROW(A$37)+1)),"##0"),","),"")</f>
        <v>0</v>
      </c>
      <c r="J43">
        <f t="array" ref="J43">IFERROR(CONCATENATE((INDEX($L$7:$L$34,SMALL(IF($L$7:$L$34&lt;&gt;"",IF($I$7:$I$34&lt;&gt;"",ROW($I$7:$I$34)-MIN(ROW($I$7:$I$34))+1,""),""),ROW()-ROW(A$37)+1))),","),"")</f>
        <v>0</v>
      </c>
      <c r="K43">
        <f t="array" ref="K43">IFERROR(CONCATENATE((INDEX($A$7:$A$34,SMALL(IF($L$7:$L$34&lt;&gt;"",IF($I$7:$I$34&lt;&gt;"",ROW($I$7:$I$34)-MIN(ROW($I$7:$I$34))+1,""),""),ROW()-ROW(A$37)+1))),),"")</f>
        <v>0</v>
      </c>
      <c r="N43">
        <f t="array" ref="N43">IFERROR(CONCATENATE((INDEX($Q$7:$Q$34,SMALL(IF($Q$7:$Q$34&lt;&gt;"",IF($N$7:$N$34&lt;&gt;"",ROW($N$7:$N$34)-MIN(ROW($N$7:$N$34))+1,""),""),ROW()-ROW(A$37)+1)))," "),"")</f>
        <v>0</v>
      </c>
      <c r="O43">
        <f t="array" ref="O43">IFERROR(CONCATENATE(TEXT(INDEX($N$7:$N$34,SMALL(IF($Q$7:$Q$34&lt;&gt;"",IF($N$7:$N$34&lt;&gt;"",ROW($N$7:$N$34)-MIN(ROW($N$7:$N$34))+1,""),""),ROW()-ROW(A$37)+1)),"##0")," "),"")</f>
        <v>0</v>
      </c>
      <c r="P43">
        <f t="array" ref="P43">IFERROR(CONCATENATE((INDEX($A$7:$A$34,SMALL(IF($Q$7:$Q$34&lt;&gt;"",IF($N$7:$N$34&lt;&gt;"",ROW($N$7:$N$34)-MIN(ROW($N$7:$N$34))+1,""),""),ROW()-ROW(A$37)+1))),),"")</f>
        <v>0</v>
      </c>
      <c r="S43">
        <f t="array" ref="S43">IFERROR(CONCATENATE((INDEX($V$7:$V$34,SMALL(IF($V$7:$V$34&lt;&gt;"",IF($S$7:$S$34&lt;&gt;"",ROW($S$7:$S$34)-MIN(ROW($S$7:$S$34))+1,""),""),ROW()-ROW(A$37)+1)))," "),"")</f>
        <v>0</v>
      </c>
      <c r="T43">
        <f t="array" ref="T43">IFERROR(CONCATENATE(TEXT(INDEX($S$7:$S$34,SMALL(IF($V$7:$V$34&lt;&gt;"",IF($S$7:$S$34&lt;&gt;"",ROW($S$7:$S$34)-MIN(ROW($S$7:$S$34))+1,""),""),ROW()-ROW(A$37)+1)),"##0")," "),"")</f>
        <v>0</v>
      </c>
      <c r="U43">
        <f t="array" ref="U43">IFERROR(CONCATENATE((INDEX($A$7:$A$34,SMALL(IF($V$7:$V$34&lt;&gt;"",IF($S$7:$S$34&lt;&gt;"",ROW($S$7:$S$34)-MIN(ROW($S$7:$S$34))+1,""),""),ROW()-ROW(A$37)+1))),),"")</f>
        <v>0</v>
      </c>
      <c r="X43">
        <f t="array" ref="X43">IFERROR(CONCATENATE((INDEX($AA$7:$AA$34,SMALL(IF($AA$7:$AA$34&lt;&gt;"",IF($X$7:$X$34&lt;&gt;"",ROW($X$7:$X$34)-MIN(ROW($X$7:$X$34))+1,""),""),ROW()-ROW(A$37)+1))),","),"")</f>
        <v>0</v>
      </c>
      <c r="Y43">
        <f t="array" ref="Y43">IFERROR(CONCATENATE(TEXT(INDEX($X$7:$X$34,SMALL(IF($AA$7:$AA$34&lt;&gt;"",IF($X$7:$X$34&lt;&gt;"",ROW($X$7:$X$34)-MIN(ROW($X$7:$X$34))+1,""),""),ROW()-ROW(A$37)+1)),"##0"),","),"")</f>
        <v>0</v>
      </c>
      <c r="Z43">
        <f t="array" ref="Z43">IFERROR(CONCATENATE((INDEX($A$7:$A$34,SMALL(IF($AA$7:$AA$34&lt;&gt;"",IF($X$7:$X$34&lt;&gt;"",ROW($X$7:$X$34)-MIN(ROW($X$7:$X$34))+1,""),""),ROW()-ROW(A$37)+1))),),"")</f>
        <v>0</v>
      </c>
      <c r="AC43">
        <f t="array" ref="AC43">IFERROR(CONCATENATE((INDEX($AF$7:$AF$34,SMALL(IF($AF$7:$AF$34&lt;&gt;"",IF($AC$7:$AC$34&lt;&gt;"",ROW($AC$7:$AC$34)-MIN(ROW($AC$7:$AC$34))+1,""),""),ROW()-ROW(A$37)+1)))," "),"")</f>
        <v>0</v>
      </c>
      <c r="AD43">
        <f t="array" ref="AD43">IFERROR(CONCATENATE(TEXT(INDEX($AC$7:$AC$34,SMALL(IF($AF$7:$AF$34&lt;&gt;"",IF($AC$7:$AC$34&lt;&gt;"",ROW($AC$7:$AC$34)-MIN(ROW($AC$7:$AC$34))+1,""),""),ROW()-ROW(A$37)+1)),"##0")," "),"")</f>
        <v>0</v>
      </c>
      <c r="AE43">
        <f t="array" ref="AE43">IFERROR(CONCATENATE((INDEX($A$7:$A$34,SMALL(IF($AF$7:$AF$34&lt;&gt;"",IF($AC$7:$AC$34&lt;&gt;"",ROW($AC$7:$AC$34)-MIN(ROW($AC$7:$AC$34))+1,""),""),ROW()-ROW(A$37)+1))),),"")</f>
        <v>0</v>
      </c>
      <c r="AH43">
        <f t="array" ref="AH43">IFERROR(CONCATENATE((INDEX($AK$7:$AK$34,SMALL(IF($AK$7:$AK$34&lt;&gt;"",IF($AH$7:$AH$34&lt;&gt;"",ROW($AH$7:$AH$34)-MIN(ROW($AH$7:$AH$34))+1,""),""),ROW()-ROW(A$37)+1)))," "),"")</f>
        <v>0</v>
      </c>
      <c r="AI43">
        <f t="array" ref="AI43">IFERROR(CONCATENATE(TEXT(INDEX($AH$7:$AH$34,SMALL(IF($AK$7:$AK$34&lt;&gt;"",IF($AH$7:$AH$34&lt;&gt;"",ROW($AH$7:$AH$34)-MIN(ROW($AH$7:$AH$34))+1,""),""),ROW()-ROW(A$37)+1)),"##0")," "),"")</f>
        <v>0</v>
      </c>
      <c r="AJ43">
        <f t="array" ref="AJ43">IFERROR(CONCATENATE((INDEX($A$7:$A$34,SMALL(IF($AK$7:$AK$34&lt;&gt;"",IF($AH$7:$AH$34&lt;&gt;"",ROW($AH$7:$AH$34)-MIN(ROW($AH$7:$AH$34))+1,""),""),ROW()-ROW(A$37)+1))),),"")</f>
        <v>0</v>
      </c>
    </row>
    <row r="44" spans="1:36">
      <c r="I44">
        <f t="array" ref="I44">IFERROR(CONCATENATE(TEXT(INDEX($I$7:$I$34,SMALL(IF($L$7:$L$34&lt;&gt;"",IF($I$7:$I$34&lt;&gt;"",ROW($I$7:$I$34)-MIN(ROW($I$7:$I$34))+1,""),""),ROW()-ROW(A$37)+1)),"##0"),","),"")</f>
        <v>0</v>
      </c>
      <c r="J44">
        <f t="array" ref="J44">IFERROR(CONCATENATE((INDEX($L$7:$L$34,SMALL(IF($L$7:$L$34&lt;&gt;"",IF($I$7:$I$34&lt;&gt;"",ROW($I$7:$I$34)-MIN(ROW($I$7:$I$34))+1,""),""),ROW()-ROW(A$37)+1))),","),"")</f>
        <v>0</v>
      </c>
      <c r="K44">
        <f t="array" ref="K44">IFERROR(CONCATENATE((INDEX($A$7:$A$34,SMALL(IF($L$7:$L$34&lt;&gt;"",IF($I$7:$I$34&lt;&gt;"",ROW($I$7:$I$34)-MIN(ROW($I$7:$I$34))+1,""),""),ROW()-ROW(A$37)+1))),),"")</f>
        <v>0</v>
      </c>
      <c r="N44">
        <f t="array" ref="N44">IFERROR(CONCATENATE((INDEX($Q$7:$Q$34,SMALL(IF($Q$7:$Q$34&lt;&gt;"",IF($N$7:$N$34&lt;&gt;"",ROW($N$7:$N$34)-MIN(ROW($N$7:$N$34))+1,""),""),ROW()-ROW(A$37)+1)))," "),"")</f>
        <v>0</v>
      </c>
      <c r="O44">
        <f t="array" ref="O44">IFERROR(CONCATENATE(TEXT(INDEX($N$7:$N$34,SMALL(IF($Q$7:$Q$34&lt;&gt;"",IF($N$7:$N$34&lt;&gt;"",ROW($N$7:$N$34)-MIN(ROW($N$7:$N$34))+1,""),""),ROW()-ROW(A$37)+1)),"##0")," "),"")</f>
        <v>0</v>
      </c>
      <c r="P44">
        <f t="array" ref="P44">IFERROR(CONCATENATE((INDEX($A$7:$A$34,SMALL(IF($Q$7:$Q$34&lt;&gt;"",IF($N$7:$N$34&lt;&gt;"",ROW($N$7:$N$34)-MIN(ROW($N$7:$N$34))+1,""),""),ROW()-ROW(A$37)+1))),),"")</f>
        <v>0</v>
      </c>
      <c r="S44">
        <f t="array" ref="S44">IFERROR(CONCATENATE((INDEX($V$7:$V$34,SMALL(IF($V$7:$V$34&lt;&gt;"",IF($S$7:$S$34&lt;&gt;"",ROW($S$7:$S$34)-MIN(ROW($S$7:$S$34))+1,""),""),ROW()-ROW(A$37)+1)))," "),"")</f>
        <v>0</v>
      </c>
      <c r="T44">
        <f t="array" ref="T44">IFERROR(CONCATENATE(TEXT(INDEX($S$7:$S$34,SMALL(IF($V$7:$V$34&lt;&gt;"",IF($S$7:$S$34&lt;&gt;"",ROW($S$7:$S$34)-MIN(ROW($S$7:$S$34))+1,""),""),ROW()-ROW(A$37)+1)),"##0")," "),"")</f>
        <v>0</v>
      </c>
      <c r="U44">
        <f t="array" ref="U44">IFERROR(CONCATENATE((INDEX($A$7:$A$34,SMALL(IF($V$7:$V$34&lt;&gt;"",IF($S$7:$S$34&lt;&gt;"",ROW($S$7:$S$34)-MIN(ROW($S$7:$S$34))+1,""),""),ROW()-ROW(A$37)+1))),),"")</f>
        <v>0</v>
      </c>
      <c r="X44">
        <f t="array" ref="X44">IFERROR(CONCATENATE((INDEX($AA$7:$AA$34,SMALL(IF($AA$7:$AA$34&lt;&gt;"",IF($X$7:$X$34&lt;&gt;"",ROW($X$7:$X$34)-MIN(ROW($X$7:$X$34))+1,""),""),ROW()-ROW(A$37)+1))),","),"")</f>
        <v>0</v>
      </c>
      <c r="Y44">
        <f t="array" ref="Y44">IFERROR(CONCATENATE(TEXT(INDEX($X$7:$X$34,SMALL(IF($AA$7:$AA$34&lt;&gt;"",IF($X$7:$X$34&lt;&gt;"",ROW($X$7:$X$34)-MIN(ROW($X$7:$X$34))+1,""),""),ROW()-ROW(A$37)+1)),"##0"),","),"")</f>
        <v>0</v>
      </c>
      <c r="Z44">
        <f t="array" ref="Z44">IFERROR(CONCATENATE((INDEX($A$7:$A$34,SMALL(IF($AA$7:$AA$34&lt;&gt;"",IF($X$7:$X$34&lt;&gt;"",ROW($X$7:$X$34)-MIN(ROW($X$7:$X$34))+1,""),""),ROW()-ROW(A$37)+1))),),"")</f>
        <v>0</v>
      </c>
      <c r="AC44">
        <f t="array" ref="AC44">IFERROR(CONCATENATE((INDEX($AF$7:$AF$34,SMALL(IF($AF$7:$AF$34&lt;&gt;"",IF($AC$7:$AC$34&lt;&gt;"",ROW($AC$7:$AC$34)-MIN(ROW($AC$7:$AC$34))+1,""),""),ROW()-ROW(A$37)+1)))," "),"")</f>
        <v>0</v>
      </c>
      <c r="AD44">
        <f t="array" ref="AD44">IFERROR(CONCATENATE(TEXT(INDEX($AC$7:$AC$34,SMALL(IF($AF$7:$AF$34&lt;&gt;"",IF($AC$7:$AC$34&lt;&gt;"",ROW($AC$7:$AC$34)-MIN(ROW($AC$7:$AC$34))+1,""),""),ROW()-ROW(A$37)+1)),"##0")," "),"")</f>
        <v>0</v>
      </c>
      <c r="AE44">
        <f t="array" ref="AE44">IFERROR(CONCATENATE((INDEX($A$7:$A$34,SMALL(IF($AF$7:$AF$34&lt;&gt;"",IF($AC$7:$AC$34&lt;&gt;"",ROW($AC$7:$AC$34)-MIN(ROW($AC$7:$AC$34))+1,""),""),ROW()-ROW(A$37)+1))),),"")</f>
        <v>0</v>
      </c>
      <c r="AH44">
        <f t="array" ref="AH44">IFERROR(CONCATENATE((INDEX($AK$7:$AK$34,SMALL(IF($AK$7:$AK$34&lt;&gt;"",IF($AH$7:$AH$34&lt;&gt;"",ROW($AH$7:$AH$34)-MIN(ROW($AH$7:$AH$34))+1,""),""),ROW()-ROW(A$37)+1)))," "),"")</f>
        <v>0</v>
      </c>
      <c r="AI44">
        <f t="array" ref="AI44">IFERROR(CONCATENATE(TEXT(INDEX($AH$7:$AH$34,SMALL(IF($AK$7:$AK$34&lt;&gt;"",IF($AH$7:$AH$34&lt;&gt;"",ROW($AH$7:$AH$34)-MIN(ROW($AH$7:$AH$34))+1,""),""),ROW()-ROW(A$37)+1)),"##0")," "),"")</f>
        <v>0</v>
      </c>
      <c r="AJ44">
        <f t="array" ref="AJ44">IFERROR(CONCATENATE((INDEX($A$7:$A$34,SMALL(IF($AK$7:$AK$34&lt;&gt;"",IF($AH$7:$AH$34&lt;&gt;"",ROW($AH$7:$AH$34)-MIN(ROW($AH$7:$AH$34))+1,""),""),ROW()-ROW(A$37)+1))),),"")</f>
        <v>0</v>
      </c>
    </row>
    <row r="45" spans="1:36">
      <c r="I45">
        <f t="array" ref="I45">IFERROR(CONCATENATE(TEXT(INDEX($I$7:$I$34,SMALL(IF($L$7:$L$34&lt;&gt;"",IF($I$7:$I$34&lt;&gt;"",ROW($I$7:$I$34)-MIN(ROW($I$7:$I$34))+1,""),""),ROW()-ROW(A$37)+1)),"##0"),","),"")</f>
        <v>0</v>
      </c>
      <c r="J45">
        <f t="array" ref="J45">IFERROR(CONCATENATE((INDEX($L$7:$L$34,SMALL(IF($L$7:$L$34&lt;&gt;"",IF($I$7:$I$34&lt;&gt;"",ROW($I$7:$I$34)-MIN(ROW($I$7:$I$34))+1,""),""),ROW()-ROW(A$37)+1))),","),"")</f>
        <v>0</v>
      </c>
      <c r="K45">
        <f t="array" ref="K45">IFERROR(CONCATENATE((INDEX($A$7:$A$34,SMALL(IF($L$7:$L$34&lt;&gt;"",IF($I$7:$I$34&lt;&gt;"",ROW($I$7:$I$34)-MIN(ROW($I$7:$I$34))+1,""),""),ROW()-ROW(A$37)+1))),),"")</f>
        <v>0</v>
      </c>
      <c r="N45">
        <f t="array" ref="N45">IFERROR(CONCATENATE((INDEX($Q$7:$Q$34,SMALL(IF($Q$7:$Q$34&lt;&gt;"",IF($N$7:$N$34&lt;&gt;"",ROW($N$7:$N$34)-MIN(ROW($N$7:$N$34))+1,""),""),ROW()-ROW(A$37)+1)))," "),"")</f>
        <v>0</v>
      </c>
      <c r="O45">
        <f t="array" ref="O45">IFERROR(CONCATENATE(TEXT(INDEX($N$7:$N$34,SMALL(IF($Q$7:$Q$34&lt;&gt;"",IF($N$7:$N$34&lt;&gt;"",ROW($N$7:$N$34)-MIN(ROW($N$7:$N$34))+1,""),""),ROW()-ROW(A$37)+1)),"##0")," "),"")</f>
        <v>0</v>
      </c>
      <c r="P45">
        <f t="array" ref="P45">IFERROR(CONCATENATE((INDEX($A$7:$A$34,SMALL(IF($Q$7:$Q$34&lt;&gt;"",IF($N$7:$N$34&lt;&gt;"",ROW($N$7:$N$34)-MIN(ROW($N$7:$N$34))+1,""),""),ROW()-ROW(A$37)+1))),),"")</f>
        <v>0</v>
      </c>
      <c r="S45">
        <f t="array" ref="S45">IFERROR(CONCATENATE((INDEX($V$7:$V$34,SMALL(IF($V$7:$V$34&lt;&gt;"",IF($S$7:$S$34&lt;&gt;"",ROW($S$7:$S$34)-MIN(ROW($S$7:$S$34))+1,""),""),ROW()-ROW(A$37)+1)))," "),"")</f>
        <v>0</v>
      </c>
      <c r="T45">
        <f t="array" ref="T45">IFERROR(CONCATENATE(TEXT(INDEX($S$7:$S$34,SMALL(IF($V$7:$V$34&lt;&gt;"",IF($S$7:$S$34&lt;&gt;"",ROW($S$7:$S$34)-MIN(ROW($S$7:$S$34))+1,""),""),ROW()-ROW(A$37)+1)),"##0")," "),"")</f>
        <v>0</v>
      </c>
      <c r="U45">
        <f t="array" ref="U45">IFERROR(CONCATENATE((INDEX($A$7:$A$34,SMALL(IF($V$7:$V$34&lt;&gt;"",IF($S$7:$S$34&lt;&gt;"",ROW($S$7:$S$34)-MIN(ROW($S$7:$S$34))+1,""),""),ROW()-ROW(A$37)+1))),),"")</f>
        <v>0</v>
      </c>
      <c r="X45">
        <f t="array" ref="X45">IFERROR(CONCATENATE((INDEX($AA$7:$AA$34,SMALL(IF($AA$7:$AA$34&lt;&gt;"",IF($X$7:$X$34&lt;&gt;"",ROW($X$7:$X$34)-MIN(ROW($X$7:$X$34))+1,""),""),ROW()-ROW(A$37)+1))),","),"")</f>
        <v>0</v>
      </c>
      <c r="Y45">
        <f t="array" ref="Y45">IFERROR(CONCATENATE(TEXT(INDEX($X$7:$X$34,SMALL(IF($AA$7:$AA$34&lt;&gt;"",IF($X$7:$X$34&lt;&gt;"",ROW($X$7:$X$34)-MIN(ROW($X$7:$X$34))+1,""),""),ROW()-ROW(A$37)+1)),"##0"),","),"")</f>
        <v>0</v>
      </c>
      <c r="Z45">
        <f t="array" ref="Z45">IFERROR(CONCATENATE((INDEX($A$7:$A$34,SMALL(IF($AA$7:$AA$34&lt;&gt;"",IF($X$7:$X$34&lt;&gt;"",ROW($X$7:$X$34)-MIN(ROW($X$7:$X$34))+1,""),""),ROW()-ROW(A$37)+1))),),"")</f>
        <v>0</v>
      </c>
      <c r="AC45">
        <f t="array" ref="AC45">IFERROR(CONCATENATE((INDEX($AF$7:$AF$34,SMALL(IF($AF$7:$AF$34&lt;&gt;"",IF($AC$7:$AC$34&lt;&gt;"",ROW($AC$7:$AC$34)-MIN(ROW($AC$7:$AC$34))+1,""),""),ROW()-ROW(A$37)+1)))," "),"")</f>
        <v>0</v>
      </c>
      <c r="AD45">
        <f t="array" ref="AD45">IFERROR(CONCATENATE(TEXT(INDEX($AC$7:$AC$34,SMALL(IF($AF$7:$AF$34&lt;&gt;"",IF($AC$7:$AC$34&lt;&gt;"",ROW($AC$7:$AC$34)-MIN(ROW($AC$7:$AC$34))+1,""),""),ROW()-ROW(A$37)+1)),"##0")," "),"")</f>
        <v>0</v>
      </c>
      <c r="AE45">
        <f t="array" ref="AE45">IFERROR(CONCATENATE((INDEX($A$7:$A$34,SMALL(IF($AF$7:$AF$34&lt;&gt;"",IF($AC$7:$AC$34&lt;&gt;"",ROW($AC$7:$AC$34)-MIN(ROW($AC$7:$AC$34))+1,""),""),ROW()-ROW(A$37)+1))),),"")</f>
        <v>0</v>
      </c>
      <c r="AH45">
        <f t="array" ref="AH45">IFERROR(CONCATENATE((INDEX($AK$7:$AK$34,SMALL(IF($AK$7:$AK$34&lt;&gt;"",IF($AH$7:$AH$34&lt;&gt;"",ROW($AH$7:$AH$34)-MIN(ROW($AH$7:$AH$34))+1,""),""),ROW()-ROW(A$37)+1)))," "),"")</f>
        <v>0</v>
      </c>
      <c r="AI45">
        <f t="array" ref="AI45">IFERROR(CONCATENATE(TEXT(INDEX($AH$7:$AH$34,SMALL(IF($AK$7:$AK$34&lt;&gt;"",IF($AH$7:$AH$34&lt;&gt;"",ROW($AH$7:$AH$34)-MIN(ROW($AH$7:$AH$34))+1,""),""),ROW()-ROW(A$37)+1)),"##0")," "),"")</f>
        <v>0</v>
      </c>
      <c r="AJ45">
        <f t="array" ref="AJ45">IFERROR(CONCATENATE((INDEX($A$7:$A$34,SMALL(IF($AK$7:$AK$34&lt;&gt;"",IF($AH$7:$AH$34&lt;&gt;"",ROW($AH$7:$AH$34)-MIN(ROW($AH$7:$AH$34))+1,""),""),ROW()-ROW(A$37)+1))),),"")</f>
        <v>0</v>
      </c>
    </row>
    <row r="46" spans="1:36">
      <c r="I46">
        <f t="array" ref="I46">IFERROR(CONCATENATE(TEXT(INDEX($I$7:$I$34,SMALL(IF($L$7:$L$34&lt;&gt;"",IF($I$7:$I$34&lt;&gt;"",ROW($I$7:$I$34)-MIN(ROW($I$7:$I$34))+1,""),""),ROW()-ROW(A$37)+1)),"##0"),","),"")</f>
        <v>0</v>
      </c>
      <c r="J46">
        <f t="array" ref="J46">IFERROR(CONCATENATE((INDEX($L$7:$L$34,SMALL(IF($L$7:$L$34&lt;&gt;"",IF($I$7:$I$34&lt;&gt;"",ROW($I$7:$I$34)-MIN(ROW($I$7:$I$34))+1,""),""),ROW()-ROW(A$37)+1))),","),"")</f>
        <v>0</v>
      </c>
      <c r="K46">
        <f t="array" ref="K46">IFERROR(CONCATENATE((INDEX($A$7:$A$34,SMALL(IF($L$7:$L$34&lt;&gt;"",IF($I$7:$I$34&lt;&gt;"",ROW($I$7:$I$34)-MIN(ROW($I$7:$I$34))+1,""),""),ROW()-ROW(A$37)+1))),),"")</f>
        <v>0</v>
      </c>
      <c r="N46">
        <f t="array" ref="N46">IFERROR(CONCATENATE((INDEX($Q$7:$Q$34,SMALL(IF($Q$7:$Q$34&lt;&gt;"",IF($N$7:$N$34&lt;&gt;"",ROW($N$7:$N$34)-MIN(ROW($N$7:$N$34))+1,""),""),ROW()-ROW(A$37)+1)))," "),"")</f>
        <v>0</v>
      </c>
      <c r="O46">
        <f t="array" ref="O46">IFERROR(CONCATENATE(TEXT(INDEX($N$7:$N$34,SMALL(IF($Q$7:$Q$34&lt;&gt;"",IF($N$7:$N$34&lt;&gt;"",ROW($N$7:$N$34)-MIN(ROW($N$7:$N$34))+1,""),""),ROW()-ROW(A$37)+1)),"##0")," "),"")</f>
        <v>0</v>
      </c>
      <c r="P46">
        <f t="array" ref="P46">IFERROR(CONCATENATE((INDEX($A$7:$A$34,SMALL(IF($Q$7:$Q$34&lt;&gt;"",IF($N$7:$N$34&lt;&gt;"",ROW($N$7:$N$34)-MIN(ROW($N$7:$N$34))+1,""),""),ROW()-ROW(A$37)+1))),),"")</f>
        <v>0</v>
      </c>
      <c r="S46">
        <f t="array" ref="S46">IFERROR(CONCATENATE((INDEX($V$7:$V$34,SMALL(IF($V$7:$V$34&lt;&gt;"",IF($S$7:$S$34&lt;&gt;"",ROW($S$7:$S$34)-MIN(ROW($S$7:$S$34))+1,""),""),ROW()-ROW(A$37)+1)))," "),"")</f>
        <v>0</v>
      </c>
      <c r="T46">
        <f t="array" ref="T46">IFERROR(CONCATENATE(TEXT(INDEX($S$7:$S$34,SMALL(IF($V$7:$V$34&lt;&gt;"",IF($S$7:$S$34&lt;&gt;"",ROW($S$7:$S$34)-MIN(ROW($S$7:$S$34))+1,""),""),ROW()-ROW(A$37)+1)),"##0")," "),"")</f>
        <v>0</v>
      </c>
      <c r="U46">
        <f t="array" ref="U46">IFERROR(CONCATENATE((INDEX($A$7:$A$34,SMALL(IF($V$7:$V$34&lt;&gt;"",IF($S$7:$S$34&lt;&gt;"",ROW($S$7:$S$34)-MIN(ROW($S$7:$S$34))+1,""),""),ROW()-ROW(A$37)+1))),),"")</f>
        <v>0</v>
      </c>
      <c r="X46">
        <f t="array" ref="X46">IFERROR(CONCATENATE((INDEX($AA$7:$AA$34,SMALL(IF($AA$7:$AA$34&lt;&gt;"",IF($X$7:$X$34&lt;&gt;"",ROW($X$7:$X$34)-MIN(ROW($X$7:$X$34))+1,""),""),ROW()-ROW(A$37)+1))),","),"")</f>
        <v>0</v>
      </c>
      <c r="Y46">
        <f t="array" ref="Y46">IFERROR(CONCATENATE(TEXT(INDEX($X$7:$X$34,SMALL(IF($AA$7:$AA$34&lt;&gt;"",IF($X$7:$X$34&lt;&gt;"",ROW($X$7:$X$34)-MIN(ROW($X$7:$X$34))+1,""),""),ROW()-ROW(A$37)+1)),"##0"),","),"")</f>
        <v>0</v>
      </c>
      <c r="Z46">
        <f t="array" ref="Z46">IFERROR(CONCATENATE((INDEX($A$7:$A$34,SMALL(IF($AA$7:$AA$34&lt;&gt;"",IF($X$7:$X$34&lt;&gt;"",ROW($X$7:$X$34)-MIN(ROW($X$7:$X$34))+1,""),""),ROW()-ROW(A$37)+1))),),"")</f>
        <v>0</v>
      </c>
      <c r="AC46">
        <f t="array" ref="AC46">IFERROR(CONCATENATE((INDEX($AF$7:$AF$34,SMALL(IF($AF$7:$AF$34&lt;&gt;"",IF($AC$7:$AC$34&lt;&gt;"",ROW($AC$7:$AC$34)-MIN(ROW($AC$7:$AC$34))+1,""),""),ROW()-ROW(A$37)+1)))," "),"")</f>
        <v>0</v>
      </c>
      <c r="AD46">
        <f t="array" ref="AD46">IFERROR(CONCATENATE(TEXT(INDEX($AC$7:$AC$34,SMALL(IF($AF$7:$AF$34&lt;&gt;"",IF($AC$7:$AC$34&lt;&gt;"",ROW($AC$7:$AC$34)-MIN(ROW($AC$7:$AC$34))+1,""),""),ROW()-ROW(A$37)+1)),"##0")," "),"")</f>
        <v>0</v>
      </c>
      <c r="AE46">
        <f t="array" ref="AE46">IFERROR(CONCATENATE((INDEX($A$7:$A$34,SMALL(IF($AF$7:$AF$34&lt;&gt;"",IF($AC$7:$AC$34&lt;&gt;"",ROW($AC$7:$AC$34)-MIN(ROW($AC$7:$AC$34))+1,""),""),ROW()-ROW(A$37)+1))),),"")</f>
        <v>0</v>
      </c>
      <c r="AH46">
        <f t="array" ref="AH46">IFERROR(CONCATENATE((INDEX($AK$7:$AK$34,SMALL(IF($AK$7:$AK$34&lt;&gt;"",IF($AH$7:$AH$34&lt;&gt;"",ROW($AH$7:$AH$34)-MIN(ROW($AH$7:$AH$34))+1,""),""),ROW()-ROW(A$37)+1)))," "),"")</f>
        <v>0</v>
      </c>
      <c r="AI46">
        <f t="array" ref="AI46">IFERROR(CONCATENATE(TEXT(INDEX($AH$7:$AH$34,SMALL(IF($AK$7:$AK$34&lt;&gt;"",IF($AH$7:$AH$34&lt;&gt;"",ROW($AH$7:$AH$34)-MIN(ROW($AH$7:$AH$34))+1,""),""),ROW()-ROW(A$37)+1)),"##0")," "),"")</f>
        <v>0</v>
      </c>
      <c r="AJ46">
        <f t="array" ref="AJ46">IFERROR(CONCATENATE((INDEX($A$7:$A$34,SMALL(IF($AK$7:$AK$34&lt;&gt;"",IF($AH$7:$AH$34&lt;&gt;"",ROW($AH$7:$AH$34)-MIN(ROW($AH$7:$AH$34))+1,""),""),ROW()-ROW(A$37)+1))),),"")</f>
        <v>0</v>
      </c>
    </row>
    <row r="47" spans="1:36">
      <c r="I47">
        <f t="array" ref="I47">IFERROR(CONCATENATE(TEXT(INDEX($I$7:$I$34,SMALL(IF($L$7:$L$34&lt;&gt;"",IF($I$7:$I$34&lt;&gt;"",ROW($I$7:$I$34)-MIN(ROW($I$7:$I$34))+1,""),""),ROW()-ROW(A$37)+1)),"##0"),","),"")</f>
        <v>0</v>
      </c>
      <c r="J47">
        <f t="array" ref="J47">IFERROR(CONCATENATE((INDEX($L$7:$L$34,SMALL(IF($L$7:$L$34&lt;&gt;"",IF($I$7:$I$34&lt;&gt;"",ROW($I$7:$I$34)-MIN(ROW($I$7:$I$34))+1,""),""),ROW()-ROW(A$37)+1))),","),"")</f>
        <v>0</v>
      </c>
      <c r="K47">
        <f t="array" ref="K47">IFERROR(CONCATENATE((INDEX($A$7:$A$34,SMALL(IF($L$7:$L$34&lt;&gt;"",IF($I$7:$I$34&lt;&gt;"",ROW($I$7:$I$34)-MIN(ROW($I$7:$I$34))+1,""),""),ROW()-ROW(A$37)+1))),),"")</f>
        <v>0</v>
      </c>
      <c r="N47">
        <f t="array" ref="N47">IFERROR(CONCATENATE((INDEX($Q$7:$Q$34,SMALL(IF($Q$7:$Q$34&lt;&gt;"",IF($N$7:$N$34&lt;&gt;"",ROW($N$7:$N$34)-MIN(ROW($N$7:$N$34))+1,""),""),ROW()-ROW(A$37)+1)))," "),"")</f>
        <v>0</v>
      </c>
      <c r="O47">
        <f t="array" ref="O47">IFERROR(CONCATENATE(TEXT(INDEX($N$7:$N$34,SMALL(IF($Q$7:$Q$34&lt;&gt;"",IF($N$7:$N$34&lt;&gt;"",ROW($N$7:$N$34)-MIN(ROW($N$7:$N$34))+1,""),""),ROW()-ROW(A$37)+1)),"##0")," "),"")</f>
        <v>0</v>
      </c>
      <c r="P47">
        <f t="array" ref="P47">IFERROR(CONCATENATE((INDEX($A$7:$A$34,SMALL(IF($Q$7:$Q$34&lt;&gt;"",IF($N$7:$N$34&lt;&gt;"",ROW($N$7:$N$34)-MIN(ROW($N$7:$N$34))+1,""),""),ROW()-ROW(A$37)+1))),),"")</f>
        <v>0</v>
      </c>
      <c r="S47">
        <f t="array" ref="S47">IFERROR(CONCATENATE((INDEX($V$7:$V$34,SMALL(IF($V$7:$V$34&lt;&gt;"",IF($S$7:$S$34&lt;&gt;"",ROW($S$7:$S$34)-MIN(ROW($S$7:$S$34))+1,""),""),ROW()-ROW(A$37)+1)))," "),"")</f>
        <v>0</v>
      </c>
      <c r="T47">
        <f t="array" ref="T47">IFERROR(CONCATENATE(TEXT(INDEX($S$7:$S$34,SMALL(IF($V$7:$V$34&lt;&gt;"",IF($S$7:$S$34&lt;&gt;"",ROW($S$7:$S$34)-MIN(ROW($S$7:$S$34))+1,""),""),ROW()-ROW(A$37)+1)),"##0")," "),"")</f>
        <v>0</v>
      </c>
      <c r="U47">
        <f t="array" ref="U47">IFERROR(CONCATENATE((INDEX($A$7:$A$34,SMALL(IF($V$7:$V$34&lt;&gt;"",IF($S$7:$S$34&lt;&gt;"",ROW($S$7:$S$34)-MIN(ROW($S$7:$S$34))+1,""),""),ROW()-ROW(A$37)+1))),),"")</f>
        <v>0</v>
      </c>
      <c r="X47">
        <f t="array" ref="X47">IFERROR(CONCATENATE((INDEX($AA$7:$AA$34,SMALL(IF($AA$7:$AA$34&lt;&gt;"",IF($X$7:$X$34&lt;&gt;"",ROW($X$7:$X$34)-MIN(ROW($X$7:$X$34))+1,""),""),ROW()-ROW(A$37)+1))),","),"")</f>
        <v>0</v>
      </c>
      <c r="Y47">
        <f t="array" ref="Y47">IFERROR(CONCATENATE(TEXT(INDEX($X$7:$X$34,SMALL(IF($AA$7:$AA$34&lt;&gt;"",IF($X$7:$X$34&lt;&gt;"",ROW($X$7:$X$34)-MIN(ROW($X$7:$X$34))+1,""),""),ROW()-ROW(A$37)+1)),"##0"),","),"")</f>
        <v>0</v>
      </c>
      <c r="Z47">
        <f t="array" ref="Z47">IFERROR(CONCATENATE((INDEX($A$7:$A$34,SMALL(IF($AA$7:$AA$34&lt;&gt;"",IF($X$7:$X$34&lt;&gt;"",ROW($X$7:$X$34)-MIN(ROW($X$7:$X$34))+1,""),""),ROW()-ROW(A$37)+1))),),"")</f>
        <v>0</v>
      </c>
      <c r="AC47">
        <f t="array" ref="AC47">IFERROR(CONCATENATE((INDEX($AF$7:$AF$34,SMALL(IF($AF$7:$AF$34&lt;&gt;"",IF($AC$7:$AC$34&lt;&gt;"",ROW($AC$7:$AC$34)-MIN(ROW($AC$7:$AC$34))+1,""),""),ROW()-ROW(A$37)+1)))," "),"")</f>
        <v>0</v>
      </c>
      <c r="AD47">
        <f t="array" ref="AD47">IFERROR(CONCATENATE(TEXT(INDEX($AC$7:$AC$34,SMALL(IF($AF$7:$AF$34&lt;&gt;"",IF($AC$7:$AC$34&lt;&gt;"",ROW($AC$7:$AC$34)-MIN(ROW($AC$7:$AC$34))+1,""),""),ROW()-ROW(A$37)+1)),"##0")," "),"")</f>
        <v>0</v>
      </c>
      <c r="AE47">
        <f t="array" ref="AE47">IFERROR(CONCATENATE((INDEX($A$7:$A$34,SMALL(IF($AF$7:$AF$34&lt;&gt;"",IF($AC$7:$AC$34&lt;&gt;"",ROW($AC$7:$AC$34)-MIN(ROW($AC$7:$AC$34))+1,""),""),ROW()-ROW(A$37)+1))),),"")</f>
        <v>0</v>
      </c>
      <c r="AH47">
        <f t="array" ref="AH47">IFERROR(CONCATENATE((INDEX($AK$7:$AK$34,SMALL(IF($AK$7:$AK$34&lt;&gt;"",IF($AH$7:$AH$34&lt;&gt;"",ROW($AH$7:$AH$34)-MIN(ROW($AH$7:$AH$34))+1,""),""),ROW()-ROW(A$37)+1)))," "),"")</f>
        <v>0</v>
      </c>
      <c r="AI47">
        <f t="array" ref="AI47">IFERROR(CONCATENATE(TEXT(INDEX($AH$7:$AH$34,SMALL(IF($AK$7:$AK$34&lt;&gt;"",IF($AH$7:$AH$34&lt;&gt;"",ROW($AH$7:$AH$34)-MIN(ROW($AH$7:$AH$34))+1,""),""),ROW()-ROW(A$37)+1)),"##0")," "),"")</f>
        <v>0</v>
      </c>
      <c r="AJ47">
        <f t="array" ref="AJ47">IFERROR(CONCATENATE((INDEX($A$7:$A$34,SMALL(IF($AK$7:$AK$34&lt;&gt;"",IF($AH$7:$AH$34&lt;&gt;"",ROW($AH$7:$AH$34)-MIN(ROW($AH$7:$AH$34))+1,""),""),ROW()-ROW(A$37)+1))),),"")</f>
        <v>0</v>
      </c>
    </row>
    <row r="48" spans="1:36">
      <c r="I48">
        <f t="array" ref="I48">IFERROR(CONCATENATE(TEXT(INDEX($I$7:$I$34,SMALL(IF($L$7:$L$34&lt;&gt;"",IF($I$7:$I$34&lt;&gt;"",ROW($I$7:$I$34)-MIN(ROW($I$7:$I$34))+1,""),""),ROW()-ROW(A$37)+1)),"##0"),","),"")</f>
        <v>0</v>
      </c>
      <c r="J48">
        <f t="array" ref="J48">IFERROR(CONCATENATE((INDEX($L$7:$L$34,SMALL(IF($L$7:$L$34&lt;&gt;"",IF($I$7:$I$34&lt;&gt;"",ROW($I$7:$I$34)-MIN(ROW($I$7:$I$34))+1,""),""),ROW()-ROW(A$37)+1))),","),"")</f>
        <v>0</v>
      </c>
      <c r="K48">
        <f t="array" ref="K48">IFERROR(CONCATENATE((INDEX($A$7:$A$34,SMALL(IF($L$7:$L$34&lt;&gt;"",IF($I$7:$I$34&lt;&gt;"",ROW($I$7:$I$34)-MIN(ROW($I$7:$I$34))+1,""),""),ROW()-ROW(A$37)+1))),),"")</f>
        <v>0</v>
      </c>
      <c r="N48">
        <f t="array" ref="N48">IFERROR(CONCATENATE((INDEX($Q$7:$Q$34,SMALL(IF($Q$7:$Q$34&lt;&gt;"",IF($N$7:$N$34&lt;&gt;"",ROW($N$7:$N$34)-MIN(ROW($N$7:$N$34))+1,""),""),ROW()-ROW(A$37)+1)))," "),"")</f>
        <v>0</v>
      </c>
      <c r="O48">
        <f t="array" ref="O48">IFERROR(CONCATENATE(TEXT(INDEX($N$7:$N$34,SMALL(IF($Q$7:$Q$34&lt;&gt;"",IF($N$7:$N$34&lt;&gt;"",ROW($N$7:$N$34)-MIN(ROW($N$7:$N$34))+1,""),""),ROW()-ROW(A$37)+1)),"##0")," "),"")</f>
        <v>0</v>
      </c>
      <c r="P48">
        <f t="array" ref="P48">IFERROR(CONCATENATE((INDEX($A$7:$A$34,SMALL(IF($Q$7:$Q$34&lt;&gt;"",IF($N$7:$N$34&lt;&gt;"",ROW($N$7:$N$34)-MIN(ROW($N$7:$N$34))+1,""),""),ROW()-ROW(A$37)+1))),),"")</f>
        <v>0</v>
      </c>
      <c r="S48">
        <f t="array" ref="S48">IFERROR(CONCATENATE((INDEX($V$7:$V$34,SMALL(IF($V$7:$V$34&lt;&gt;"",IF($S$7:$S$34&lt;&gt;"",ROW($S$7:$S$34)-MIN(ROW($S$7:$S$34))+1,""),""),ROW()-ROW(A$37)+1)))," "),"")</f>
        <v>0</v>
      </c>
      <c r="T48">
        <f t="array" ref="T48">IFERROR(CONCATENATE(TEXT(INDEX($S$7:$S$34,SMALL(IF($V$7:$V$34&lt;&gt;"",IF($S$7:$S$34&lt;&gt;"",ROW($S$7:$S$34)-MIN(ROW($S$7:$S$34))+1,""),""),ROW()-ROW(A$37)+1)),"##0")," "),"")</f>
        <v>0</v>
      </c>
      <c r="U48">
        <f t="array" ref="U48">IFERROR(CONCATENATE((INDEX($A$7:$A$34,SMALL(IF($V$7:$V$34&lt;&gt;"",IF($S$7:$S$34&lt;&gt;"",ROW($S$7:$S$34)-MIN(ROW($S$7:$S$34))+1,""),""),ROW()-ROW(A$37)+1))),),"")</f>
        <v>0</v>
      </c>
      <c r="X48">
        <f t="array" ref="X48">IFERROR(CONCATENATE((INDEX($AA$7:$AA$34,SMALL(IF($AA$7:$AA$34&lt;&gt;"",IF($X$7:$X$34&lt;&gt;"",ROW($X$7:$X$34)-MIN(ROW($X$7:$X$34))+1,""),""),ROW()-ROW(A$37)+1))),","),"")</f>
        <v>0</v>
      </c>
      <c r="Y48">
        <f t="array" ref="Y48">IFERROR(CONCATENATE(TEXT(INDEX($X$7:$X$34,SMALL(IF($AA$7:$AA$34&lt;&gt;"",IF($X$7:$X$34&lt;&gt;"",ROW($X$7:$X$34)-MIN(ROW($X$7:$X$34))+1,""),""),ROW()-ROW(A$37)+1)),"##0"),","),"")</f>
        <v>0</v>
      </c>
      <c r="Z48">
        <f t="array" ref="Z48">IFERROR(CONCATENATE((INDEX($A$7:$A$34,SMALL(IF($AA$7:$AA$34&lt;&gt;"",IF($X$7:$X$34&lt;&gt;"",ROW($X$7:$X$34)-MIN(ROW($X$7:$X$34))+1,""),""),ROW()-ROW(A$37)+1))),),"")</f>
        <v>0</v>
      </c>
      <c r="AC48">
        <f t="array" ref="AC48">IFERROR(CONCATENATE((INDEX($AF$7:$AF$34,SMALL(IF($AF$7:$AF$34&lt;&gt;"",IF($AC$7:$AC$34&lt;&gt;"",ROW($AC$7:$AC$34)-MIN(ROW($AC$7:$AC$34))+1,""),""),ROW()-ROW(A$37)+1)))," "),"")</f>
        <v>0</v>
      </c>
      <c r="AD48">
        <f t="array" ref="AD48">IFERROR(CONCATENATE(TEXT(INDEX($AC$7:$AC$34,SMALL(IF($AF$7:$AF$34&lt;&gt;"",IF($AC$7:$AC$34&lt;&gt;"",ROW($AC$7:$AC$34)-MIN(ROW($AC$7:$AC$34))+1,""),""),ROW()-ROW(A$37)+1)),"##0")," "),"")</f>
        <v>0</v>
      </c>
      <c r="AE48">
        <f t="array" ref="AE48">IFERROR(CONCATENATE((INDEX($A$7:$A$34,SMALL(IF($AF$7:$AF$34&lt;&gt;"",IF($AC$7:$AC$34&lt;&gt;"",ROW($AC$7:$AC$34)-MIN(ROW($AC$7:$AC$34))+1,""),""),ROW()-ROW(A$37)+1))),),"")</f>
        <v>0</v>
      </c>
      <c r="AH48">
        <f t="array" ref="AH48">IFERROR(CONCATENATE((INDEX($AK$7:$AK$34,SMALL(IF($AK$7:$AK$34&lt;&gt;"",IF($AH$7:$AH$34&lt;&gt;"",ROW($AH$7:$AH$34)-MIN(ROW($AH$7:$AH$34))+1,""),""),ROW()-ROW(A$37)+1)))," "),"")</f>
        <v>0</v>
      </c>
      <c r="AI48">
        <f t="array" ref="AI48">IFERROR(CONCATENATE(TEXT(INDEX($AH$7:$AH$34,SMALL(IF($AK$7:$AK$34&lt;&gt;"",IF($AH$7:$AH$34&lt;&gt;"",ROW($AH$7:$AH$34)-MIN(ROW($AH$7:$AH$34))+1,""),""),ROW()-ROW(A$37)+1)),"##0")," "),"")</f>
        <v>0</v>
      </c>
      <c r="AJ48">
        <f t="array" ref="AJ48">IFERROR(CONCATENATE((INDEX($A$7:$A$34,SMALL(IF($AK$7:$AK$34&lt;&gt;"",IF($AH$7:$AH$34&lt;&gt;"",ROW($AH$7:$AH$34)-MIN(ROW($AH$7:$AH$34))+1,""),""),ROW()-ROW(A$37)+1))),),"")</f>
        <v>0</v>
      </c>
    </row>
    <row r="49" spans="9:36">
      <c r="I49">
        <f t="array" ref="I49">IFERROR(CONCATENATE(TEXT(INDEX($I$7:$I$34,SMALL(IF($L$7:$L$34&lt;&gt;"",IF($I$7:$I$34&lt;&gt;"",ROW($I$7:$I$34)-MIN(ROW($I$7:$I$34))+1,""),""),ROW()-ROW(A$37)+1)),"##0"),","),"")</f>
        <v>0</v>
      </c>
      <c r="J49">
        <f t="array" ref="J49">IFERROR(CONCATENATE((INDEX($L$7:$L$34,SMALL(IF($L$7:$L$34&lt;&gt;"",IF($I$7:$I$34&lt;&gt;"",ROW($I$7:$I$34)-MIN(ROW($I$7:$I$34))+1,""),""),ROW()-ROW(A$37)+1))),","),"")</f>
        <v>0</v>
      </c>
      <c r="K49">
        <f t="array" ref="K49">IFERROR(CONCATENATE((INDEX($A$7:$A$34,SMALL(IF($L$7:$L$34&lt;&gt;"",IF($I$7:$I$34&lt;&gt;"",ROW($I$7:$I$34)-MIN(ROW($I$7:$I$34))+1,""),""),ROW()-ROW(A$37)+1))),),"")</f>
        <v>0</v>
      </c>
      <c r="N49">
        <f t="array" ref="N49">IFERROR(CONCATENATE((INDEX($Q$7:$Q$34,SMALL(IF($Q$7:$Q$34&lt;&gt;"",IF($N$7:$N$34&lt;&gt;"",ROW($N$7:$N$34)-MIN(ROW($N$7:$N$34))+1,""),""),ROW()-ROW(A$37)+1)))," "),"")</f>
        <v>0</v>
      </c>
      <c r="O49">
        <f t="array" ref="O49">IFERROR(CONCATENATE(TEXT(INDEX($N$7:$N$34,SMALL(IF($Q$7:$Q$34&lt;&gt;"",IF($N$7:$N$34&lt;&gt;"",ROW($N$7:$N$34)-MIN(ROW($N$7:$N$34))+1,""),""),ROW()-ROW(A$37)+1)),"##0")," "),"")</f>
        <v>0</v>
      </c>
      <c r="P49">
        <f t="array" ref="P49">IFERROR(CONCATENATE((INDEX($A$7:$A$34,SMALL(IF($Q$7:$Q$34&lt;&gt;"",IF($N$7:$N$34&lt;&gt;"",ROW($N$7:$N$34)-MIN(ROW($N$7:$N$34))+1,""),""),ROW()-ROW(A$37)+1))),),"")</f>
        <v>0</v>
      </c>
      <c r="S49">
        <f t="array" ref="S49">IFERROR(CONCATENATE((INDEX($V$7:$V$34,SMALL(IF($V$7:$V$34&lt;&gt;"",IF($S$7:$S$34&lt;&gt;"",ROW($S$7:$S$34)-MIN(ROW($S$7:$S$34))+1,""),""),ROW()-ROW(A$37)+1)))," "),"")</f>
        <v>0</v>
      </c>
      <c r="T49">
        <f t="array" ref="T49">IFERROR(CONCATENATE(TEXT(INDEX($S$7:$S$34,SMALL(IF($V$7:$V$34&lt;&gt;"",IF($S$7:$S$34&lt;&gt;"",ROW($S$7:$S$34)-MIN(ROW($S$7:$S$34))+1,""),""),ROW()-ROW(A$37)+1)),"##0")," "),"")</f>
        <v>0</v>
      </c>
      <c r="U49">
        <f t="array" ref="U49">IFERROR(CONCATENATE((INDEX($A$7:$A$34,SMALL(IF($V$7:$V$34&lt;&gt;"",IF($S$7:$S$34&lt;&gt;"",ROW($S$7:$S$34)-MIN(ROW($S$7:$S$34))+1,""),""),ROW()-ROW(A$37)+1))),),"")</f>
        <v>0</v>
      </c>
      <c r="X49">
        <f t="array" ref="X49">IFERROR(CONCATENATE((INDEX($AA$7:$AA$34,SMALL(IF($AA$7:$AA$34&lt;&gt;"",IF($X$7:$X$34&lt;&gt;"",ROW($X$7:$X$34)-MIN(ROW($X$7:$X$34))+1,""),""),ROW()-ROW(A$37)+1))),","),"")</f>
        <v>0</v>
      </c>
      <c r="Y49">
        <f t="array" ref="Y49">IFERROR(CONCATENATE(TEXT(INDEX($X$7:$X$34,SMALL(IF($AA$7:$AA$34&lt;&gt;"",IF($X$7:$X$34&lt;&gt;"",ROW($X$7:$X$34)-MIN(ROW($X$7:$X$34))+1,""),""),ROW()-ROW(A$37)+1)),"##0"),","),"")</f>
        <v>0</v>
      </c>
      <c r="Z49">
        <f t="array" ref="Z49">IFERROR(CONCATENATE((INDEX($A$7:$A$34,SMALL(IF($AA$7:$AA$34&lt;&gt;"",IF($X$7:$X$34&lt;&gt;"",ROW($X$7:$X$34)-MIN(ROW($X$7:$X$34))+1,""),""),ROW()-ROW(A$37)+1))),),"")</f>
        <v>0</v>
      </c>
      <c r="AC49">
        <f t="array" ref="AC49">IFERROR(CONCATENATE((INDEX($AF$7:$AF$34,SMALL(IF($AF$7:$AF$34&lt;&gt;"",IF($AC$7:$AC$34&lt;&gt;"",ROW($AC$7:$AC$34)-MIN(ROW($AC$7:$AC$34))+1,""),""),ROW()-ROW(A$37)+1)))," "),"")</f>
        <v>0</v>
      </c>
      <c r="AD49">
        <f t="array" ref="AD49">IFERROR(CONCATENATE(TEXT(INDEX($AC$7:$AC$34,SMALL(IF($AF$7:$AF$34&lt;&gt;"",IF($AC$7:$AC$34&lt;&gt;"",ROW($AC$7:$AC$34)-MIN(ROW($AC$7:$AC$34))+1,""),""),ROW()-ROW(A$37)+1)),"##0")," "),"")</f>
        <v>0</v>
      </c>
      <c r="AE49">
        <f t="array" ref="AE49">IFERROR(CONCATENATE((INDEX($A$7:$A$34,SMALL(IF($AF$7:$AF$34&lt;&gt;"",IF($AC$7:$AC$34&lt;&gt;"",ROW($AC$7:$AC$34)-MIN(ROW($AC$7:$AC$34))+1,""),""),ROW()-ROW(A$37)+1))),),"")</f>
        <v>0</v>
      </c>
      <c r="AH49">
        <f t="array" ref="AH49">IFERROR(CONCATENATE((INDEX($AK$7:$AK$34,SMALL(IF($AK$7:$AK$34&lt;&gt;"",IF($AH$7:$AH$34&lt;&gt;"",ROW($AH$7:$AH$34)-MIN(ROW($AH$7:$AH$34))+1,""),""),ROW()-ROW(A$37)+1)))," "),"")</f>
        <v>0</v>
      </c>
      <c r="AI49">
        <f t="array" ref="AI49">IFERROR(CONCATENATE(TEXT(INDEX($AH$7:$AH$34,SMALL(IF($AK$7:$AK$34&lt;&gt;"",IF($AH$7:$AH$34&lt;&gt;"",ROW($AH$7:$AH$34)-MIN(ROW($AH$7:$AH$34))+1,""),""),ROW()-ROW(A$37)+1)),"##0")," "),"")</f>
        <v>0</v>
      </c>
      <c r="AJ49">
        <f t="array" ref="AJ49">IFERROR(CONCATENATE((INDEX($A$7:$A$34,SMALL(IF($AK$7:$AK$34&lt;&gt;"",IF($AH$7:$AH$34&lt;&gt;"",ROW($AH$7:$AH$34)-MIN(ROW($AH$7:$AH$34))+1,""),""),ROW()-ROW(A$37)+1))),),"")</f>
        <v>0</v>
      </c>
    </row>
    <row r="50" spans="9:36">
      <c r="I50">
        <f t="array" ref="I50">IFERROR(CONCATENATE(TEXT(INDEX($I$7:$I$34,SMALL(IF($L$7:$L$34&lt;&gt;"",IF($I$7:$I$34&lt;&gt;"",ROW($I$7:$I$34)-MIN(ROW($I$7:$I$34))+1,""),""),ROW()-ROW(A$37)+1)),"##0"),","),"")</f>
        <v>0</v>
      </c>
      <c r="J50">
        <f t="array" ref="J50">IFERROR(CONCATENATE((INDEX($L$7:$L$34,SMALL(IF($L$7:$L$34&lt;&gt;"",IF($I$7:$I$34&lt;&gt;"",ROW($I$7:$I$34)-MIN(ROW($I$7:$I$34))+1,""),""),ROW()-ROW(A$37)+1))),","),"")</f>
        <v>0</v>
      </c>
      <c r="K50">
        <f t="array" ref="K50">IFERROR(CONCATENATE((INDEX($A$7:$A$34,SMALL(IF($L$7:$L$34&lt;&gt;"",IF($I$7:$I$34&lt;&gt;"",ROW($I$7:$I$34)-MIN(ROW($I$7:$I$34))+1,""),""),ROW()-ROW(A$37)+1))),),"")</f>
        <v>0</v>
      </c>
      <c r="N50">
        <f t="array" ref="N50">IFERROR(CONCATENATE((INDEX($Q$7:$Q$34,SMALL(IF($Q$7:$Q$34&lt;&gt;"",IF($N$7:$N$34&lt;&gt;"",ROW($N$7:$N$34)-MIN(ROW($N$7:$N$34))+1,""),""),ROW()-ROW(A$37)+1)))," "),"")</f>
        <v>0</v>
      </c>
      <c r="O50">
        <f t="array" ref="O50">IFERROR(CONCATENATE(TEXT(INDEX($N$7:$N$34,SMALL(IF($Q$7:$Q$34&lt;&gt;"",IF($N$7:$N$34&lt;&gt;"",ROW($N$7:$N$34)-MIN(ROW($N$7:$N$34))+1,""),""),ROW()-ROW(A$37)+1)),"##0")," "),"")</f>
        <v>0</v>
      </c>
      <c r="P50">
        <f t="array" ref="P50">IFERROR(CONCATENATE((INDEX($A$7:$A$34,SMALL(IF($Q$7:$Q$34&lt;&gt;"",IF($N$7:$N$34&lt;&gt;"",ROW($N$7:$N$34)-MIN(ROW($N$7:$N$34))+1,""),""),ROW()-ROW(A$37)+1))),),"")</f>
        <v>0</v>
      </c>
      <c r="S50">
        <f t="array" ref="S50">IFERROR(CONCATENATE((INDEX($V$7:$V$34,SMALL(IF($V$7:$V$34&lt;&gt;"",IF($S$7:$S$34&lt;&gt;"",ROW($S$7:$S$34)-MIN(ROW($S$7:$S$34))+1,""),""),ROW()-ROW(A$37)+1)))," "),"")</f>
        <v>0</v>
      </c>
      <c r="T50">
        <f t="array" ref="T50">IFERROR(CONCATENATE(TEXT(INDEX($S$7:$S$34,SMALL(IF($V$7:$V$34&lt;&gt;"",IF($S$7:$S$34&lt;&gt;"",ROW($S$7:$S$34)-MIN(ROW($S$7:$S$34))+1,""),""),ROW()-ROW(A$37)+1)),"##0")," "),"")</f>
        <v>0</v>
      </c>
      <c r="U50">
        <f t="array" ref="U50">IFERROR(CONCATENATE((INDEX($A$7:$A$34,SMALL(IF($V$7:$V$34&lt;&gt;"",IF($S$7:$S$34&lt;&gt;"",ROW($S$7:$S$34)-MIN(ROW($S$7:$S$34))+1,""),""),ROW()-ROW(A$37)+1))),),"")</f>
        <v>0</v>
      </c>
      <c r="X50">
        <f t="array" ref="X50">IFERROR(CONCATENATE((INDEX($AA$7:$AA$34,SMALL(IF($AA$7:$AA$34&lt;&gt;"",IF($X$7:$X$34&lt;&gt;"",ROW($X$7:$X$34)-MIN(ROW($X$7:$X$34))+1,""),""),ROW()-ROW(A$37)+1))),","),"")</f>
        <v>0</v>
      </c>
      <c r="Y50">
        <f t="array" ref="Y50">IFERROR(CONCATENATE(TEXT(INDEX($X$7:$X$34,SMALL(IF($AA$7:$AA$34&lt;&gt;"",IF($X$7:$X$34&lt;&gt;"",ROW($X$7:$X$34)-MIN(ROW($X$7:$X$34))+1,""),""),ROW()-ROW(A$37)+1)),"##0"),","),"")</f>
        <v>0</v>
      </c>
      <c r="Z50">
        <f t="array" ref="Z50">IFERROR(CONCATENATE((INDEX($A$7:$A$34,SMALL(IF($AA$7:$AA$34&lt;&gt;"",IF($X$7:$X$34&lt;&gt;"",ROW($X$7:$X$34)-MIN(ROW($X$7:$X$34))+1,""),""),ROW()-ROW(A$37)+1))),),"")</f>
        <v>0</v>
      </c>
      <c r="AC50">
        <f t="array" ref="AC50">IFERROR(CONCATENATE((INDEX($AF$7:$AF$34,SMALL(IF($AF$7:$AF$34&lt;&gt;"",IF($AC$7:$AC$34&lt;&gt;"",ROW($AC$7:$AC$34)-MIN(ROW($AC$7:$AC$34))+1,""),""),ROW()-ROW(A$37)+1)))," "),"")</f>
        <v>0</v>
      </c>
      <c r="AD50">
        <f t="array" ref="AD50">IFERROR(CONCATENATE(TEXT(INDEX($AC$7:$AC$34,SMALL(IF($AF$7:$AF$34&lt;&gt;"",IF($AC$7:$AC$34&lt;&gt;"",ROW($AC$7:$AC$34)-MIN(ROW($AC$7:$AC$34))+1,""),""),ROW()-ROW(A$37)+1)),"##0")," "),"")</f>
        <v>0</v>
      </c>
      <c r="AE50">
        <f t="array" ref="AE50">IFERROR(CONCATENATE((INDEX($A$7:$A$34,SMALL(IF($AF$7:$AF$34&lt;&gt;"",IF($AC$7:$AC$34&lt;&gt;"",ROW($AC$7:$AC$34)-MIN(ROW($AC$7:$AC$34))+1,""),""),ROW()-ROW(A$37)+1))),),"")</f>
        <v>0</v>
      </c>
      <c r="AH50">
        <f t="array" ref="AH50">IFERROR(CONCATENATE((INDEX($AK$7:$AK$34,SMALL(IF($AK$7:$AK$34&lt;&gt;"",IF($AH$7:$AH$34&lt;&gt;"",ROW($AH$7:$AH$34)-MIN(ROW($AH$7:$AH$34))+1,""),""),ROW()-ROW(A$37)+1)))," "),"")</f>
        <v>0</v>
      </c>
      <c r="AI50">
        <f t="array" ref="AI50">IFERROR(CONCATENATE(TEXT(INDEX($AH$7:$AH$34,SMALL(IF($AK$7:$AK$34&lt;&gt;"",IF($AH$7:$AH$34&lt;&gt;"",ROW($AH$7:$AH$34)-MIN(ROW($AH$7:$AH$34))+1,""),""),ROW()-ROW(A$37)+1)),"##0")," "),"")</f>
        <v>0</v>
      </c>
      <c r="AJ50">
        <f t="array" ref="AJ50">IFERROR(CONCATENATE((INDEX($A$7:$A$34,SMALL(IF($AK$7:$AK$34&lt;&gt;"",IF($AH$7:$AH$34&lt;&gt;"",ROW($AH$7:$AH$34)-MIN(ROW($AH$7:$AH$34))+1,""),""),ROW()-ROW(A$37)+1))),),"")</f>
        <v>0</v>
      </c>
    </row>
    <row r="51" spans="9:36">
      <c r="I51">
        <f t="array" ref="I51">IFERROR(CONCATENATE(TEXT(INDEX($I$7:$I$34,SMALL(IF($L$7:$L$34&lt;&gt;"",IF($I$7:$I$34&lt;&gt;"",ROW($I$7:$I$34)-MIN(ROW($I$7:$I$34))+1,""),""),ROW()-ROW(A$37)+1)),"##0"),","),"")</f>
        <v>0</v>
      </c>
      <c r="J51">
        <f t="array" ref="J51">IFERROR(CONCATENATE((INDEX($L$7:$L$34,SMALL(IF($L$7:$L$34&lt;&gt;"",IF($I$7:$I$34&lt;&gt;"",ROW($I$7:$I$34)-MIN(ROW($I$7:$I$34))+1,""),""),ROW()-ROW(A$37)+1))),","),"")</f>
        <v>0</v>
      </c>
      <c r="K51">
        <f t="array" ref="K51">IFERROR(CONCATENATE((INDEX($A$7:$A$34,SMALL(IF($L$7:$L$34&lt;&gt;"",IF($I$7:$I$34&lt;&gt;"",ROW($I$7:$I$34)-MIN(ROW($I$7:$I$34))+1,""),""),ROW()-ROW(A$37)+1))),),"")</f>
        <v>0</v>
      </c>
      <c r="N51">
        <f t="array" ref="N51">IFERROR(CONCATENATE((INDEX($Q$7:$Q$34,SMALL(IF($Q$7:$Q$34&lt;&gt;"",IF($N$7:$N$34&lt;&gt;"",ROW($N$7:$N$34)-MIN(ROW($N$7:$N$34))+1,""),""),ROW()-ROW(A$37)+1)))," "),"")</f>
        <v>0</v>
      </c>
      <c r="O51">
        <f t="array" ref="O51">IFERROR(CONCATENATE(TEXT(INDEX($N$7:$N$34,SMALL(IF($Q$7:$Q$34&lt;&gt;"",IF($N$7:$N$34&lt;&gt;"",ROW($N$7:$N$34)-MIN(ROW($N$7:$N$34))+1,""),""),ROW()-ROW(A$37)+1)),"##0")," "),"")</f>
        <v>0</v>
      </c>
      <c r="P51">
        <f t="array" ref="P51">IFERROR(CONCATENATE((INDEX($A$7:$A$34,SMALL(IF($Q$7:$Q$34&lt;&gt;"",IF($N$7:$N$34&lt;&gt;"",ROW($N$7:$N$34)-MIN(ROW($N$7:$N$34))+1,""),""),ROW()-ROW(A$37)+1))),),"")</f>
        <v>0</v>
      </c>
      <c r="S51">
        <f t="array" ref="S51">IFERROR(CONCATENATE((INDEX($V$7:$V$34,SMALL(IF($V$7:$V$34&lt;&gt;"",IF($S$7:$S$34&lt;&gt;"",ROW($S$7:$S$34)-MIN(ROW($S$7:$S$34))+1,""),""),ROW()-ROW(A$37)+1)))," "),"")</f>
        <v>0</v>
      </c>
      <c r="T51">
        <f t="array" ref="T51">IFERROR(CONCATENATE(TEXT(INDEX($S$7:$S$34,SMALL(IF($V$7:$V$34&lt;&gt;"",IF($S$7:$S$34&lt;&gt;"",ROW($S$7:$S$34)-MIN(ROW($S$7:$S$34))+1,""),""),ROW()-ROW(A$37)+1)),"##0")," "),"")</f>
        <v>0</v>
      </c>
      <c r="U51">
        <f t="array" ref="U51">IFERROR(CONCATENATE((INDEX($A$7:$A$34,SMALL(IF($V$7:$V$34&lt;&gt;"",IF($S$7:$S$34&lt;&gt;"",ROW($S$7:$S$34)-MIN(ROW($S$7:$S$34))+1,""),""),ROW()-ROW(A$37)+1))),),"")</f>
        <v>0</v>
      </c>
      <c r="X51">
        <f t="array" ref="X51">IFERROR(CONCATENATE((INDEX($AA$7:$AA$34,SMALL(IF($AA$7:$AA$34&lt;&gt;"",IF($X$7:$X$34&lt;&gt;"",ROW($X$7:$X$34)-MIN(ROW($X$7:$X$34))+1,""),""),ROW()-ROW(A$37)+1))),","),"")</f>
        <v>0</v>
      </c>
      <c r="Y51">
        <f t="array" ref="Y51">IFERROR(CONCATENATE(TEXT(INDEX($X$7:$X$34,SMALL(IF($AA$7:$AA$34&lt;&gt;"",IF($X$7:$X$34&lt;&gt;"",ROW($X$7:$X$34)-MIN(ROW($X$7:$X$34))+1,""),""),ROW()-ROW(A$37)+1)),"##0"),","),"")</f>
        <v>0</v>
      </c>
      <c r="Z51">
        <f t="array" ref="Z51">IFERROR(CONCATENATE((INDEX($A$7:$A$34,SMALL(IF($AA$7:$AA$34&lt;&gt;"",IF($X$7:$X$34&lt;&gt;"",ROW($X$7:$X$34)-MIN(ROW($X$7:$X$34))+1,""),""),ROW()-ROW(A$37)+1))),),"")</f>
        <v>0</v>
      </c>
      <c r="AC51">
        <f t="array" ref="AC51">IFERROR(CONCATENATE((INDEX($AF$7:$AF$34,SMALL(IF($AF$7:$AF$34&lt;&gt;"",IF($AC$7:$AC$34&lt;&gt;"",ROW($AC$7:$AC$34)-MIN(ROW($AC$7:$AC$34))+1,""),""),ROW()-ROW(A$37)+1)))," "),"")</f>
        <v>0</v>
      </c>
      <c r="AD51">
        <f t="array" ref="AD51">IFERROR(CONCATENATE(TEXT(INDEX($AC$7:$AC$34,SMALL(IF($AF$7:$AF$34&lt;&gt;"",IF($AC$7:$AC$34&lt;&gt;"",ROW($AC$7:$AC$34)-MIN(ROW($AC$7:$AC$34))+1,""),""),ROW()-ROW(A$37)+1)),"##0")," "),"")</f>
        <v>0</v>
      </c>
      <c r="AE51">
        <f t="array" ref="AE51">IFERROR(CONCATENATE((INDEX($A$7:$A$34,SMALL(IF($AF$7:$AF$34&lt;&gt;"",IF($AC$7:$AC$34&lt;&gt;"",ROW($AC$7:$AC$34)-MIN(ROW($AC$7:$AC$34))+1,""),""),ROW()-ROW(A$37)+1))),),"")</f>
        <v>0</v>
      </c>
      <c r="AH51">
        <f t="array" ref="AH51">IFERROR(CONCATENATE((INDEX($AK$7:$AK$34,SMALL(IF($AK$7:$AK$34&lt;&gt;"",IF($AH$7:$AH$34&lt;&gt;"",ROW($AH$7:$AH$34)-MIN(ROW($AH$7:$AH$34))+1,""),""),ROW()-ROW(A$37)+1)))," "),"")</f>
        <v>0</v>
      </c>
      <c r="AI51">
        <f t="array" ref="AI51">IFERROR(CONCATENATE(TEXT(INDEX($AH$7:$AH$34,SMALL(IF($AK$7:$AK$34&lt;&gt;"",IF($AH$7:$AH$34&lt;&gt;"",ROW($AH$7:$AH$34)-MIN(ROW($AH$7:$AH$34))+1,""),""),ROW()-ROW(A$37)+1)),"##0")," "),"")</f>
        <v>0</v>
      </c>
      <c r="AJ51">
        <f t="array" ref="AJ51">IFERROR(CONCATENATE((INDEX($A$7:$A$34,SMALL(IF($AK$7:$AK$34&lt;&gt;"",IF($AH$7:$AH$34&lt;&gt;"",ROW($AH$7:$AH$34)-MIN(ROW($AH$7:$AH$34))+1,""),""),ROW()-ROW(A$37)+1))),),"")</f>
        <v>0</v>
      </c>
    </row>
    <row r="52" spans="9:36">
      <c r="I52">
        <f t="array" ref="I52">IFERROR(CONCATENATE(TEXT(INDEX($I$7:$I$34,SMALL(IF($L$7:$L$34&lt;&gt;"",IF($I$7:$I$34&lt;&gt;"",ROW($I$7:$I$34)-MIN(ROW($I$7:$I$34))+1,""),""),ROW()-ROW(A$37)+1)),"##0"),","),"")</f>
        <v>0</v>
      </c>
      <c r="J52">
        <f t="array" ref="J52">IFERROR(CONCATENATE((INDEX($L$7:$L$34,SMALL(IF($L$7:$L$34&lt;&gt;"",IF($I$7:$I$34&lt;&gt;"",ROW($I$7:$I$34)-MIN(ROW($I$7:$I$34))+1,""),""),ROW()-ROW(A$37)+1))),","),"")</f>
        <v>0</v>
      </c>
      <c r="K52">
        <f t="array" ref="K52">IFERROR(CONCATENATE((INDEX($A$7:$A$34,SMALL(IF($L$7:$L$34&lt;&gt;"",IF($I$7:$I$34&lt;&gt;"",ROW($I$7:$I$34)-MIN(ROW($I$7:$I$34))+1,""),""),ROW()-ROW(A$37)+1))),),"")</f>
        <v>0</v>
      </c>
      <c r="N52">
        <f t="array" ref="N52">IFERROR(CONCATENATE((INDEX($Q$7:$Q$34,SMALL(IF($Q$7:$Q$34&lt;&gt;"",IF($N$7:$N$34&lt;&gt;"",ROW($N$7:$N$34)-MIN(ROW($N$7:$N$34))+1,""),""),ROW()-ROW(A$37)+1)))," "),"")</f>
        <v>0</v>
      </c>
      <c r="O52">
        <f t="array" ref="O52">IFERROR(CONCATENATE(TEXT(INDEX($N$7:$N$34,SMALL(IF($Q$7:$Q$34&lt;&gt;"",IF($N$7:$N$34&lt;&gt;"",ROW($N$7:$N$34)-MIN(ROW($N$7:$N$34))+1,""),""),ROW()-ROW(A$37)+1)),"##0")," "),"")</f>
        <v>0</v>
      </c>
      <c r="P52">
        <f t="array" ref="P52">IFERROR(CONCATENATE((INDEX($A$7:$A$34,SMALL(IF($Q$7:$Q$34&lt;&gt;"",IF($N$7:$N$34&lt;&gt;"",ROW($N$7:$N$34)-MIN(ROW($N$7:$N$34))+1,""),""),ROW()-ROW(A$37)+1))),),"")</f>
        <v>0</v>
      </c>
      <c r="S52">
        <f t="array" ref="S52">IFERROR(CONCATENATE((INDEX($V$7:$V$34,SMALL(IF($V$7:$V$34&lt;&gt;"",IF($S$7:$S$34&lt;&gt;"",ROW($S$7:$S$34)-MIN(ROW($S$7:$S$34))+1,""),""),ROW()-ROW(A$37)+1)))," "),"")</f>
        <v>0</v>
      </c>
      <c r="T52">
        <f t="array" ref="T52">IFERROR(CONCATENATE(TEXT(INDEX($S$7:$S$34,SMALL(IF($V$7:$V$34&lt;&gt;"",IF($S$7:$S$34&lt;&gt;"",ROW($S$7:$S$34)-MIN(ROW($S$7:$S$34))+1,""),""),ROW()-ROW(A$37)+1)),"##0")," "),"")</f>
        <v>0</v>
      </c>
      <c r="U52">
        <f t="array" ref="U52">IFERROR(CONCATENATE((INDEX($A$7:$A$34,SMALL(IF($V$7:$V$34&lt;&gt;"",IF($S$7:$S$34&lt;&gt;"",ROW($S$7:$S$34)-MIN(ROW($S$7:$S$34))+1,""),""),ROW()-ROW(A$37)+1))),),"")</f>
        <v>0</v>
      </c>
      <c r="X52">
        <f t="array" ref="X52">IFERROR(CONCATENATE((INDEX($AA$7:$AA$34,SMALL(IF($AA$7:$AA$34&lt;&gt;"",IF($X$7:$X$34&lt;&gt;"",ROW($X$7:$X$34)-MIN(ROW($X$7:$X$34))+1,""),""),ROW()-ROW(A$37)+1))),","),"")</f>
        <v>0</v>
      </c>
      <c r="Y52">
        <f t="array" ref="Y52">IFERROR(CONCATENATE(TEXT(INDEX($X$7:$X$34,SMALL(IF($AA$7:$AA$34&lt;&gt;"",IF($X$7:$X$34&lt;&gt;"",ROW($X$7:$X$34)-MIN(ROW($X$7:$X$34))+1,""),""),ROW()-ROW(A$37)+1)),"##0"),","),"")</f>
        <v>0</v>
      </c>
      <c r="Z52">
        <f t="array" ref="Z52">IFERROR(CONCATENATE((INDEX($A$7:$A$34,SMALL(IF($AA$7:$AA$34&lt;&gt;"",IF($X$7:$X$34&lt;&gt;"",ROW($X$7:$X$34)-MIN(ROW($X$7:$X$34))+1,""),""),ROW()-ROW(A$37)+1))),),"")</f>
        <v>0</v>
      </c>
      <c r="AC52">
        <f t="array" ref="AC52">IFERROR(CONCATENATE((INDEX($AF$7:$AF$34,SMALL(IF($AF$7:$AF$34&lt;&gt;"",IF($AC$7:$AC$34&lt;&gt;"",ROW($AC$7:$AC$34)-MIN(ROW($AC$7:$AC$34))+1,""),""),ROW()-ROW(A$37)+1)))," "),"")</f>
        <v>0</v>
      </c>
      <c r="AD52">
        <f t="array" ref="AD52">IFERROR(CONCATENATE(TEXT(INDEX($AC$7:$AC$34,SMALL(IF($AF$7:$AF$34&lt;&gt;"",IF($AC$7:$AC$34&lt;&gt;"",ROW($AC$7:$AC$34)-MIN(ROW($AC$7:$AC$34))+1,""),""),ROW()-ROW(A$37)+1)),"##0")," "),"")</f>
        <v>0</v>
      </c>
      <c r="AE52">
        <f t="array" ref="AE52">IFERROR(CONCATENATE((INDEX($A$7:$A$34,SMALL(IF($AF$7:$AF$34&lt;&gt;"",IF($AC$7:$AC$34&lt;&gt;"",ROW($AC$7:$AC$34)-MIN(ROW($AC$7:$AC$34))+1,""),""),ROW()-ROW(A$37)+1))),),"")</f>
        <v>0</v>
      </c>
      <c r="AH52">
        <f t="array" ref="AH52">IFERROR(CONCATENATE((INDEX($AK$7:$AK$34,SMALL(IF($AK$7:$AK$34&lt;&gt;"",IF($AH$7:$AH$34&lt;&gt;"",ROW($AH$7:$AH$34)-MIN(ROW($AH$7:$AH$34))+1,""),""),ROW()-ROW(A$37)+1)))," "),"")</f>
        <v>0</v>
      </c>
      <c r="AI52">
        <f t="array" ref="AI52">IFERROR(CONCATENATE(TEXT(INDEX($AH$7:$AH$34,SMALL(IF($AK$7:$AK$34&lt;&gt;"",IF($AH$7:$AH$34&lt;&gt;"",ROW($AH$7:$AH$34)-MIN(ROW($AH$7:$AH$34))+1,""),""),ROW()-ROW(A$37)+1)),"##0")," "),"")</f>
        <v>0</v>
      </c>
      <c r="AJ52">
        <f t="array" ref="AJ52">IFERROR(CONCATENATE((INDEX($A$7:$A$34,SMALL(IF($AK$7:$AK$34&lt;&gt;"",IF($AH$7:$AH$34&lt;&gt;"",ROW($AH$7:$AH$34)-MIN(ROW($AH$7:$AH$34))+1,""),""),ROW()-ROW(A$37)+1))),),"")</f>
        <v>0</v>
      </c>
    </row>
    <row r="53" spans="9:36">
      <c r="I53">
        <f t="array" ref="I53">IFERROR(CONCATENATE(TEXT(INDEX($I$7:$I$34,SMALL(IF($L$7:$L$34&lt;&gt;"",IF($I$7:$I$34&lt;&gt;"",ROW($I$7:$I$34)-MIN(ROW($I$7:$I$34))+1,""),""),ROW()-ROW(A$37)+1)),"##0"),","),"")</f>
        <v>0</v>
      </c>
      <c r="J53">
        <f t="array" ref="J53">IFERROR(CONCATENATE((INDEX($L$7:$L$34,SMALL(IF($L$7:$L$34&lt;&gt;"",IF($I$7:$I$34&lt;&gt;"",ROW($I$7:$I$34)-MIN(ROW($I$7:$I$34))+1,""),""),ROW()-ROW(A$37)+1))),","),"")</f>
        <v>0</v>
      </c>
      <c r="K53">
        <f t="array" ref="K53">IFERROR(CONCATENATE((INDEX($A$7:$A$34,SMALL(IF($L$7:$L$34&lt;&gt;"",IF($I$7:$I$34&lt;&gt;"",ROW($I$7:$I$34)-MIN(ROW($I$7:$I$34))+1,""),""),ROW()-ROW(A$37)+1))),),"")</f>
        <v>0</v>
      </c>
      <c r="N53">
        <f t="array" ref="N53">IFERROR(CONCATENATE((INDEX($Q$7:$Q$34,SMALL(IF($Q$7:$Q$34&lt;&gt;"",IF($N$7:$N$34&lt;&gt;"",ROW($N$7:$N$34)-MIN(ROW($N$7:$N$34))+1,""),""),ROW()-ROW(A$37)+1)))," "),"")</f>
        <v>0</v>
      </c>
      <c r="O53">
        <f t="array" ref="O53">IFERROR(CONCATENATE(TEXT(INDEX($N$7:$N$34,SMALL(IF($Q$7:$Q$34&lt;&gt;"",IF($N$7:$N$34&lt;&gt;"",ROW($N$7:$N$34)-MIN(ROW($N$7:$N$34))+1,""),""),ROW()-ROW(A$37)+1)),"##0")," "),"")</f>
        <v>0</v>
      </c>
      <c r="P53">
        <f t="array" ref="P53">IFERROR(CONCATENATE((INDEX($A$7:$A$34,SMALL(IF($Q$7:$Q$34&lt;&gt;"",IF($N$7:$N$34&lt;&gt;"",ROW($N$7:$N$34)-MIN(ROW($N$7:$N$34))+1,""),""),ROW()-ROW(A$37)+1))),),"")</f>
        <v>0</v>
      </c>
      <c r="S53">
        <f t="array" ref="S53">IFERROR(CONCATENATE((INDEX($V$7:$V$34,SMALL(IF($V$7:$V$34&lt;&gt;"",IF($S$7:$S$34&lt;&gt;"",ROW($S$7:$S$34)-MIN(ROW($S$7:$S$34))+1,""),""),ROW()-ROW(A$37)+1)))," "),"")</f>
        <v>0</v>
      </c>
      <c r="T53">
        <f t="array" ref="T53">IFERROR(CONCATENATE(TEXT(INDEX($S$7:$S$34,SMALL(IF($V$7:$V$34&lt;&gt;"",IF($S$7:$S$34&lt;&gt;"",ROW($S$7:$S$34)-MIN(ROW($S$7:$S$34))+1,""),""),ROW()-ROW(A$37)+1)),"##0")," "),"")</f>
        <v>0</v>
      </c>
      <c r="U53">
        <f t="array" ref="U53">IFERROR(CONCATENATE((INDEX($A$7:$A$34,SMALL(IF($V$7:$V$34&lt;&gt;"",IF($S$7:$S$34&lt;&gt;"",ROW($S$7:$S$34)-MIN(ROW($S$7:$S$34))+1,""),""),ROW()-ROW(A$37)+1))),),"")</f>
        <v>0</v>
      </c>
      <c r="X53">
        <f t="array" ref="X53">IFERROR(CONCATENATE((INDEX($AA$7:$AA$34,SMALL(IF($AA$7:$AA$34&lt;&gt;"",IF($X$7:$X$34&lt;&gt;"",ROW($X$7:$X$34)-MIN(ROW($X$7:$X$34))+1,""),""),ROW()-ROW(A$37)+1))),","),"")</f>
        <v>0</v>
      </c>
      <c r="Y53">
        <f t="array" ref="Y53">IFERROR(CONCATENATE(TEXT(INDEX($X$7:$X$34,SMALL(IF($AA$7:$AA$34&lt;&gt;"",IF($X$7:$X$34&lt;&gt;"",ROW($X$7:$X$34)-MIN(ROW($X$7:$X$34))+1,""),""),ROW()-ROW(A$37)+1)),"##0"),","),"")</f>
        <v>0</v>
      </c>
      <c r="Z53">
        <f t="array" ref="Z53">IFERROR(CONCATENATE((INDEX($A$7:$A$34,SMALL(IF($AA$7:$AA$34&lt;&gt;"",IF($X$7:$X$34&lt;&gt;"",ROW($X$7:$X$34)-MIN(ROW($X$7:$X$34))+1,""),""),ROW()-ROW(A$37)+1))),),"")</f>
        <v>0</v>
      </c>
      <c r="AC53">
        <f t="array" ref="AC53">IFERROR(CONCATENATE((INDEX($AF$7:$AF$34,SMALL(IF($AF$7:$AF$34&lt;&gt;"",IF($AC$7:$AC$34&lt;&gt;"",ROW($AC$7:$AC$34)-MIN(ROW($AC$7:$AC$34))+1,""),""),ROW()-ROW(A$37)+1)))," "),"")</f>
        <v>0</v>
      </c>
      <c r="AD53">
        <f t="array" ref="AD53">IFERROR(CONCATENATE(TEXT(INDEX($AC$7:$AC$34,SMALL(IF($AF$7:$AF$34&lt;&gt;"",IF($AC$7:$AC$34&lt;&gt;"",ROW($AC$7:$AC$34)-MIN(ROW($AC$7:$AC$34))+1,""),""),ROW()-ROW(A$37)+1)),"##0")," "),"")</f>
        <v>0</v>
      </c>
      <c r="AE53">
        <f t="array" ref="AE53">IFERROR(CONCATENATE((INDEX($A$7:$A$34,SMALL(IF($AF$7:$AF$34&lt;&gt;"",IF($AC$7:$AC$34&lt;&gt;"",ROW($AC$7:$AC$34)-MIN(ROW($AC$7:$AC$34))+1,""),""),ROW()-ROW(A$37)+1))),),"")</f>
        <v>0</v>
      </c>
      <c r="AH53">
        <f t="array" ref="AH53">IFERROR(CONCATENATE((INDEX($AK$7:$AK$34,SMALL(IF($AK$7:$AK$34&lt;&gt;"",IF($AH$7:$AH$34&lt;&gt;"",ROW($AH$7:$AH$34)-MIN(ROW($AH$7:$AH$34))+1,""),""),ROW()-ROW(A$37)+1)))," "),"")</f>
        <v>0</v>
      </c>
      <c r="AI53">
        <f t="array" ref="AI53">IFERROR(CONCATENATE(TEXT(INDEX($AH$7:$AH$34,SMALL(IF($AK$7:$AK$34&lt;&gt;"",IF($AH$7:$AH$34&lt;&gt;"",ROW($AH$7:$AH$34)-MIN(ROW($AH$7:$AH$34))+1,""),""),ROW()-ROW(A$37)+1)),"##0")," "),"")</f>
        <v>0</v>
      </c>
      <c r="AJ53">
        <f t="array" ref="AJ53">IFERROR(CONCATENATE((INDEX($A$7:$A$34,SMALL(IF($AK$7:$AK$34&lt;&gt;"",IF($AH$7:$AH$34&lt;&gt;"",ROW($AH$7:$AH$34)-MIN(ROW($AH$7:$AH$34))+1,""),""),ROW()-ROW(A$37)+1))),),"")</f>
        <v>0</v>
      </c>
    </row>
    <row r="54" spans="9:36">
      <c r="I54">
        <f t="array" ref="I54">IFERROR(CONCATENATE(TEXT(INDEX($I$7:$I$34,SMALL(IF($L$7:$L$34&lt;&gt;"",IF($I$7:$I$34&lt;&gt;"",ROW($I$7:$I$34)-MIN(ROW($I$7:$I$34))+1,""),""),ROW()-ROW(A$37)+1)),"##0"),","),"")</f>
        <v>0</v>
      </c>
      <c r="J54">
        <f t="array" ref="J54">IFERROR(CONCATENATE((INDEX($L$7:$L$34,SMALL(IF($L$7:$L$34&lt;&gt;"",IF($I$7:$I$34&lt;&gt;"",ROW($I$7:$I$34)-MIN(ROW($I$7:$I$34))+1,""),""),ROW()-ROW(A$37)+1))),","),"")</f>
        <v>0</v>
      </c>
      <c r="K54">
        <f t="array" ref="K54">IFERROR(CONCATENATE((INDEX($A$7:$A$34,SMALL(IF($L$7:$L$34&lt;&gt;"",IF($I$7:$I$34&lt;&gt;"",ROW($I$7:$I$34)-MIN(ROW($I$7:$I$34))+1,""),""),ROW()-ROW(A$37)+1))),),"")</f>
        <v>0</v>
      </c>
      <c r="N54">
        <f t="array" ref="N54">IFERROR(CONCATENATE((INDEX($Q$7:$Q$34,SMALL(IF($Q$7:$Q$34&lt;&gt;"",IF($N$7:$N$34&lt;&gt;"",ROW($N$7:$N$34)-MIN(ROW($N$7:$N$34))+1,""),""),ROW()-ROW(A$37)+1)))," "),"")</f>
        <v>0</v>
      </c>
      <c r="O54">
        <f t="array" ref="O54">IFERROR(CONCATENATE(TEXT(INDEX($N$7:$N$34,SMALL(IF($Q$7:$Q$34&lt;&gt;"",IF($N$7:$N$34&lt;&gt;"",ROW($N$7:$N$34)-MIN(ROW($N$7:$N$34))+1,""),""),ROW()-ROW(A$37)+1)),"##0")," "),"")</f>
        <v>0</v>
      </c>
      <c r="P54">
        <f t="array" ref="P54">IFERROR(CONCATENATE((INDEX($A$7:$A$34,SMALL(IF($Q$7:$Q$34&lt;&gt;"",IF($N$7:$N$34&lt;&gt;"",ROW($N$7:$N$34)-MIN(ROW($N$7:$N$34))+1,""),""),ROW()-ROW(A$37)+1))),),"")</f>
        <v>0</v>
      </c>
      <c r="S54">
        <f t="array" ref="S54">IFERROR(CONCATENATE((INDEX($V$7:$V$34,SMALL(IF($V$7:$V$34&lt;&gt;"",IF($S$7:$S$34&lt;&gt;"",ROW($S$7:$S$34)-MIN(ROW($S$7:$S$34))+1,""),""),ROW()-ROW(A$37)+1)))," "),"")</f>
        <v>0</v>
      </c>
      <c r="T54">
        <f t="array" ref="T54">IFERROR(CONCATENATE(TEXT(INDEX($S$7:$S$34,SMALL(IF($V$7:$V$34&lt;&gt;"",IF($S$7:$S$34&lt;&gt;"",ROW($S$7:$S$34)-MIN(ROW($S$7:$S$34))+1,""),""),ROW()-ROW(A$37)+1)),"##0")," "),"")</f>
        <v>0</v>
      </c>
      <c r="U54">
        <f t="array" ref="U54">IFERROR(CONCATENATE((INDEX($A$7:$A$34,SMALL(IF($V$7:$V$34&lt;&gt;"",IF($S$7:$S$34&lt;&gt;"",ROW($S$7:$S$34)-MIN(ROW($S$7:$S$34))+1,""),""),ROW()-ROW(A$37)+1))),),"")</f>
        <v>0</v>
      </c>
      <c r="X54">
        <f t="array" ref="X54">IFERROR(CONCATENATE((INDEX($AA$7:$AA$34,SMALL(IF($AA$7:$AA$34&lt;&gt;"",IF($X$7:$X$34&lt;&gt;"",ROW($X$7:$X$34)-MIN(ROW($X$7:$X$34))+1,""),""),ROW()-ROW(A$37)+1))),","),"")</f>
        <v>0</v>
      </c>
      <c r="Y54">
        <f t="array" ref="Y54">IFERROR(CONCATENATE(TEXT(INDEX($X$7:$X$34,SMALL(IF($AA$7:$AA$34&lt;&gt;"",IF($X$7:$X$34&lt;&gt;"",ROW($X$7:$X$34)-MIN(ROW($X$7:$X$34))+1,""),""),ROW()-ROW(A$37)+1)),"##0"),","),"")</f>
        <v>0</v>
      </c>
      <c r="Z54">
        <f t="array" ref="Z54">IFERROR(CONCATENATE((INDEX($A$7:$A$34,SMALL(IF($AA$7:$AA$34&lt;&gt;"",IF($X$7:$X$34&lt;&gt;"",ROW($X$7:$X$34)-MIN(ROW($X$7:$X$34))+1,""),""),ROW()-ROW(A$37)+1))),),"")</f>
        <v>0</v>
      </c>
      <c r="AC54">
        <f t="array" ref="AC54">IFERROR(CONCATENATE((INDEX($AF$7:$AF$34,SMALL(IF($AF$7:$AF$34&lt;&gt;"",IF($AC$7:$AC$34&lt;&gt;"",ROW($AC$7:$AC$34)-MIN(ROW($AC$7:$AC$34))+1,""),""),ROW()-ROW(A$37)+1)))," "),"")</f>
        <v>0</v>
      </c>
      <c r="AD54">
        <f t="array" ref="AD54">IFERROR(CONCATENATE(TEXT(INDEX($AC$7:$AC$34,SMALL(IF($AF$7:$AF$34&lt;&gt;"",IF($AC$7:$AC$34&lt;&gt;"",ROW($AC$7:$AC$34)-MIN(ROW($AC$7:$AC$34))+1,""),""),ROW()-ROW(A$37)+1)),"##0")," "),"")</f>
        <v>0</v>
      </c>
      <c r="AE54">
        <f t="array" ref="AE54">IFERROR(CONCATENATE((INDEX($A$7:$A$34,SMALL(IF($AF$7:$AF$34&lt;&gt;"",IF($AC$7:$AC$34&lt;&gt;"",ROW($AC$7:$AC$34)-MIN(ROW($AC$7:$AC$34))+1,""),""),ROW()-ROW(A$37)+1))),),"")</f>
        <v>0</v>
      </c>
      <c r="AH54">
        <f t="array" ref="AH54">IFERROR(CONCATENATE((INDEX($AK$7:$AK$34,SMALL(IF($AK$7:$AK$34&lt;&gt;"",IF($AH$7:$AH$34&lt;&gt;"",ROW($AH$7:$AH$34)-MIN(ROW($AH$7:$AH$34))+1,""),""),ROW()-ROW(A$37)+1)))," "),"")</f>
        <v>0</v>
      </c>
      <c r="AI54">
        <f t="array" ref="AI54">IFERROR(CONCATENATE(TEXT(INDEX($AH$7:$AH$34,SMALL(IF($AK$7:$AK$34&lt;&gt;"",IF($AH$7:$AH$34&lt;&gt;"",ROW($AH$7:$AH$34)-MIN(ROW($AH$7:$AH$34))+1,""),""),ROW()-ROW(A$37)+1)),"##0")," "),"")</f>
        <v>0</v>
      </c>
      <c r="AJ54">
        <f t="array" ref="AJ54">IFERROR(CONCATENATE((INDEX($A$7:$A$34,SMALL(IF($AK$7:$AK$34&lt;&gt;"",IF($AH$7:$AH$34&lt;&gt;"",ROW($AH$7:$AH$34)-MIN(ROW($AH$7:$AH$34))+1,""),""),ROW()-ROW(A$37)+1))),),"")</f>
        <v>0</v>
      </c>
    </row>
    <row r="55" spans="9:36">
      <c r="I55">
        <f t="array" ref="I55">IFERROR(CONCATENATE(TEXT(INDEX($I$7:$I$34,SMALL(IF($L$7:$L$34&lt;&gt;"",IF($I$7:$I$34&lt;&gt;"",ROW($I$7:$I$34)-MIN(ROW($I$7:$I$34))+1,""),""),ROW()-ROW(A$37)+1)),"##0"),","),"")</f>
        <v>0</v>
      </c>
      <c r="J55">
        <f t="array" ref="J55">IFERROR(CONCATENATE((INDEX($L$7:$L$34,SMALL(IF($L$7:$L$34&lt;&gt;"",IF($I$7:$I$34&lt;&gt;"",ROW($I$7:$I$34)-MIN(ROW($I$7:$I$34))+1,""),""),ROW()-ROW(A$37)+1))),","),"")</f>
        <v>0</v>
      </c>
      <c r="K55">
        <f t="array" ref="K55">IFERROR(CONCATENATE((INDEX($A$7:$A$34,SMALL(IF($L$7:$L$34&lt;&gt;"",IF($I$7:$I$34&lt;&gt;"",ROW($I$7:$I$34)-MIN(ROW($I$7:$I$34))+1,""),""),ROW()-ROW(A$37)+1))),),"")</f>
        <v>0</v>
      </c>
      <c r="N55">
        <f t="array" ref="N55">IFERROR(CONCATENATE((INDEX($Q$7:$Q$34,SMALL(IF($Q$7:$Q$34&lt;&gt;"",IF($N$7:$N$34&lt;&gt;"",ROW($N$7:$N$34)-MIN(ROW($N$7:$N$34))+1,""),""),ROW()-ROW(A$37)+1)))," "),"")</f>
        <v>0</v>
      </c>
      <c r="O55">
        <f t="array" ref="O55">IFERROR(CONCATENATE(TEXT(INDEX($N$7:$N$34,SMALL(IF($Q$7:$Q$34&lt;&gt;"",IF($N$7:$N$34&lt;&gt;"",ROW($N$7:$N$34)-MIN(ROW($N$7:$N$34))+1,""),""),ROW()-ROW(A$37)+1)),"##0")," "),"")</f>
        <v>0</v>
      </c>
      <c r="P55">
        <f t="array" ref="P55">IFERROR(CONCATENATE((INDEX($A$7:$A$34,SMALL(IF($Q$7:$Q$34&lt;&gt;"",IF($N$7:$N$34&lt;&gt;"",ROW($N$7:$N$34)-MIN(ROW($N$7:$N$34))+1,""),""),ROW()-ROW(A$37)+1))),),"")</f>
        <v>0</v>
      </c>
      <c r="S55">
        <f t="array" ref="S55">IFERROR(CONCATENATE((INDEX($V$7:$V$34,SMALL(IF($V$7:$V$34&lt;&gt;"",IF($S$7:$S$34&lt;&gt;"",ROW($S$7:$S$34)-MIN(ROW($S$7:$S$34))+1,""),""),ROW()-ROW(A$37)+1)))," "),"")</f>
        <v>0</v>
      </c>
      <c r="T55">
        <f t="array" ref="T55">IFERROR(CONCATENATE(TEXT(INDEX($S$7:$S$34,SMALL(IF($V$7:$V$34&lt;&gt;"",IF($S$7:$S$34&lt;&gt;"",ROW($S$7:$S$34)-MIN(ROW($S$7:$S$34))+1,""),""),ROW()-ROW(A$37)+1)),"##0")," "),"")</f>
        <v>0</v>
      </c>
      <c r="U55">
        <f t="array" ref="U55">IFERROR(CONCATENATE((INDEX($A$7:$A$34,SMALL(IF($V$7:$V$34&lt;&gt;"",IF($S$7:$S$34&lt;&gt;"",ROW($S$7:$S$34)-MIN(ROW($S$7:$S$34))+1,""),""),ROW()-ROW(A$37)+1))),),"")</f>
        <v>0</v>
      </c>
      <c r="X55">
        <f t="array" ref="X55">IFERROR(CONCATENATE((INDEX($AA$7:$AA$34,SMALL(IF($AA$7:$AA$34&lt;&gt;"",IF($X$7:$X$34&lt;&gt;"",ROW($X$7:$X$34)-MIN(ROW($X$7:$X$34))+1,""),""),ROW()-ROW(A$37)+1))),","),"")</f>
        <v>0</v>
      </c>
      <c r="Y55">
        <f t="array" ref="Y55">IFERROR(CONCATENATE(TEXT(INDEX($X$7:$X$34,SMALL(IF($AA$7:$AA$34&lt;&gt;"",IF($X$7:$X$34&lt;&gt;"",ROW($X$7:$X$34)-MIN(ROW($X$7:$X$34))+1,""),""),ROW()-ROW(A$37)+1)),"##0"),","),"")</f>
        <v>0</v>
      </c>
      <c r="Z55">
        <f t="array" ref="Z55">IFERROR(CONCATENATE((INDEX($A$7:$A$34,SMALL(IF($AA$7:$AA$34&lt;&gt;"",IF($X$7:$X$34&lt;&gt;"",ROW($X$7:$X$34)-MIN(ROW($X$7:$X$34))+1,""),""),ROW()-ROW(A$37)+1))),),"")</f>
        <v>0</v>
      </c>
      <c r="AC55">
        <f t="array" ref="AC55">IFERROR(CONCATENATE((INDEX($AF$7:$AF$34,SMALL(IF($AF$7:$AF$34&lt;&gt;"",IF($AC$7:$AC$34&lt;&gt;"",ROW($AC$7:$AC$34)-MIN(ROW($AC$7:$AC$34))+1,""),""),ROW()-ROW(A$37)+1)))," "),"")</f>
        <v>0</v>
      </c>
      <c r="AD55">
        <f t="array" ref="AD55">IFERROR(CONCATENATE(TEXT(INDEX($AC$7:$AC$34,SMALL(IF($AF$7:$AF$34&lt;&gt;"",IF($AC$7:$AC$34&lt;&gt;"",ROW($AC$7:$AC$34)-MIN(ROW($AC$7:$AC$34))+1,""),""),ROW()-ROW(A$37)+1)),"##0")," "),"")</f>
        <v>0</v>
      </c>
      <c r="AE55">
        <f t="array" ref="AE55">IFERROR(CONCATENATE((INDEX($A$7:$A$34,SMALL(IF($AF$7:$AF$34&lt;&gt;"",IF($AC$7:$AC$34&lt;&gt;"",ROW($AC$7:$AC$34)-MIN(ROW($AC$7:$AC$34))+1,""),""),ROW()-ROW(A$37)+1))),),"")</f>
        <v>0</v>
      </c>
      <c r="AH55">
        <f t="array" ref="AH55">IFERROR(CONCATENATE((INDEX($AK$7:$AK$34,SMALL(IF($AK$7:$AK$34&lt;&gt;"",IF($AH$7:$AH$34&lt;&gt;"",ROW($AH$7:$AH$34)-MIN(ROW($AH$7:$AH$34))+1,""),""),ROW()-ROW(A$37)+1)))," "),"")</f>
        <v>0</v>
      </c>
      <c r="AI55">
        <f t="array" ref="AI55">IFERROR(CONCATENATE(TEXT(INDEX($AH$7:$AH$34,SMALL(IF($AK$7:$AK$34&lt;&gt;"",IF($AH$7:$AH$34&lt;&gt;"",ROW($AH$7:$AH$34)-MIN(ROW($AH$7:$AH$34))+1,""),""),ROW()-ROW(A$37)+1)),"##0")," "),"")</f>
        <v>0</v>
      </c>
      <c r="AJ55">
        <f t="array" ref="AJ55">IFERROR(CONCATENATE((INDEX($A$7:$A$34,SMALL(IF($AK$7:$AK$34&lt;&gt;"",IF($AH$7:$AH$34&lt;&gt;"",ROW($AH$7:$AH$34)-MIN(ROW($AH$7:$AH$34))+1,""),""),ROW()-ROW(A$37)+1))),),"")</f>
        <v>0</v>
      </c>
    </row>
    <row r="56" spans="9:36">
      <c r="I56">
        <f t="array" ref="I56">IFERROR(CONCATENATE(TEXT(INDEX($I$7:$I$34,SMALL(IF($L$7:$L$34&lt;&gt;"",IF($I$7:$I$34&lt;&gt;"",ROW($I$7:$I$34)-MIN(ROW($I$7:$I$34))+1,""),""),ROW()-ROW(A$37)+1)),"##0"),","),"")</f>
        <v>0</v>
      </c>
      <c r="J56">
        <f t="array" ref="J56">IFERROR(CONCATENATE((INDEX($L$7:$L$34,SMALL(IF($L$7:$L$34&lt;&gt;"",IF($I$7:$I$34&lt;&gt;"",ROW($I$7:$I$34)-MIN(ROW($I$7:$I$34))+1,""),""),ROW()-ROW(A$37)+1))),","),"")</f>
        <v>0</v>
      </c>
      <c r="K56">
        <f t="array" ref="K56">IFERROR(CONCATENATE((INDEX($A$7:$A$34,SMALL(IF($L$7:$L$34&lt;&gt;"",IF($I$7:$I$34&lt;&gt;"",ROW($I$7:$I$34)-MIN(ROW($I$7:$I$34))+1,""),""),ROW()-ROW(A$37)+1))),),"")</f>
        <v>0</v>
      </c>
      <c r="N56">
        <f t="array" ref="N56">IFERROR(CONCATENATE((INDEX($Q$7:$Q$34,SMALL(IF($Q$7:$Q$34&lt;&gt;"",IF($N$7:$N$34&lt;&gt;"",ROW($N$7:$N$34)-MIN(ROW($N$7:$N$34))+1,""),""),ROW()-ROW(A$37)+1)))," "),"")</f>
        <v>0</v>
      </c>
      <c r="O56">
        <f t="array" ref="O56">IFERROR(CONCATENATE(TEXT(INDEX($N$7:$N$34,SMALL(IF($Q$7:$Q$34&lt;&gt;"",IF($N$7:$N$34&lt;&gt;"",ROW($N$7:$N$34)-MIN(ROW($N$7:$N$34))+1,""),""),ROW()-ROW(A$37)+1)),"##0")," "),"")</f>
        <v>0</v>
      </c>
      <c r="P56">
        <f t="array" ref="P56">IFERROR(CONCATENATE((INDEX($A$7:$A$34,SMALL(IF($Q$7:$Q$34&lt;&gt;"",IF($N$7:$N$34&lt;&gt;"",ROW($N$7:$N$34)-MIN(ROW($N$7:$N$34))+1,""),""),ROW()-ROW(A$37)+1))),),"")</f>
        <v>0</v>
      </c>
      <c r="S56">
        <f t="array" ref="S56">IFERROR(CONCATENATE((INDEX($V$7:$V$34,SMALL(IF($V$7:$V$34&lt;&gt;"",IF($S$7:$S$34&lt;&gt;"",ROW($S$7:$S$34)-MIN(ROW($S$7:$S$34))+1,""),""),ROW()-ROW(A$37)+1)))," "),"")</f>
        <v>0</v>
      </c>
      <c r="T56">
        <f t="array" ref="T56">IFERROR(CONCATENATE(TEXT(INDEX($S$7:$S$34,SMALL(IF($V$7:$V$34&lt;&gt;"",IF($S$7:$S$34&lt;&gt;"",ROW($S$7:$S$34)-MIN(ROW($S$7:$S$34))+1,""),""),ROW()-ROW(A$37)+1)),"##0")," "),"")</f>
        <v>0</v>
      </c>
      <c r="U56">
        <f t="array" ref="U56">IFERROR(CONCATENATE((INDEX($A$7:$A$34,SMALL(IF($V$7:$V$34&lt;&gt;"",IF($S$7:$S$34&lt;&gt;"",ROW($S$7:$S$34)-MIN(ROW($S$7:$S$34))+1,""),""),ROW()-ROW(A$37)+1))),),"")</f>
        <v>0</v>
      </c>
      <c r="X56">
        <f t="array" ref="X56">IFERROR(CONCATENATE((INDEX($AA$7:$AA$34,SMALL(IF($AA$7:$AA$34&lt;&gt;"",IF($X$7:$X$34&lt;&gt;"",ROW($X$7:$X$34)-MIN(ROW($X$7:$X$34))+1,""),""),ROW()-ROW(A$37)+1))),","),"")</f>
        <v>0</v>
      </c>
      <c r="Y56">
        <f t="array" ref="Y56">IFERROR(CONCATENATE(TEXT(INDEX($X$7:$X$34,SMALL(IF($AA$7:$AA$34&lt;&gt;"",IF($X$7:$X$34&lt;&gt;"",ROW($X$7:$X$34)-MIN(ROW($X$7:$X$34))+1,""),""),ROW()-ROW(A$37)+1)),"##0"),","),"")</f>
        <v>0</v>
      </c>
      <c r="Z56">
        <f t="array" ref="Z56">IFERROR(CONCATENATE((INDEX($A$7:$A$34,SMALL(IF($AA$7:$AA$34&lt;&gt;"",IF($X$7:$X$34&lt;&gt;"",ROW($X$7:$X$34)-MIN(ROW($X$7:$X$34))+1,""),""),ROW()-ROW(A$37)+1))),),"")</f>
        <v>0</v>
      </c>
      <c r="AC56">
        <f t="array" ref="AC56">IFERROR(CONCATENATE((INDEX($AF$7:$AF$34,SMALL(IF($AF$7:$AF$34&lt;&gt;"",IF($AC$7:$AC$34&lt;&gt;"",ROW($AC$7:$AC$34)-MIN(ROW($AC$7:$AC$34))+1,""),""),ROW()-ROW(A$37)+1)))," "),"")</f>
        <v>0</v>
      </c>
      <c r="AD56">
        <f t="array" ref="AD56">IFERROR(CONCATENATE(TEXT(INDEX($AC$7:$AC$34,SMALL(IF($AF$7:$AF$34&lt;&gt;"",IF($AC$7:$AC$34&lt;&gt;"",ROW($AC$7:$AC$34)-MIN(ROW($AC$7:$AC$34))+1,""),""),ROW()-ROW(A$37)+1)),"##0")," "),"")</f>
        <v>0</v>
      </c>
      <c r="AE56">
        <f t="array" ref="AE56">IFERROR(CONCATENATE((INDEX($A$7:$A$34,SMALL(IF($AF$7:$AF$34&lt;&gt;"",IF($AC$7:$AC$34&lt;&gt;"",ROW($AC$7:$AC$34)-MIN(ROW($AC$7:$AC$34))+1,""),""),ROW()-ROW(A$37)+1))),),"")</f>
        <v>0</v>
      </c>
      <c r="AH56">
        <f t="array" ref="AH56">IFERROR(CONCATENATE((INDEX($AK$7:$AK$34,SMALL(IF($AK$7:$AK$34&lt;&gt;"",IF($AH$7:$AH$34&lt;&gt;"",ROW($AH$7:$AH$34)-MIN(ROW($AH$7:$AH$34))+1,""),""),ROW()-ROW(A$37)+1)))," "),"")</f>
        <v>0</v>
      </c>
      <c r="AI56">
        <f t="array" ref="AI56">IFERROR(CONCATENATE(TEXT(INDEX($AH$7:$AH$34,SMALL(IF($AK$7:$AK$34&lt;&gt;"",IF($AH$7:$AH$34&lt;&gt;"",ROW($AH$7:$AH$34)-MIN(ROW($AH$7:$AH$34))+1,""),""),ROW()-ROW(A$37)+1)),"##0")," "),"")</f>
        <v>0</v>
      </c>
      <c r="AJ56">
        <f t="array" ref="AJ56">IFERROR(CONCATENATE((INDEX($A$7:$A$34,SMALL(IF($AK$7:$AK$34&lt;&gt;"",IF($AH$7:$AH$34&lt;&gt;"",ROW($AH$7:$AH$34)-MIN(ROW($AH$7:$AH$34))+1,""),""),ROW()-ROW(A$37)+1))),),"")</f>
        <v>0</v>
      </c>
    </row>
    <row r="57" spans="9:36">
      <c r="I57">
        <f t="array" ref="I57">IFERROR(CONCATENATE(TEXT(INDEX($I$7:$I$34,SMALL(IF($L$7:$L$34&lt;&gt;"",IF($I$7:$I$34&lt;&gt;"",ROW($I$7:$I$34)-MIN(ROW($I$7:$I$34))+1,""),""),ROW()-ROW(A$37)+1)),"##0"),","),"")</f>
        <v>0</v>
      </c>
      <c r="J57">
        <f t="array" ref="J57">IFERROR(CONCATENATE((INDEX($L$7:$L$34,SMALL(IF($L$7:$L$34&lt;&gt;"",IF($I$7:$I$34&lt;&gt;"",ROW($I$7:$I$34)-MIN(ROW($I$7:$I$34))+1,""),""),ROW()-ROW(A$37)+1))),","),"")</f>
        <v>0</v>
      </c>
      <c r="K57">
        <f t="array" ref="K57">IFERROR(CONCATENATE((INDEX($A$7:$A$34,SMALL(IF($L$7:$L$34&lt;&gt;"",IF($I$7:$I$34&lt;&gt;"",ROW($I$7:$I$34)-MIN(ROW($I$7:$I$34))+1,""),""),ROW()-ROW(A$37)+1))),),"")</f>
        <v>0</v>
      </c>
      <c r="N57">
        <f t="array" ref="N57">IFERROR(CONCATENATE((INDEX($Q$7:$Q$34,SMALL(IF($Q$7:$Q$34&lt;&gt;"",IF($N$7:$N$34&lt;&gt;"",ROW($N$7:$N$34)-MIN(ROW($N$7:$N$34))+1,""),""),ROW()-ROW(A$37)+1)))," "),"")</f>
        <v>0</v>
      </c>
      <c r="O57">
        <f t="array" ref="O57">IFERROR(CONCATENATE(TEXT(INDEX($N$7:$N$34,SMALL(IF($Q$7:$Q$34&lt;&gt;"",IF($N$7:$N$34&lt;&gt;"",ROW($N$7:$N$34)-MIN(ROW($N$7:$N$34))+1,""),""),ROW()-ROW(A$37)+1)),"##0")," "),"")</f>
        <v>0</v>
      </c>
      <c r="P57">
        <f t="array" ref="P57">IFERROR(CONCATENATE((INDEX($A$7:$A$34,SMALL(IF($Q$7:$Q$34&lt;&gt;"",IF($N$7:$N$34&lt;&gt;"",ROW($N$7:$N$34)-MIN(ROW($N$7:$N$34))+1,""),""),ROW()-ROW(A$37)+1))),),"")</f>
        <v>0</v>
      </c>
      <c r="S57">
        <f t="array" ref="S57">IFERROR(CONCATENATE((INDEX($V$7:$V$34,SMALL(IF($V$7:$V$34&lt;&gt;"",IF($S$7:$S$34&lt;&gt;"",ROW($S$7:$S$34)-MIN(ROW($S$7:$S$34))+1,""),""),ROW()-ROW(A$37)+1)))," "),"")</f>
        <v>0</v>
      </c>
      <c r="T57">
        <f t="array" ref="T57">IFERROR(CONCATENATE(TEXT(INDEX($S$7:$S$34,SMALL(IF($V$7:$V$34&lt;&gt;"",IF($S$7:$S$34&lt;&gt;"",ROW($S$7:$S$34)-MIN(ROW($S$7:$S$34))+1,""),""),ROW()-ROW(A$37)+1)),"##0")," "),"")</f>
        <v>0</v>
      </c>
      <c r="U57">
        <f t="array" ref="U57">IFERROR(CONCATENATE((INDEX($A$7:$A$34,SMALL(IF($V$7:$V$34&lt;&gt;"",IF($S$7:$S$34&lt;&gt;"",ROW($S$7:$S$34)-MIN(ROW($S$7:$S$34))+1,""),""),ROW()-ROW(A$37)+1))),),"")</f>
        <v>0</v>
      </c>
      <c r="X57">
        <f t="array" ref="X57">IFERROR(CONCATENATE((INDEX($AA$7:$AA$34,SMALL(IF($AA$7:$AA$34&lt;&gt;"",IF($X$7:$X$34&lt;&gt;"",ROW($X$7:$X$34)-MIN(ROW($X$7:$X$34))+1,""),""),ROW()-ROW(A$37)+1))),","),"")</f>
        <v>0</v>
      </c>
      <c r="Y57">
        <f t="array" ref="Y57">IFERROR(CONCATENATE(TEXT(INDEX($X$7:$X$34,SMALL(IF($AA$7:$AA$34&lt;&gt;"",IF($X$7:$X$34&lt;&gt;"",ROW($X$7:$X$34)-MIN(ROW($X$7:$X$34))+1,""),""),ROW()-ROW(A$37)+1)),"##0"),","),"")</f>
        <v>0</v>
      </c>
      <c r="Z57">
        <f t="array" ref="Z57">IFERROR(CONCATENATE((INDEX($A$7:$A$34,SMALL(IF($AA$7:$AA$34&lt;&gt;"",IF($X$7:$X$34&lt;&gt;"",ROW($X$7:$X$34)-MIN(ROW($X$7:$X$34))+1,""),""),ROW()-ROW(A$37)+1))),),"")</f>
        <v>0</v>
      </c>
      <c r="AC57">
        <f t="array" ref="AC57">IFERROR(CONCATENATE((INDEX($AF$7:$AF$34,SMALL(IF($AF$7:$AF$34&lt;&gt;"",IF($AC$7:$AC$34&lt;&gt;"",ROW($AC$7:$AC$34)-MIN(ROW($AC$7:$AC$34))+1,""),""),ROW()-ROW(A$37)+1)))," "),"")</f>
        <v>0</v>
      </c>
      <c r="AD57">
        <f t="array" ref="AD57">IFERROR(CONCATENATE(TEXT(INDEX($AC$7:$AC$34,SMALL(IF($AF$7:$AF$34&lt;&gt;"",IF($AC$7:$AC$34&lt;&gt;"",ROW($AC$7:$AC$34)-MIN(ROW($AC$7:$AC$34))+1,""),""),ROW()-ROW(A$37)+1)),"##0")," "),"")</f>
        <v>0</v>
      </c>
      <c r="AE57">
        <f t="array" ref="AE57">IFERROR(CONCATENATE((INDEX($A$7:$A$34,SMALL(IF($AF$7:$AF$34&lt;&gt;"",IF($AC$7:$AC$34&lt;&gt;"",ROW($AC$7:$AC$34)-MIN(ROW($AC$7:$AC$34))+1,""),""),ROW()-ROW(A$37)+1))),),"")</f>
        <v>0</v>
      </c>
      <c r="AH57">
        <f t="array" ref="AH57">IFERROR(CONCATENATE((INDEX($AK$7:$AK$34,SMALL(IF($AK$7:$AK$34&lt;&gt;"",IF($AH$7:$AH$34&lt;&gt;"",ROW($AH$7:$AH$34)-MIN(ROW($AH$7:$AH$34))+1,""),""),ROW()-ROW(A$37)+1)))," "),"")</f>
        <v>0</v>
      </c>
      <c r="AI57">
        <f t="array" ref="AI57">IFERROR(CONCATENATE(TEXT(INDEX($AH$7:$AH$34,SMALL(IF($AK$7:$AK$34&lt;&gt;"",IF($AH$7:$AH$34&lt;&gt;"",ROW($AH$7:$AH$34)-MIN(ROW($AH$7:$AH$34))+1,""),""),ROW()-ROW(A$37)+1)),"##0")," "),"")</f>
        <v>0</v>
      </c>
      <c r="AJ57">
        <f t="array" ref="AJ57">IFERROR(CONCATENATE((INDEX($A$7:$A$34,SMALL(IF($AK$7:$AK$34&lt;&gt;"",IF($AH$7:$AH$34&lt;&gt;"",ROW($AH$7:$AH$34)-MIN(ROW($AH$7:$AH$34))+1,""),""),ROW()-ROW(A$37)+1))),),"")</f>
        <v>0</v>
      </c>
    </row>
    <row r="58" spans="9:36">
      <c r="I58">
        <f t="array" ref="I58">IFERROR(CONCATENATE(TEXT(INDEX($I$7:$I$34,SMALL(IF($L$7:$L$34&lt;&gt;"",IF($I$7:$I$34&lt;&gt;"",ROW($I$7:$I$34)-MIN(ROW($I$7:$I$34))+1,""),""),ROW()-ROW(A$37)+1)),"##0"),","),"")</f>
        <v>0</v>
      </c>
      <c r="J58">
        <f t="array" ref="J58">IFERROR(CONCATENATE((INDEX($L$7:$L$34,SMALL(IF($L$7:$L$34&lt;&gt;"",IF($I$7:$I$34&lt;&gt;"",ROW($I$7:$I$34)-MIN(ROW($I$7:$I$34))+1,""),""),ROW()-ROW(A$37)+1))),","),"")</f>
        <v>0</v>
      </c>
      <c r="K58">
        <f t="array" ref="K58">IFERROR(CONCATENATE((INDEX($A$7:$A$34,SMALL(IF($L$7:$L$34&lt;&gt;"",IF($I$7:$I$34&lt;&gt;"",ROW($I$7:$I$34)-MIN(ROW($I$7:$I$34))+1,""),""),ROW()-ROW(A$37)+1))),),"")</f>
        <v>0</v>
      </c>
      <c r="N58">
        <f t="array" ref="N58">IFERROR(CONCATENATE((INDEX($Q$7:$Q$34,SMALL(IF($Q$7:$Q$34&lt;&gt;"",IF($N$7:$N$34&lt;&gt;"",ROW($N$7:$N$34)-MIN(ROW($N$7:$N$34))+1,""),""),ROW()-ROW(A$37)+1)))," "),"")</f>
        <v>0</v>
      </c>
      <c r="O58">
        <f t="array" ref="O58">IFERROR(CONCATENATE(TEXT(INDEX($N$7:$N$34,SMALL(IF($Q$7:$Q$34&lt;&gt;"",IF($N$7:$N$34&lt;&gt;"",ROW($N$7:$N$34)-MIN(ROW($N$7:$N$34))+1,""),""),ROW()-ROW(A$37)+1)),"##0")," "),"")</f>
        <v>0</v>
      </c>
      <c r="P58">
        <f t="array" ref="P58">IFERROR(CONCATENATE((INDEX($A$7:$A$34,SMALL(IF($Q$7:$Q$34&lt;&gt;"",IF($N$7:$N$34&lt;&gt;"",ROW($N$7:$N$34)-MIN(ROW($N$7:$N$34))+1,""),""),ROW()-ROW(A$37)+1))),),"")</f>
        <v>0</v>
      </c>
      <c r="S58">
        <f t="array" ref="S58">IFERROR(CONCATENATE((INDEX($V$7:$V$34,SMALL(IF($V$7:$V$34&lt;&gt;"",IF($S$7:$S$34&lt;&gt;"",ROW($S$7:$S$34)-MIN(ROW($S$7:$S$34))+1,""),""),ROW()-ROW(A$37)+1)))," "),"")</f>
        <v>0</v>
      </c>
      <c r="T58">
        <f t="array" ref="T58">IFERROR(CONCATENATE(TEXT(INDEX($S$7:$S$34,SMALL(IF($V$7:$V$34&lt;&gt;"",IF($S$7:$S$34&lt;&gt;"",ROW($S$7:$S$34)-MIN(ROW($S$7:$S$34))+1,""),""),ROW()-ROW(A$37)+1)),"##0")," "),"")</f>
        <v>0</v>
      </c>
      <c r="U58">
        <f t="array" ref="U58">IFERROR(CONCATENATE((INDEX($A$7:$A$34,SMALL(IF($V$7:$V$34&lt;&gt;"",IF($S$7:$S$34&lt;&gt;"",ROW($S$7:$S$34)-MIN(ROW($S$7:$S$34))+1,""),""),ROW()-ROW(A$37)+1))),),"")</f>
        <v>0</v>
      </c>
      <c r="X58">
        <f t="array" ref="X58">IFERROR(CONCATENATE((INDEX($AA$7:$AA$34,SMALL(IF($AA$7:$AA$34&lt;&gt;"",IF($X$7:$X$34&lt;&gt;"",ROW($X$7:$X$34)-MIN(ROW($X$7:$X$34))+1,""),""),ROW()-ROW(A$37)+1))),","),"")</f>
        <v>0</v>
      </c>
      <c r="Y58">
        <f t="array" ref="Y58">IFERROR(CONCATENATE(TEXT(INDEX($X$7:$X$34,SMALL(IF($AA$7:$AA$34&lt;&gt;"",IF($X$7:$X$34&lt;&gt;"",ROW($X$7:$X$34)-MIN(ROW($X$7:$X$34))+1,""),""),ROW()-ROW(A$37)+1)),"##0"),","),"")</f>
        <v>0</v>
      </c>
      <c r="Z58">
        <f t="array" ref="Z58">IFERROR(CONCATENATE((INDEX($A$7:$A$34,SMALL(IF($AA$7:$AA$34&lt;&gt;"",IF($X$7:$X$34&lt;&gt;"",ROW($X$7:$X$34)-MIN(ROW($X$7:$X$34))+1,""),""),ROW()-ROW(A$37)+1))),),"")</f>
        <v>0</v>
      </c>
      <c r="AC58">
        <f t="array" ref="AC58">IFERROR(CONCATENATE((INDEX($AF$7:$AF$34,SMALL(IF($AF$7:$AF$34&lt;&gt;"",IF($AC$7:$AC$34&lt;&gt;"",ROW($AC$7:$AC$34)-MIN(ROW($AC$7:$AC$34))+1,""),""),ROW()-ROW(A$37)+1)))," "),"")</f>
        <v>0</v>
      </c>
      <c r="AD58">
        <f t="array" ref="AD58">IFERROR(CONCATENATE(TEXT(INDEX($AC$7:$AC$34,SMALL(IF($AF$7:$AF$34&lt;&gt;"",IF($AC$7:$AC$34&lt;&gt;"",ROW($AC$7:$AC$34)-MIN(ROW($AC$7:$AC$34))+1,""),""),ROW()-ROW(A$37)+1)),"##0")," "),"")</f>
        <v>0</v>
      </c>
      <c r="AE58">
        <f t="array" ref="AE58">IFERROR(CONCATENATE((INDEX($A$7:$A$34,SMALL(IF($AF$7:$AF$34&lt;&gt;"",IF($AC$7:$AC$34&lt;&gt;"",ROW($AC$7:$AC$34)-MIN(ROW($AC$7:$AC$34))+1,""),""),ROW()-ROW(A$37)+1))),),"")</f>
        <v>0</v>
      </c>
      <c r="AH58">
        <f t="array" ref="AH58">IFERROR(CONCATENATE((INDEX($AK$7:$AK$34,SMALL(IF($AK$7:$AK$34&lt;&gt;"",IF($AH$7:$AH$34&lt;&gt;"",ROW($AH$7:$AH$34)-MIN(ROW($AH$7:$AH$34))+1,""),""),ROW()-ROW(A$37)+1)))," "),"")</f>
        <v>0</v>
      </c>
      <c r="AI58">
        <f t="array" ref="AI58">IFERROR(CONCATENATE(TEXT(INDEX($AH$7:$AH$34,SMALL(IF($AK$7:$AK$34&lt;&gt;"",IF($AH$7:$AH$34&lt;&gt;"",ROW($AH$7:$AH$34)-MIN(ROW($AH$7:$AH$34))+1,""),""),ROW()-ROW(A$37)+1)),"##0")," "),"")</f>
        <v>0</v>
      </c>
      <c r="AJ58">
        <f t="array" ref="AJ58">IFERROR(CONCATENATE((INDEX($A$7:$A$34,SMALL(IF($AK$7:$AK$34&lt;&gt;"",IF($AH$7:$AH$34&lt;&gt;"",ROW($AH$7:$AH$34)-MIN(ROW($AH$7:$AH$34))+1,""),""),ROW()-ROW(A$37)+1))),),"")</f>
        <v>0</v>
      </c>
    </row>
    <row r="59" spans="9:36">
      <c r="I59">
        <f t="array" ref="I59">IFERROR(CONCATENATE(TEXT(INDEX($I$7:$I$34,SMALL(IF($L$7:$L$34&lt;&gt;"",IF($I$7:$I$34&lt;&gt;"",ROW($I$7:$I$34)-MIN(ROW($I$7:$I$34))+1,""),""),ROW()-ROW(A$37)+1)),"##0"),","),"")</f>
        <v>0</v>
      </c>
      <c r="J59">
        <f t="array" ref="J59">IFERROR(CONCATENATE((INDEX($L$7:$L$34,SMALL(IF($L$7:$L$34&lt;&gt;"",IF($I$7:$I$34&lt;&gt;"",ROW($I$7:$I$34)-MIN(ROW($I$7:$I$34))+1,""),""),ROW()-ROW(A$37)+1))),","),"")</f>
        <v>0</v>
      </c>
      <c r="K59">
        <f t="array" ref="K59">IFERROR(CONCATENATE((INDEX($A$7:$A$34,SMALL(IF($L$7:$L$34&lt;&gt;"",IF($I$7:$I$34&lt;&gt;"",ROW($I$7:$I$34)-MIN(ROW($I$7:$I$34))+1,""),""),ROW()-ROW(A$37)+1))),),"")</f>
        <v>0</v>
      </c>
      <c r="N59">
        <f t="array" ref="N59">IFERROR(CONCATENATE((INDEX($Q$7:$Q$34,SMALL(IF($Q$7:$Q$34&lt;&gt;"",IF($N$7:$N$34&lt;&gt;"",ROW($N$7:$N$34)-MIN(ROW($N$7:$N$34))+1,""),""),ROW()-ROW(A$37)+1)))," "),"")</f>
        <v>0</v>
      </c>
      <c r="O59">
        <f t="array" ref="O59">IFERROR(CONCATENATE(TEXT(INDEX($N$7:$N$34,SMALL(IF($Q$7:$Q$34&lt;&gt;"",IF($N$7:$N$34&lt;&gt;"",ROW($N$7:$N$34)-MIN(ROW($N$7:$N$34))+1,""),""),ROW()-ROW(A$37)+1)),"##0")," "),"")</f>
        <v>0</v>
      </c>
      <c r="P59">
        <f t="array" ref="P59">IFERROR(CONCATENATE((INDEX($A$7:$A$34,SMALL(IF($Q$7:$Q$34&lt;&gt;"",IF($N$7:$N$34&lt;&gt;"",ROW($N$7:$N$34)-MIN(ROW($N$7:$N$34))+1,""),""),ROW()-ROW(A$37)+1))),),"")</f>
        <v>0</v>
      </c>
      <c r="S59">
        <f t="array" ref="S59">IFERROR(CONCATENATE((INDEX($V$7:$V$34,SMALL(IF($V$7:$V$34&lt;&gt;"",IF($S$7:$S$34&lt;&gt;"",ROW($S$7:$S$34)-MIN(ROW($S$7:$S$34))+1,""),""),ROW()-ROW(A$37)+1)))," "),"")</f>
        <v>0</v>
      </c>
      <c r="T59">
        <f t="array" ref="T59">IFERROR(CONCATENATE(TEXT(INDEX($S$7:$S$34,SMALL(IF($V$7:$V$34&lt;&gt;"",IF($S$7:$S$34&lt;&gt;"",ROW($S$7:$S$34)-MIN(ROW($S$7:$S$34))+1,""),""),ROW()-ROW(A$37)+1)),"##0")," "),"")</f>
        <v>0</v>
      </c>
      <c r="U59">
        <f t="array" ref="U59">IFERROR(CONCATENATE((INDEX($A$7:$A$34,SMALL(IF($V$7:$V$34&lt;&gt;"",IF($S$7:$S$34&lt;&gt;"",ROW($S$7:$S$34)-MIN(ROW($S$7:$S$34))+1,""),""),ROW()-ROW(A$37)+1))),),"")</f>
        <v>0</v>
      </c>
      <c r="X59">
        <f t="array" ref="X59">IFERROR(CONCATENATE((INDEX($AA$7:$AA$34,SMALL(IF($AA$7:$AA$34&lt;&gt;"",IF($X$7:$X$34&lt;&gt;"",ROW($X$7:$X$34)-MIN(ROW($X$7:$X$34))+1,""),""),ROW()-ROW(A$37)+1))),","),"")</f>
        <v>0</v>
      </c>
      <c r="Y59">
        <f t="array" ref="Y59">IFERROR(CONCATENATE(TEXT(INDEX($X$7:$X$34,SMALL(IF($AA$7:$AA$34&lt;&gt;"",IF($X$7:$X$34&lt;&gt;"",ROW($X$7:$X$34)-MIN(ROW($X$7:$X$34))+1,""),""),ROW()-ROW(A$37)+1)),"##0"),","),"")</f>
        <v>0</v>
      </c>
      <c r="Z59">
        <f t="array" ref="Z59">IFERROR(CONCATENATE((INDEX($A$7:$A$34,SMALL(IF($AA$7:$AA$34&lt;&gt;"",IF($X$7:$X$34&lt;&gt;"",ROW($X$7:$X$34)-MIN(ROW($X$7:$X$34))+1,""),""),ROW()-ROW(A$37)+1))),),"")</f>
        <v>0</v>
      </c>
      <c r="AC59">
        <f t="array" ref="AC59">IFERROR(CONCATENATE((INDEX($AF$7:$AF$34,SMALL(IF($AF$7:$AF$34&lt;&gt;"",IF($AC$7:$AC$34&lt;&gt;"",ROW($AC$7:$AC$34)-MIN(ROW($AC$7:$AC$34))+1,""),""),ROW()-ROW(A$37)+1)))," "),"")</f>
        <v>0</v>
      </c>
      <c r="AD59">
        <f t="array" ref="AD59">IFERROR(CONCATENATE(TEXT(INDEX($AC$7:$AC$34,SMALL(IF($AF$7:$AF$34&lt;&gt;"",IF($AC$7:$AC$34&lt;&gt;"",ROW($AC$7:$AC$34)-MIN(ROW($AC$7:$AC$34))+1,""),""),ROW()-ROW(A$37)+1)),"##0")," "),"")</f>
        <v>0</v>
      </c>
      <c r="AE59">
        <f t="array" ref="AE59">IFERROR(CONCATENATE((INDEX($A$7:$A$34,SMALL(IF($AF$7:$AF$34&lt;&gt;"",IF($AC$7:$AC$34&lt;&gt;"",ROW($AC$7:$AC$34)-MIN(ROW($AC$7:$AC$34))+1,""),""),ROW()-ROW(A$37)+1))),),"")</f>
        <v>0</v>
      </c>
      <c r="AH59">
        <f t="array" ref="AH59">IFERROR(CONCATENATE((INDEX($AK$7:$AK$34,SMALL(IF($AK$7:$AK$34&lt;&gt;"",IF($AH$7:$AH$34&lt;&gt;"",ROW($AH$7:$AH$34)-MIN(ROW($AH$7:$AH$34))+1,""),""),ROW()-ROW(A$37)+1)))," "),"")</f>
        <v>0</v>
      </c>
      <c r="AI59">
        <f t="array" ref="AI59">IFERROR(CONCATENATE(TEXT(INDEX($AH$7:$AH$34,SMALL(IF($AK$7:$AK$34&lt;&gt;"",IF($AH$7:$AH$34&lt;&gt;"",ROW($AH$7:$AH$34)-MIN(ROW($AH$7:$AH$34))+1,""),""),ROW()-ROW(A$37)+1)),"##0")," "),"")</f>
        <v>0</v>
      </c>
      <c r="AJ59">
        <f t="array" ref="AJ59">IFERROR(CONCATENATE((INDEX($A$7:$A$34,SMALL(IF($AK$7:$AK$34&lt;&gt;"",IF($AH$7:$AH$34&lt;&gt;"",ROW($AH$7:$AH$34)-MIN(ROW($AH$7:$AH$34))+1,""),""),ROW()-ROW(A$37)+1))),),"")</f>
        <v>0</v>
      </c>
    </row>
    <row r="60" spans="9:36">
      <c r="I60">
        <f t="array" ref="I60">IFERROR(CONCATENATE(TEXT(INDEX($I$7:$I$34,SMALL(IF($L$7:$L$34&lt;&gt;"",IF($I$7:$I$34&lt;&gt;"",ROW($I$7:$I$34)-MIN(ROW($I$7:$I$34))+1,""),""),ROW()-ROW(A$37)+1)),"##0"),","),"")</f>
        <v>0</v>
      </c>
      <c r="J60">
        <f t="array" ref="J60">IFERROR(CONCATENATE((INDEX($L$7:$L$34,SMALL(IF($L$7:$L$34&lt;&gt;"",IF($I$7:$I$34&lt;&gt;"",ROW($I$7:$I$34)-MIN(ROW($I$7:$I$34))+1,""),""),ROW()-ROW(A$37)+1))),","),"")</f>
        <v>0</v>
      </c>
      <c r="K60">
        <f t="array" ref="K60">IFERROR(CONCATENATE((INDEX($A$7:$A$34,SMALL(IF($L$7:$L$34&lt;&gt;"",IF($I$7:$I$34&lt;&gt;"",ROW($I$7:$I$34)-MIN(ROW($I$7:$I$34))+1,""),""),ROW()-ROW(A$37)+1))),),"")</f>
        <v>0</v>
      </c>
      <c r="N60">
        <f t="array" ref="N60">IFERROR(CONCATENATE((INDEX($Q$7:$Q$34,SMALL(IF($Q$7:$Q$34&lt;&gt;"",IF($N$7:$N$34&lt;&gt;"",ROW($N$7:$N$34)-MIN(ROW($N$7:$N$34))+1,""),""),ROW()-ROW(A$37)+1)))," "),"")</f>
        <v>0</v>
      </c>
      <c r="O60">
        <f t="array" ref="O60">IFERROR(CONCATENATE(TEXT(INDEX($N$7:$N$34,SMALL(IF($Q$7:$Q$34&lt;&gt;"",IF($N$7:$N$34&lt;&gt;"",ROW($N$7:$N$34)-MIN(ROW($N$7:$N$34))+1,""),""),ROW()-ROW(A$37)+1)),"##0")," "),"")</f>
        <v>0</v>
      </c>
      <c r="P60">
        <f t="array" ref="P60">IFERROR(CONCATENATE((INDEX($A$7:$A$34,SMALL(IF($Q$7:$Q$34&lt;&gt;"",IF($N$7:$N$34&lt;&gt;"",ROW($N$7:$N$34)-MIN(ROW($N$7:$N$34))+1,""),""),ROW()-ROW(A$37)+1))),),"")</f>
        <v>0</v>
      </c>
      <c r="S60">
        <f t="array" ref="S60">IFERROR(CONCATENATE((INDEX($V$7:$V$34,SMALL(IF($V$7:$V$34&lt;&gt;"",IF($S$7:$S$34&lt;&gt;"",ROW($S$7:$S$34)-MIN(ROW($S$7:$S$34))+1,""),""),ROW()-ROW(A$37)+1)))," "),"")</f>
        <v>0</v>
      </c>
      <c r="T60">
        <f t="array" ref="T60">IFERROR(CONCATENATE(TEXT(INDEX($S$7:$S$34,SMALL(IF($V$7:$V$34&lt;&gt;"",IF($S$7:$S$34&lt;&gt;"",ROW($S$7:$S$34)-MIN(ROW($S$7:$S$34))+1,""),""),ROW()-ROW(A$37)+1)),"##0")," "),"")</f>
        <v>0</v>
      </c>
      <c r="U60">
        <f t="array" ref="U60">IFERROR(CONCATENATE((INDEX($A$7:$A$34,SMALL(IF($V$7:$V$34&lt;&gt;"",IF($S$7:$S$34&lt;&gt;"",ROW($S$7:$S$34)-MIN(ROW($S$7:$S$34))+1,""),""),ROW()-ROW(A$37)+1))),),"")</f>
        <v>0</v>
      </c>
      <c r="X60">
        <f t="array" ref="X60">IFERROR(CONCATENATE((INDEX($AA$7:$AA$34,SMALL(IF($AA$7:$AA$34&lt;&gt;"",IF($X$7:$X$34&lt;&gt;"",ROW($X$7:$X$34)-MIN(ROW($X$7:$X$34))+1,""),""),ROW()-ROW(A$37)+1))),","),"")</f>
        <v>0</v>
      </c>
      <c r="Y60">
        <f t="array" ref="Y60">IFERROR(CONCATENATE(TEXT(INDEX($X$7:$X$34,SMALL(IF($AA$7:$AA$34&lt;&gt;"",IF($X$7:$X$34&lt;&gt;"",ROW($X$7:$X$34)-MIN(ROW($X$7:$X$34))+1,""),""),ROW()-ROW(A$37)+1)),"##0"),","),"")</f>
        <v>0</v>
      </c>
      <c r="Z60">
        <f t="array" ref="Z60">IFERROR(CONCATENATE((INDEX($A$7:$A$34,SMALL(IF($AA$7:$AA$34&lt;&gt;"",IF($X$7:$X$34&lt;&gt;"",ROW($X$7:$X$34)-MIN(ROW($X$7:$X$34))+1,""),""),ROW()-ROW(A$37)+1))),),"")</f>
        <v>0</v>
      </c>
      <c r="AC60">
        <f t="array" ref="AC60">IFERROR(CONCATENATE((INDEX($AF$7:$AF$34,SMALL(IF($AF$7:$AF$34&lt;&gt;"",IF($AC$7:$AC$34&lt;&gt;"",ROW($AC$7:$AC$34)-MIN(ROW($AC$7:$AC$34))+1,""),""),ROW()-ROW(A$37)+1)))," "),"")</f>
        <v>0</v>
      </c>
      <c r="AD60">
        <f t="array" ref="AD60">IFERROR(CONCATENATE(TEXT(INDEX($AC$7:$AC$34,SMALL(IF($AF$7:$AF$34&lt;&gt;"",IF($AC$7:$AC$34&lt;&gt;"",ROW($AC$7:$AC$34)-MIN(ROW($AC$7:$AC$34))+1,""),""),ROW()-ROW(A$37)+1)),"##0")," "),"")</f>
        <v>0</v>
      </c>
      <c r="AE60">
        <f t="array" ref="AE60">IFERROR(CONCATENATE((INDEX($A$7:$A$34,SMALL(IF($AF$7:$AF$34&lt;&gt;"",IF($AC$7:$AC$34&lt;&gt;"",ROW($AC$7:$AC$34)-MIN(ROW($AC$7:$AC$34))+1,""),""),ROW()-ROW(A$37)+1))),),"")</f>
        <v>0</v>
      </c>
      <c r="AH60">
        <f t="array" ref="AH60">IFERROR(CONCATENATE((INDEX($AK$7:$AK$34,SMALL(IF($AK$7:$AK$34&lt;&gt;"",IF($AH$7:$AH$34&lt;&gt;"",ROW($AH$7:$AH$34)-MIN(ROW($AH$7:$AH$34))+1,""),""),ROW()-ROW(A$37)+1)))," "),"")</f>
        <v>0</v>
      </c>
      <c r="AI60">
        <f t="array" ref="AI60">IFERROR(CONCATENATE(TEXT(INDEX($AH$7:$AH$34,SMALL(IF($AK$7:$AK$34&lt;&gt;"",IF($AH$7:$AH$34&lt;&gt;"",ROW($AH$7:$AH$34)-MIN(ROW($AH$7:$AH$34))+1,""),""),ROW()-ROW(A$37)+1)),"##0")," "),"")</f>
        <v>0</v>
      </c>
      <c r="AJ60">
        <f t="array" ref="AJ60">IFERROR(CONCATENATE((INDEX($A$7:$A$34,SMALL(IF($AK$7:$AK$34&lt;&gt;"",IF($AH$7:$AH$34&lt;&gt;"",ROW($AH$7:$AH$34)-MIN(ROW($AH$7:$AH$34))+1,""),""),ROW()-ROW(A$37)+1))),),"")</f>
        <v>0</v>
      </c>
    </row>
    <row r="61" spans="9:36">
      <c r="I61">
        <f t="array" ref="I61">IFERROR(CONCATENATE(TEXT(INDEX($I$7:$I$34,SMALL(IF($L$7:$L$34&lt;&gt;"",IF($I$7:$I$34&lt;&gt;"",ROW($I$7:$I$34)-MIN(ROW($I$7:$I$34))+1,""),""),ROW()-ROW(A$37)+1)),"##0"),","),"")</f>
        <v>0</v>
      </c>
      <c r="J61">
        <f t="array" ref="J61">IFERROR(CONCATENATE((INDEX($L$7:$L$34,SMALL(IF($L$7:$L$34&lt;&gt;"",IF($I$7:$I$34&lt;&gt;"",ROW($I$7:$I$34)-MIN(ROW($I$7:$I$34))+1,""),""),ROW()-ROW(A$37)+1))),","),"")</f>
        <v>0</v>
      </c>
      <c r="K61">
        <f t="array" ref="K61">IFERROR(CONCATENATE((INDEX($A$7:$A$34,SMALL(IF($L$7:$L$34&lt;&gt;"",IF($I$7:$I$34&lt;&gt;"",ROW($I$7:$I$34)-MIN(ROW($I$7:$I$34))+1,""),""),ROW()-ROW(A$37)+1))),),"")</f>
        <v>0</v>
      </c>
      <c r="N61">
        <f t="array" ref="N61">IFERROR(CONCATENATE((INDEX($Q$7:$Q$34,SMALL(IF($Q$7:$Q$34&lt;&gt;"",IF($N$7:$N$34&lt;&gt;"",ROW($N$7:$N$34)-MIN(ROW($N$7:$N$34))+1,""),""),ROW()-ROW(A$37)+1)))," "),"")</f>
        <v>0</v>
      </c>
      <c r="O61">
        <f t="array" ref="O61">IFERROR(CONCATENATE(TEXT(INDEX($N$7:$N$34,SMALL(IF($Q$7:$Q$34&lt;&gt;"",IF($N$7:$N$34&lt;&gt;"",ROW($N$7:$N$34)-MIN(ROW($N$7:$N$34))+1,""),""),ROW()-ROW(A$37)+1)),"##0")," "),"")</f>
        <v>0</v>
      </c>
      <c r="P61">
        <f t="array" ref="P61">IFERROR(CONCATENATE((INDEX($A$7:$A$34,SMALL(IF($Q$7:$Q$34&lt;&gt;"",IF($N$7:$N$34&lt;&gt;"",ROW($N$7:$N$34)-MIN(ROW($N$7:$N$34))+1,""),""),ROW()-ROW(A$37)+1))),),"")</f>
        <v>0</v>
      </c>
      <c r="S61">
        <f t="array" ref="S61">IFERROR(CONCATENATE((INDEX($V$7:$V$34,SMALL(IF($V$7:$V$34&lt;&gt;"",IF($S$7:$S$34&lt;&gt;"",ROW($S$7:$S$34)-MIN(ROW($S$7:$S$34))+1,""),""),ROW()-ROW(A$37)+1)))," "),"")</f>
        <v>0</v>
      </c>
      <c r="T61">
        <f t="array" ref="T61">IFERROR(CONCATENATE(TEXT(INDEX($S$7:$S$34,SMALL(IF($V$7:$V$34&lt;&gt;"",IF($S$7:$S$34&lt;&gt;"",ROW($S$7:$S$34)-MIN(ROW($S$7:$S$34))+1,""),""),ROW()-ROW(A$37)+1)),"##0")," "),"")</f>
        <v>0</v>
      </c>
      <c r="U61">
        <f t="array" ref="U61">IFERROR(CONCATENATE((INDEX($A$7:$A$34,SMALL(IF($V$7:$V$34&lt;&gt;"",IF($S$7:$S$34&lt;&gt;"",ROW($S$7:$S$34)-MIN(ROW($S$7:$S$34))+1,""),""),ROW()-ROW(A$37)+1))),),"")</f>
        <v>0</v>
      </c>
      <c r="X61">
        <f t="array" ref="X61">IFERROR(CONCATENATE((INDEX($AA$7:$AA$34,SMALL(IF($AA$7:$AA$34&lt;&gt;"",IF($X$7:$X$34&lt;&gt;"",ROW($X$7:$X$34)-MIN(ROW($X$7:$X$34))+1,""),""),ROW()-ROW(A$37)+1))),","),"")</f>
        <v>0</v>
      </c>
      <c r="Y61">
        <f t="array" ref="Y61">IFERROR(CONCATENATE(TEXT(INDEX($X$7:$X$34,SMALL(IF($AA$7:$AA$34&lt;&gt;"",IF($X$7:$X$34&lt;&gt;"",ROW($X$7:$X$34)-MIN(ROW($X$7:$X$34))+1,""),""),ROW()-ROW(A$37)+1)),"##0"),","),"")</f>
        <v>0</v>
      </c>
      <c r="Z61">
        <f t="array" ref="Z61">IFERROR(CONCATENATE((INDEX($A$7:$A$34,SMALL(IF($AA$7:$AA$34&lt;&gt;"",IF($X$7:$X$34&lt;&gt;"",ROW($X$7:$X$34)-MIN(ROW($X$7:$X$34))+1,""),""),ROW()-ROW(A$37)+1))),),"")</f>
        <v>0</v>
      </c>
      <c r="AC61">
        <f t="array" ref="AC61">IFERROR(CONCATENATE((INDEX($AF$7:$AF$34,SMALL(IF($AF$7:$AF$34&lt;&gt;"",IF($AC$7:$AC$34&lt;&gt;"",ROW($AC$7:$AC$34)-MIN(ROW($AC$7:$AC$34))+1,""),""),ROW()-ROW(A$37)+1)))," "),"")</f>
        <v>0</v>
      </c>
      <c r="AD61">
        <f t="array" ref="AD61">IFERROR(CONCATENATE(TEXT(INDEX($AC$7:$AC$34,SMALL(IF($AF$7:$AF$34&lt;&gt;"",IF($AC$7:$AC$34&lt;&gt;"",ROW($AC$7:$AC$34)-MIN(ROW($AC$7:$AC$34))+1,""),""),ROW()-ROW(A$37)+1)),"##0")," "),"")</f>
        <v>0</v>
      </c>
      <c r="AE61">
        <f t="array" ref="AE61">IFERROR(CONCATENATE((INDEX($A$7:$A$34,SMALL(IF($AF$7:$AF$34&lt;&gt;"",IF($AC$7:$AC$34&lt;&gt;"",ROW($AC$7:$AC$34)-MIN(ROW($AC$7:$AC$34))+1,""),""),ROW()-ROW(A$37)+1))),),"")</f>
        <v>0</v>
      </c>
      <c r="AH61">
        <f t="array" ref="AH61">IFERROR(CONCATENATE((INDEX($AK$7:$AK$34,SMALL(IF($AK$7:$AK$34&lt;&gt;"",IF($AH$7:$AH$34&lt;&gt;"",ROW($AH$7:$AH$34)-MIN(ROW($AH$7:$AH$34))+1,""),""),ROW()-ROW(A$37)+1)))," "),"")</f>
        <v>0</v>
      </c>
      <c r="AI61">
        <f t="array" ref="AI61">IFERROR(CONCATENATE(TEXT(INDEX($AH$7:$AH$34,SMALL(IF($AK$7:$AK$34&lt;&gt;"",IF($AH$7:$AH$34&lt;&gt;"",ROW($AH$7:$AH$34)-MIN(ROW($AH$7:$AH$34))+1,""),""),ROW()-ROW(A$37)+1)),"##0")," "),"")</f>
        <v>0</v>
      </c>
      <c r="AJ61">
        <f t="array" ref="AJ61">IFERROR(CONCATENATE((INDEX($A$7:$A$34,SMALL(IF($AK$7:$AK$34&lt;&gt;"",IF($AH$7:$AH$34&lt;&gt;"",ROW($AH$7:$AH$34)-MIN(ROW($AH$7:$AH$34))+1,""),""),ROW()-ROW(A$37)+1))),),"")</f>
        <v>0</v>
      </c>
    </row>
    <row r="62" spans="9:36">
      <c r="I62">
        <f t="array" ref="I62">IFERROR(CONCATENATE(TEXT(INDEX($I$7:$I$34,SMALL(IF($L$7:$L$34&lt;&gt;"",IF($I$7:$I$34&lt;&gt;"",ROW($I$7:$I$34)-MIN(ROW($I$7:$I$34))+1,""),""),ROW()-ROW(A$37)+1)),"##0"),","),"")</f>
        <v>0</v>
      </c>
      <c r="J62">
        <f t="array" ref="J62">IFERROR(CONCATENATE((INDEX($L$7:$L$34,SMALL(IF($L$7:$L$34&lt;&gt;"",IF($I$7:$I$34&lt;&gt;"",ROW($I$7:$I$34)-MIN(ROW($I$7:$I$34))+1,""),""),ROW()-ROW(A$37)+1))),","),"")</f>
        <v>0</v>
      </c>
      <c r="K62">
        <f t="array" ref="K62">IFERROR(CONCATENATE((INDEX($A$7:$A$34,SMALL(IF($L$7:$L$34&lt;&gt;"",IF($I$7:$I$34&lt;&gt;"",ROW($I$7:$I$34)-MIN(ROW($I$7:$I$34))+1,""),""),ROW()-ROW(A$37)+1))),),"")</f>
        <v>0</v>
      </c>
      <c r="N62">
        <f t="array" ref="N62">IFERROR(CONCATENATE((INDEX($Q$7:$Q$34,SMALL(IF($Q$7:$Q$34&lt;&gt;"",IF($N$7:$N$34&lt;&gt;"",ROW($N$7:$N$34)-MIN(ROW($N$7:$N$34))+1,""),""),ROW()-ROW(A$37)+1)))," "),"")</f>
        <v>0</v>
      </c>
      <c r="O62">
        <f t="array" ref="O62">IFERROR(CONCATENATE(TEXT(INDEX($N$7:$N$34,SMALL(IF($Q$7:$Q$34&lt;&gt;"",IF($N$7:$N$34&lt;&gt;"",ROW($N$7:$N$34)-MIN(ROW($N$7:$N$34))+1,""),""),ROW()-ROW(A$37)+1)),"##0")," "),"")</f>
        <v>0</v>
      </c>
      <c r="P62">
        <f t="array" ref="P62">IFERROR(CONCATENATE((INDEX($A$7:$A$34,SMALL(IF($Q$7:$Q$34&lt;&gt;"",IF($N$7:$N$34&lt;&gt;"",ROW($N$7:$N$34)-MIN(ROW($N$7:$N$34))+1,""),""),ROW()-ROW(A$37)+1))),),"")</f>
        <v>0</v>
      </c>
      <c r="S62">
        <f t="array" ref="S62">IFERROR(CONCATENATE((INDEX($V$7:$V$34,SMALL(IF($V$7:$V$34&lt;&gt;"",IF($S$7:$S$34&lt;&gt;"",ROW($S$7:$S$34)-MIN(ROW($S$7:$S$34))+1,""),""),ROW()-ROW(A$37)+1)))," "),"")</f>
        <v>0</v>
      </c>
      <c r="T62">
        <f t="array" ref="T62">IFERROR(CONCATENATE(TEXT(INDEX($S$7:$S$34,SMALL(IF($V$7:$V$34&lt;&gt;"",IF($S$7:$S$34&lt;&gt;"",ROW($S$7:$S$34)-MIN(ROW($S$7:$S$34))+1,""),""),ROW()-ROW(A$37)+1)),"##0")," "),"")</f>
        <v>0</v>
      </c>
      <c r="U62">
        <f t="array" ref="U62">IFERROR(CONCATENATE((INDEX($A$7:$A$34,SMALL(IF($V$7:$V$34&lt;&gt;"",IF($S$7:$S$34&lt;&gt;"",ROW($S$7:$S$34)-MIN(ROW($S$7:$S$34))+1,""),""),ROW()-ROW(A$37)+1))),),"")</f>
        <v>0</v>
      </c>
      <c r="X62">
        <f t="array" ref="X62">IFERROR(CONCATENATE((INDEX($AA$7:$AA$34,SMALL(IF($AA$7:$AA$34&lt;&gt;"",IF($X$7:$X$34&lt;&gt;"",ROW($X$7:$X$34)-MIN(ROW($X$7:$X$34))+1,""),""),ROW()-ROW(A$37)+1))),","),"")</f>
        <v>0</v>
      </c>
      <c r="Y62">
        <f t="array" ref="Y62">IFERROR(CONCATENATE(TEXT(INDEX($X$7:$X$34,SMALL(IF($AA$7:$AA$34&lt;&gt;"",IF($X$7:$X$34&lt;&gt;"",ROW($X$7:$X$34)-MIN(ROW($X$7:$X$34))+1,""),""),ROW()-ROW(A$37)+1)),"##0"),","),"")</f>
        <v>0</v>
      </c>
      <c r="Z62">
        <f t="array" ref="Z62">IFERROR(CONCATENATE((INDEX($A$7:$A$34,SMALL(IF($AA$7:$AA$34&lt;&gt;"",IF($X$7:$X$34&lt;&gt;"",ROW($X$7:$X$34)-MIN(ROW($X$7:$X$34))+1,""),""),ROW()-ROW(A$37)+1))),),"")</f>
        <v>0</v>
      </c>
      <c r="AC62">
        <f t="array" ref="AC62">IFERROR(CONCATENATE((INDEX($AF$7:$AF$34,SMALL(IF($AF$7:$AF$34&lt;&gt;"",IF($AC$7:$AC$34&lt;&gt;"",ROW($AC$7:$AC$34)-MIN(ROW($AC$7:$AC$34))+1,""),""),ROW()-ROW(A$37)+1)))," "),"")</f>
        <v>0</v>
      </c>
      <c r="AD62">
        <f t="array" ref="AD62">IFERROR(CONCATENATE(TEXT(INDEX($AC$7:$AC$34,SMALL(IF($AF$7:$AF$34&lt;&gt;"",IF($AC$7:$AC$34&lt;&gt;"",ROW($AC$7:$AC$34)-MIN(ROW($AC$7:$AC$34))+1,""),""),ROW()-ROW(A$37)+1)),"##0")," "),"")</f>
        <v>0</v>
      </c>
      <c r="AE62">
        <f t="array" ref="AE62">IFERROR(CONCATENATE((INDEX($A$7:$A$34,SMALL(IF($AF$7:$AF$34&lt;&gt;"",IF($AC$7:$AC$34&lt;&gt;"",ROW($AC$7:$AC$34)-MIN(ROW($AC$7:$AC$34))+1,""),""),ROW()-ROW(A$37)+1))),),"")</f>
        <v>0</v>
      </c>
      <c r="AH62">
        <f t="array" ref="AH62">IFERROR(CONCATENATE((INDEX($AK$7:$AK$34,SMALL(IF($AK$7:$AK$34&lt;&gt;"",IF($AH$7:$AH$34&lt;&gt;"",ROW($AH$7:$AH$34)-MIN(ROW($AH$7:$AH$34))+1,""),""),ROW()-ROW(A$37)+1)))," "),"")</f>
        <v>0</v>
      </c>
      <c r="AI62">
        <f t="array" ref="AI62">IFERROR(CONCATENATE(TEXT(INDEX($AH$7:$AH$34,SMALL(IF($AK$7:$AK$34&lt;&gt;"",IF($AH$7:$AH$34&lt;&gt;"",ROW($AH$7:$AH$34)-MIN(ROW($AH$7:$AH$34))+1,""),""),ROW()-ROW(A$37)+1)),"##0")," "),"")</f>
        <v>0</v>
      </c>
      <c r="AJ62">
        <f t="array" ref="AJ62">IFERROR(CONCATENATE((INDEX($A$7:$A$34,SMALL(IF($AK$7:$AK$34&lt;&gt;"",IF($AH$7:$AH$34&lt;&gt;"",ROW($AH$7:$AH$34)-MIN(ROW($AH$7:$AH$34))+1,""),""),ROW()-ROW(A$37)+1))),),"")</f>
        <v>0</v>
      </c>
    </row>
    <row r="63" spans="9:36">
      <c r="I63">
        <f t="array" ref="I63">IFERROR(CONCATENATE(TEXT(INDEX($I$7:$I$34,SMALL(IF($L$7:$L$34&lt;&gt;"",IF($I$7:$I$34&lt;&gt;"",ROW($I$7:$I$34)-MIN(ROW($I$7:$I$34))+1,""),""),ROW()-ROW(A$37)+1)),"##0"),","),"")</f>
        <v>0</v>
      </c>
      <c r="J63">
        <f t="array" ref="J63">IFERROR(CONCATENATE((INDEX($L$7:$L$34,SMALL(IF($L$7:$L$34&lt;&gt;"",IF($I$7:$I$34&lt;&gt;"",ROW($I$7:$I$34)-MIN(ROW($I$7:$I$34))+1,""),""),ROW()-ROW(A$37)+1))),","),"")</f>
        <v>0</v>
      </c>
      <c r="K63">
        <f t="array" ref="K63">IFERROR(CONCATENATE((INDEX($A$7:$A$34,SMALL(IF($L$7:$L$34&lt;&gt;"",IF($I$7:$I$34&lt;&gt;"",ROW($I$7:$I$34)-MIN(ROW($I$7:$I$34))+1,""),""),ROW()-ROW(A$37)+1))),),"")</f>
        <v>0</v>
      </c>
      <c r="N63">
        <f t="array" ref="N63">IFERROR(CONCATENATE((INDEX($Q$7:$Q$34,SMALL(IF($Q$7:$Q$34&lt;&gt;"",IF($N$7:$N$34&lt;&gt;"",ROW($N$7:$N$34)-MIN(ROW($N$7:$N$34))+1,""),""),ROW()-ROW(A$37)+1)))," "),"")</f>
        <v>0</v>
      </c>
      <c r="O63">
        <f t="array" ref="O63">IFERROR(CONCATENATE(TEXT(INDEX($N$7:$N$34,SMALL(IF($Q$7:$Q$34&lt;&gt;"",IF($N$7:$N$34&lt;&gt;"",ROW($N$7:$N$34)-MIN(ROW($N$7:$N$34))+1,""),""),ROW()-ROW(A$37)+1)),"##0")," "),"")</f>
        <v>0</v>
      </c>
      <c r="P63">
        <f t="array" ref="P63">IFERROR(CONCATENATE((INDEX($A$7:$A$34,SMALL(IF($Q$7:$Q$34&lt;&gt;"",IF($N$7:$N$34&lt;&gt;"",ROW($N$7:$N$34)-MIN(ROW($N$7:$N$34))+1,""),""),ROW()-ROW(A$37)+1))),),"")</f>
        <v>0</v>
      </c>
      <c r="S63">
        <f t="array" ref="S63">IFERROR(CONCATENATE((INDEX($V$7:$V$34,SMALL(IF($V$7:$V$34&lt;&gt;"",IF($S$7:$S$34&lt;&gt;"",ROW($S$7:$S$34)-MIN(ROW($S$7:$S$34))+1,""),""),ROW()-ROW(A$37)+1)))," "),"")</f>
        <v>0</v>
      </c>
      <c r="T63">
        <f t="array" ref="T63">IFERROR(CONCATENATE(TEXT(INDEX($S$7:$S$34,SMALL(IF($V$7:$V$34&lt;&gt;"",IF($S$7:$S$34&lt;&gt;"",ROW($S$7:$S$34)-MIN(ROW($S$7:$S$34))+1,""),""),ROW()-ROW(A$37)+1)),"##0")," "),"")</f>
        <v>0</v>
      </c>
      <c r="U63">
        <f t="array" ref="U63">IFERROR(CONCATENATE((INDEX($A$7:$A$34,SMALL(IF($V$7:$V$34&lt;&gt;"",IF($S$7:$S$34&lt;&gt;"",ROW($S$7:$S$34)-MIN(ROW($S$7:$S$34))+1,""),""),ROW()-ROW(A$37)+1))),),"")</f>
        <v>0</v>
      </c>
      <c r="X63">
        <f t="array" ref="X63">IFERROR(CONCATENATE((INDEX($AA$7:$AA$34,SMALL(IF($AA$7:$AA$34&lt;&gt;"",IF($X$7:$X$34&lt;&gt;"",ROW($X$7:$X$34)-MIN(ROW($X$7:$X$34))+1,""),""),ROW()-ROW(A$37)+1))),","),"")</f>
        <v>0</v>
      </c>
      <c r="Y63">
        <f t="array" ref="Y63">IFERROR(CONCATENATE(TEXT(INDEX($X$7:$X$34,SMALL(IF($AA$7:$AA$34&lt;&gt;"",IF($X$7:$X$34&lt;&gt;"",ROW($X$7:$X$34)-MIN(ROW($X$7:$X$34))+1,""),""),ROW()-ROW(A$37)+1)),"##0"),","),"")</f>
        <v>0</v>
      </c>
      <c r="Z63">
        <f t="array" ref="Z63">IFERROR(CONCATENATE((INDEX($A$7:$A$34,SMALL(IF($AA$7:$AA$34&lt;&gt;"",IF($X$7:$X$34&lt;&gt;"",ROW($X$7:$X$34)-MIN(ROW($X$7:$X$34))+1,""),""),ROW()-ROW(A$37)+1))),),"")</f>
        <v>0</v>
      </c>
      <c r="AC63">
        <f t="array" ref="AC63">IFERROR(CONCATENATE((INDEX($AF$7:$AF$34,SMALL(IF($AF$7:$AF$34&lt;&gt;"",IF($AC$7:$AC$34&lt;&gt;"",ROW($AC$7:$AC$34)-MIN(ROW($AC$7:$AC$34))+1,""),""),ROW()-ROW(A$37)+1)))," "),"")</f>
        <v>0</v>
      </c>
      <c r="AD63">
        <f t="array" ref="AD63">IFERROR(CONCATENATE(TEXT(INDEX($AC$7:$AC$34,SMALL(IF($AF$7:$AF$34&lt;&gt;"",IF($AC$7:$AC$34&lt;&gt;"",ROW($AC$7:$AC$34)-MIN(ROW($AC$7:$AC$34))+1,""),""),ROW()-ROW(A$37)+1)),"##0")," "),"")</f>
        <v>0</v>
      </c>
      <c r="AE63">
        <f t="array" ref="AE63">IFERROR(CONCATENATE((INDEX($A$7:$A$34,SMALL(IF($AF$7:$AF$34&lt;&gt;"",IF($AC$7:$AC$34&lt;&gt;"",ROW($AC$7:$AC$34)-MIN(ROW($AC$7:$AC$34))+1,""),""),ROW()-ROW(A$37)+1))),),"")</f>
        <v>0</v>
      </c>
      <c r="AH63">
        <f t="array" ref="AH63">IFERROR(CONCATENATE((INDEX($AK$7:$AK$34,SMALL(IF($AK$7:$AK$34&lt;&gt;"",IF($AH$7:$AH$34&lt;&gt;"",ROW($AH$7:$AH$34)-MIN(ROW($AH$7:$AH$34))+1,""),""),ROW()-ROW(A$37)+1)))," "),"")</f>
        <v>0</v>
      </c>
      <c r="AI63">
        <f t="array" ref="AI63">IFERROR(CONCATENATE(TEXT(INDEX($AH$7:$AH$34,SMALL(IF($AK$7:$AK$34&lt;&gt;"",IF($AH$7:$AH$34&lt;&gt;"",ROW($AH$7:$AH$34)-MIN(ROW($AH$7:$AH$34))+1,""),""),ROW()-ROW(A$37)+1)),"##0")," "),"")</f>
        <v>0</v>
      </c>
      <c r="AJ63">
        <f t="array" ref="AJ63">IFERROR(CONCATENATE((INDEX($A$7:$A$34,SMALL(IF($AK$7:$AK$34&lt;&gt;"",IF($AH$7:$AH$34&lt;&gt;"",ROW($AH$7:$AH$34)-MIN(ROW($AH$7:$AH$34))+1,""),""),ROW()-ROW(A$37)+1))),),"")</f>
        <v>0</v>
      </c>
    </row>
    <row r="64" spans="9:36">
      <c r="I64">
        <f t="array" ref="I64">IFERROR(CONCATENATE(TEXT(INDEX($I$7:$I$34,SMALL(IF($L$7:$L$34&lt;&gt;"",IF($I$7:$I$34&lt;&gt;"",ROW($I$7:$I$34)-MIN(ROW($I$7:$I$34))+1,""),""),ROW()-ROW(A$37)+1)),"##0"),","),"")</f>
        <v>0</v>
      </c>
      <c r="J64">
        <f t="array" ref="J64">IFERROR(CONCATENATE((INDEX($L$7:$L$34,SMALL(IF($L$7:$L$34&lt;&gt;"",IF($I$7:$I$34&lt;&gt;"",ROW($I$7:$I$34)-MIN(ROW($I$7:$I$34))+1,""),""),ROW()-ROW(A$37)+1))),","),"")</f>
        <v>0</v>
      </c>
      <c r="K64">
        <f t="array" ref="K64">IFERROR(CONCATENATE((INDEX($A$7:$A$34,SMALL(IF($L$7:$L$34&lt;&gt;"",IF($I$7:$I$34&lt;&gt;"",ROW($I$7:$I$34)-MIN(ROW($I$7:$I$34))+1,""),""),ROW()-ROW(A$37)+1))),),"")</f>
        <v>0</v>
      </c>
      <c r="N64">
        <f t="array" ref="N64">IFERROR(CONCATENATE((INDEX($Q$7:$Q$34,SMALL(IF($Q$7:$Q$34&lt;&gt;"",IF($N$7:$N$34&lt;&gt;"",ROW($N$7:$N$34)-MIN(ROW($N$7:$N$34))+1,""),""),ROW()-ROW(A$37)+1)))," "),"")</f>
        <v>0</v>
      </c>
      <c r="O64">
        <f t="array" ref="O64">IFERROR(CONCATENATE(TEXT(INDEX($N$7:$N$34,SMALL(IF($Q$7:$Q$34&lt;&gt;"",IF($N$7:$N$34&lt;&gt;"",ROW($N$7:$N$34)-MIN(ROW($N$7:$N$34))+1,""),""),ROW()-ROW(A$37)+1)),"##0")," "),"")</f>
        <v>0</v>
      </c>
      <c r="P64">
        <f t="array" ref="P64">IFERROR(CONCATENATE((INDEX($A$7:$A$34,SMALL(IF($Q$7:$Q$34&lt;&gt;"",IF($N$7:$N$34&lt;&gt;"",ROW($N$7:$N$34)-MIN(ROW($N$7:$N$34))+1,""),""),ROW()-ROW(A$37)+1))),),"")</f>
        <v>0</v>
      </c>
      <c r="S64">
        <f t="array" ref="S64">IFERROR(CONCATENATE((INDEX($V$7:$V$34,SMALL(IF($V$7:$V$34&lt;&gt;"",IF($S$7:$S$34&lt;&gt;"",ROW($S$7:$S$34)-MIN(ROW($S$7:$S$34))+1,""),""),ROW()-ROW(A$37)+1)))," "),"")</f>
        <v>0</v>
      </c>
      <c r="T64">
        <f t="array" ref="T64">IFERROR(CONCATENATE(TEXT(INDEX($S$7:$S$34,SMALL(IF($V$7:$V$34&lt;&gt;"",IF($S$7:$S$34&lt;&gt;"",ROW($S$7:$S$34)-MIN(ROW($S$7:$S$34))+1,""),""),ROW()-ROW(A$37)+1)),"##0")," "),"")</f>
        <v>0</v>
      </c>
      <c r="U64">
        <f t="array" ref="U64">IFERROR(CONCATENATE((INDEX($A$7:$A$34,SMALL(IF($V$7:$V$34&lt;&gt;"",IF($S$7:$S$34&lt;&gt;"",ROW($S$7:$S$34)-MIN(ROW($S$7:$S$34))+1,""),""),ROW()-ROW(A$37)+1))),),"")</f>
        <v>0</v>
      </c>
      <c r="X64">
        <f t="array" ref="X64">IFERROR(CONCATENATE((INDEX($AA$7:$AA$34,SMALL(IF($AA$7:$AA$34&lt;&gt;"",IF($X$7:$X$34&lt;&gt;"",ROW($X$7:$X$34)-MIN(ROW($X$7:$X$34))+1,""),""),ROW()-ROW(A$37)+1))),","),"")</f>
        <v>0</v>
      </c>
      <c r="Y64">
        <f t="array" ref="Y64">IFERROR(CONCATENATE(TEXT(INDEX($X$7:$X$34,SMALL(IF($AA$7:$AA$34&lt;&gt;"",IF($X$7:$X$34&lt;&gt;"",ROW($X$7:$X$34)-MIN(ROW($X$7:$X$34))+1,""),""),ROW()-ROW(A$37)+1)),"##0"),","),"")</f>
        <v>0</v>
      </c>
      <c r="Z64">
        <f t="array" ref="Z64">IFERROR(CONCATENATE((INDEX($A$7:$A$34,SMALL(IF($AA$7:$AA$34&lt;&gt;"",IF($X$7:$X$34&lt;&gt;"",ROW($X$7:$X$34)-MIN(ROW($X$7:$X$34))+1,""),""),ROW()-ROW(A$37)+1))),),"")</f>
        <v>0</v>
      </c>
      <c r="AC64">
        <f t="array" ref="AC64">IFERROR(CONCATENATE((INDEX($AF$7:$AF$34,SMALL(IF($AF$7:$AF$34&lt;&gt;"",IF($AC$7:$AC$34&lt;&gt;"",ROW($AC$7:$AC$34)-MIN(ROW($AC$7:$AC$34))+1,""),""),ROW()-ROW(A$37)+1)))," "),"")</f>
        <v>0</v>
      </c>
      <c r="AD64">
        <f t="array" ref="AD64">IFERROR(CONCATENATE(TEXT(INDEX($AC$7:$AC$34,SMALL(IF($AF$7:$AF$34&lt;&gt;"",IF($AC$7:$AC$34&lt;&gt;"",ROW($AC$7:$AC$34)-MIN(ROW($AC$7:$AC$34))+1,""),""),ROW()-ROW(A$37)+1)),"##0")," "),"")</f>
        <v>0</v>
      </c>
      <c r="AE64">
        <f t="array" ref="AE64">IFERROR(CONCATENATE((INDEX($A$7:$A$34,SMALL(IF($AF$7:$AF$34&lt;&gt;"",IF($AC$7:$AC$34&lt;&gt;"",ROW($AC$7:$AC$34)-MIN(ROW($AC$7:$AC$34))+1,""),""),ROW()-ROW(A$37)+1))),),"")</f>
        <v>0</v>
      </c>
      <c r="AH64">
        <f t="array" ref="AH64">IFERROR(CONCATENATE((INDEX($AK$7:$AK$34,SMALL(IF($AK$7:$AK$34&lt;&gt;"",IF($AH$7:$AH$34&lt;&gt;"",ROW($AH$7:$AH$34)-MIN(ROW($AH$7:$AH$34))+1,""),""),ROW()-ROW(A$37)+1)))," "),"")</f>
        <v>0</v>
      </c>
      <c r="AI64">
        <f t="array" ref="AI64">IFERROR(CONCATENATE(TEXT(INDEX($AH$7:$AH$34,SMALL(IF($AK$7:$AK$34&lt;&gt;"",IF($AH$7:$AH$34&lt;&gt;"",ROW($AH$7:$AH$34)-MIN(ROW($AH$7:$AH$34))+1,""),""),ROW()-ROW(A$37)+1)),"##0")," "),"")</f>
        <v>0</v>
      </c>
      <c r="AJ64">
        <f t="array" ref="AJ64">IFERROR(CONCATENATE((INDEX($A$7:$A$34,SMALL(IF($AK$7:$AK$34&lt;&gt;"",IF($AH$7:$AH$34&lt;&gt;"",ROW($AH$7:$AH$34)-MIN(ROW($AH$7:$AH$34))+1,""),""),ROW()-ROW(A$37)+1))),),"")</f>
        <v>0</v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B11">
    <cfRule type="cellIs" dxfId="1" priority="493" operator="equal">
      <formula>0</formula>
    </cfRule>
    <cfRule type="cellIs" dxfId="2" priority="494" operator="lessThan">
      <formula>E11</formula>
    </cfRule>
  </conditionalFormatting>
  <conditionalFormatting sqref="AB14">
    <cfRule type="cellIs" dxfId="1" priority="498" operator="equal">
      <formula>0</formula>
    </cfRule>
    <cfRule type="cellIs" dxfId="2" priority="499" operator="lessThan">
      <formula>E14</formula>
    </cfRule>
  </conditionalFormatting>
  <conditionalFormatting sqref="AB15">
    <cfRule type="cellIs" dxfId="1" priority="503" operator="equal">
      <formula>0</formula>
    </cfRule>
    <cfRule type="cellIs" dxfId="2" priority="504" operator="lessThan">
      <formula>E15</formula>
    </cfRule>
  </conditionalFormatting>
  <conditionalFormatting sqref="AB16">
    <cfRule type="cellIs" dxfId="1" priority="508" operator="equal">
      <formula>0</formula>
    </cfRule>
    <cfRule type="cellIs" dxfId="2" priority="509" operator="lessThan">
      <formula>E16</formula>
    </cfRule>
  </conditionalFormatting>
  <conditionalFormatting sqref="AB17">
    <cfRule type="cellIs" dxfId="1" priority="513" operator="equal">
      <formula>0</formula>
    </cfRule>
    <cfRule type="cellIs" dxfId="2" priority="514" operator="lessThan">
      <formula>E17</formula>
    </cfRule>
  </conditionalFormatting>
  <conditionalFormatting sqref="AB20">
    <cfRule type="cellIs" dxfId="1" priority="518" operator="equal">
      <formula>0</formula>
    </cfRule>
    <cfRule type="cellIs" dxfId="2" priority="519" operator="lessThan">
      <formula>E20</formula>
    </cfRule>
  </conditionalFormatting>
  <conditionalFormatting sqref="AB21">
    <cfRule type="cellIs" dxfId="1" priority="523" operator="equal">
      <formula>0</formula>
    </cfRule>
    <cfRule type="cellIs" dxfId="2" priority="524" operator="lessThan">
      <formula>E21</formula>
    </cfRule>
  </conditionalFormatting>
  <conditionalFormatting sqref="AB24">
    <cfRule type="cellIs" dxfId="1" priority="528" operator="equal">
      <formula>0</formula>
    </cfRule>
    <cfRule type="cellIs" dxfId="2" priority="529" operator="lessThan">
      <formula>E24</formula>
    </cfRule>
  </conditionalFormatting>
  <conditionalFormatting sqref="AB29">
    <cfRule type="cellIs" dxfId="1" priority="533" operator="equal">
      <formula>0</formula>
    </cfRule>
    <cfRule type="cellIs" dxfId="2" priority="534" operator="lessThan">
      <formula>E29</formula>
    </cfRule>
  </conditionalFormatting>
  <conditionalFormatting sqref="AB32">
    <cfRule type="cellIs" dxfId="1" priority="538" operator="equal">
      <formula>0</formula>
    </cfRule>
    <cfRule type="cellIs" dxfId="2" priority="539" operator="lessThan">
      <formula>E32</formula>
    </cfRule>
  </conditionalFormatting>
  <conditionalFormatting sqref="AB7">
    <cfRule type="cellIs" dxfId="1" priority="483" operator="equal">
      <formula>0</formula>
    </cfRule>
    <cfRule type="cellIs" dxfId="2" priority="484" operator="lessThan">
      <formula>E7</formula>
    </cfRule>
  </conditionalFormatting>
  <conditionalFormatting sqref="AB8">
    <cfRule type="cellIs" dxfId="1" priority="488" operator="equal">
      <formula>0</formula>
    </cfRule>
    <cfRule type="cellIs" dxfId="2" priority="489" operator="lessThan">
      <formula>E8</formula>
    </cfRule>
  </conditionalFormatting>
  <conditionalFormatting sqref="AC11">
    <cfRule type="cellIs" dxfId="1" priority="495" operator="greaterThan">
      <formula>AB11</formula>
    </cfRule>
  </conditionalFormatting>
  <conditionalFormatting sqref="AC14">
    <cfRule type="cellIs" dxfId="1" priority="500" operator="greaterThan">
      <formula>AB14</formula>
    </cfRule>
  </conditionalFormatting>
  <conditionalFormatting sqref="AC15">
    <cfRule type="cellIs" dxfId="1" priority="505" operator="greaterThan">
      <formula>AB15</formula>
    </cfRule>
  </conditionalFormatting>
  <conditionalFormatting sqref="AC16">
    <cfRule type="cellIs" dxfId="1" priority="510" operator="greaterThan">
      <formula>AB16</formula>
    </cfRule>
  </conditionalFormatting>
  <conditionalFormatting sqref="AC17">
    <cfRule type="cellIs" dxfId="1" priority="515" operator="greaterThan">
      <formula>AB17</formula>
    </cfRule>
  </conditionalFormatting>
  <conditionalFormatting sqref="AC20">
    <cfRule type="cellIs" dxfId="1" priority="520" operator="greaterThan">
      <formula>AB20</formula>
    </cfRule>
  </conditionalFormatting>
  <conditionalFormatting sqref="AC21">
    <cfRule type="cellIs" dxfId="1" priority="525" operator="greaterThan">
      <formula>AB21</formula>
    </cfRule>
  </conditionalFormatting>
  <conditionalFormatting sqref="AC24">
    <cfRule type="cellIs" dxfId="1" priority="530" operator="greaterThan">
      <formula>AB24</formula>
    </cfRule>
  </conditionalFormatting>
  <conditionalFormatting sqref="AC29">
    <cfRule type="cellIs" dxfId="1" priority="535" operator="greaterThan">
      <formula>AB29</formula>
    </cfRule>
  </conditionalFormatting>
  <conditionalFormatting sqref="AC32">
    <cfRule type="cellIs" dxfId="1" priority="540" operator="greaterThan">
      <formula>AB32</formula>
    </cfRule>
  </conditionalFormatting>
  <conditionalFormatting sqref="AC7">
    <cfRule type="cellIs" dxfId="1" priority="485" operator="greaterThan">
      <formula>AB7</formula>
    </cfRule>
  </conditionalFormatting>
  <conditionalFormatting sqref="AC8">
    <cfRule type="cellIs" dxfId="1" priority="490" operator="greaterThan">
      <formula>AB8</formula>
    </cfRule>
  </conditionalFormatting>
  <conditionalFormatting sqref="AD11">
    <cfRule type="cellIs" dxfId="4" priority="496" operator="lessThanOrEqual">
      <formula>F11</formula>
    </cfRule>
  </conditionalFormatting>
  <conditionalFormatting sqref="AD14">
    <cfRule type="cellIs" dxfId="4" priority="501" operator="lessThanOrEqual">
      <formula>F14</formula>
    </cfRule>
  </conditionalFormatting>
  <conditionalFormatting sqref="AD15">
    <cfRule type="cellIs" dxfId="4" priority="506" operator="lessThanOrEqual">
      <formula>F15</formula>
    </cfRule>
  </conditionalFormatting>
  <conditionalFormatting sqref="AD16">
    <cfRule type="cellIs" dxfId="4" priority="511" operator="lessThanOrEqual">
      <formula>F16</formula>
    </cfRule>
  </conditionalFormatting>
  <conditionalFormatting sqref="AD17">
    <cfRule type="cellIs" dxfId="4" priority="516" operator="lessThanOrEqual">
      <formula>F17</formula>
    </cfRule>
  </conditionalFormatting>
  <conditionalFormatting sqref="AD20">
    <cfRule type="cellIs" dxfId="4" priority="521" operator="lessThanOrEqual">
      <formula>F20</formula>
    </cfRule>
  </conditionalFormatting>
  <conditionalFormatting sqref="AD21">
    <cfRule type="cellIs" dxfId="4" priority="526" operator="lessThanOrEqual">
      <formula>F21</formula>
    </cfRule>
  </conditionalFormatting>
  <conditionalFormatting sqref="AD24">
    <cfRule type="cellIs" dxfId="4" priority="531" operator="lessThanOrEqual">
      <formula>F24</formula>
    </cfRule>
  </conditionalFormatting>
  <conditionalFormatting sqref="AD29">
    <cfRule type="cellIs" dxfId="4" priority="536" operator="lessThanOrEqual">
      <formula>F29</formula>
    </cfRule>
  </conditionalFormatting>
  <conditionalFormatting sqref="AD32">
    <cfRule type="cellIs" dxfId="4" priority="541" operator="lessThanOrEqual">
      <formula>F32</formula>
    </cfRule>
  </conditionalFormatting>
  <conditionalFormatting sqref="AD7">
    <cfRule type="cellIs" dxfId="4" priority="486" operator="lessThanOrEqual">
      <formula>F7</formula>
    </cfRule>
  </conditionalFormatting>
  <conditionalFormatting sqref="AD8">
    <cfRule type="cellIs" dxfId="4" priority="491" operator="lessThanOrEqual">
      <formula>F8</formula>
    </cfRule>
  </conditionalFormatting>
  <conditionalFormatting sqref="AE11">
    <cfRule type="cellIs" dxfId="4" priority="497" operator="lessThanOrEqual">
      <formula>G11</formula>
    </cfRule>
  </conditionalFormatting>
  <conditionalFormatting sqref="AE14">
    <cfRule type="cellIs" dxfId="4" priority="502" operator="lessThanOrEqual">
      <formula>G14</formula>
    </cfRule>
  </conditionalFormatting>
  <conditionalFormatting sqref="AE15">
    <cfRule type="cellIs" dxfId="4" priority="507" operator="lessThanOrEqual">
      <formula>G15</formula>
    </cfRule>
  </conditionalFormatting>
  <conditionalFormatting sqref="AE16">
    <cfRule type="cellIs" dxfId="4" priority="512" operator="lessThanOrEqual">
      <formula>G16</formula>
    </cfRule>
  </conditionalFormatting>
  <conditionalFormatting sqref="AE17">
    <cfRule type="cellIs" dxfId="4" priority="517" operator="lessThanOrEqual">
      <formula>G17</formula>
    </cfRule>
  </conditionalFormatting>
  <conditionalFormatting sqref="AE20">
    <cfRule type="cellIs" dxfId="4" priority="522" operator="lessThanOrEqual">
      <formula>G20</formula>
    </cfRule>
  </conditionalFormatting>
  <conditionalFormatting sqref="AE21">
    <cfRule type="cellIs" dxfId="4" priority="527" operator="lessThanOrEqual">
      <formula>G21</formula>
    </cfRule>
  </conditionalFormatting>
  <conditionalFormatting sqref="AE24">
    <cfRule type="cellIs" dxfId="4" priority="532" operator="lessThanOrEqual">
      <formula>G24</formula>
    </cfRule>
  </conditionalFormatting>
  <conditionalFormatting sqref="AE29">
    <cfRule type="cellIs" dxfId="4" priority="537" operator="lessThanOrEqual">
      <formula>G29</formula>
    </cfRule>
  </conditionalFormatting>
  <conditionalFormatting sqref="AE32">
    <cfRule type="cellIs" dxfId="4" priority="542" operator="lessThanOrEqual">
      <formula>G32</formula>
    </cfRule>
  </conditionalFormatting>
  <conditionalFormatting sqref="AE7">
    <cfRule type="cellIs" dxfId="4" priority="487" operator="lessThanOrEqual">
      <formula>G7</formula>
    </cfRule>
  </conditionalFormatting>
  <conditionalFormatting sqref="AE8">
    <cfRule type="cellIs" dxfId="4" priority="492" operator="lessThanOrEqual">
      <formula>G8</formula>
    </cfRule>
  </conditionalFormatting>
  <conditionalFormatting sqref="AG14">
    <cfRule type="cellIs" dxfId="1" priority="543" operator="equal">
      <formula>0</formula>
    </cfRule>
    <cfRule type="cellIs" dxfId="2" priority="544" operator="lessThan">
      <formula>E14</formula>
    </cfRule>
  </conditionalFormatting>
  <conditionalFormatting sqref="AG17">
    <cfRule type="cellIs" dxfId="1" priority="548" operator="equal">
      <formula>0</formula>
    </cfRule>
    <cfRule type="cellIs" dxfId="2" priority="549" operator="lessThan">
      <formula>E17</formula>
    </cfRule>
  </conditionalFormatting>
  <conditionalFormatting sqref="AG20">
    <cfRule type="cellIs" dxfId="1" priority="553" operator="equal">
      <formula>0</formula>
    </cfRule>
    <cfRule type="cellIs" dxfId="2" priority="554" operator="lessThan">
      <formula>E20</formula>
    </cfRule>
  </conditionalFormatting>
  <conditionalFormatting sqref="AH14">
    <cfRule type="cellIs" dxfId="1" priority="545" operator="greaterThan">
      <formula>AG14</formula>
    </cfRule>
  </conditionalFormatting>
  <conditionalFormatting sqref="AH17">
    <cfRule type="cellIs" dxfId="1" priority="550" operator="greaterThan">
      <formula>AG17</formula>
    </cfRule>
  </conditionalFormatting>
  <conditionalFormatting sqref="AH20">
    <cfRule type="cellIs" dxfId="1" priority="555" operator="greaterThan">
      <formula>AG20</formula>
    </cfRule>
  </conditionalFormatting>
  <conditionalFormatting sqref="AI14">
    <cfRule type="cellIs" dxfId="4" priority="546" operator="lessThanOrEqual">
      <formula>F14</formula>
    </cfRule>
  </conditionalFormatting>
  <conditionalFormatting sqref="AI17">
    <cfRule type="cellIs" dxfId="4" priority="551" operator="lessThanOrEqual">
      <formula>F17</formula>
    </cfRule>
  </conditionalFormatting>
  <conditionalFormatting sqref="AI20">
    <cfRule type="cellIs" dxfId="4" priority="556" operator="lessThanOrEqual">
      <formula>F20</formula>
    </cfRule>
  </conditionalFormatting>
  <conditionalFormatting sqref="AJ14">
    <cfRule type="cellIs" dxfId="4" priority="547" operator="lessThanOrEqual">
      <formula>G14</formula>
    </cfRule>
  </conditionalFormatting>
  <conditionalFormatting sqref="AJ17">
    <cfRule type="cellIs" dxfId="4" priority="552" operator="lessThanOrEqual">
      <formula>G17</formula>
    </cfRule>
  </conditionalFormatting>
  <conditionalFormatting sqref="AJ20">
    <cfRule type="cellIs" dxfId="4" priority="557" operator="lessThanOrEqual">
      <formula>G20</formula>
    </cfRule>
  </conditionalFormatting>
  <conditionalFormatting sqref="E10">
    <cfRule type="expression" dxfId="0" priority="13">
      <formula>AND(ISBLANK(D10)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14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15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1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1">
    <cfRule type="expression" dxfId="0" priority="17">
      <formula>AND(ISBLANK(D11)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18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19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2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2">
    <cfRule type="expression" dxfId="0" priority="21">
      <formula>AND(ISBLANK(D12)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22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23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2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3">
    <cfRule type="expression" dxfId="0" priority="25">
      <formula>AND(ISBLANK(D13)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26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27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2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4">
    <cfRule type="expression" dxfId="0" priority="29">
      <formula>AND(ISBLANK(D14)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30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31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3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5">
    <cfRule type="expression" dxfId="0" priority="33">
      <formula>AND(ISBLANK(D15)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34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35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3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6">
    <cfRule type="expression" dxfId="0" priority="37">
      <formula>AND(ISBLANK(D16)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38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39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4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7">
    <cfRule type="expression" dxfId="0" priority="41">
      <formula>AND(ISBLANK(D17)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42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43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4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8">
    <cfRule type="expression" dxfId="0" priority="45">
      <formula>AND(ISBLANK(D18)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46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47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4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19">
    <cfRule type="expression" dxfId="0" priority="49">
      <formula>AND(ISBLANK(D19)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50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51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5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0">
    <cfRule type="expression" dxfId="0" priority="53">
      <formula>AND(ISBLANK(D20)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54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55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5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1">
    <cfRule type="expression" dxfId="0" priority="57">
      <formula>AND(ISBLANK(D21)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58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59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6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2">
    <cfRule type="expression" dxfId="0" priority="61">
      <formula>AND(ISBLANK(D22)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62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63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6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3">
    <cfRule type="expression" dxfId="0" priority="65">
      <formula>AND(ISBLANK(D23)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66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67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6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4">
    <cfRule type="expression" dxfId="0" priority="69">
      <formula>AND(ISBLANK(D24)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70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71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7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5">
    <cfRule type="expression" dxfId="0" priority="73">
      <formula>AND(ISBLANK(D25)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74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75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7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6">
    <cfRule type="expression" dxfId="0" priority="77">
      <formula>AND(ISBLANK(D26)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78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79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8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7">
    <cfRule type="expression" dxfId="0" priority="81">
      <formula>AND(ISBLANK(D27)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82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83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8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8">
    <cfRule type="expression" dxfId="0" priority="85">
      <formula>AND(ISBLANK(D28)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86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87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8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29">
    <cfRule type="expression" dxfId="0" priority="89">
      <formula>AND(ISBLANK(D29)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90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91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9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30">
    <cfRule type="expression" dxfId="0" priority="93">
      <formula>AND(ISBLANK(D30)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94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95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9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31">
    <cfRule type="expression" dxfId="0" priority="97">
      <formula>AND(ISBLANK(D31)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98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99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10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32">
    <cfRule type="expression" dxfId="0" priority="101">
      <formula>AND(ISBLANK(D32)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102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103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10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33">
    <cfRule type="expression" dxfId="0" priority="105">
      <formula>AND(ISBLANK(D33)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106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107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10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34">
    <cfRule type="expression" dxfId="0" priority="109">
      <formula>AND(ISBLANK(D34)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110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111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11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7">
    <cfRule type="expression" dxfId="0" priority="1">
      <formula>AND(ISBLANK(D7)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2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3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8">
    <cfRule type="expression" dxfId="0" priority="5">
      <formula>AND(ISBLANK(D8)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6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7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E9">
    <cfRule type="expression" dxfId="0" priority="9">
      <formula>AND(ISBLANK(D9),ISBLANK(INDIRECT(ADDRESS(ROW(),COLUMN(newark_part_data)+4))),ISBLANK(INDIRECT(ADDRESS(ROW(),COLUMN(tme_part_data)+4))),ISBLANK(INDIRECT(ADDRESS(ROW(),COLUMN(farnell_part_data)+4))),ISBLANK(INDIRECT(ADDRESS(ROW(),COLUMN(digikey_part_data)+4))),ISBLANK(INDIRECT(ADDRESS(ROW(),COLUMN(rs_part_data)+4))),ISBLANK(INDIRECT(ADDRESS(ROW(),COLUMN(mouser_part_data)+4))))</formula>
    </cfRule>
    <cfRule type="expression" dxfId="1" priority="10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2" priority="11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3" priority="1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H10">
    <cfRule type="cellIs" dxfId="1" priority="128" operator="equal">
      <formula>0</formula>
    </cfRule>
    <cfRule type="cellIs" dxfId="2" priority="129" operator="lessThan">
      <formula>E10</formula>
    </cfRule>
  </conditionalFormatting>
  <conditionalFormatting sqref="H12">
    <cfRule type="cellIs" dxfId="1" priority="133" operator="equal">
      <formula>0</formula>
    </cfRule>
    <cfRule type="cellIs" dxfId="2" priority="134" operator="lessThan">
      <formula>E12</formula>
    </cfRule>
  </conditionalFormatting>
  <conditionalFormatting sqref="H13">
    <cfRule type="cellIs" dxfId="1" priority="138" operator="equal">
      <formula>0</formula>
    </cfRule>
    <cfRule type="cellIs" dxfId="2" priority="139" operator="lessThan">
      <formula>E13</formula>
    </cfRule>
  </conditionalFormatting>
  <conditionalFormatting sqref="H14">
    <cfRule type="cellIs" dxfId="1" priority="143" operator="equal">
      <formula>0</formula>
    </cfRule>
    <cfRule type="cellIs" dxfId="2" priority="144" operator="lessThan">
      <formula>E14</formula>
    </cfRule>
  </conditionalFormatting>
  <conditionalFormatting sqref="H15">
    <cfRule type="cellIs" dxfId="1" priority="148" operator="equal">
      <formula>0</formula>
    </cfRule>
    <cfRule type="cellIs" dxfId="2" priority="149" operator="lessThan">
      <formula>E15</formula>
    </cfRule>
  </conditionalFormatting>
  <conditionalFormatting sqref="H16">
    <cfRule type="cellIs" dxfId="1" priority="153" operator="equal">
      <formula>0</formula>
    </cfRule>
    <cfRule type="cellIs" dxfId="2" priority="154" operator="lessThan">
      <formula>E16</formula>
    </cfRule>
  </conditionalFormatting>
  <conditionalFormatting sqref="H20">
    <cfRule type="cellIs" dxfId="1" priority="158" operator="equal">
      <formula>0</formula>
    </cfRule>
    <cfRule type="cellIs" dxfId="2" priority="159" operator="lessThan">
      <formula>E20</formula>
    </cfRule>
  </conditionalFormatting>
  <conditionalFormatting sqref="H21">
    <cfRule type="cellIs" dxfId="1" priority="163" operator="equal">
      <formula>0</formula>
    </cfRule>
    <cfRule type="cellIs" dxfId="2" priority="164" operator="lessThan">
      <formula>E21</formula>
    </cfRule>
  </conditionalFormatting>
  <conditionalFormatting sqref="H22">
    <cfRule type="cellIs" dxfId="1" priority="168" operator="equal">
      <formula>0</formula>
    </cfRule>
    <cfRule type="cellIs" dxfId="2" priority="169" operator="lessThan">
      <formula>E22</formula>
    </cfRule>
  </conditionalFormatting>
  <conditionalFormatting sqref="H23">
    <cfRule type="cellIs" dxfId="1" priority="173" operator="equal">
      <formula>0</formula>
    </cfRule>
    <cfRule type="cellIs" dxfId="2" priority="174" operator="lessThan">
      <formula>E23</formula>
    </cfRule>
  </conditionalFormatting>
  <conditionalFormatting sqref="H24">
    <cfRule type="cellIs" dxfId="1" priority="178" operator="equal">
      <formula>0</formula>
    </cfRule>
    <cfRule type="cellIs" dxfId="2" priority="179" operator="lessThan">
      <formula>E24</formula>
    </cfRule>
  </conditionalFormatting>
  <conditionalFormatting sqref="H25">
    <cfRule type="cellIs" dxfId="1" priority="183" operator="equal">
      <formula>0</formula>
    </cfRule>
    <cfRule type="cellIs" dxfId="2" priority="184" operator="lessThan">
      <formula>E25</formula>
    </cfRule>
  </conditionalFormatting>
  <conditionalFormatting sqref="H26">
    <cfRule type="cellIs" dxfId="1" priority="188" operator="equal">
      <formula>0</formula>
    </cfRule>
    <cfRule type="cellIs" dxfId="2" priority="189" operator="lessThan">
      <formula>E26</formula>
    </cfRule>
  </conditionalFormatting>
  <conditionalFormatting sqref="H27">
    <cfRule type="cellIs" dxfId="1" priority="193" operator="equal">
      <formula>0</formula>
    </cfRule>
    <cfRule type="cellIs" dxfId="2" priority="194" operator="lessThan">
      <formula>E27</formula>
    </cfRule>
  </conditionalFormatting>
  <conditionalFormatting sqref="H28">
    <cfRule type="cellIs" dxfId="1" priority="198" operator="equal">
      <formula>0</formula>
    </cfRule>
    <cfRule type="cellIs" dxfId="2" priority="199" operator="lessThan">
      <formula>E28</formula>
    </cfRule>
  </conditionalFormatting>
  <conditionalFormatting sqref="H29">
    <cfRule type="cellIs" dxfId="1" priority="203" operator="equal">
      <formula>0</formula>
    </cfRule>
    <cfRule type="cellIs" dxfId="2" priority="204" operator="lessThan">
      <formula>E29</formula>
    </cfRule>
  </conditionalFormatting>
  <conditionalFormatting sqref="H30">
    <cfRule type="cellIs" dxfId="1" priority="208" operator="equal">
      <formula>0</formula>
    </cfRule>
    <cfRule type="cellIs" dxfId="2" priority="209" operator="lessThan">
      <formula>E30</formula>
    </cfRule>
  </conditionalFormatting>
  <conditionalFormatting sqref="H31">
    <cfRule type="cellIs" dxfId="1" priority="213" operator="equal">
      <formula>0</formula>
    </cfRule>
    <cfRule type="cellIs" dxfId="2" priority="214" operator="lessThan">
      <formula>E31</formula>
    </cfRule>
  </conditionalFormatting>
  <conditionalFormatting sqref="H32">
    <cfRule type="cellIs" dxfId="1" priority="218" operator="equal">
      <formula>0</formula>
    </cfRule>
    <cfRule type="cellIs" dxfId="2" priority="219" operator="lessThan">
      <formula>E32</formula>
    </cfRule>
  </conditionalFormatting>
  <conditionalFormatting sqref="H33">
    <cfRule type="cellIs" dxfId="1" priority="223" operator="equal">
      <formula>0</formula>
    </cfRule>
    <cfRule type="cellIs" dxfId="2" priority="224" operator="lessThan">
      <formula>E33</formula>
    </cfRule>
  </conditionalFormatting>
  <conditionalFormatting sqref="H34">
    <cfRule type="cellIs" dxfId="1" priority="228" operator="equal">
      <formula>0</formula>
    </cfRule>
    <cfRule type="cellIs" dxfId="2" priority="229" operator="lessThan">
      <formula>E34</formula>
    </cfRule>
  </conditionalFormatting>
  <conditionalFormatting sqref="H7">
    <cfRule type="cellIs" dxfId="1" priority="113" operator="equal">
      <formula>0</formula>
    </cfRule>
    <cfRule type="cellIs" dxfId="2" priority="114" operator="lessThan">
      <formula>E7</formula>
    </cfRule>
  </conditionalFormatting>
  <conditionalFormatting sqref="H8">
    <cfRule type="cellIs" dxfId="1" priority="118" operator="equal">
      <formula>0</formula>
    </cfRule>
    <cfRule type="cellIs" dxfId="2" priority="119" operator="lessThan">
      <formula>E8</formula>
    </cfRule>
  </conditionalFormatting>
  <conditionalFormatting sqref="H9">
    <cfRule type="cellIs" dxfId="1" priority="123" operator="equal">
      <formula>0</formula>
    </cfRule>
    <cfRule type="cellIs" dxfId="2" priority="124" operator="lessThan">
      <formula>E9</formula>
    </cfRule>
  </conditionalFormatting>
  <conditionalFormatting sqref="I10">
    <cfRule type="cellIs" dxfId="1" priority="130" operator="greaterThan">
      <formula>H10</formula>
    </cfRule>
  </conditionalFormatting>
  <conditionalFormatting sqref="I12">
    <cfRule type="cellIs" dxfId="1" priority="135" operator="greaterThan">
      <formula>H12</formula>
    </cfRule>
  </conditionalFormatting>
  <conditionalFormatting sqref="I13">
    <cfRule type="cellIs" dxfId="1" priority="140" operator="greaterThan">
      <formula>H13</formula>
    </cfRule>
  </conditionalFormatting>
  <conditionalFormatting sqref="I14">
    <cfRule type="cellIs" dxfId="1" priority="145" operator="greaterThan">
      <formula>H14</formula>
    </cfRule>
  </conditionalFormatting>
  <conditionalFormatting sqref="I15">
    <cfRule type="cellIs" dxfId="1" priority="150" operator="greaterThan">
      <formula>H15</formula>
    </cfRule>
  </conditionalFormatting>
  <conditionalFormatting sqref="I16">
    <cfRule type="cellIs" dxfId="1" priority="155" operator="greaterThan">
      <formula>H16</formula>
    </cfRule>
  </conditionalFormatting>
  <conditionalFormatting sqref="I20">
    <cfRule type="cellIs" dxfId="1" priority="160" operator="greaterThan">
      <formula>H20</formula>
    </cfRule>
  </conditionalFormatting>
  <conditionalFormatting sqref="I21">
    <cfRule type="cellIs" dxfId="1" priority="165" operator="greaterThan">
      <formula>H21</formula>
    </cfRule>
  </conditionalFormatting>
  <conditionalFormatting sqref="I22">
    <cfRule type="cellIs" dxfId="1" priority="170" operator="greaterThan">
      <formula>H22</formula>
    </cfRule>
  </conditionalFormatting>
  <conditionalFormatting sqref="I23">
    <cfRule type="cellIs" dxfId="1" priority="175" operator="greaterThan">
      <formula>H23</formula>
    </cfRule>
  </conditionalFormatting>
  <conditionalFormatting sqref="I24">
    <cfRule type="cellIs" dxfId="1" priority="180" operator="greaterThan">
      <formula>H24</formula>
    </cfRule>
  </conditionalFormatting>
  <conditionalFormatting sqref="I25">
    <cfRule type="cellIs" dxfId="1" priority="185" operator="greaterThan">
      <formula>H25</formula>
    </cfRule>
  </conditionalFormatting>
  <conditionalFormatting sqref="I26">
    <cfRule type="cellIs" dxfId="1" priority="190" operator="greaterThan">
      <formula>H26</formula>
    </cfRule>
  </conditionalFormatting>
  <conditionalFormatting sqref="I27">
    <cfRule type="cellIs" dxfId="1" priority="195" operator="greaterThan">
      <formula>H27</formula>
    </cfRule>
  </conditionalFormatting>
  <conditionalFormatting sqref="I28">
    <cfRule type="cellIs" dxfId="1" priority="200" operator="greaterThan">
      <formula>H28</formula>
    </cfRule>
  </conditionalFormatting>
  <conditionalFormatting sqref="I29">
    <cfRule type="cellIs" dxfId="1" priority="205" operator="greaterThan">
      <formula>H29</formula>
    </cfRule>
  </conditionalFormatting>
  <conditionalFormatting sqref="I30">
    <cfRule type="cellIs" dxfId="1" priority="210" operator="greaterThan">
      <formula>H30</formula>
    </cfRule>
  </conditionalFormatting>
  <conditionalFormatting sqref="I31">
    <cfRule type="cellIs" dxfId="1" priority="215" operator="greaterThan">
      <formula>H31</formula>
    </cfRule>
  </conditionalFormatting>
  <conditionalFormatting sqref="I32">
    <cfRule type="cellIs" dxfId="1" priority="220" operator="greaterThan">
      <formula>H32</formula>
    </cfRule>
  </conditionalFormatting>
  <conditionalFormatting sqref="I33">
    <cfRule type="cellIs" dxfId="1" priority="225" operator="greaterThan">
      <formula>H33</formula>
    </cfRule>
  </conditionalFormatting>
  <conditionalFormatting sqref="I34">
    <cfRule type="cellIs" dxfId="1" priority="230" operator="greaterThan">
      <formula>H34</formula>
    </cfRule>
  </conditionalFormatting>
  <conditionalFormatting sqref="I7">
    <cfRule type="cellIs" dxfId="1" priority="115" operator="greaterThan">
      <formula>H7</formula>
    </cfRule>
  </conditionalFormatting>
  <conditionalFormatting sqref="I8">
    <cfRule type="cellIs" dxfId="1" priority="120" operator="greaterThan">
      <formula>H8</formula>
    </cfRule>
  </conditionalFormatting>
  <conditionalFormatting sqref="I9">
    <cfRule type="cellIs" dxfId="1" priority="125" operator="greaterThan">
      <formula>H9</formula>
    </cfRule>
  </conditionalFormatting>
  <conditionalFormatting sqref="J10">
    <cfRule type="cellIs" dxfId="4" priority="131" operator="lessThanOrEqual">
      <formula>F10</formula>
    </cfRule>
  </conditionalFormatting>
  <conditionalFormatting sqref="J12">
    <cfRule type="cellIs" dxfId="4" priority="136" operator="lessThanOrEqual">
      <formula>F12</formula>
    </cfRule>
  </conditionalFormatting>
  <conditionalFormatting sqref="J13">
    <cfRule type="cellIs" dxfId="4" priority="141" operator="lessThanOrEqual">
      <formula>F13</formula>
    </cfRule>
  </conditionalFormatting>
  <conditionalFormatting sqref="J14">
    <cfRule type="cellIs" dxfId="4" priority="146" operator="lessThanOrEqual">
      <formula>F14</formula>
    </cfRule>
  </conditionalFormatting>
  <conditionalFormatting sqref="J15">
    <cfRule type="cellIs" dxfId="4" priority="151" operator="lessThanOrEqual">
      <formula>F15</formula>
    </cfRule>
  </conditionalFormatting>
  <conditionalFormatting sqref="J16">
    <cfRule type="cellIs" dxfId="4" priority="156" operator="lessThanOrEqual">
      <formula>F16</formula>
    </cfRule>
  </conditionalFormatting>
  <conditionalFormatting sqref="J20">
    <cfRule type="cellIs" dxfId="4" priority="161" operator="lessThanOrEqual">
      <formula>F20</formula>
    </cfRule>
  </conditionalFormatting>
  <conditionalFormatting sqref="J21">
    <cfRule type="cellIs" dxfId="4" priority="166" operator="lessThanOrEqual">
      <formula>F21</formula>
    </cfRule>
  </conditionalFormatting>
  <conditionalFormatting sqref="J22">
    <cfRule type="cellIs" dxfId="4" priority="171" operator="lessThanOrEqual">
      <formula>F22</formula>
    </cfRule>
  </conditionalFormatting>
  <conditionalFormatting sqref="J23">
    <cfRule type="cellIs" dxfId="4" priority="176" operator="lessThanOrEqual">
      <formula>F23</formula>
    </cfRule>
  </conditionalFormatting>
  <conditionalFormatting sqref="J24">
    <cfRule type="cellIs" dxfId="4" priority="181" operator="lessThanOrEqual">
      <formula>F24</formula>
    </cfRule>
  </conditionalFormatting>
  <conditionalFormatting sqref="J25">
    <cfRule type="cellIs" dxfId="4" priority="186" operator="lessThanOrEqual">
      <formula>F25</formula>
    </cfRule>
  </conditionalFormatting>
  <conditionalFormatting sqref="J26">
    <cfRule type="cellIs" dxfId="4" priority="191" operator="lessThanOrEqual">
      <formula>F26</formula>
    </cfRule>
  </conditionalFormatting>
  <conditionalFormatting sqref="J27">
    <cfRule type="cellIs" dxfId="4" priority="196" operator="lessThanOrEqual">
      <formula>F27</formula>
    </cfRule>
  </conditionalFormatting>
  <conditionalFormatting sqref="J28">
    <cfRule type="cellIs" dxfId="4" priority="201" operator="lessThanOrEqual">
      <formula>F28</formula>
    </cfRule>
  </conditionalFormatting>
  <conditionalFormatting sqref="J29">
    <cfRule type="cellIs" dxfId="4" priority="206" operator="lessThanOrEqual">
      <formula>F29</formula>
    </cfRule>
  </conditionalFormatting>
  <conditionalFormatting sqref="J30">
    <cfRule type="cellIs" dxfId="4" priority="211" operator="lessThanOrEqual">
      <formula>F30</formula>
    </cfRule>
  </conditionalFormatting>
  <conditionalFormatting sqref="J31">
    <cfRule type="cellIs" dxfId="4" priority="216" operator="lessThanOrEqual">
      <formula>F31</formula>
    </cfRule>
  </conditionalFormatting>
  <conditionalFormatting sqref="J32">
    <cfRule type="cellIs" dxfId="4" priority="221" operator="lessThanOrEqual">
      <formula>F32</formula>
    </cfRule>
  </conditionalFormatting>
  <conditionalFormatting sqref="J33">
    <cfRule type="cellIs" dxfId="4" priority="226" operator="lessThanOrEqual">
      <formula>F33</formula>
    </cfRule>
  </conditionalFormatting>
  <conditionalFormatting sqref="J34">
    <cfRule type="cellIs" dxfId="4" priority="231" operator="lessThanOrEqual">
      <formula>F34</formula>
    </cfRule>
  </conditionalFormatting>
  <conditionalFormatting sqref="J7">
    <cfRule type="cellIs" dxfId="4" priority="116" operator="lessThanOrEqual">
      <formula>F7</formula>
    </cfRule>
  </conditionalFormatting>
  <conditionalFormatting sqref="J8">
    <cfRule type="cellIs" dxfId="4" priority="121" operator="lessThanOrEqual">
      <formula>F8</formula>
    </cfRule>
  </conditionalFormatting>
  <conditionalFormatting sqref="J9">
    <cfRule type="cellIs" dxfId="4" priority="126" operator="lessThanOrEqual">
      <formula>F9</formula>
    </cfRule>
  </conditionalFormatting>
  <conditionalFormatting sqref="K10">
    <cfRule type="cellIs" dxfId="4" priority="132" operator="lessThanOrEqual">
      <formula>G10</formula>
    </cfRule>
  </conditionalFormatting>
  <conditionalFormatting sqref="K12">
    <cfRule type="cellIs" dxfId="4" priority="137" operator="lessThanOrEqual">
      <formula>G12</formula>
    </cfRule>
  </conditionalFormatting>
  <conditionalFormatting sqref="K13">
    <cfRule type="cellIs" dxfId="4" priority="142" operator="lessThanOrEqual">
      <formula>G13</formula>
    </cfRule>
  </conditionalFormatting>
  <conditionalFormatting sqref="K14">
    <cfRule type="cellIs" dxfId="4" priority="147" operator="lessThanOrEqual">
      <formula>G14</formula>
    </cfRule>
  </conditionalFormatting>
  <conditionalFormatting sqref="K15">
    <cfRule type="cellIs" dxfId="4" priority="152" operator="lessThanOrEqual">
      <formula>G15</formula>
    </cfRule>
  </conditionalFormatting>
  <conditionalFormatting sqref="K16">
    <cfRule type="cellIs" dxfId="4" priority="157" operator="lessThanOrEqual">
      <formula>G16</formula>
    </cfRule>
  </conditionalFormatting>
  <conditionalFormatting sqref="K20">
    <cfRule type="cellIs" dxfId="4" priority="162" operator="lessThanOrEqual">
      <formula>G20</formula>
    </cfRule>
  </conditionalFormatting>
  <conditionalFormatting sqref="K21">
    <cfRule type="cellIs" dxfId="4" priority="167" operator="lessThanOrEqual">
      <formula>G21</formula>
    </cfRule>
  </conditionalFormatting>
  <conditionalFormatting sqref="K22">
    <cfRule type="cellIs" dxfId="4" priority="172" operator="lessThanOrEqual">
      <formula>G22</formula>
    </cfRule>
  </conditionalFormatting>
  <conditionalFormatting sqref="K23">
    <cfRule type="cellIs" dxfId="4" priority="177" operator="lessThanOrEqual">
      <formula>G23</formula>
    </cfRule>
  </conditionalFormatting>
  <conditionalFormatting sqref="K24">
    <cfRule type="cellIs" dxfId="4" priority="182" operator="lessThanOrEqual">
      <formula>G24</formula>
    </cfRule>
  </conditionalFormatting>
  <conditionalFormatting sqref="K25">
    <cfRule type="cellIs" dxfId="4" priority="187" operator="lessThanOrEqual">
      <formula>G25</formula>
    </cfRule>
  </conditionalFormatting>
  <conditionalFormatting sqref="K26">
    <cfRule type="cellIs" dxfId="4" priority="192" operator="lessThanOrEqual">
      <formula>G26</formula>
    </cfRule>
  </conditionalFormatting>
  <conditionalFormatting sqref="K27">
    <cfRule type="cellIs" dxfId="4" priority="197" operator="lessThanOrEqual">
      <formula>G27</formula>
    </cfRule>
  </conditionalFormatting>
  <conditionalFormatting sqref="K28">
    <cfRule type="cellIs" dxfId="4" priority="202" operator="lessThanOrEqual">
      <formula>G28</formula>
    </cfRule>
  </conditionalFormatting>
  <conditionalFormatting sqref="K29">
    <cfRule type="cellIs" dxfId="4" priority="207" operator="lessThanOrEqual">
      <formula>G29</formula>
    </cfRule>
  </conditionalFormatting>
  <conditionalFormatting sqref="K30">
    <cfRule type="cellIs" dxfId="4" priority="212" operator="lessThanOrEqual">
      <formula>G30</formula>
    </cfRule>
  </conditionalFormatting>
  <conditionalFormatting sqref="K31">
    <cfRule type="cellIs" dxfId="4" priority="217" operator="lessThanOrEqual">
      <formula>G31</formula>
    </cfRule>
  </conditionalFormatting>
  <conditionalFormatting sqref="K32">
    <cfRule type="cellIs" dxfId="4" priority="222" operator="lessThanOrEqual">
      <formula>G32</formula>
    </cfRule>
  </conditionalFormatting>
  <conditionalFormatting sqref="K33">
    <cfRule type="cellIs" dxfId="4" priority="227" operator="lessThanOrEqual">
      <formula>G33</formula>
    </cfRule>
  </conditionalFormatting>
  <conditionalFormatting sqref="K34">
    <cfRule type="cellIs" dxfId="4" priority="232" operator="lessThanOrEqual">
      <formula>G34</formula>
    </cfRule>
  </conditionalFormatting>
  <conditionalFormatting sqref="K7">
    <cfRule type="cellIs" dxfId="4" priority="117" operator="lessThanOrEqual">
      <formula>G7</formula>
    </cfRule>
  </conditionalFormatting>
  <conditionalFormatting sqref="K8">
    <cfRule type="cellIs" dxfId="4" priority="122" operator="lessThanOrEqual">
      <formula>G8</formula>
    </cfRule>
  </conditionalFormatting>
  <conditionalFormatting sqref="K9">
    <cfRule type="cellIs" dxfId="4" priority="127" operator="lessThanOrEqual">
      <formula>G9</formula>
    </cfRule>
  </conditionalFormatting>
  <conditionalFormatting sqref="M10">
    <cfRule type="cellIs" dxfId="1" priority="248" operator="equal">
      <formula>0</formula>
    </cfRule>
    <cfRule type="cellIs" dxfId="2" priority="249" operator="lessThan">
      <formula>E10</formula>
    </cfRule>
  </conditionalFormatting>
  <conditionalFormatting sqref="M11">
    <cfRule type="cellIs" dxfId="1" priority="253" operator="equal">
      <formula>0</formula>
    </cfRule>
    <cfRule type="cellIs" dxfId="2" priority="254" operator="lessThan">
      <formula>E11</formula>
    </cfRule>
  </conditionalFormatting>
  <conditionalFormatting sqref="M12">
    <cfRule type="cellIs" dxfId="1" priority="258" operator="equal">
      <formula>0</formula>
    </cfRule>
    <cfRule type="cellIs" dxfId="2" priority="259" operator="lessThan">
      <formula>E12</formula>
    </cfRule>
  </conditionalFormatting>
  <conditionalFormatting sqref="M13">
    <cfRule type="cellIs" dxfId="1" priority="263" operator="equal">
      <formula>0</formula>
    </cfRule>
    <cfRule type="cellIs" dxfId="2" priority="264" operator="lessThan">
      <formula>E13</formula>
    </cfRule>
  </conditionalFormatting>
  <conditionalFormatting sqref="M14">
    <cfRule type="cellIs" dxfId="1" priority="268" operator="equal">
      <formula>0</formula>
    </cfRule>
    <cfRule type="cellIs" dxfId="2" priority="269" operator="lessThan">
      <formula>E14</formula>
    </cfRule>
  </conditionalFormatting>
  <conditionalFormatting sqref="M15">
    <cfRule type="cellIs" dxfId="1" priority="273" operator="equal">
      <formula>0</formula>
    </cfRule>
    <cfRule type="cellIs" dxfId="2" priority="274" operator="lessThan">
      <formula>E15</formula>
    </cfRule>
  </conditionalFormatting>
  <conditionalFormatting sqref="M16">
    <cfRule type="cellIs" dxfId="1" priority="278" operator="equal">
      <formula>0</formula>
    </cfRule>
    <cfRule type="cellIs" dxfId="2" priority="279" operator="lessThan">
      <formula>E16</formula>
    </cfRule>
  </conditionalFormatting>
  <conditionalFormatting sqref="M17">
    <cfRule type="cellIs" dxfId="1" priority="283" operator="equal">
      <formula>0</formula>
    </cfRule>
    <cfRule type="cellIs" dxfId="2" priority="284" operator="lessThan">
      <formula>E17</formula>
    </cfRule>
  </conditionalFormatting>
  <conditionalFormatting sqref="M20">
    <cfRule type="cellIs" dxfId="1" priority="288" operator="equal">
      <formula>0</formula>
    </cfRule>
    <cfRule type="cellIs" dxfId="2" priority="289" operator="lessThan">
      <formula>E20</formula>
    </cfRule>
  </conditionalFormatting>
  <conditionalFormatting sqref="M21">
    <cfRule type="cellIs" dxfId="1" priority="293" operator="equal">
      <formula>0</formula>
    </cfRule>
    <cfRule type="cellIs" dxfId="2" priority="294" operator="lessThan">
      <formula>E21</formula>
    </cfRule>
  </conditionalFormatting>
  <conditionalFormatting sqref="M22">
    <cfRule type="cellIs" dxfId="1" priority="298" operator="equal">
      <formula>0</formula>
    </cfRule>
    <cfRule type="cellIs" dxfId="2" priority="299" operator="lessThan">
      <formula>E22</formula>
    </cfRule>
  </conditionalFormatting>
  <conditionalFormatting sqref="M23">
    <cfRule type="cellIs" dxfId="1" priority="303" operator="equal">
      <formula>0</formula>
    </cfRule>
    <cfRule type="cellIs" dxfId="2" priority="304" operator="lessThan">
      <formula>E23</formula>
    </cfRule>
  </conditionalFormatting>
  <conditionalFormatting sqref="M24">
    <cfRule type="cellIs" dxfId="1" priority="308" operator="equal">
      <formula>0</formula>
    </cfRule>
    <cfRule type="cellIs" dxfId="2" priority="309" operator="lessThan">
      <formula>E24</formula>
    </cfRule>
  </conditionalFormatting>
  <conditionalFormatting sqref="M26">
    <cfRule type="cellIs" dxfId="1" priority="313" operator="equal">
      <formula>0</formula>
    </cfRule>
    <cfRule type="cellIs" dxfId="2" priority="314" operator="lessThan">
      <formula>E26</formula>
    </cfRule>
  </conditionalFormatting>
  <conditionalFormatting sqref="M27">
    <cfRule type="cellIs" dxfId="1" priority="318" operator="equal">
      <formula>0</formula>
    </cfRule>
    <cfRule type="cellIs" dxfId="2" priority="319" operator="lessThan">
      <formula>E27</formula>
    </cfRule>
  </conditionalFormatting>
  <conditionalFormatting sqref="M28">
    <cfRule type="cellIs" dxfId="1" priority="323" operator="equal">
      <formula>0</formula>
    </cfRule>
    <cfRule type="cellIs" dxfId="2" priority="324" operator="lessThan">
      <formula>E28</formula>
    </cfRule>
  </conditionalFormatting>
  <conditionalFormatting sqref="M29">
    <cfRule type="cellIs" dxfId="1" priority="328" operator="equal">
      <formula>0</formula>
    </cfRule>
    <cfRule type="cellIs" dxfId="2" priority="329" operator="lessThan">
      <formula>E29</formula>
    </cfRule>
  </conditionalFormatting>
  <conditionalFormatting sqref="M30">
    <cfRule type="cellIs" dxfId="1" priority="333" operator="equal">
      <formula>0</formula>
    </cfRule>
    <cfRule type="cellIs" dxfId="2" priority="334" operator="lessThan">
      <formula>E30</formula>
    </cfRule>
  </conditionalFormatting>
  <conditionalFormatting sqref="M31">
    <cfRule type="cellIs" dxfId="1" priority="338" operator="equal">
      <formula>0</formula>
    </cfRule>
    <cfRule type="cellIs" dxfId="2" priority="339" operator="lessThan">
      <formula>E31</formula>
    </cfRule>
  </conditionalFormatting>
  <conditionalFormatting sqref="M32">
    <cfRule type="cellIs" dxfId="1" priority="343" operator="equal">
      <formula>0</formula>
    </cfRule>
    <cfRule type="cellIs" dxfId="2" priority="344" operator="lessThan">
      <formula>E32</formula>
    </cfRule>
  </conditionalFormatting>
  <conditionalFormatting sqref="M33">
    <cfRule type="cellIs" dxfId="1" priority="348" operator="equal">
      <formula>0</formula>
    </cfRule>
    <cfRule type="cellIs" dxfId="2" priority="349" operator="lessThan">
      <formula>E33</formula>
    </cfRule>
  </conditionalFormatting>
  <conditionalFormatting sqref="M34">
    <cfRule type="cellIs" dxfId="1" priority="353" operator="equal">
      <formula>0</formula>
    </cfRule>
    <cfRule type="cellIs" dxfId="2" priority="354" operator="lessThan">
      <formula>E34</formula>
    </cfRule>
  </conditionalFormatting>
  <conditionalFormatting sqref="M7">
    <cfRule type="cellIs" dxfId="1" priority="233" operator="equal">
      <formula>0</formula>
    </cfRule>
    <cfRule type="cellIs" dxfId="2" priority="234" operator="lessThan">
      <formula>E7</formula>
    </cfRule>
  </conditionalFormatting>
  <conditionalFormatting sqref="M8">
    <cfRule type="cellIs" dxfId="1" priority="238" operator="equal">
      <formula>0</formula>
    </cfRule>
    <cfRule type="cellIs" dxfId="2" priority="239" operator="lessThan">
      <formula>E8</formula>
    </cfRule>
  </conditionalFormatting>
  <conditionalFormatting sqref="M9">
    <cfRule type="cellIs" dxfId="1" priority="243" operator="equal">
      <formula>0</formula>
    </cfRule>
    <cfRule type="cellIs" dxfId="2" priority="244" operator="lessThan">
      <formula>E9</formula>
    </cfRule>
  </conditionalFormatting>
  <conditionalFormatting sqref="N10">
    <cfRule type="cellIs" dxfId="1" priority="250" operator="greaterThan">
      <formula>M10</formula>
    </cfRule>
  </conditionalFormatting>
  <conditionalFormatting sqref="N11">
    <cfRule type="cellIs" dxfId="1" priority="255" operator="greaterThan">
      <formula>M11</formula>
    </cfRule>
  </conditionalFormatting>
  <conditionalFormatting sqref="N12">
    <cfRule type="cellIs" dxfId="1" priority="260" operator="greaterThan">
      <formula>M12</formula>
    </cfRule>
  </conditionalFormatting>
  <conditionalFormatting sqref="N13">
    <cfRule type="cellIs" dxfId="1" priority="265" operator="greaterThan">
      <formula>M13</formula>
    </cfRule>
  </conditionalFormatting>
  <conditionalFormatting sqref="N14">
    <cfRule type="cellIs" dxfId="1" priority="270" operator="greaterThan">
      <formula>M14</formula>
    </cfRule>
  </conditionalFormatting>
  <conditionalFormatting sqref="N15">
    <cfRule type="cellIs" dxfId="1" priority="275" operator="greaterThan">
      <formula>M15</formula>
    </cfRule>
  </conditionalFormatting>
  <conditionalFormatting sqref="N16">
    <cfRule type="cellIs" dxfId="1" priority="280" operator="greaterThan">
      <formula>M16</formula>
    </cfRule>
  </conditionalFormatting>
  <conditionalFormatting sqref="N17">
    <cfRule type="cellIs" dxfId="1" priority="285" operator="greaterThan">
      <formula>M17</formula>
    </cfRule>
  </conditionalFormatting>
  <conditionalFormatting sqref="N20">
    <cfRule type="cellIs" dxfId="1" priority="290" operator="greaterThan">
      <formula>M20</formula>
    </cfRule>
  </conditionalFormatting>
  <conditionalFormatting sqref="N21">
    <cfRule type="cellIs" dxfId="1" priority="295" operator="greaterThan">
      <formula>M21</formula>
    </cfRule>
  </conditionalFormatting>
  <conditionalFormatting sqref="N22">
    <cfRule type="cellIs" dxfId="1" priority="300" operator="greaterThan">
      <formula>M22</formula>
    </cfRule>
  </conditionalFormatting>
  <conditionalFormatting sqref="N23">
    <cfRule type="cellIs" dxfId="1" priority="305" operator="greaterThan">
      <formula>M23</formula>
    </cfRule>
  </conditionalFormatting>
  <conditionalFormatting sqref="N24">
    <cfRule type="cellIs" dxfId="1" priority="310" operator="greaterThan">
      <formula>M24</formula>
    </cfRule>
  </conditionalFormatting>
  <conditionalFormatting sqref="N26">
    <cfRule type="cellIs" dxfId="1" priority="315" operator="greaterThan">
      <formula>M26</formula>
    </cfRule>
  </conditionalFormatting>
  <conditionalFormatting sqref="N27">
    <cfRule type="cellIs" dxfId="1" priority="320" operator="greaterThan">
      <formula>M27</formula>
    </cfRule>
  </conditionalFormatting>
  <conditionalFormatting sqref="N28">
    <cfRule type="cellIs" dxfId="1" priority="325" operator="greaterThan">
      <formula>M28</formula>
    </cfRule>
  </conditionalFormatting>
  <conditionalFormatting sqref="N29">
    <cfRule type="cellIs" dxfId="1" priority="330" operator="greaterThan">
      <formula>M29</formula>
    </cfRule>
  </conditionalFormatting>
  <conditionalFormatting sqref="N30">
    <cfRule type="cellIs" dxfId="1" priority="335" operator="greaterThan">
      <formula>M30</formula>
    </cfRule>
  </conditionalFormatting>
  <conditionalFormatting sqref="N31">
    <cfRule type="cellIs" dxfId="1" priority="340" operator="greaterThan">
      <formula>M31</formula>
    </cfRule>
  </conditionalFormatting>
  <conditionalFormatting sqref="N32">
    <cfRule type="cellIs" dxfId="1" priority="345" operator="greaterThan">
      <formula>M32</formula>
    </cfRule>
  </conditionalFormatting>
  <conditionalFormatting sqref="N33">
    <cfRule type="cellIs" dxfId="1" priority="350" operator="greaterThan">
      <formula>M33</formula>
    </cfRule>
  </conditionalFormatting>
  <conditionalFormatting sqref="N34">
    <cfRule type="cellIs" dxfId="1" priority="355" operator="greaterThan">
      <formula>M34</formula>
    </cfRule>
  </conditionalFormatting>
  <conditionalFormatting sqref="N7">
    <cfRule type="cellIs" dxfId="1" priority="235" operator="greaterThan">
      <formula>M7</formula>
    </cfRule>
  </conditionalFormatting>
  <conditionalFormatting sqref="N8">
    <cfRule type="cellIs" dxfId="1" priority="240" operator="greaterThan">
      <formula>M8</formula>
    </cfRule>
  </conditionalFormatting>
  <conditionalFormatting sqref="N9">
    <cfRule type="cellIs" dxfId="1" priority="245" operator="greaterThan">
      <formula>M9</formula>
    </cfRule>
  </conditionalFormatting>
  <conditionalFormatting sqref="O10">
    <cfRule type="cellIs" dxfId="4" priority="251" operator="lessThanOrEqual">
      <formula>F10</formula>
    </cfRule>
  </conditionalFormatting>
  <conditionalFormatting sqref="O11">
    <cfRule type="cellIs" dxfId="4" priority="256" operator="lessThanOrEqual">
      <formula>F11</formula>
    </cfRule>
  </conditionalFormatting>
  <conditionalFormatting sqref="O12">
    <cfRule type="cellIs" dxfId="4" priority="261" operator="lessThanOrEqual">
      <formula>F12</formula>
    </cfRule>
  </conditionalFormatting>
  <conditionalFormatting sqref="O13">
    <cfRule type="cellIs" dxfId="4" priority="266" operator="lessThanOrEqual">
      <formula>F13</formula>
    </cfRule>
  </conditionalFormatting>
  <conditionalFormatting sqref="O14">
    <cfRule type="cellIs" dxfId="4" priority="271" operator="lessThanOrEqual">
      <formula>F14</formula>
    </cfRule>
  </conditionalFormatting>
  <conditionalFormatting sqref="O15">
    <cfRule type="cellIs" dxfId="4" priority="276" operator="lessThanOrEqual">
      <formula>F15</formula>
    </cfRule>
  </conditionalFormatting>
  <conditionalFormatting sqref="O16">
    <cfRule type="cellIs" dxfId="4" priority="281" operator="lessThanOrEqual">
      <formula>F16</formula>
    </cfRule>
  </conditionalFormatting>
  <conditionalFormatting sqref="O17">
    <cfRule type="cellIs" dxfId="4" priority="286" operator="lessThanOrEqual">
      <formula>F17</formula>
    </cfRule>
  </conditionalFormatting>
  <conditionalFormatting sqref="O20">
    <cfRule type="cellIs" dxfId="4" priority="291" operator="lessThanOrEqual">
      <formula>F20</formula>
    </cfRule>
  </conditionalFormatting>
  <conditionalFormatting sqref="O21">
    <cfRule type="cellIs" dxfId="4" priority="296" operator="lessThanOrEqual">
      <formula>F21</formula>
    </cfRule>
  </conditionalFormatting>
  <conditionalFormatting sqref="O22">
    <cfRule type="cellIs" dxfId="4" priority="301" operator="lessThanOrEqual">
      <formula>F22</formula>
    </cfRule>
  </conditionalFormatting>
  <conditionalFormatting sqref="O23">
    <cfRule type="cellIs" dxfId="4" priority="306" operator="lessThanOrEqual">
      <formula>F23</formula>
    </cfRule>
  </conditionalFormatting>
  <conditionalFormatting sqref="O24">
    <cfRule type="cellIs" dxfId="4" priority="311" operator="lessThanOrEqual">
      <formula>F24</formula>
    </cfRule>
  </conditionalFormatting>
  <conditionalFormatting sqref="O26">
    <cfRule type="cellIs" dxfId="4" priority="316" operator="lessThanOrEqual">
      <formula>F26</formula>
    </cfRule>
  </conditionalFormatting>
  <conditionalFormatting sqref="O27">
    <cfRule type="cellIs" dxfId="4" priority="321" operator="lessThanOrEqual">
      <formula>F27</formula>
    </cfRule>
  </conditionalFormatting>
  <conditionalFormatting sqref="O28">
    <cfRule type="cellIs" dxfId="4" priority="326" operator="lessThanOrEqual">
      <formula>F28</formula>
    </cfRule>
  </conditionalFormatting>
  <conditionalFormatting sqref="O29">
    <cfRule type="cellIs" dxfId="4" priority="331" operator="lessThanOrEqual">
      <formula>F29</formula>
    </cfRule>
  </conditionalFormatting>
  <conditionalFormatting sqref="O30">
    <cfRule type="cellIs" dxfId="4" priority="336" operator="lessThanOrEqual">
      <formula>F30</formula>
    </cfRule>
  </conditionalFormatting>
  <conditionalFormatting sqref="O31">
    <cfRule type="cellIs" dxfId="4" priority="341" operator="lessThanOrEqual">
      <formula>F31</formula>
    </cfRule>
  </conditionalFormatting>
  <conditionalFormatting sqref="O32">
    <cfRule type="cellIs" dxfId="4" priority="346" operator="lessThanOrEqual">
      <formula>F32</formula>
    </cfRule>
  </conditionalFormatting>
  <conditionalFormatting sqref="O33">
    <cfRule type="cellIs" dxfId="4" priority="351" operator="lessThanOrEqual">
      <formula>F33</formula>
    </cfRule>
  </conditionalFormatting>
  <conditionalFormatting sqref="O34">
    <cfRule type="cellIs" dxfId="4" priority="356" operator="lessThanOrEqual">
      <formula>F34</formula>
    </cfRule>
  </conditionalFormatting>
  <conditionalFormatting sqref="O7">
    <cfRule type="cellIs" dxfId="4" priority="236" operator="lessThanOrEqual">
      <formula>F7</formula>
    </cfRule>
  </conditionalFormatting>
  <conditionalFormatting sqref="O8">
    <cfRule type="cellIs" dxfId="4" priority="241" operator="lessThanOrEqual">
      <formula>F8</formula>
    </cfRule>
  </conditionalFormatting>
  <conditionalFormatting sqref="O9">
    <cfRule type="cellIs" dxfId="4" priority="246" operator="lessThanOrEqual">
      <formula>F9</formula>
    </cfRule>
  </conditionalFormatting>
  <conditionalFormatting sqref="P10">
    <cfRule type="cellIs" dxfId="4" priority="252" operator="lessThanOrEqual">
      <formula>G10</formula>
    </cfRule>
  </conditionalFormatting>
  <conditionalFormatting sqref="P11">
    <cfRule type="cellIs" dxfId="4" priority="257" operator="lessThanOrEqual">
      <formula>G11</formula>
    </cfRule>
  </conditionalFormatting>
  <conditionalFormatting sqref="P12">
    <cfRule type="cellIs" dxfId="4" priority="262" operator="lessThanOrEqual">
      <formula>G12</formula>
    </cfRule>
  </conditionalFormatting>
  <conditionalFormatting sqref="P13">
    <cfRule type="cellIs" dxfId="4" priority="267" operator="lessThanOrEqual">
      <formula>G13</formula>
    </cfRule>
  </conditionalFormatting>
  <conditionalFormatting sqref="P14">
    <cfRule type="cellIs" dxfId="4" priority="272" operator="lessThanOrEqual">
      <formula>G14</formula>
    </cfRule>
  </conditionalFormatting>
  <conditionalFormatting sqref="P15">
    <cfRule type="cellIs" dxfId="4" priority="277" operator="lessThanOrEqual">
      <formula>G15</formula>
    </cfRule>
  </conditionalFormatting>
  <conditionalFormatting sqref="P16">
    <cfRule type="cellIs" dxfId="4" priority="282" operator="lessThanOrEqual">
      <formula>G16</formula>
    </cfRule>
  </conditionalFormatting>
  <conditionalFormatting sqref="P17">
    <cfRule type="cellIs" dxfId="4" priority="287" operator="lessThanOrEqual">
      <formula>G17</formula>
    </cfRule>
  </conditionalFormatting>
  <conditionalFormatting sqref="P20">
    <cfRule type="cellIs" dxfId="4" priority="292" operator="lessThanOrEqual">
      <formula>G20</formula>
    </cfRule>
  </conditionalFormatting>
  <conditionalFormatting sqref="P21">
    <cfRule type="cellIs" dxfId="4" priority="297" operator="lessThanOrEqual">
      <formula>G21</formula>
    </cfRule>
  </conditionalFormatting>
  <conditionalFormatting sqref="P22">
    <cfRule type="cellIs" dxfId="4" priority="302" operator="lessThanOrEqual">
      <formula>G22</formula>
    </cfRule>
  </conditionalFormatting>
  <conditionalFormatting sqref="P23">
    <cfRule type="cellIs" dxfId="4" priority="307" operator="lessThanOrEqual">
      <formula>G23</formula>
    </cfRule>
  </conditionalFormatting>
  <conditionalFormatting sqref="P24">
    <cfRule type="cellIs" dxfId="4" priority="312" operator="lessThanOrEqual">
      <formula>G24</formula>
    </cfRule>
  </conditionalFormatting>
  <conditionalFormatting sqref="P26">
    <cfRule type="cellIs" dxfId="4" priority="317" operator="lessThanOrEqual">
      <formula>G26</formula>
    </cfRule>
  </conditionalFormatting>
  <conditionalFormatting sqref="P27">
    <cfRule type="cellIs" dxfId="4" priority="322" operator="lessThanOrEqual">
      <formula>G27</formula>
    </cfRule>
  </conditionalFormatting>
  <conditionalFormatting sqref="P28">
    <cfRule type="cellIs" dxfId="4" priority="327" operator="lessThanOrEqual">
      <formula>G28</formula>
    </cfRule>
  </conditionalFormatting>
  <conditionalFormatting sqref="P29">
    <cfRule type="cellIs" dxfId="4" priority="332" operator="lessThanOrEqual">
      <formula>G29</formula>
    </cfRule>
  </conditionalFormatting>
  <conditionalFormatting sqref="P30">
    <cfRule type="cellIs" dxfId="4" priority="337" operator="lessThanOrEqual">
      <formula>G30</formula>
    </cfRule>
  </conditionalFormatting>
  <conditionalFormatting sqref="P31">
    <cfRule type="cellIs" dxfId="4" priority="342" operator="lessThanOrEqual">
      <formula>G31</formula>
    </cfRule>
  </conditionalFormatting>
  <conditionalFormatting sqref="P32">
    <cfRule type="cellIs" dxfId="4" priority="347" operator="lessThanOrEqual">
      <formula>G32</formula>
    </cfRule>
  </conditionalFormatting>
  <conditionalFormatting sqref="P33">
    <cfRule type="cellIs" dxfId="4" priority="352" operator="lessThanOrEqual">
      <formula>G33</formula>
    </cfRule>
  </conditionalFormatting>
  <conditionalFormatting sqref="P34">
    <cfRule type="cellIs" dxfId="4" priority="357" operator="lessThanOrEqual">
      <formula>G34</formula>
    </cfRule>
  </conditionalFormatting>
  <conditionalFormatting sqref="P7">
    <cfRule type="cellIs" dxfId="4" priority="237" operator="lessThanOrEqual">
      <formula>G7</formula>
    </cfRule>
  </conditionalFormatting>
  <conditionalFormatting sqref="P8">
    <cfRule type="cellIs" dxfId="4" priority="242" operator="lessThanOrEqual">
      <formula>G8</formula>
    </cfRule>
  </conditionalFormatting>
  <conditionalFormatting sqref="P9">
    <cfRule type="cellIs" dxfId="4" priority="247" operator="lessThanOrEqual">
      <formula>G9</formula>
    </cfRule>
  </conditionalFormatting>
  <conditionalFormatting sqref="W10">
    <cfRule type="cellIs" dxfId="1" priority="373" operator="equal">
      <formula>0</formula>
    </cfRule>
    <cfRule type="cellIs" dxfId="2" priority="374" operator="lessThan">
      <formula>E10</formula>
    </cfRule>
  </conditionalFormatting>
  <conditionalFormatting sqref="W11">
    <cfRule type="cellIs" dxfId="1" priority="378" operator="equal">
      <formula>0</formula>
    </cfRule>
    <cfRule type="cellIs" dxfId="2" priority="379" operator="lessThan">
      <formula>E11</formula>
    </cfRule>
  </conditionalFormatting>
  <conditionalFormatting sqref="W12">
    <cfRule type="cellIs" dxfId="1" priority="383" operator="equal">
      <formula>0</formula>
    </cfRule>
    <cfRule type="cellIs" dxfId="2" priority="384" operator="lessThan">
      <formula>E12</formula>
    </cfRule>
  </conditionalFormatting>
  <conditionalFormatting sqref="W13">
    <cfRule type="cellIs" dxfId="1" priority="388" operator="equal">
      <formula>0</formula>
    </cfRule>
    <cfRule type="cellIs" dxfId="2" priority="389" operator="lessThan">
      <formula>E13</formula>
    </cfRule>
  </conditionalFormatting>
  <conditionalFormatting sqref="W14">
    <cfRule type="cellIs" dxfId="1" priority="393" operator="equal">
      <formula>0</formula>
    </cfRule>
    <cfRule type="cellIs" dxfId="2" priority="394" operator="lessThan">
      <formula>E14</formula>
    </cfRule>
  </conditionalFormatting>
  <conditionalFormatting sqref="W15">
    <cfRule type="cellIs" dxfId="1" priority="398" operator="equal">
      <formula>0</formula>
    </cfRule>
    <cfRule type="cellIs" dxfId="2" priority="399" operator="lessThan">
      <formula>E15</formula>
    </cfRule>
  </conditionalFormatting>
  <conditionalFormatting sqref="W16">
    <cfRule type="cellIs" dxfId="1" priority="403" operator="equal">
      <formula>0</formula>
    </cfRule>
    <cfRule type="cellIs" dxfId="2" priority="404" operator="lessThan">
      <formula>E16</formula>
    </cfRule>
  </conditionalFormatting>
  <conditionalFormatting sqref="W17">
    <cfRule type="cellIs" dxfId="1" priority="408" operator="equal">
      <formula>0</formula>
    </cfRule>
    <cfRule type="cellIs" dxfId="2" priority="409" operator="lessThan">
      <formula>E17</formula>
    </cfRule>
  </conditionalFormatting>
  <conditionalFormatting sqref="W20">
    <cfRule type="cellIs" dxfId="1" priority="413" operator="equal">
      <formula>0</formula>
    </cfRule>
    <cfRule type="cellIs" dxfId="2" priority="414" operator="lessThan">
      <formula>E20</formula>
    </cfRule>
  </conditionalFormatting>
  <conditionalFormatting sqref="W21">
    <cfRule type="cellIs" dxfId="1" priority="418" operator="equal">
      <formula>0</formula>
    </cfRule>
    <cfRule type="cellIs" dxfId="2" priority="419" operator="lessThan">
      <formula>E21</formula>
    </cfRule>
  </conditionalFormatting>
  <conditionalFormatting sqref="W22">
    <cfRule type="cellIs" dxfId="1" priority="423" operator="equal">
      <formula>0</formula>
    </cfRule>
    <cfRule type="cellIs" dxfId="2" priority="424" operator="lessThan">
      <formula>E22</formula>
    </cfRule>
  </conditionalFormatting>
  <conditionalFormatting sqref="W23">
    <cfRule type="cellIs" dxfId="1" priority="428" operator="equal">
      <formula>0</formula>
    </cfRule>
    <cfRule type="cellIs" dxfId="2" priority="429" operator="lessThan">
      <formula>E23</formula>
    </cfRule>
  </conditionalFormatting>
  <conditionalFormatting sqref="W24">
    <cfRule type="cellIs" dxfId="1" priority="433" operator="equal">
      <formula>0</formula>
    </cfRule>
    <cfRule type="cellIs" dxfId="2" priority="434" operator="lessThan">
      <formula>E24</formula>
    </cfRule>
  </conditionalFormatting>
  <conditionalFormatting sqref="W26">
    <cfRule type="cellIs" dxfId="1" priority="438" operator="equal">
      <formula>0</formula>
    </cfRule>
    <cfRule type="cellIs" dxfId="2" priority="439" operator="lessThan">
      <formula>E26</formula>
    </cfRule>
  </conditionalFormatting>
  <conditionalFormatting sqref="W27">
    <cfRule type="cellIs" dxfId="1" priority="443" operator="equal">
      <formula>0</formula>
    </cfRule>
    <cfRule type="cellIs" dxfId="2" priority="444" operator="lessThan">
      <formula>E27</formula>
    </cfRule>
  </conditionalFormatting>
  <conditionalFormatting sqref="W28">
    <cfRule type="cellIs" dxfId="1" priority="448" operator="equal">
      <formula>0</formula>
    </cfRule>
    <cfRule type="cellIs" dxfId="2" priority="449" operator="lessThan">
      <formula>E28</formula>
    </cfRule>
  </conditionalFormatting>
  <conditionalFormatting sqref="W29">
    <cfRule type="cellIs" dxfId="1" priority="453" operator="equal">
      <formula>0</formula>
    </cfRule>
    <cfRule type="cellIs" dxfId="2" priority="454" operator="lessThan">
      <formula>E29</formula>
    </cfRule>
  </conditionalFormatting>
  <conditionalFormatting sqref="W30">
    <cfRule type="cellIs" dxfId="1" priority="458" operator="equal">
      <formula>0</formula>
    </cfRule>
    <cfRule type="cellIs" dxfId="2" priority="459" operator="lessThan">
      <formula>E30</formula>
    </cfRule>
  </conditionalFormatting>
  <conditionalFormatting sqref="W31">
    <cfRule type="cellIs" dxfId="1" priority="463" operator="equal">
      <formula>0</formula>
    </cfRule>
    <cfRule type="cellIs" dxfId="2" priority="464" operator="lessThan">
      <formula>E31</formula>
    </cfRule>
  </conditionalFormatting>
  <conditionalFormatting sqref="W32">
    <cfRule type="cellIs" dxfId="1" priority="468" operator="equal">
      <formula>0</formula>
    </cfRule>
    <cfRule type="cellIs" dxfId="2" priority="469" operator="lessThan">
      <formula>E32</formula>
    </cfRule>
  </conditionalFormatting>
  <conditionalFormatting sqref="W33">
    <cfRule type="cellIs" dxfId="1" priority="473" operator="equal">
      <formula>0</formula>
    </cfRule>
    <cfRule type="cellIs" dxfId="2" priority="474" operator="lessThan">
      <formula>E33</formula>
    </cfRule>
  </conditionalFormatting>
  <conditionalFormatting sqref="W34">
    <cfRule type="cellIs" dxfId="1" priority="478" operator="equal">
      <formula>0</formula>
    </cfRule>
    <cfRule type="cellIs" dxfId="2" priority="479" operator="lessThan">
      <formula>E34</formula>
    </cfRule>
  </conditionalFormatting>
  <conditionalFormatting sqref="W7">
    <cfRule type="cellIs" dxfId="1" priority="358" operator="equal">
      <formula>0</formula>
    </cfRule>
    <cfRule type="cellIs" dxfId="2" priority="359" operator="lessThan">
      <formula>E7</formula>
    </cfRule>
  </conditionalFormatting>
  <conditionalFormatting sqref="W8">
    <cfRule type="cellIs" dxfId="1" priority="363" operator="equal">
      <formula>0</formula>
    </cfRule>
    <cfRule type="cellIs" dxfId="2" priority="364" operator="lessThan">
      <formula>E8</formula>
    </cfRule>
  </conditionalFormatting>
  <conditionalFormatting sqref="W9">
    <cfRule type="cellIs" dxfId="1" priority="368" operator="equal">
      <formula>0</formula>
    </cfRule>
    <cfRule type="cellIs" dxfId="2" priority="369" operator="lessThan">
      <formula>E9</formula>
    </cfRule>
  </conditionalFormatting>
  <conditionalFormatting sqref="X10">
    <cfRule type="cellIs" dxfId="1" priority="375" operator="greaterThan">
      <formula>W10</formula>
    </cfRule>
  </conditionalFormatting>
  <conditionalFormatting sqref="X11">
    <cfRule type="cellIs" dxfId="1" priority="380" operator="greaterThan">
      <formula>W11</formula>
    </cfRule>
  </conditionalFormatting>
  <conditionalFormatting sqref="X12">
    <cfRule type="cellIs" dxfId="1" priority="385" operator="greaterThan">
      <formula>W12</formula>
    </cfRule>
  </conditionalFormatting>
  <conditionalFormatting sqref="X13">
    <cfRule type="cellIs" dxfId="1" priority="390" operator="greaterThan">
      <formula>W13</formula>
    </cfRule>
  </conditionalFormatting>
  <conditionalFormatting sqref="X14">
    <cfRule type="cellIs" dxfId="1" priority="395" operator="greaterThan">
      <formula>W14</formula>
    </cfRule>
  </conditionalFormatting>
  <conditionalFormatting sqref="X15">
    <cfRule type="cellIs" dxfId="1" priority="400" operator="greaterThan">
      <formula>W15</formula>
    </cfRule>
  </conditionalFormatting>
  <conditionalFormatting sqref="X16">
    <cfRule type="cellIs" dxfId="1" priority="405" operator="greaterThan">
      <formula>W16</formula>
    </cfRule>
  </conditionalFormatting>
  <conditionalFormatting sqref="X17">
    <cfRule type="cellIs" dxfId="1" priority="410" operator="greaterThan">
      <formula>W17</formula>
    </cfRule>
  </conditionalFormatting>
  <conditionalFormatting sqref="X20">
    <cfRule type="cellIs" dxfId="1" priority="415" operator="greaterThan">
      <formula>W20</formula>
    </cfRule>
  </conditionalFormatting>
  <conditionalFormatting sqref="X21">
    <cfRule type="cellIs" dxfId="1" priority="420" operator="greaterThan">
      <formula>W21</formula>
    </cfRule>
  </conditionalFormatting>
  <conditionalFormatting sqref="X22">
    <cfRule type="cellIs" dxfId="1" priority="425" operator="greaterThan">
      <formula>W22</formula>
    </cfRule>
  </conditionalFormatting>
  <conditionalFormatting sqref="X23">
    <cfRule type="cellIs" dxfId="1" priority="430" operator="greaterThan">
      <formula>W23</formula>
    </cfRule>
  </conditionalFormatting>
  <conditionalFormatting sqref="X24">
    <cfRule type="cellIs" dxfId="1" priority="435" operator="greaterThan">
      <formula>W24</formula>
    </cfRule>
  </conditionalFormatting>
  <conditionalFormatting sqref="X26">
    <cfRule type="cellIs" dxfId="1" priority="440" operator="greaterThan">
      <formula>W26</formula>
    </cfRule>
  </conditionalFormatting>
  <conditionalFormatting sqref="X27">
    <cfRule type="cellIs" dxfId="1" priority="445" operator="greaterThan">
      <formula>W27</formula>
    </cfRule>
  </conditionalFormatting>
  <conditionalFormatting sqref="X28">
    <cfRule type="cellIs" dxfId="1" priority="450" operator="greaterThan">
      <formula>W28</formula>
    </cfRule>
  </conditionalFormatting>
  <conditionalFormatting sqref="X29">
    <cfRule type="cellIs" dxfId="1" priority="455" operator="greaterThan">
      <formula>W29</formula>
    </cfRule>
  </conditionalFormatting>
  <conditionalFormatting sqref="X30">
    <cfRule type="cellIs" dxfId="1" priority="460" operator="greaterThan">
      <formula>W30</formula>
    </cfRule>
  </conditionalFormatting>
  <conditionalFormatting sqref="X31">
    <cfRule type="cellIs" dxfId="1" priority="465" operator="greaterThan">
      <formula>W31</formula>
    </cfRule>
  </conditionalFormatting>
  <conditionalFormatting sqref="X32">
    <cfRule type="cellIs" dxfId="1" priority="470" operator="greaterThan">
      <formula>W32</formula>
    </cfRule>
  </conditionalFormatting>
  <conditionalFormatting sqref="X33">
    <cfRule type="cellIs" dxfId="1" priority="475" operator="greaterThan">
      <formula>W33</formula>
    </cfRule>
  </conditionalFormatting>
  <conditionalFormatting sqref="X34">
    <cfRule type="cellIs" dxfId="1" priority="480" operator="greaterThan">
      <formula>W34</formula>
    </cfRule>
  </conditionalFormatting>
  <conditionalFormatting sqref="X7">
    <cfRule type="cellIs" dxfId="1" priority="360" operator="greaterThan">
      <formula>W7</formula>
    </cfRule>
  </conditionalFormatting>
  <conditionalFormatting sqref="X8">
    <cfRule type="cellIs" dxfId="1" priority="365" operator="greaterThan">
      <formula>W8</formula>
    </cfRule>
  </conditionalFormatting>
  <conditionalFormatting sqref="X9">
    <cfRule type="cellIs" dxfId="1" priority="370" operator="greaterThan">
      <formula>W9</formula>
    </cfRule>
  </conditionalFormatting>
  <conditionalFormatting sqref="Y10">
    <cfRule type="cellIs" dxfId="4" priority="376" operator="lessThanOrEqual">
      <formula>F10</formula>
    </cfRule>
  </conditionalFormatting>
  <conditionalFormatting sqref="Y11">
    <cfRule type="cellIs" dxfId="4" priority="381" operator="lessThanOrEqual">
      <formula>F11</formula>
    </cfRule>
  </conditionalFormatting>
  <conditionalFormatting sqref="Y12">
    <cfRule type="cellIs" dxfId="4" priority="386" operator="lessThanOrEqual">
      <formula>F12</formula>
    </cfRule>
  </conditionalFormatting>
  <conditionalFormatting sqref="Y13">
    <cfRule type="cellIs" dxfId="4" priority="391" operator="lessThanOrEqual">
      <formula>F13</formula>
    </cfRule>
  </conditionalFormatting>
  <conditionalFormatting sqref="Y14">
    <cfRule type="cellIs" dxfId="4" priority="396" operator="lessThanOrEqual">
      <formula>F14</formula>
    </cfRule>
  </conditionalFormatting>
  <conditionalFormatting sqref="Y15">
    <cfRule type="cellIs" dxfId="4" priority="401" operator="lessThanOrEqual">
      <formula>F15</formula>
    </cfRule>
  </conditionalFormatting>
  <conditionalFormatting sqref="Y16">
    <cfRule type="cellIs" dxfId="4" priority="406" operator="lessThanOrEqual">
      <formula>F16</formula>
    </cfRule>
  </conditionalFormatting>
  <conditionalFormatting sqref="Y17">
    <cfRule type="cellIs" dxfId="4" priority="411" operator="lessThanOrEqual">
      <formula>F17</formula>
    </cfRule>
  </conditionalFormatting>
  <conditionalFormatting sqref="Y20">
    <cfRule type="cellIs" dxfId="4" priority="416" operator="lessThanOrEqual">
      <formula>F20</formula>
    </cfRule>
  </conditionalFormatting>
  <conditionalFormatting sqref="Y21">
    <cfRule type="cellIs" dxfId="4" priority="421" operator="lessThanOrEqual">
      <formula>F21</formula>
    </cfRule>
  </conditionalFormatting>
  <conditionalFormatting sqref="Y22">
    <cfRule type="cellIs" dxfId="4" priority="426" operator="lessThanOrEqual">
      <formula>F22</formula>
    </cfRule>
  </conditionalFormatting>
  <conditionalFormatting sqref="Y23">
    <cfRule type="cellIs" dxfId="4" priority="431" operator="lessThanOrEqual">
      <formula>F23</formula>
    </cfRule>
  </conditionalFormatting>
  <conditionalFormatting sqref="Y24">
    <cfRule type="cellIs" dxfId="4" priority="436" operator="lessThanOrEqual">
      <formula>F24</formula>
    </cfRule>
  </conditionalFormatting>
  <conditionalFormatting sqref="Y26">
    <cfRule type="cellIs" dxfId="4" priority="441" operator="lessThanOrEqual">
      <formula>F26</formula>
    </cfRule>
  </conditionalFormatting>
  <conditionalFormatting sqref="Y27">
    <cfRule type="cellIs" dxfId="4" priority="446" operator="lessThanOrEqual">
      <formula>F27</formula>
    </cfRule>
  </conditionalFormatting>
  <conditionalFormatting sqref="Y28">
    <cfRule type="cellIs" dxfId="4" priority="451" operator="lessThanOrEqual">
      <formula>F28</formula>
    </cfRule>
  </conditionalFormatting>
  <conditionalFormatting sqref="Y29">
    <cfRule type="cellIs" dxfId="4" priority="456" operator="lessThanOrEqual">
      <formula>F29</formula>
    </cfRule>
  </conditionalFormatting>
  <conditionalFormatting sqref="Y30">
    <cfRule type="cellIs" dxfId="4" priority="461" operator="lessThanOrEqual">
      <formula>F30</formula>
    </cfRule>
  </conditionalFormatting>
  <conditionalFormatting sqref="Y31">
    <cfRule type="cellIs" dxfId="4" priority="466" operator="lessThanOrEqual">
      <formula>F31</formula>
    </cfRule>
  </conditionalFormatting>
  <conditionalFormatting sqref="Y32">
    <cfRule type="cellIs" dxfId="4" priority="471" operator="lessThanOrEqual">
      <formula>F32</formula>
    </cfRule>
  </conditionalFormatting>
  <conditionalFormatting sqref="Y33">
    <cfRule type="cellIs" dxfId="4" priority="476" operator="lessThanOrEqual">
      <formula>F33</formula>
    </cfRule>
  </conditionalFormatting>
  <conditionalFormatting sqref="Y34">
    <cfRule type="cellIs" dxfId="4" priority="481" operator="lessThanOrEqual">
      <formula>F34</formula>
    </cfRule>
  </conditionalFormatting>
  <conditionalFormatting sqref="Y7">
    <cfRule type="cellIs" dxfId="4" priority="361" operator="lessThanOrEqual">
      <formula>F7</formula>
    </cfRule>
  </conditionalFormatting>
  <conditionalFormatting sqref="Y8">
    <cfRule type="cellIs" dxfId="4" priority="366" operator="lessThanOrEqual">
      <formula>F8</formula>
    </cfRule>
  </conditionalFormatting>
  <conditionalFormatting sqref="Y9">
    <cfRule type="cellIs" dxfId="4" priority="371" operator="lessThanOrEqual">
      <formula>F9</formula>
    </cfRule>
  </conditionalFormatting>
  <conditionalFormatting sqref="Z10">
    <cfRule type="cellIs" dxfId="4" priority="377" operator="lessThanOrEqual">
      <formula>G10</formula>
    </cfRule>
  </conditionalFormatting>
  <conditionalFormatting sqref="Z11">
    <cfRule type="cellIs" dxfId="4" priority="382" operator="lessThanOrEqual">
      <formula>G11</formula>
    </cfRule>
  </conditionalFormatting>
  <conditionalFormatting sqref="Z12">
    <cfRule type="cellIs" dxfId="4" priority="387" operator="lessThanOrEqual">
      <formula>G12</formula>
    </cfRule>
  </conditionalFormatting>
  <conditionalFormatting sqref="Z13">
    <cfRule type="cellIs" dxfId="4" priority="392" operator="lessThanOrEqual">
      <formula>G13</formula>
    </cfRule>
  </conditionalFormatting>
  <conditionalFormatting sqref="Z14">
    <cfRule type="cellIs" dxfId="4" priority="397" operator="lessThanOrEqual">
      <formula>G14</formula>
    </cfRule>
  </conditionalFormatting>
  <conditionalFormatting sqref="Z15">
    <cfRule type="cellIs" dxfId="4" priority="402" operator="lessThanOrEqual">
      <formula>G15</formula>
    </cfRule>
  </conditionalFormatting>
  <conditionalFormatting sqref="Z16">
    <cfRule type="cellIs" dxfId="4" priority="407" operator="lessThanOrEqual">
      <formula>G16</formula>
    </cfRule>
  </conditionalFormatting>
  <conditionalFormatting sqref="Z17">
    <cfRule type="cellIs" dxfId="4" priority="412" operator="lessThanOrEqual">
      <formula>G17</formula>
    </cfRule>
  </conditionalFormatting>
  <conditionalFormatting sqref="Z20">
    <cfRule type="cellIs" dxfId="4" priority="417" operator="lessThanOrEqual">
      <formula>G20</formula>
    </cfRule>
  </conditionalFormatting>
  <conditionalFormatting sqref="Z21">
    <cfRule type="cellIs" dxfId="4" priority="422" operator="lessThanOrEqual">
      <formula>G21</formula>
    </cfRule>
  </conditionalFormatting>
  <conditionalFormatting sqref="Z22">
    <cfRule type="cellIs" dxfId="4" priority="427" operator="lessThanOrEqual">
      <formula>G22</formula>
    </cfRule>
  </conditionalFormatting>
  <conditionalFormatting sqref="Z23">
    <cfRule type="cellIs" dxfId="4" priority="432" operator="lessThanOrEqual">
      <formula>G23</formula>
    </cfRule>
  </conditionalFormatting>
  <conditionalFormatting sqref="Z24">
    <cfRule type="cellIs" dxfId="4" priority="437" operator="lessThanOrEqual">
      <formula>G24</formula>
    </cfRule>
  </conditionalFormatting>
  <conditionalFormatting sqref="Z26">
    <cfRule type="cellIs" dxfId="4" priority="442" operator="lessThanOrEqual">
      <formula>G26</formula>
    </cfRule>
  </conditionalFormatting>
  <conditionalFormatting sqref="Z27">
    <cfRule type="cellIs" dxfId="4" priority="447" operator="lessThanOrEqual">
      <formula>G27</formula>
    </cfRule>
  </conditionalFormatting>
  <conditionalFormatting sqref="Z28">
    <cfRule type="cellIs" dxfId="4" priority="452" operator="lessThanOrEqual">
      <formula>G28</formula>
    </cfRule>
  </conditionalFormatting>
  <conditionalFormatting sqref="Z29">
    <cfRule type="cellIs" dxfId="4" priority="457" operator="lessThanOrEqual">
      <formula>G29</formula>
    </cfRule>
  </conditionalFormatting>
  <conditionalFormatting sqref="Z30">
    <cfRule type="cellIs" dxfId="4" priority="462" operator="lessThanOrEqual">
      <formula>G30</formula>
    </cfRule>
  </conditionalFormatting>
  <conditionalFormatting sqref="Z31">
    <cfRule type="cellIs" dxfId="4" priority="467" operator="lessThanOrEqual">
      <formula>G31</formula>
    </cfRule>
  </conditionalFormatting>
  <conditionalFormatting sqref="Z32">
    <cfRule type="cellIs" dxfId="4" priority="472" operator="lessThanOrEqual">
      <formula>G32</formula>
    </cfRule>
  </conditionalFormatting>
  <conditionalFormatting sqref="Z33">
    <cfRule type="cellIs" dxfId="4" priority="477" operator="lessThanOrEqual">
      <formula>G33</formula>
    </cfRule>
  </conditionalFormatting>
  <conditionalFormatting sqref="Z34">
    <cfRule type="cellIs" dxfId="4" priority="482" operator="lessThanOrEqual">
      <formula>G34</formula>
    </cfRule>
  </conditionalFormatting>
  <conditionalFormatting sqref="Z7">
    <cfRule type="cellIs" dxfId="4" priority="362" operator="lessThanOrEqual">
      <formula>G7</formula>
    </cfRule>
  </conditionalFormatting>
  <conditionalFormatting sqref="Z8">
    <cfRule type="cellIs" dxfId="4" priority="367" operator="lessThanOrEqual">
      <formula>G8</formula>
    </cfRule>
  </conditionalFormatting>
  <conditionalFormatting sqref="Z9">
    <cfRule type="cellIs" dxfId="4" priority="372" operator="lessThanOrEqual">
      <formula>G9</formula>
    </cfRule>
  </conditionalFormatting>
  <hyperlinks>
    <hyperlink ref="L7" r:id="rId1"/>
    <hyperlink ref="Q7" r:id="rId2"/>
    <hyperlink ref="AA7" r:id="rId3"/>
    <hyperlink ref="AF7" r:id="rId4"/>
    <hyperlink ref="L8" r:id="rId5"/>
    <hyperlink ref="Q8" r:id="rId6"/>
    <hyperlink ref="AA8" r:id="rId7"/>
    <hyperlink ref="AF8" r:id="rId8"/>
    <hyperlink ref="L9" r:id="rId9"/>
    <hyperlink ref="Q9" r:id="rId10"/>
    <hyperlink ref="AA9" r:id="rId11"/>
    <hyperlink ref="L10" r:id="rId12"/>
    <hyperlink ref="Q10" r:id="rId13"/>
    <hyperlink ref="AA10" r:id="rId14"/>
    <hyperlink ref="L11" r:id="rId15"/>
    <hyperlink ref="Q11" r:id="rId16"/>
    <hyperlink ref="AA11" r:id="rId17"/>
    <hyperlink ref="AF11" r:id="rId18"/>
    <hyperlink ref="L12" r:id="rId19"/>
    <hyperlink ref="Q12" r:id="rId20"/>
    <hyperlink ref="AA12" r:id="rId21"/>
    <hyperlink ref="L13" r:id="rId22"/>
    <hyperlink ref="Q13" r:id="rId23"/>
    <hyperlink ref="AA13" r:id="rId24"/>
    <hyperlink ref="L14" r:id="rId25"/>
    <hyperlink ref="Q14" r:id="rId26"/>
    <hyperlink ref="AA14" r:id="rId27"/>
    <hyperlink ref="AF14" r:id="rId28"/>
    <hyperlink ref="AK14" r:id="rId29"/>
    <hyperlink ref="L15" r:id="rId30"/>
    <hyperlink ref="Q15" r:id="rId31"/>
    <hyperlink ref="AA15" r:id="rId32"/>
    <hyperlink ref="AF15" r:id="rId33"/>
    <hyperlink ref="L16" r:id="rId34"/>
    <hyperlink ref="Q16" r:id="rId35"/>
    <hyperlink ref="AA16" r:id="rId36"/>
    <hyperlink ref="AF16" r:id="rId37"/>
    <hyperlink ref="L17" r:id="rId38"/>
    <hyperlink ref="Q17" r:id="rId39"/>
    <hyperlink ref="AA17" r:id="rId40"/>
    <hyperlink ref="AF17" r:id="rId41"/>
    <hyperlink ref="AK17" r:id="rId42"/>
    <hyperlink ref="L20" r:id="rId43"/>
    <hyperlink ref="Q20" r:id="rId44"/>
    <hyperlink ref="AA20" r:id="rId45"/>
    <hyperlink ref="AF20" r:id="rId46"/>
    <hyperlink ref="AK20" r:id="rId47" location=""/>
    <hyperlink ref="L21" r:id="rId48"/>
    <hyperlink ref="Q21" r:id="rId49"/>
    <hyperlink ref="AA21" r:id="rId50"/>
    <hyperlink ref="AF21" r:id="rId51"/>
    <hyperlink ref="L22" r:id="rId52"/>
    <hyperlink ref="Q22" r:id="rId53"/>
    <hyperlink ref="AA22" r:id="rId54"/>
    <hyperlink ref="L23" r:id="rId55"/>
    <hyperlink ref="Q23" r:id="rId56"/>
    <hyperlink ref="AA23" r:id="rId57"/>
    <hyperlink ref="L24" r:id="rId58"/>
    <hyperlink ref="Q24" r:id="rId59"/>
    <hyperlink ref="AA24" r:id="rId60"/>
    <hyperlink ref="AF24" r:id="rId61"/>
    <hyperlink ref="L25" r:id="rId62"/>
    <hyperlink ref="L26" r:id="rId63"/>
    <hyperlink ref="Q26" r:id="rId64"/>
    <hyperlink ref="AA26" r:id="rId65"/>
    <hyperlink ref="L27" r:id="rId66"/>
    <hyperlink ref="Q27" r:id="rId67"/>
    <hyperlink ref="AA27" r:id="rId68"/>
    <hyperlink ref="AF27" r:id="rId69"/>
    <hyperlink ref="L28" r:id="rId70"/>
    <hyperlink ref="Q28" r:id="rId71"/>
    <hyperlink ref="AA28" r:id="rId72"/>
    <hyperlink ref="AF28" r:id="rId73"/>
    <hyperlink ref="L29" r:id="rId74"/>
    <hyperlink ref="Q29" r:id="rId75"/>
    <hyperlink ref="AA29" r:id="rId76"/>
    <hyperlink ref="AF29" r:id="rId77"/>
    <hyperlink ref="L30" r:id="rId78"/>
    <hyperlink ref="Q30" r:id="rId79"/>
    <hyperlink ref="AA30" r:id="rId80"/>
    <hyperlink ref="L31" r:id="rId81"/>
    <hyperlink ref="Q31" r:id="rId82"/>
    <hyperlink ref="AA31" r:id="rId83"/>
    <hyperlink ref="L32" r:id="rId84"/>
    <hyperlink ref="Q32" r:id="rId85"/>
    <hyperlink ref="AA32" r:id="rId86"/>
    <hyperlink ref="AF32" r:id="rId87"/>
    <hyperlink ref="L33" r:id="rId88"/>
    <hyperlink ref="Q33" r:id="rId89"/>
    <hyperlink ref="AA33" r:id="rId90"/>
    <hyperlink ref="AF33" r:id="rId91"/>
    <hyperlink ref="L34" r:id="rId92"/>
    <hyperlink ref="Q34" r:id="rId93"/>
    <hyperlink ref="AA34" r:id="rId94"/>
  </hyperlinks>
  <pageMargins left="0.7" right="0.7" top="0.75" bottom="0.75" header="0.3" footer="0.3"/>
  <legacyDrawing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power_board.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2018-04-10T15:54:49Z</dcterms:created>
  <dcterms:modified xsi:type="dcterms:W3CDTF">2018-04-10T15:54:49Z</dcterms:modified>
</cp:coreProperties>
</file>