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ebautomation-my.sharepoint.com/personal/conner_glaser_kebamerica_com/Documents/Documents/PROJECTS/KEB/C/Resources/"/>
    </mc:Choice>
  </mc:AlternateContent>
  <xr:revisionPtr revIDLastSave="221" documentId="8_{6161D0D4-B3DF-42CE-8980-88386CA92AC3}" xr6:coauthVersionLast="47" xr6:coauthVersionMax="47" xr10:uidLastSave="{B38E4FCA-9C4B-418C-A5D1-C1033D52FFC7}"/>
  <bookViews>
    <workbookView xWindow="16080" yWindow="16080" windowWidth="20730" windowHeight="11760" tabRatio="581" activeTab="7" xr2:uid="{00000000-000D-0000-FFFF-FFFF00000000}"/>
  </bookViews>
  <sheets>
    <sheet name="Info" sheetId="5" r:id="rId1"/>
    <sheet name="InjectionMoldingMachine" sheetId="11" r:id="rId2"/>
    <sheet name="KEB_Drives" sheetId="32" r:id="rId3"/>
    <sheet name="KEB_Drives_Standard" sheetId="39" r:id="rId4"/>
    <sheet name="DL4_BRV Motors" sheetId="28" r:id="rId5"/>
    <sheet name="KEB_F6_OL150Chart" sheetId="33" state="hidden" r:id="rId6"/>
    <sheet name="HydrPumps" sheetId="38" r:id="rId7"/>
    <sheet name="DL4_Motorcodes" sheetId="31" r:id="rId8"/>
    <sheet name="Priceimport" sheetId="37" state="hidden" r:id="rId9"/>
  </sheets>
  <definedNames>
    <definedName name="BRVMotorDataTable">'DL4_BRV Motors'!$E$4:$CU$40</definedName>
    <definedName name="BRVMotorTable_Types">'DL4_BRV Motors'!$E$4:$CU$4</definedName>
    <definedName name="CalculationReserveProzent">InjectionMoldingMachine!$G$18</definedName>
    <definedName name="Const_RpmToM" comment="1/(2*PI)*60 = 9,55">60/(2*PI())</definedName>
    <definedName name="DL4MotorCodes" comment="Combination table of DL4 CMAT number and supplier motor code">DL4_Motorcodes!$A$2:$B$74</definedName>
    <definedName name="ExterneDaten_1" localSheetId="8" hidden="1">Priceimport!$A$6:$D$45</definedName>
    <definedName name="ExterneDaten_2" localSheetId="8" hidden="1">Priceimport!$G$6:$J$27</definedName>
    <definedName name="ExterneDaten_3" localSheetId="8" hidden="1">Priceimport!$D$3:$D$4</definedName>
    <definedName name="ExterneDaten_4" localSheetId="8" hidden="1">Priceimport!$J$3:$J$4</definedName>
    <definedName name="kgcm²_kgm²" comment="Convert inertia from: kgcm² to kgm²">1/10000</definedName>
    <definedName name="kgm²_kgcm²" comment="Convert inertia from: kgm² to kgcm²">10000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31" l="1"/>
  <c r="M11" i="31"/>
  <c r="M10" i="31"/>
  <c r="M9" i="31"/>
  <c r="M8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9" i="31"/>
  <c r="H12" i="31"/>
  <c r="H13" i="31"/>
  <c r="H14" i="31"/>
  <c r="H15" i="31"/>
  <c r="H16" i="31"/>
  <c r="H17" i="31"/>
  <c r="H18" i="31"/>
  <c r="H3" i="31"/>
  <c r="H4" i="31"/>
  <c r="H5" i="31"/>
  <c r="H6" i="31"/>
  <c r="H7" i="31"/>
  <c r="H8" i="31"/>
  <c r="H9" i="31"/>
  <c r="H10" i="31"/>
  <c r="H11" i="31"/>
  <c r="AN20" i="11"/>
  <c r="J22" i="11"/>
  <c r="P22" i="11" s="1"/>
  <c r="K22" i="11"/>
  <c r="E16" i="11"/>
  <c r="AP7" i="11"/>
  <c r="AN7" i="11"/>
  <c r="P11" i="11"/>
  <c r="AN14" i="11"/>
  <c r="AN12" i="11"/>
  <c r="AN11" i="11"/>
  <c r="AN10" i="11"/>
  <c r="AP6" i="11"/>
  <c r="AN6" i="11"/>
  <c r="AN4" i="11"/>
  <c r="AN24" i="11"/>
  <c r="AN26" i="11" s="1"/>
  <c r="M14" i="31" l="1"/>
  <c r="M13" i="31"/>
  <c r="M16" i="31" s="1"/>
  <c r="AP12" i="11"/>
  <c r="AR3" i="11"/>
  <c r="AN23" i="11"/>
  <c r="AN5" i="11"/>
  <c r="AN25" i="11"/>
  <c r="AN19" i="11"/>
  <c r="AP11" i="11"/>
  <c r="AN3" i="11"/>
  <c r="AP3" i="11" s="1"/>
  <c r="AN15" i="11" l="1"/>
  <c r="P9" i="11"/>
  <c r="AP15" i="11" l="1"/>
  <c r="P10" i="11" l="1"/>
  <c r="E12" i="11"/>
  <c r="F9" i="11"/>
  <c r="F26" i="28" l="1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BB26" i="28"/>
  <c r="BC26" i="28"/>
  <c r="BD26" i="28"/>
  <c r="BE26" i="28"/>
  <c r="BF26" i="28"/>
  <c r="BG26" i="28"/>
  <c r="BH26" i="28"/>
  <c r="BI26" i="28"/>
  <c r="BJ26" i="28"/>
  <c r="BK26" i="28"/>
  <c r="BL26" i="28"/>
  <c r="BM26" i="28"/>
  <c r="BN26" i="28"/>
  <c r="BO26" i="28"/>
  <c r="BP26" i="28"/>
  <c r="BQ26" i="28"/>
  <c r="BR26" i="28"/>
  <c r="BS26" i="28"/>
  <c r="BT26" i="28"/>
  <c r="BU26" i="28"/>
  <c r="BV26" i="28"/>
  <c r="BW26" i="28"/>
  <c r="BX26" i="28"/>
  <c r="BY26" i="28"/>
  <c r="BZ26" i="28"/>
  <c r="CA26" i="28"/>
  <c r="CB26" i="28"/>
  <c r="CC26" i="28"/>
  <c r="CD26" i="28"/>
  <c r="CE26" i="28"/>
  <c r="CF26" i="28"/>
  <c r="CG26" i="28"/>
  <c r="CH26" i="28"/>
  <c r="CI26" i="28"/>
  <c r="CJ26" i="28"/>
  <c r="CK26" i="28"/>
  <c r="CL26" i="28"/>
  <c r="CM26" i="28"/>
  <c r="CN26" i="28"/>
  <c r="CO26" i="28"/>
  <c r="CP26" i="28"/>
  <c r="CQ26" i="28"/>
  <c r="CR26" i="28"/>
  <c r="CS26" i="28"/>
  <c r="CT26" i="28"/>
  <c r="CU26" i="28"/>
  <c r="CV26" i="28"/>
  <c r="CV33" i="28" s="1"/>
  <c r="CW26" i="28"/>
  <c r="CW33" i="28" s="1"/>
  <c r="CX26" i="28"/>
  <c r="CY26" i="28"/>
  <c r="CZ26" i="28"/>
  <c r="DA26" i="28"/>
  <c r="DB26" i="28"/>
  <c r="DC26" i="28"/>
  <c r="DC33" i="28" s="1"/>
  <c r="DD26" i="28"/>
  <c r="DE26" i="28"/>
  <c r="DE33" i="28" s="1"/>
  <c r="DF26" i="28"/>
  <c r="DG26" i="28"/>
  <c r="DG33" i="28" s="1"/>
  <c r="DH26" i="28"/>
  <c r="DH33" i="28" s="1"/>
  <c r="DF33" i="28"/>
  <c r="DI26" i="28"/>
  <c r="DI33" i="28" s="1"/>
  <c r="DJ26" i="28"/>
  <c r="DK26" i="28"/>
  <c r="DL26" i="28"/>
  <c r="CX33" i="28"/>
  <c r="CY33" i="28"/>
  <c r="CZ33" i="28"/>
  <c r="DB33" i="28"/>
  <c r="DJ33" i="28"/>
  <c r="DK33" i="28"/>
  <c r="DL33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C27" i="28"/>
  <c r="BD27" i="28"/>
  <c r="BE27" i="28"/>
  <c r="BF27" i="28"/>
  <c r="BG27" i="28"/>
  <c r="BH27" i="28"/>
  <c r="BI27" i="28"/>
  <c r="BJ27" i="28"/>
  <c r="BK27" i="28"/>
  <c r="BL27" i="28"/>
  <c r="BM27" i="28"/>
  <c r="BN27" i="28"/>
  <c r="BO27" i="28"/>
  <c r="BP27" i="28"/>
  <c r="BQ27" i="28"/>
  <c r="BR27" i="28"/>
  <c r="BS27" i="28"/>
  <c r="BT27" i="28"/>
  <c r="BU27" i="28"/>
  <c r="BV27" i="28"/>
  <c r="BW27" i="28"/>
  <c r="BX27" i="28"/>
  <c r="BY27" i="28"/>
  <c r="BZ27" i="28"/>
  <c r="CA27" i="28"/>
  <c r="CB27" i="28"/>
  <c r="CC27" i="28"/>
  <c r="CD27" i="28"/>
  <c r="CE27" i="28"/>
  <c r="CF27" i="28"/>
  <c r="CG27" i="28"/>
  <c r="CH27" i="28"/>
  <c r="CI27" i="28"/>
  <c r="CJ27" i="28"/>
  <c r="CK27" i="28"/>
  <c r="CL27" i="28"/>
  <c r="CM27" i="28"/>
  <c r="CN27" i="28"/>
  <c r="CO27" i="28"/>
  <c r="CP27" i="28"/>
  <c r="CQ27" i="28"/>
  <c r="CR27" i="28"/>
  <c r="CS27" i="28"/>
  <c r="CT27" i="28"/>
  <c r="CU27" i="28"/>
  <c r="CV27" i="28"/>
  <c r="CW27" i="28"/>
  <c r="CX27" i="28"/>
  <c r="CY27" i="28"/>
  <c r="CZ27" i="28"/>
  <c r="DA27" i="28"/>
  <c r="DB27" i="28"/>
  <c r="DC27" i="28"/>
  <c r="DD27" i="28"/>
  <c r="DE27" i="28"/>
  <c r="DF27" i="28"/>
  <c r="DG27" i="28"/>
  <c r="DH27" i="28"/>
  <c r="DI27" i="28"/>
  <c r="DJ27" i="28"/>
  <c r="DK27" i="28"/>
  <c r="DL27" i="28"/>
  <c r="BB27" i="28"/>
  <c r="BA27" i="28"/>
  <c r="DD33" i="28"/>
  <c r="G30" i="28"/>
  <c r="G31" i="28" s="1"/>
  <c r="H30" i="28"/>
  <c r="H31" i="28" s="1"/>
  <c r="I30" i="28"/>
  <c r="I31" i="28" s="1"/>
  <c r="J30" i="28"/>
  <c r="J31" i="28" s="1"/>
  <c r="K30" i="28"/>
  <c r="K31" i="28" s="1"/>
  <c r="L30" i="28"/>
  <c r="L31" i="28" s="1"/>
  <c r="M30" i="28"/>
  <c r="N30" i="28"/>
  <c r="N31" i="28" s="1"/>
  <c r="O30" i="28"/>
  <c r="O31" i="28" s="1"/>
  <c r="P30" i="28"/>
  <c r="P31" i="28" s="1"/>
  <c r="Q30" i="28"/>
  <c r="Q31" i="28" s="1"/>
  <c r="R30" i="28"/>
  <c r="R31" i="28" s="1"/>
  <c r="S30" i="28"/>
  <c r="S31" i="28" s="1"/>
  <c r="T30" i="28"/>
  <c r="T31" i="28" s="1"/>
  <c r="U30" i="28"/>
  <c r="U31" i="28" s="1"/>
  <c r="V30" i="28"/>
  <c r="V31" i="28" s="1"/>
  <c r="W30" i="28"/>
  <c r="W31" i="28" s="1"/>
  <c r="X30" i="28"/>
  <c r="X31" i="28" s="1"/>
  <c r="Y30" i="28"/>
  <c r="Y31" i="28" s="1"/>
  <c r="Z30" i="28"/>
  <c r="Z31" i="28" s="1"/>
  <c r="AA30" i="28"/>
  <c r="AA31" i="28" s="1"/>
  <c r="AB30" i="28"/>
  <c r="AB31" i="28" s="1"/>
  <c r="AC30" i="28"/>
  <c r="AC31" i="28" s="1"/>
  <c r="AD30" i="28"/>
  <c r="AD31" i="28" s="1"/>
  <c r="AE30" i="28"/>
  <c r="AE31" i="28" s="1"/>
  <c r="AF30" i="28"/>
  <c r="AF31" i="28" s="1"/>
  <c r="AG30" i="28"/>
  <c r="AG31" i="28" s="1"/>
  <c r="AH30" i="28"/>
  <c r="AH31" i="28" s="1"/>
  <c r="AI30" i="28"/>
  <c r="AI31" i="28" s="1"/>
  <c r="AJ30" i="28"/>
  <c r="AJ31" i="28" s="1"/>
  <c r="AK30" i="28"/>
  <c r="AK31" i="28" s="1"/>
  <c r="AL30" i="28"/>
  <c r="AL31" i="28" s="1"/>
  <c r="AM30" i="28"/>
  <c r="AM31" i="28" s="1"/>
  <c r="AN30" i="28"/>
  <c r="AN31" i="28" s="1"/>
  <c r="AO30" i="28"/>
  <c r="AO31" i="28" s="1"/>
  <c r="AP30" i="28"/>
  <c r="AP31" i="28" s="1"/>
  <c r="AQ30" i="28"/>
  <c r="AQ31" i="28" s="1"/>
  <c r="AR30" i="28"/>
  <c r="AR31" i="28" s="1"/>
  <c r="AS30" i="28"/>
  <c r="AS31" i="28" s="1"/>
  <c r="AT30" i="28"/>
  <c r="AT31" i="28" s="1"/>
  <c r="AU30" i="28"/>
  <c r="AU31" i="28" s="1"/>
  <c r="AV30" i="28"/>
  <c r="AV31" i="28" s="1"/>
  <c r="AW30" i="28"/>
  <c r="AW31" i="28" s="1"/>
  <c r="AX30" i="28"/>
  <c r="AX31" i="28" s="1"/>
  <c r="AY30" i="28"/>
  <c r="AY31" i="28" s="1"/>
  <c r="AZ30" i="28"/>
  <c r="AZ31" i="28" s="1"/>
  <c r="BA30" i="28"/>
  <c r="BA31" i="28" s="1"/>
  <c r="BB30" i="28"/>
  <c r="BB31" i="28" s="1"/>
  <c r="BC30" i="28"/>
  <c r="BC31" i="28" s="1"/>
  <c r="BD30" i="28"/>
  <c r="BD31" i="28" s="1"/>
  <c r="BE30" i="28"/>
  <c r="BE31" i="28" s="1"/>
  <c r="BF30" i="28"/>
  <c r="BG30" i="28"/>
  <c r="BG31" i="28" s="1"/>
  <c r="BH30" i="28"/>
  <c r="BH31" i="28" s="1"/>
  <c r="BI30" i="28"/>
  <c r="BI31" i="28" s="1"/>
  <c r="BJ30" i="28"/>
  <c r="BJ31" i="28" s="1"/>
  <c r="BK30" i="28"/>
  <c r="BK31" i="28" s="1"/>
  <c r="BL30" i="28"/>
  <c r="BL31" i="28" s="1"/>
  <c r="BM30" i="28"/>
  <c r="BM31" i="28" s="1"/>
  <c r="BN30" i="28"/>
  <c r="BN31" i="28" s="1"/>
  <c r="BO30" i="28"/>
  <c r="BO31" i="28" s="1"/>
  <c r="BP30" i="28"/>
  <c r="BP31" i="28" s="1"/>
  <c r="BQ30" i="28"/>
  <c r="BQ31" i="28" s="1"/>
  <c r="BR30" i="28"/>
  <c r="BR31" i="28" s="1"/>
  <c r="BS30" i="28"/>
  <c r="BS31" i="28" s="1"/>
  <c r="BT30" i="28"/>
  <c r="BT31" i="28" s="1"/>
  <c r="BU30" i="28"/>
  <c r="BU31" i="28" s="1"/>
  <c r="BV30" i="28"/>
  <c r="BV31" i="28" s="1"/>
  <c r="BW30" i="28"/>
  <c r="BW31" i="28" s="1"/>
  <c r="BX30" i="28"/>
  <c r="BX31" i="28" s="1"/>
  <c r="BY30" i="28"/>
  <c r="BY31" i="28" s="1"/>
  <c r="BZ30" i="28"/>
  <c r="BZ31" i="28" s="1"/>
  <c r="CA30" i="28"/>
  <c r="CA31" i="28" s="1"/>
  <c r="CB30" i="28"/>
  <c r="CB31" i="28" s="1"/>
  <c r="CC30" i="28"/>
  <c r="CC31" i="28" s="1"/>
  <c r="CD30" i="28"/>
  <c r="CD31" i="28" s="1"/>
  <c r="CE30" i="28"/>
  <c r="CE31" i="28" s="1"/>
  <c r="CF30" i="28"/>
  <c r="CF31" i="28" s="1"/>
  <c r="CG30" i="28"/>
  <c r="CG31" i="28" s="1"/>
  <c r="CH30" i="28"/>
  <c r="CH31" i="28" s="1"/>
  <c r="CI30" i="28"/>
  <c r="CI31" i="28" s="1"/>
  <c r="CJ30" i="28"/>
  <c r="CJ31" i="28" s="1"/>
  <c r="CK30" i="28"/>
  <c r="CK31" i="28" s="1"/>
  <c r="CL30" i="28"/>
  <c r="CL31" i="28" s="1"/>
  <c r="CM30" i="28"/>
  <c r="CM31" i="28" s="1"/>
  <c r="CN30" i="28"/>
  <c r="CN31" i="28" s="1"/>
  <c r="CO30" i="28"/>
  <c r="CO31" i="28" s="1"/>
  <c r="CP30" i="28"/>
  <c r="CP31" i="28" s="1"/>
  <c r="CQ30" i="28"/>
  <c r="CQ31" i="28" s="1"/>
  <c r="CR30" i="28"/>
  <c r="CR31" i="28" s="1"/>
  <c r="CS30" i="28"/>
  <c r="CS31" i="28" s="1"/>
  <c r="CT30" i="28"/>
  <c r="CT31" i="28" s="1"/>
  <c r="CU30" i="28"/>
  <c r="CU31" i="28" s="1"/>
  <c r="CV30" i="28"/>
  <c r="CV31" i="28" s="1"/>
  <c r="CW30" i="28"/>
  <c r="CW31" i="28" s="1"/>
  <c r="CX30" i="28"/>
  <c r="CX31" i="28" s="1"/>
  <c r="CY30" i="28"/>
  <c r="CY31" i="28" s="1"/>
  <c r="CZ30" i="28"/>
  <c r="CZ31" i="28" s="1"/>
  <c r="DA30" i="28"/>
  <c r="DA31" i="28" s="1"/>
  <c r="DB30" i="28"/>
  <c r="DB31" i="28" s="1"/>
  <c r="DC30" i="28"/>
  <c r="DC31" i="28" s="1"/>
  <c r="DD30" i="28"/>
  <c r="DD31" i="28" s="1"/>
  <c r="DE30" i="28"/>
  <c r="DE31" i="28" s="1"/>
  <c r="DF30" i="28"/>
  <c r="DF31" i="28" s="1"/>
  <c r="DG30" i="28"/>
  <c r="DG31" i="28" s="1"/>
  <c r="DH30" i="28"/>
  <c r="DH31" i="28" s="1"/>
  <c r="DI30" i="28"/>
  <c r="DI31" i="28" s="1"/>
  <c r="DJ30" i="28"/>
  <c r="DJ31" i="28" s="1"/>
  <c r="DK30" i="28"/>
  <c r="DK31" i="28" s="1"/>
  <c r="DL30" i="28"/>
  <c r="DL31" i="28" s="1"/>
  <c r="M31" i="28"/>
  <c r="BF31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BB32" i="28"/>
  <c r="BC32" i="28"/>
  <c r="BD32" i="28"/>
  <c r="BE32" i="28"/>
  <c r="BF32" i="28"/>
  <c r="BG32" i="28"/>
  <c r="BH32" i="28"/>
  <c r="BI32" i="28"/>
  <c r="BJ32" i="28"/>
  <c r="BK32" i="28"/>
  <c r="BL32" i="28"/>
  <c r="BM32" i="28"/>
  <c r="BN32" i="28"/>
  <c r="BO32" i="28"/>
  <c r="BP32" i="28"/>
  <c r="BQ32" i="28"/>
  <c r="BR32" i="28"/>
  <c r="BS32" i="28"/>
  <c r="BT32" i="28"/>
  <c r="BU32" i="28"/>
  <c r="BV32" i="28"/>
  <c r="BW32" i="28"/>
  <c r="BX32" i="28"/>
  <c r="BY32" i="28"/>
  <c r="BZ32" i="28"/>
  <c r="CA32" i="28"/>
  <c r="CB32" i="28"/>
  <c r="CC32" i="28"/>
  <c r="CD32" i="28"/>
  <c r="CE32" i="28"/>
  <c r="CF32" i="28"/>
  <c r="CG32" i="28"/>
  <c r="CH32" i="28"/>
  <c r="CI32" i="28"/>
  <c r="CJ32" i="28"/>
  <c r="CK32" i="28"/>
  <c r="CL32" i="28"/>
  <c r="CM32" i="28"/>
  <c r="CN32" i="28"/>
  <c r="CO32" i="28"/>
  <c r="CP32" i="28"/>
  <c r="CQ32" i="28"/>
  <c r="CR32" i="28"/>
  <c r="CS32" i="28"/>
  <c r="CT32" i="28"/>
  <c r="CU32" i="28"/>
  <c r="CV32" i="28"/>
  <c r="CW32" i="28"/>
  <c r="CX32" i="28"/>
  <c r="CY32" i="28"/>
  <c r="CZ32" i="28"/>
  <c r="DA32" i="28"/>
  <c r="DB32" i="28"/>
  <c r="DC32" i="28"/>
  <c r="DD32" i="28"/>
  <c r="DE32" i="28"/>
  <c r="DF32" i="28"/>
  <c r="DG32" i="28"/>
  <c r="DH32" i="28"/>
  <c r="DI32" i="28"/>
  <c r="DJ32" i="28"/>
  <c r="DK32" i="28"/>
  <c r="DL32" i="28"/>
  <c r="DA33" i="28"/>
  <c r="F32" i="28"/>
  <c r="F30" i="28"/>
  <c r="F31" i="28" s="1"/>
  <c r="AA30" i="39" l="1"/>
  <c r="AA31" i="39"/>
  <c r="AA32" i="39"/>
  <c r="AA24" i="39"/>
  <c r="AA26" i="39"/>
  <c r="AA27" i="39"/>
  <c r="AA28" i="39"/>
  <c r="AA29" i="39"/>
  <c r="BN33" i="28" l="1"/>
  <c r="BO33" i="28"/>
  <c r="BP33" i="28"/>
  <c r="AA3" i="39" l="1"/>
  <c r="AA6" i="39"/>
  <c r="AA7" i="39"/>
  <c r="AA8" i="39"/>
  <c r="AA9" i="39"/>
  <c r="AA10" i="39"/>
  <c r="AA11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5" i="39"/>
  <c r="AA5" i="39"/>
  <c r="AJ30" i="39" l="1"/>
  <c r="AH31" i="39"/>
  <c r="AF32" i="39"/>
  <c r="AC30" i="39"/>
  <c r="AK30" i="39"/>
  <c r="AI31" i="39"/>
  <c r="AG32" i="39"/>
  <c r="AD30" i="39"/>
  <c r="AJ31" i="39"/>
  <c r="AE30" i="39"/>
  <c r="AC31" i="39"/>
  <c r="AK31" i="39"/>
  <c r="AI32" i="39"/>
  <c r="AE32" i="39"/>
  <c r="AF30" i="39"/>
  <c r="AD31" i="39"/>
  <c r="AJ32" i="39"/>
  <c r="AG30" i="39"/>
  <c r="AE31" i="39"/>
  <c r="AC32" i="39"/>
  <c r="AK32" i="39"/>
  <c r="AI30" i="39"/>
  <c r="AH32" i="39"/>
  <c r="AH30" i="39"/>
  <c r="AF31" i="39"/>
  <c r="AD32" i="39"/>
  <c r="AG31" i="39"/>
  <c r="AJ24" i="39"/>
  <c r="AI24" i="39"/>
  <c r="AH24" i="39"/>
  <c r="AG24" i="39"/>
  <c r="AF24" i="39"/>
  <c r="AC24" i="39"/>
  <c r="AE24" i="39"/>
  <c r="AD24" i="39"/>
  <c r="AK24" i="39"/>
  <c r="AF8" i="39"/>
  <c r="AI27" i="39"/>
  <c r="AK27" i="39"/>
  <c r="AG29" i="39"/>
  <c r="AF26" i="39"/>
  <c r="AD27" i="39"/>
  <c r="AJ28" i="39"/>
  <c r="AH29" i="39"/>
  <c r="AG26" i="39"/>
  <c r="AC28" i="39"/>
  <c r="AK28" i="39"/>
  <c r="AI29" i="39"/>
  <c r="AH26" i="39"/>
  <c r="AF27" i="39"/>
  <c r="AD28" i="39"/>
  <c r="AJ29" i="39"/>
  <c r="AI26" i="39"/>
  <c r="AG27" i="39"/>
  <c r="AC29" i="39"/>
  <c r="AE27" i="39"/>
  <c r="AE28" i="39"/>
  <c r="AK29" i="39"/>
  <c r="AJ26" i="39"/>
  <c r="AH27" i="39"/>
  <c r="AF28" i="39"/>
  <c r="AD29" i="39"/>
  <c r="AC26" i="39"/>
  <c r="AK26" i="39"/>
  <c r="AG28" i="39"/>
  <c r="AE29" i="39"/>
  <c r="AD26" i="39"/>
  <c r="AJ27" i="39"/>
  <c r="AH28" i="39"/>
  <c r="AF29" i="39"/>
  <c r="AE26" i="39"/>
  <c r="AC27" i="39"/>
  <c r="AI28" i="39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3" i="32"/>
  <c r="U4" i="32"/>
  <c r="V4" i="32"/>
  <c r="W4" i="32"/>
  <c r="U5" i="32"/>
  <c r="V5" i="32"/>
  <c r="W5" i="32"/>
  <c r="U6" i="32"/>
  <c r="V6" i="32"/>
  <c r="W6" i="32"/>
  <c r="U7" i="32"/>
  <c r="V7" i="32"/>
  <c r="W7" i="32"/>
  <c r="U8" i="32"/>
  <c r="V8" i="32"/>
  <c r="W8" i="32"/>
  <c r="U9" i="32"/>
  <c r="V9" i="32"/>
  <c r="W9" i="32"/>
  <c r="U10" i="32"/>
  <c r="V10" i="32"/>
  <c r="W10" i="32"/>
  <c r="U11" i="32"/>
  <c r="V11" i="32"/>
  <c r="W11" i="32"/>
  <c r="U12" i="32"/>
  <c r="V12" i="32"/>
  <c r="W12" i="32"/>
  <c r="U13" i="32"/>
  <c r="V13" i="32"/>
  <c r="W13" i="32"/>
  <c r="U14" i="32"/>
  <c r="V14" i="32"/>
  <c r="W14" i="32"/>
  <c r="U15" i="32"/>
  <c r="V15" i="32"/>
  <c r="W15" i="32"/>
  <c r="U16" i="32"/>
  <c r="V16" i="32"/>
  <c r="W16" i="32"/>
  <c r="W3" i="32"/>
  <c r="V3" i="32"/>
  <c r="U3" i="32"/>
  <c r="F44" i="11"/>
  <c r="E14" i="11"/>
  <c r="E15" i="11"/>
  <c r="E13" i="11"/>
  <c r="N2" i="38"/>
  <c r="N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N46" i="38"/>
  <c r="N47" i="38"/>
  <c r="N48" i="38"/>
  <c r="N49" i="38"/>
  <c r="N50" i="38"/>
  <c r="N51" i="38"/>
  <c r="N52" i="38"/>
  <c r="N53" i="38"/>
  <c r="N54" i="38"/>
  <c r="K24" i="11" l="1"/>
  <c r="E47" i="11" s="1"/>
  <c r="E3" i="11"/>
  <c r="E7" i="11" s="1"/>
  <c r="K30" i="11"/>
  <c r="K29" i="11"/>
  <c r="K28" i="11"/>
  <c r="K27" i="11"/>
  <c r="E51" i="11" s="1"/>
  <c r="K26" i="11"/>
  <c r="E49" i="11" s="1"/>
  <c r="K33" i="11"/>
  <c r="K25" i="11"/>
  <c r="K32" i="11"/>
  <c r="K31" i="11"/>
  <c r="K23" i="11"/>
  <c r="J32" i="11"/>
  <c r="P32" i="11" s="1"/>
  <c r="S22" i="11" l="1"/>
  <c r="T22" i="11" s="1"/>
  <c r="N22" i="11"/>
  <c r="S30" i="11"/>
  <c r="T30" i="11" s="1"/>
  <c r="S23" i="11"/>
  <c r="T23" i="11" s="1"/>
  <c r="S31" i="11"/>
  <c r="S32" i="11"/>
  <c r="T32" i="11" s="1"/>
  <c r="S25" i="11"/>
  <c r="T25" i="11" s="1"/>
  <c r="S33" i="11"/>
  <c r="S24" i="11"/>
  <c r="T24" i="11" s="1"/>
  <c r="S26" i="11"/>
  <c r="T26" i="11" s="1"/>
  <c r="S27" i="11"/>
  <c r="T27" i="11" s="1"/>
  <c r="S28" i="11"/>
  <c r="T28" i="11" s="1"/>
  <c r="S29" i="11"/>
  <c r="M32" i="11"/>
  <c r="Q32" i="11"/>
  <c r="N32" i="11"/>
  <c r="E57" i="11"/>
  <c r="E58" i="11" s="1"/>
  <c r="E65" i="11" l="1"/>
  <c r="E66" i="11"/>
  <c r="E63" i="11"/>
  <c r="E62" i="11"/>
  <c r="E61" i="11"/>
  <c r="E60" i="11"/>
  <c r="E59" i="11"/>
  <c r="Q53" i="11" s="1"/>
  <c r="E64" i="11"/>
  <c r="T31" i="11"/>
  <c r="T33" i="11"/>
  <c r="T29" i="11"/>
  <c r="E67" i="11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BB33" i="28"/>
  <c r="BC33" i="28"/>
  <c r="BD33" i="28"/>
  <c r="BE33" i="28"/>
  <c r="BF33" i="28"/>
  <c r="BG33" i="28"/>
  <c r="BH33" i="28"/>
  <c r="BI33" i="28"/>
  <c r="BJ33" i="28"/>
  <c r="BK33" i="28"/>
  <c r="BL33" i="28"/>
  <c r="BM33" i="28"/>
  <c r="BQ33" i="28"/>
  <c r="BR33" i="28"/>
  <c r="BS33" i="28"/>
  <c r="BT33" i="28"/>
  <c r="BU33" i="28"/>
  <c r="BV33" i="28"/>
  <c r="BW33" i="28"/>
  <c r="BX33" i="28"/>
  <c r="BY33" i="28"/>
  <c r="BZ33" i="28"/>
  <c r="CA33" i="28"/>
  <c r="CB33" i="28"/>
  <c r="CC33" i="28"/>
  <c r="CD33" i="28"/>
  <c r="CE33" i="28"/>
  <c r="CF33" i="28"/>
  <c r="CG33" i="28"/>
  <c r="CH33" i="28"/>
  <c r="CI33" i="28"/>
  <c r="CJ33" i="28"/>
  <c r="CK33" i="28"/>
  <c r="CL33" i="28"/>
  <c r="CM33" i="28"/>
  <c r="CN33" i="28"/>
  <c r="CO33" i="28"/>
  <c r="CP33" i="28"/>
  <c r="CQ33" i="28"/>
  <c r="CR33" i="28"/>
  <c r="CS33" i="28"/>
  <c r="CT33" i="28"/>
  <c r="CU33" i="28"/>
  <c r="E26" i="28"/>
  <c r="F33" i="28"/>
  <c r="E27" i="28"/>
  <c r="Q44" i="11" l="1"/>
  <c r="F61" i="11"/>
  <c r="Q48" i="11"/>
  <c r="T19" i="11"/>
  <c r="U33" i="11" s="1"/>
  <c r="T35" i="11"/>
  <c r="F14" i="11"/>
  <c r="U22" i="11" l="1"/>
  <c r="V22" i="11" s="1"/>
  <c r="U31" i="11"/>
  <c r="U29" i="11"/>
  <c r="U30" i="11"/>
  <c r="U25" i="11"/>
  <c r="U28" i="11"/>
  <c r="U27" i="11"/>
  <c r="U32" i="11"/>
  <c r="V32" i="11" s="1"/>
  <c r="U24" i="11"/>
  <c r="U23" i="11"/>
  <c r="U26" i="11"/>
  <c r="W22" i="11" l="1"/>
  <c r="Z22" i="11" s="1"/>
  <c r="AA22" i="11" s="1"/>
  <c r="U36" i="11"/>
  <c r="AB67" i="11"/>
  <c r="X22" i="11" l="1"/>
  <c r="AC67" i="11"/>
  <c r="AE66" i="11"/>
  <c r="AE65" i="11"/>
  <c r="AE64" i="11"/>
  <c r="AE63" i="11"/>
  <c r="AB59" i="11"/>
  <c r="AB63" i="11" s="1"/>
  <c r="AB58" i="11"/>
  <c r="AB60" i="11" l="1"/>
  <c r="AB66" i="11"/>
  <c r="AB61" i="11"/>
  <c r="AB64" i="11"/>
  <c r="AB65" i="11"/>
  <c r="AB69" i="11" l="1"/>
  <c r="AB68" i="11"/>
  <c r="AB71" i="11"/>
  <c r="AB70" i="11"/>
  <c r="Q46" i="11" l="1"/>
  <c r="H23" i="11" l="1"/>
  <c r="H24" i="11" l="1"/>
  <c r="F46" i="11"/>
  <c r="F50" i="11"/>
  <c r="F52" i="11"/>
  <c r="Q22" i="11" l="1"/>
  <c r="H25" i="11"/>
  <c r="H26" i="11" s="1"/>
  <c r="H27" i="11" s="1"/>
  <c r="H28" i="11" s="1"/>
  <c r="H29" i="11" s="1"/>
  <c r="H30" i="11" s="1"/>
  <c r="H31" i="11" s="1"/>
  <c r="H32" i="11" s="1"/>
  <c r="H33" i="11" s="1"/>
  <c r="F48" i="11"/>
  <c r="J30" i="11"/>
  <c r="P30" i="11" s="1"/>
  <c r="J23" i="11"/>
  <c r="J31" i="11"/>
  <c r="P31" i="11" s="1"/>
  <c r="J24" i="11"/>
  <c r="J33" i="11"/>
  <c r="J29" i="11"/>
  <c r="P29" i="11" s="1"/>
  <c r="J25" i="11"/>
  <c r="P25" i="11" s="1"/>
  <c r="J26" i="11"/>
  <c r="P26" i="11" s="1"/>
  <c r="J27" i="11"/>
  <c r="P27" i="11" s="1"/>
  <c r="J28" i="11"/>
  <c r="P28" i="11" s="1"/>
  <c r="E38" i="11"/>
  <c r="G38" i="11"/>
  <c r="F35" i="11"/>
  <c r="E36" i="11" s="1"/>
  <c r="P33" i="11" l="1"/>
  <c r="W33" i="11"/>
  <c r="P23" i="11"/>
  <c r="Q23" i="11" s="1"/>
  <c r="W23" i="11"/>
  <c r="Z23" i="11" s="1"/>
  <c r="P24" i="11"/>
  <c r="W25" i="11"/>
  <c r="Q26" i="11"/>
  <c r="W27" i="11"/>
  <c r="Z27" i="11" s="1"/>
  <c r="E52" i="11" s="1"/>
  <c r="C40" i="28" s="1"/>
  <c r="V26" i="11"/>
  <c r="Q29" i="11"/>
  <c r="V29" i="11"/>
  <c r="W30" i="11"/>
  <c r="Z30" i="11" s="1"/>
  <c r="Q30" i="11"/>
  <c r="W31" i="11"/>
  <c r="Z31" i="11" s="1"/>
  <c r="V30" i="11"/>
  <c r="Q33" i="11"/>
  <c r="V33" i="11"/>
  <c r="Q27" i="11"/>
  <c r="V27" i="11"/>
  <c r="W28" i="11"/>
  <c r="Z28" i="11" s="1"/>
  <c r="V24" i="11"/>
  <c r="W26" i="11"/>
  <c r="Z26" i="11" s="1"/>
  <c r="E50" i="11" s="1"/>
  <c r="V25" i="11"/>
  <c r="Q31" i="11"/>
  <c r="V31" i="11"/>
  <c r="W32" i="11"/>
  <c r="Z32" i="11" s="1"/>
  <c r="Q28" i="11"/>
  <c r="W29" i="11"/>
  <c r="Z29" i="11" s="1"/>
  <c r="V28" i="11"/>
  <c r="V23" i="11"/>
  <c r="W24" i="11"/>
  <c r="Z24" i="11" s="1"/>
  <c r="E48" i="11" s="1"/>
  <c r="F8" i="11"/>
  <c r="M22" i="11"/>
  <c r="J36" i="11"/>
  <c r="K36" i="11"/>
  <c r="E43" i="11" s="1"/>
  <c r="J38" i="11"/>
  <c r="K38" i="11"/>
  <c r="E44" i="11" s="1"/>
  <c r="Z33" i="11" l="1"/>
  <c r="AA33" i="11" s="1"/>
  <c r="X33" i="11"/>
  <c r="Z25" i="11"/>
  <c r="Q25" i="11"/>
  <c r="C38" i="28"/>
  <c r="Q52" i="11"/>
  <c r="S52" i="11" s="1"/>
  <c r="X31" i="11"/>
  <c r="AA31" i="11"/>
  <c r="X24" i="11"/>
  <c r="AA24" i="11"/>
  <c r="X25" i="11"/>
  <c r="Q24" i="11"/>
  <c r="X28" i="11"/>
  <c r="AA28" i="11"/>
  <c r="V38" i="11"/>
  <c r="X32" i="11"/>
  <c r="AA32" i="11"/>
  <c r="X23" i="11"/>
  <c r="AA23" i="11"/>
  <c r="W36" i="11"/>
  <c r="W38" i="11"/>
  <c r="X26" i="11"/>
  <c r="AA26" i="11"/>
  <c r="P38" i="11"/>
  <c r="X30" i="11"/>
  <c r="AA30" i="11"/>
  <c r="X27" i="11"/>
  <c r="AA27" i="11"/>
  <c r="X29" i="11"/>
  <c r="AA29" i="11"/>
  <c r="AC52" i="11"/>
  <c r="AG52" i="11" s="1"/>
  <c r="AH52" i="11" s="1"/>
  <c r="P36" i="11"/>
  <c r="AA25" i="11" l="1"/>
  <c r="Q36" i="11"/>
  <c r="AC50" i="11"/>
  <c r="AG50" i="11" s="1"/>
  <c r="AH50" i="11" s="1"/>
  <c r="X38" i="11"/>
  <c r="X36" i="11"/>
  <c r="AE52" i="11"/>
  <c r="AI52" i="11" s="1"/>
  <c r="AJ52" i="11" s="1"/>
  <c r="C39" i="28"/>
  <c r="C35" i="28"/>
  <c r="AE48" i="11"/>
  <c r="AI48" i="11" s="1"/>
  <c r="S48" i="11"/>
  <c r="C36" i="28"/>
  <c r="AC48" i="11"/>
  <c r="C37" i="28"/>
  <c r="AE50" i="11"/>
  <c r="AI50" i="11" s="1"/>
  <c r="Q50" i="11"/>
  <c r="S50" i="11" s="1"/>
  <c r="Z38" i="11"/>
  <c r="E46" i="11" s="1"/>
  <c r="S46" i="11" s="1"/>
  <c r="Z36" i="11"/>
  <c r="Q38" i="11"/>
  <c r="N37" i="28" l="1"/>
  <c r="N38" i="28" s="1"/>
  <c r="Z37" i="28"/>
  <c r="Z38" i="28" s="1"/>
  <c r="AK37" i="28"/>
  <c r="AK38" i="28" s="1"/>
  <c r="AW37" i="28"/>
  <c r="AW38" i="28" s="1"/>
  <c r="BG37" i="28"/>
  <c r="BG38" i="28" s="1"/>
  <c r="BS37" i="28"/>
  <c r="BS38" i="28" s="1"/>
  <c r="CD37" i="28"/>
  <c r="CD38" i="28" s="1"/>
  <c r="CP37" i="28"/>
  <c r="CP38" i="28" s="1"/>
  <c r="CZ37" i="28"/>
  <c r="CZ38" i="28" s="1"/>
  <c r="DL37" i="28"/>
  <c r="DL38" i="28" s="1"/>
  <c r="AB37" i="28"/>
  <c r="AB38" i="28" s="1"/>
  <c r="AY37" i="28"/>
  <c r="AY38" i="28" s="1"/>
  <c r="BU37" i="28"/>
  <c r="BU38" i="28" s="1"/>
  <c r="CR37" i="28"/>
  <c r="CR38" i="28" s="1"/>
  <c r="Q37" i="28"/>
  <c r="Q38" i="28" s="1"/>
  <c r="AZ37" i="28"/>
  <c r="AZ38" i="28" s="1"/>
  <c r="BV37" i="28"/>
  <c r="BV38" i="28" s="1"/>
  <c r="DC37" i="28"/>
  <c r="DC38" i="28" s="1"/>
  <c r="BR37" i="28"/>
  <c r="BR38" i="28" s="1"/>
  <c r="O37" i="28"/>
  <c r="O38" i="28" s="1"/>
  <c r="AA37" i="28"/>
  <c r="AA38" i="28" s="1"/>
  <c r="AL37" i="28"/>
  <c r="AL38" i="28" s="1"/>
  <c r="AX37" i="28"/>
  <c r="AX38" i="28" s="1"/>
  <c r="BH37" i="28"/>
  <c r="BH38" i="28" s="1"/>
  <c r="BT37" i="28"/>
  <c r="BT38" i="28" s="1"/>
  <c r="CE37" i="28"/>
  <c r="CE38" i="28" s="1"/>
  <c r="CQ37" i="28"/>
  <c r="CQ38" i="28" s="1"/>
  <c r="DA37" i="28"/>
  <c r="DA38" i="28" s="1"/>
  <c r="P37" i="28"/>
  <c r="P38" i="28" s="1"/>
  <c r="AM37" i="28"/>
  <c r="AM38" i="28" s="1"/>
  <c r="BI37" i="28"/>
  <c r="BI38" i="28" s="1"/>
  <c r="CF37" i="28"/>
  <c r="CF38" i="28" s="1"/>
  <c r="DB37" i="28"/>
  <c r="DB38" i="28" s="1"/>
  <c r="AN37" i="28"/>
  <c r="AN38" i="28" s="1"/>
  <c r="BJ37" i="28"/>
  <c r="BJ38" i="28" s="1"/>
  <c r="CS37" i="28"/>
  <c r="CS38" i="28" s="1"/>
  <c r="CO37" i="28"/>
  <c r="CO38" i="28" s="1"/>
  <c r="AC37" i="28"/>
  <c r="AC38" i="28" s="1"/>
  <c r="CG37" i="28"/>
  <c r="CG38" i="28" s="1"/>
  <c r="M37" i="28"/>
  <c r="M38" i="28" s="1"/>
  <c r="R37" i="28"/>
  <c r="R38" i="28" s="1"/>
  <c r="AD37" i="28"/>
  <c r="AD38" i="28" s="1"/>
  <c r="AO37" i="28"/>
  <c r="AO38" i="28" s="1"/>
  <c r="BK37" i="28"/>
  <c r="BK38" i="28" s="1"/>
  <c r="BW37" i="28"/>
  <c r="BW38" i="28" s="1"/>
  <c r="CH37" i="28"/>
  <c r="CH38" i="28" s="1"/>
  <c r="CT37" i="28"/>
  <c r="CT38" i="28" s="1"/>
  <c r="DD37" i="28"/>
  <c r="DD38" i="28" s="1"/>
  <c r="BZ37" i="28"/>
  <c r="BZ38" i="28" s="1"/>
  <c r="DH37" i="28"/>
  <c r="DH38" i="28" s="1"/>
  <c r="W37" i="28"/>
  <c r="W38" i="28" s="1"/>
  <c r="AT37" i="28"/>
  <c r="AT38" i="28" s="1"/>
  <c r="CM37" i="28"/>
  <c r="CM38" i="28" s="1"/>
  <c r="DI37" i="28"/>
  <c r="DI38" i="28" s="1"/>
  <c r="X37" i="28"/>
  <c r="X38" i="28" s="1"/>
  <c r="AU37" i="28"/>
  <c r="AU38" i="28" s="1"/>
  <c r="CB37" i="28"/>
  <c r="CB38" i="28" s="1"/>
  <c r="DJ37" i="28"/>
  <c r="DJ38" i="28" s="1"/>
  <c r="F37" i="28"/>
  <c r="F38" i="28" s="1"/>
  <c r="Y37" i="28"/>
  <c r="Y38" i="28" s="1"/>
  <c r="G37" i="28"/>
  <c r="G38" i="28" s="1"/>
  <c r="S37" i="28"/>
  <c r="S38" i="28" s="1"/>
  <c r="AE37" i="28"/>
  <c r="AE38" i="28" s="1"/>
  <c r="AP37" i="28"/>
  <c r="AP38" i="28" s="1"/>
  <c r="BA37" i="28"/>
  <c r="BA38" i="28" s="1"/>
  <c r="BL37" i="28"/>
  <c r="BL38" i="28" s="1"/>
  <c r="BX37" i="28"/>
  <c r="BX38" i="28" s="1"/>
  <c r="CI37" i="28"/>
  <c r="CI38" i="28" s="1"/>
  <c r="CU37" i="28"/>
  <c r="CU38" i="28" s="1"/>
  <c r="DE37" i="28"/>
  <c r="DE38" i="28" s="1"/>
  <c r="V37" i="28"/>
  <c r="V38" i="28" s="1"/>
  <c r="BO37" i="28"/>
  <c r="BO38" i="28" s="1"/>
  <c r="AH37" i="28"/>
  <c r="AH38" i="28" s="1"/>
  <c r="CA37" i="28"/>
  <c r="CA38" i="28" s="1"/>
  <c r="CW37" i="28"/>
  <c r="CW38" i="28" s="1"/>
  <c r="CN37" i="28"/>
  <c r="CN38" i="28" s="1"/>
  <c r="AJ37" i="28"/>
  <c r="AJ38" i="28" s="1"/>
  <c r="DK37" i="28"/>
  <c r="DK38" i="28" s="1"/>
  <c r="H37" i="28"/>
  <c r="H38" i="28" s="1"/>
  <c r="T37" i="28"/>
  <c r="T38" i="28" s="1"/>
  <c r="AF37" i="28"/>
  <c r="AF38" i="28" s="1"/>
  <c r="AQ37" i="28"/>
  <c r="AQ38" i="28" s="1"/>
  <c r="BM37" i="28"/>
  <c r="BM38" i="28" s="1"/>
  <c r="BY37" i="28"/>
  <c r="BY38" i="28" s="1"/>
  <c r="CJ37" i="28"/>
  <c r="CJ38" i="28" s="1"/>
  <c r="DF37" i="28"/>
  <c r="DF38" i="28" s="1"/>
  <c r="AS37" i="28"/>
  <c r="AS38" i="28" s="1"/>
  <c r="BP37" i="28"/>
  <c r="BP38" i="28" s="1"/>
  <c r="CX37" i="28"/>
  <c r="CX38" i="28" s="1"/>
  <c r="BF37" i="28"/>
  <c r="BF38" i="28" s="1"/>
  <c r="I37" i="28"/>
  <c r="I38" i="28" s="1"/>
  <c r="U37" i="28"/>
  <c r="U38" i="28" s="1"/>
  <c r="AG37" i="28"/>
  <c r="AG38" i="28" s="1"/>
  <c r="AR37" i="28"/>
  <c r="AR38" i="28" s="1"/>
  <c r="BB37" i="28"/>
  <c r="BB38" i="28" s="1"/>
  <c r="BN37" i="28"/>
  <c r="BN38" i="28" s="1"/>
  <c r="CK37" i="28"/>
  <c r="CK38" i="28" s="1"/>
  <c r="CV37" i="28"/>
  <c r="CV38" i="28" s="1"/>
  <c r="DG37" i="28"/>
  <c r="DG38" i="28" s="1"/>
  <c r="J37" i="28"/>
  <c r="J38" i="28" s="1"/>
  <c r="BC37" i="28"/>
  <c r="BC38" i="28" s="1"/>
  <c r="CL37" i="28"/>
  <c r="CL38" i="28" s="1"/>
  <c r="K37" i="28"/>
  <c r="K38" i="28" s="1"/>
  <c r="BD37" i="28"/>
  <c r="BD38" i="28" s="1"/>
  <c r="L37" i="28"/>
  <c r="L38" i="28" s="1"/>
  <c r="AI37" i="28"/>
  <c r="AI38" i="28" s="1"/>
  <c r="BQ37" i="28"/>
  <c r="BQ38" i="28" s="1"/>
  <c r="AV37" i="28"/>
  <c r="AV38" i="28" s="1"/>
  <c r="CY37" i="28"/>
  <c r="CY38" i="28" s="1"/>
  <c r="BE37" i="28"/>
  <c r="BE38" i="28" s="1"/>
  <c r="CC37" i="28"/>
  <c r="CC38" i="28" s="1"/>
  <c r="J35" i="28"/>
  <c r="J36" i="28" s="1"/>
  <c r="V35" i="28"/>
  <c r="V36" i="28" s="1"/>
  <c r="AS35" i="28"/>
  <c r="AS36" i="28" s="1"/>
  <c r="BC35" i="28"/>
  <c r="BC36" i="28" s="1"/>
  <c r="BO35" i="28"/>
  <c r="BO36" i="28" s="1"/>
  <c r="BZ35" i="28"/>
  <c r="BZ36" i="28" s="1"/>
  <c r="CL35" i="28"/>
  <c r="CL36" i="28" s="1"/>
  <c r="DH35" i="28"/>
  <c r="DH36" i="28" s="1"/>
  <c r="X35" i="28"/>
  <c r="X36" i="28" s="1"/>
  <c r="AU35" i="28"/>
  <c r="AU36" i="28" s="1"/>
  <c r="BQ35" i="28"/>
  <c r="BQ36" i="28" s="1"/>
  <c r="CN35" i="28"/>
  <c r="CN36" i="28" s="1"/>
  <c r="DJ35" i="28"/>
  <c r="AJ35" i="28"/>
  <c r="AJ36" i="28" s="1"/>
  <c r="BF35" i="28"/>
  <c r="BF36" i="28" s="1"/>
  <c r="CC35" i="28"/>
  <c r="CC36" i="28" s="1"/>
  <c r="CY35" i="28"/>
  <c r="CY36" i="28" s="1"/>
  <c r="U35" i="28"/>
  <c r="U36" i="28" s="1"/>
  <c r="K35" i="28"/>
  <c r="K36" i="28" s="1"/>
  <c r="W35" i="28"/>
  <c r="W36" i="28" s="1"/>
  <c r="AH35" i="28"/>
  <c r="AH36" i="28" s="1"/>
  <c r="AT35" i="28"/>
  <c r="AT36" i="28" s="1"/>
  <c r="BD35" i="28"/>
  <c r="BD36" i="28" s="1"/>
  <c r="BP35" i="28"/>
  <c r="BP36" i="28" s="1"/>
  <c r="CA35" i="28"/>
  <c r="CA36" i="28" s="1"/>
  <c r="CM35" i="28"/>
  <c r="CM36" i="28" s="1"/>
  <c r="CW35" i="28"/>
  <c r="CW36" i="28" s="1"/>
  <c r="DI35" i="28"/>
  <c r="DI36" i="28" s="1"/>
  <c r="AI35" i="28"/>
  <c r="AI36" i="28" s="1"/>
  <c r="CB35" i="28"/>
  <c r="CB36" i="28" s="1"/>
  <c r="CX35" i="28"/>
  <c r="CX36" i="28" s="1"/>
  <c r="Y35" i="28"/>
  <c r="Y36" i="28" s="1"/>
  <c r="AV35" i="28"/>
  <c r="AV36" i="28" s="1"/>
  <c r="BR35" i="28"/>
  <c r="BR36" i="28" s="1"/>
  <c r="CO35" i="28"/>
  <c r="CO36" i="28" s="1"/>
  <c r="DK35" i="28"/>
  <c r="DK36" i="28" s="1"/>
  <c r="AG35" i="28"/>
  <c r="AG36" i="28" s="1"/>
  <c r="F35" i="28"/>
  <c r="F36" i="28" s="1"/>
  <c r="L35" i="28"/>
  <c r="L36" i="28" s="1"/>
  <c r="BE35" i="28"/>
  <c r="BE36" i="28" s="1"/>
  <c r="M35" i="28"/>
  <c r="M36" i="28" s="1"/>
  <c r="N35" i="28"/>
  <c r="N36" i="28" s="1"/>
  <c r="Z35" i="28"/>
  <c r="Z36" i="28" s="1"/>
  <c r="AK35" i="28"/>
  <c r="AK36" i="28" s="1"/>
  <c r="AW35" i="28"/>
  <c r="AW36" i="28" s="1"/>
  <c r="BG35" i="28"/>
  <c r="BG36" i="28" s="1"/>
  <c r="BS35" i="28"/>
  <c r="BS36" i="28" s="1"/>
  <c r="CD35" i="28"/>
  <c r="CD36" i="28" s="1"/>
  <c r="CP35" i="28"/>
  <c r="CP36" i="28" s="1"/>
  <c r="CZ35" i="28"/>
  <c r="CZ36" i="28" s="1"/>
  <c r="DL35" i="28"/>
  <c r="DL36" i="28" s="1"/>
  <c r="BK35" i="28"/>
  <c r="BK36" i="28" s="1"/>
  <c r="DD35" i="28"/>
  <c r="DD36" i="28" s="1"/>
  <c r="AE35" i="28"/>
  <c r="AE36" i="28" s="1"/>
  <c r="BA35" i="28"/>
  <c r="BA36" i="28" s="1"/>
  <c r="CI35" i="28"/>
  <c r="CI36" i="28" s="1"/>
  <c r="BY35" i="28"/>
  <c r="BY36" i="28" s="1"/>
  <c r="I35" i="28"/>
  <c r="I36" i="28" s="1"/>
  <c r="BB35" i="28"/>
  <c r="BB36" i="28" s="1"/>
  <c r="CV35" i="28"/>
  <c r="CV36" i="28" s="1"/>
  <c r="O35" i="28"/>
  <c r="O36" i="28" s="1"/>
  <c r="AA35" i="28"/>
  <c r="AA36" i="28" s="1"/>
  <c r="AL35" i="28"/>
  <c r="AL36" i="28" s="1"/>
  <c r="AX35" i="28"/>
  <c r="AX36" i="28" s="1"/>
  <c r="BH35" i="28"/>
  <c r="BH36" i="28" s="1"/>
  <c r="BT35" i="28"/>
  <c r="BT36" i="28" s="1"/>
  <c r="CE35" i="28"/>
  <c r="CE36" i="28" s="1"/>
  <c r="CQ35" i="28"/>
  <c r="CQ36" i="28" s="1"/>
  <c r="DA35" i="28"/>
  <c r="DA36" i="28" s="1"/>
  <c r="AD35" i="28"/>
  <c r="BW35" i="28"/>
  <c r="BW36" i="28" s="1"/>
  <c r="G35" i="28"/>
  <c r="G36" i="28" s="1"/>
  <c r="BL35" i="28"/>
  <c r="BL36" i="28" s="1"/>
  <c r="DE35" i="28"/>
  <c r="DE36" i="28" s="1"/>
  <c r="BN35" i="28"/>
  <c r="BN36" i="28" s="1"/>
  <c r="P35" i="28"/>
  <c r="P36" i="28" s="1"/>
  <c r="AB35" i="28"/>
  <c r="AB36" i="28" s="1"/>
  <c r="AM35" i="28"/>
  <c r="AM36" i="28" s="1"/>
  <c r="AY35" i="28"/>
  <c r="AY36" i="28" s="1"/>
  <c r="BI35" i="28"/>
  <c r="BI36" i="28" s="1"/>
  <c r="BU35" i="28"/>
  <c r="BU36" i="28" s="1"/>
  <c r="CF35" i="28"/>
  <c r="CF36" i="28" s="1"/>
  <c r="CR35" i="28"/>
  <c r="CR36" i="28" s="1"/>
  <c r="DB35" i="28"/>
  <c r="DB36" i="28" s="1"/>
  <c r="R35" i="28"/>
  <c r="R36" i="28" s="1"/>
  <c r="CT35" i="28"/>
  <c r="CT36" i="28" s="1"/>
  <c r="CU35" i="28"/>
  <c r="CU36" i="28" s="1"/>
  <c r="CJ35" i="28"/>
  <c r="CJ36" i="28" s="1"/>
  <c r="Q35" i="28"/>
  <c r="Q36" i="28" s="1"/>
  <c r="AC35" i="28"/>
  <c r="AC36" i="28" s="1"/>
  <c r="AN35" i="28"/>
  <c r="AN36" i="28" s="1"/>
  <c r="AZ35" i="28"/>
  <c r="AZ36" i="28" s="1"/>
  <c r="BJ35" i="28"/>
  <c r="BJ36" i="28" s="1"/>
  <c r="BV35" i="28"/>
  <c r="BV36" i="28" s="1"/>
  <c r="CG35" i="28"/>
  <c r="CG36" i="28" s="1"/>
  <c r="CS35" i="28"/>
  <c r="CS36" i="28" s="1"/>
  <c r="DC35" i="28"/>
  <c r="DC36" i="28" s="1"/>
  <c r="AO35" i="28"/>
  <c r="AO36" i="28" s="1"/>
  <c r="CH35" i="28"/>
  <c r="CH36" i="28" s="1"/>
  <c r="S35" i="28"/>
  <c r="S36" i="28" s="1"/>
  <c r="AP35" i="28"/>
  <c r="AP36" i="28" s="1"/>
  <c r="BX35" i="28"/>
  <c r="BX36" i="28" s="1"/>
  <c r="H35" i="28"/>
  <c r="H36" i="28" s="1"/>
  <c r="AF35" i="28"/>
  <c r="AF36" i="28" s="1"/>
  <c r="AQ35" i="28"/>
  <c r="AQ36" i="28" s="1"/>
  <c r="BM35" i="28"/>
  <c r="BM36" i="28" s="1"/>
  <c r="AR35" i="28"/>
  <c r="AR36" i="28" s="1"/>
  <c r="DG35" i="28"/>
  <c r="DG36" i="28" s="1"/>
  <c r="T35" i="28"/>
  <c r="T36" i="28" s="1"/>
  <c r="DF35" i="28"/>
  <c r="DF36" i="28" s="1"/>
  <c r="CK35" i="28"/>
  <c r="CK36" i="28" s="1"/>
  <c r="R39" i="28"/>
  <c r="R40" i="28" s="1"/>
  <c r="AD39" i="28"/>
  <c r="AD40" i="28" s="1"/>
  <c r="AO39" i="28"/>
  <c r="AO40" i="28" s="1"/>
  <c r="BK39" i="28"/>
  <c r="BK40" i="28" s="1"/>
  <c r="BW39" i="28"/>
  <c r="BW40" i="28" s="1"/>
  <c r="CH39" i="28"/>
  <c r="CH40" i="28" s="1"/>
  <c r="CT39" i="28"/>
  <c r="CT40" i="28" s="1"/>
  <c r="DD39" i="28"/>
  <c r="DD40" i="28" s="1"/>
  <c r="H39" i="28"/>
  <c r="H40" i="28" s="1"/>
  <c r="AF39" i="28"/>
  <c r="AF40" i="28" s="1"/>
  <c r="BY39" i="28"/>
  <c r="BY40" i="28" s="1"/>
  <c r="AG39" i="28"/>
  <c r="AG40" i="28" s="1"/>
  <c r="BB39" i="28"/>
  <c r="BB40" i="28" s="1"/>
  <c r="CK39" i="28"/>
  <c r="CK40" i="28" s="1"/>
  <c r="AZ39" i="28"/>
  <c r="AZ40" i="28" s="1"/>
  <c r="G39" i="28"/>
  <c r="G40" i="28" s="1"/>
  <c r="S39" i="28"/>
  <c r="S40" i="28" s="1"/>
  <c r="AE39" i="28"/>
  <c r="AE40" i="28" s="1"/>
  <c r="AP39" i="28"/>
  <c r="AP40" i="28" s="1"/>
  <c r="BA39" i="28"/>
  <c r="BA40" i="28" s="1"/>
  <c r="BL39" i="28"/>
  <c r="BL40" i="28" s="1"/>
  <c r="BX39" i="28"/>
  <c r="BX40" i="28" s="1"/>
  <c r="CI39" i="28"/>
  <c r="CI40" i="28" s="1"/>
  <c r="CU39" i="28"/>
  <c r="CU40" i="28" s="1"/>
  <c r="DE39" i="28"/>
  <c r="DE40" i="28" s="1"/>
  <c r="T39" i="28"/>
  <c r="T40" i="28" s="1"/>
  <c r="AQ39" i="28"/>
  <c r="AQ40" i="28" s="1"/>
  <c r="BM39" i="28"/>
  <c r="BM40" i="28" s="1"/>
  <c r="CJ39" i="28"/>
  <c r="CJ40" i="28" s="1"/>
  <c r="DF39" i="28"/>
  <c r="DF40" i="28" s="1"/>
  <c r="I39" i="28"/>
  <c r="I40" i="28" s="1"/>
  <c r="AR39" i="28"/>
  <c r="AR40" i="28" s="1"/>
  <c r="CV39" i="28"/>
  <c r="CV40" i="28" s="1"/>
  <c r="U39" i="28"/>
  <c r="U40" i="28" s="1"/>
  <c r="BN39" i="28"/>
  <c r="BN40" i="28" s="1"/>
  <c r="DG39" i="28"/>
  <c r="DG40" i="28" s="1"/>
  <c r="DC39" i="28"/>
  <c r="DC40" i="28" s="1"/>
  <c r="J39" i="28"/>
  <c r="J40" i="28" s="1"/>
  <c r="V39" i="28"/>
  <c r="V40" i="28" s="1"/>
  <c r="AS39" i="28"/>
  <c r="AS40" i="28" s="1"/>
  <c r="BC39" i="28"/>
  <c r="BC40" i="28" s="1"/>
  <c r="BO39" i="28"/>
  <c r="BO40" i="28" s="1"/>
  <c r="BZ39" i="28"/>
  <c r="BZ40" i="28" s="1"/>
  <c r="CL39" i="28"/>
  <c r="CL40" i="28" s="1"/>
  <c r="DH39" i="28"/>
  <c r="DH40" i="28" s="1"/>
  <c r="AK39" i="28"/>
  <c r="AK40" i="28" s="1"/>
  <c r="CD39" i="28"/>
  <c r="CD40" i="28" s="1"/>
  <c r="CZ39" i="28"/>
  <c r="CZ40" i="28" s="1"/>
  <c r="AX39" i="28"/>
  <c r="AX40" i="28" s="1"/>
  <c r="CQ39" i="28"/>
  <c r="CQ40" i="28" s="1"/>
  <c r="F39" i="28"/>
  <c r="F40" i="28" s="1"/>
  <c r="AM39" i="28"/>
  <c r="AM40" i="28" s="1"/>
  <c r="BU39" i="28"/>
  <c r="BU40" i="28" s="1"/>
  <c r="Q39" i="28"/>
  <c r="Q40" i="28" s="1"/>
  <c r="CS39" i="28"/>
  <c r="CS40" i="28" s="1"/>
  <c r="K39" i="28"/>
  <c r="K40" i="28" s="1"/>
  <c r="W39" i="28"/>
  <c r="W40" i="28" s="1"/>
  <c r="AH39" i="28"/>
  <c r="AH40" i="28" s="1"/>
  <c r="AT39" i="28"/>
  <c r="AT40" i="28" s="1"/>
  <c r="BD39" i="28"/>
  <c r="BD40" i="28" s="1"/>
  <c r="BP39" i="28"/>
  <c r="BP40" i="28" s="1"/>
  <c r="CA39" i="28"/>
  <c r="CA40" i="28" s="1"/>
  <c r="CM39" i="28"/>
  <c r="CM40" i="28" s="1"/>
  <c r="CW39" i="28"/>
  <c r="CW40" i="28" s="1"/>
  <c r="DI39" i="28"/>
  <c r="DI40" i="28" s="1"/>
  <c r="N39" i="28"/>
  <c r="N40" i="28" s="1"/>
  <c r="BS39" i="28"/>
  <c r="BS40" i="28" s="1"/>
  <c r="AL39" i="28"/>
  <c r="AL40" i="28" s="1"/>
  <c r="BT39" i="28"/>
  <c r="BT40" i="28" s="1"/>
  <c r="BI39" i="28"/>
  <c r="BI40" i="28" s="1"/>
  <c r="CG39" i="28"/>
  <c r="CG40" i="28" s="1"/>
  <c r="L39" i="28"/>
  <c r="L40" i="28" s="1"/>
  <c r="X39" i="28"/>
  <c r="X40" i="28" s="1"/>
  <c r="AI39" i="28"/>
  <c r="AI40" i="28" s="1"/>
  <c r="AU39" i="28"/>
  <c r="AU40" i="28" s="1"/>
  <c r="BE39" i="28"/>
  <c r="BE40" i="28" s="1"/>
  <c r="BQ39" i="28"/>
  <c r="BQ40" i="28" s="1"/>
  <c r="CB39" i="28"/>
  <c r="CB40" i="28" s="1"/>
  <c r="CN39" i="28"/>
  <c r="CN40" i="28" s="1"/>
  <c r="CX39" i="28"/>
  <c r="CX40" i="28" s="1"/>
  <c r="DJ39" i="28"/>
  <c r="DJ40" i="28" s="1"/>
  <c r="AW39" i="28"/>
  <c r="AW40" i="28" s="1"/>
  <c r="DL39" i="28"/>
  <c r="DL40" i="28" s="1"/>
  <c r="AA39" i="28"/>
  <c r="AA40" i="28" s="1"/>
  <c r="CE39" i="28"/>
  <c r="CE40" i="28" s="1"/>
  <c r="CF39" i="28"/>
  <c r="CF40" i="28" s="1"/>
  <c r="BJ39" i="28"/>
  <c r="BJ40" i="28" s="1"/>
  <c r="M39" i="28"/>
  <c r="M40" i="28" s="1"/>
  <c r="Y39" i="28"/>
  <c r="Y40" i="28" s="1"/>
  <c r="AJ39" i="28"/>
  <c r="AJ40" i="28" s="1"/>
  <c r="AV39" i="28"/>
  <c r="AV40" i="28" s="1"/>
  <c r="BF39" i="28"/>
  <c r="BF40" i="28" s="1"/>
  <c r="BR39" i="28"/>
  <c r="BR40" i="28" s="1"/>
  <c r="CC39" i="28"/>
  <c r="CC40" i="28" s="1"/>
  <c r="CO39" i="28"/>
  <c r="CO40" i="28" s="1"/>
  <c r="CY39" i="28"/>
  <c r="CY40" i="28" s="1"/>
  <c r="DK39" i="28"/>
  <c r="DK40" i="28" s="1"/>
  <c r="Z39" i="28"/>
  <c r="Z40" i="28" s="1"/>
  <c r="BG39" i="28"/>
  <c r="BG40" i="28" s="1"/>
  <c r="CP39" i="28"/>
  <c r="CP40" i="28" s="1"/>
  <c r="O39" i="28"/>
  <c r="O40" i="28" s="1"/>
  <c r="BH39" i="28"/>
  <c r="BH40" i="28" s="1"/>
  <c r="DA39" i="28"/>
  <c r="DA40" i="28" s="1"/>
  <c r="P39" i="28"/>
  <c r="P40" i="28" s="1"/>
  <c r="AY39" i="28"/>
  <c r="AY40" i="28" s="1"/>
  <c r="DB39" i="28"/>
  <c r="DB40" i="28" s="1"/>
  <c r="AC39" i="28"/>
  <c r="AC40" i="28" s="1"/>
  <c r="BV39" i="28"/>
  <c r="BV40" i="28" s="1"/>
  <c r="AB39" i="28"/>
  <c r="AB40" i="28" s="1"/>
  <c r="CR39" i="28"/>
  <c r="CR40" i="28" s="1"/>
  <c r="AN39" i="28"/>
  <c r="AN40" i="28" s="1"/>
  <c r="DJ36" i="28"/>
  <c r="AD36" i="28"/>
  <c r="AE46" i="11"/>
  <c r="AI46" i="11" s="1"/>
  <c r="E45" i="11"/>
  <c r="S45" i="11" s="1"/>
  <c r="AC46" i="11"/>
  <c r="AA38" i="11"/>
  <c r="E54" i="11" s="1"/>
  <c r="AA36" i="11"/>
  <c r="AE43" i="11"/>
  <c r="AJ50" i="11"/>
  <c r="E35" i="28"/>
  <c r="E36" i="28" s="1"/>
  <c r="E39" i="28"/>
  <c r="E40" i="28" s="1"/>
  <c r="E37" i="28"/>
  <c r="E38" i="28" s="1"/>
  <c r="Q45" i="11"/>
  <c r="AG48" i="11"/>
  <c r="AH48" i="11" s="1"/>
  <c r="AJ48" i="11"/>
  <c r="AJ46" i="11" l="1"/>
  <c r="E32" i="28"/>
  <c r="E53" i="11"/>
  <c r="S53" i="11" s="1"/>
  <c r="AC45" i="11"/>
  <c r="AG46" i="11"/>
  <c r="AH46" i="11" s="1"/>
  <c r="AC47" i="11"/>
  <c r="E30" i="28"/>
  <c r="E31" i="28" s="1"/>
  <c r="E33" i="28"/>
  <c r="N31" i="11"/>
  <c r="N28" i="11"/>
  <c r="N27" i="11"/>
  <c r="N24" i="11"/>
  <c r="AD59" i="11" l="1"/>
  <c r="AG45" i="11"/>
  <c r="M33" i="11"/>
  <c r="M27" i="11"/>
  <c r="N23" i="11"/>
  <c r="M31" i="11"/>
  <c r="M30" i="11"/>
  <c r="M24" i="11"/>
  <c r="M26" i="11"/>
  <c r="M25" i="11"/>
  <c r="N25" i="11"/>
  <c r="N26" i="11"/>
  <c r="M23" i="11"/>
  <c r="M29" i="11"/>
  <c r="N33" i="11"/>
  <c r="M28" i="11"/>
  <c r="N29" i="11"/>
  <c r="N30" i="11"/>
  <c r="M36" i="11" l="1"/>
  <c r="M38" i="11"/>
  <c r="AF7" i="39"/>
  <c r="AG16" i="39"/>
  <c r="AI5" i="39"/>
  <c r="AJ21" i="39"/>
  <c r="AH5" i="39"/>
  <c r="AE21" i="39"/>
  <c r="AC22" i="39"/>
  <c r="AG12" i="39"/>
  <c r="AC18" i="39"/>
  <c r="AF19" i="39"/>
  <c r="AG21" i="39"/>
  <c r="AK10" i="39"/>
  <c r="AK16" i="39"/>
  <c r="AK18" i="39"/>
  <c r="AJ6" i="39"/>
  <c r="AD14" i="39"/>
  <c r="AE25" i="39"/>
  <c r="AI11" i="39"/>
  <c r="AD23" i="39"/>
  <c r="AC15" i="39"/>
  <c r="AI13" i="39"/>
  <c r="AC13" i="39"/>
  <c r="AD25" i="39" l="1"/>
  <c r="AF22" i="39"/>
  <c r="AF25" i="39"/>
  <c r="AE15" i="39"/>
  <c r="AF9" i="39"/>
  <c r="AE20" i="39"/>
  <c r="AG20" i="39"/>
  <c r="AE13" i="39"/>
  <c r="AH22" i="39"/>
  <c r="AJ22" i="39"/>
  <c r="AH21" i="39"/>
  <c r="AH13" i="39"/>
  <c r="AC23" i="39"/>
  <c r="AG11" i="39"/>
  <c r="AI15" i="39"/>
  <c r="AI8" i="39"/>
  <c r="AK21" i="39"/>
  <c r="AE19" i="39"/>
  <c r="AD12" i="39"/>
  <c r="AJ11" i="39"/>
  <c r="AK15" i="39"/>
  <c r="AF16" i="39"/>
  <c r="AJ10" i="39"/>
  <c r="AF21" i="39"/>
  <c r="AJ23" i="39"/>
  <c r="AF14" i="39"/>
  <c r="AI23" i="39"/>
  <c r="AD11" i="39"/>
  <c r="AJ25" i="39"/>
  <c r="AK14" i="39"/>
  <c r="AC25" i="39"/>
  <c r="AI21" i="39"/>
  <c r="AD19" i="39"/>
  <c r="AI7" i="39"/>
  <c r="AC21" i="39"/>
  <c r="AI22" i="39"/>
  <c r="AH15" i="39"/>
  <c r="AD16" i="39"/>
  <c r="AH14" i="39"/>
  <c r="AF6" i="39"/>
  <c r="AE17" i="39"/>
  <c r="AH10" i="39"/>
  <c r="AK22" i="39"/>
  <c r="AK23" i="39"/>
  <c r="AI17" i="39"/>
  <c r="AD13" i="39"/>
  <c r="AG22" i="39"/>
  <c r="AF12" i="39"/>
  <c r="AG15" i="39"/>
  <c r="AI25" i="39"/>
  <c r="AK7" i="39"/>
  <c r="AI9" i="39"/>
  <c r="AC16" i="39"/>
  <c r="AK11" i="39"/>
  <c r="AH6" i="39"/>
  <c r="AC12" i="39"/>
  <c r="AK5" i="39"/>
  <c r="AK13" i="39"/>
  <c r="AK9" i="39"/>
  <c r="AJ13" i="39"/>
  <c r="AG6" i="39"/>
  <c r="AI6" i="39"/>
  <c r="AJ18" i="39"/>
  <c r="AE14" i="39"/>
  <c r="AG23" i="39"/>
  <c r="AG13" i="39"/>
  <c r="AJ16" i="39"/>
  <c r="AE11" i="39"/>
  <c r="AC17" i="39"/>
  <c r="AD18" i="39"/>
  <c r="AD17" i="39"/>
  <c r="AJ8" i="39"/>
  <c r="AH16" i="39"/>
  <c r="AJ14" i="39"/>
  <c r="AG5" i="39"/>
  <c r="AG25" i="39"/>
  <c r="AI14" i="39"/>
  <c r="AG17" i="39"/>
  <c r="AG8" i="39"/>
  <c r="AC14" i="39"/>
  <c r="AK8" i="39"/>
  <c r="AK19" i="39"/>
  <c r="AF15" i="39"/>
  <c r="AH25" i="39"/>
  <c r="AH20" i="39"/>
  <c r="AK17" i="39"/>
  <c r="AE12" i="39"/>
  <c r="AK25" i="39"/>
  <c r="AC11" i="39"/>
  <c r="AG18" i="39"/>
  <c r="AD15" i="39"/>
  <c r="AG7" i="39"/>
  <c r="AE18" i="39"/>
  <c r="AH11" i="39"/>
  <c r="AF17" i="39"/>
  <c r="AK20" i="39"/>
  <c r="AF18" i="39"/>
  <c r="AI12" i="39"/>
  <c r="AE16" i="39"/>
  <c r="AG10" i="39"/>
  <c r="AJ20" i="39"/>
  <c r="AI18" i="39"/>
  <c r="AH17" i="39"/>
  <c r="AI10" i="39"/>
  <c r="AF23" i="39"/>
  <c r="AI16" i="39"/>
  <c r="AF11" i="39"/>
  <c r="AH7" i="39"/>
  <c r="AC19" i="39"/>
  <c r="AG14" i="39"/>
  <c r="AJ7" i="39"/>
  <c r="AH19" i="39"/>
  <c r="AJ19" i="39"/>
  <c r="AC20" i="39"/>
  <c r="AF5" i="39"/>
  <c r="AJ9" i="39"/>
  <c r="AH8" i="39"/>
  <c r="AD20" i="39"/>
  <c r="AH18" i="39"/>
  <c r="AI19" i="39"/>
  <c r="AH12" i="39"/>
  <c r="AD22" i="39"/>
  <c r="AE22" i="39"/>
  <c r="AD21" i="39"/>
  <c r="AJ12" i="39"/>
  <c r="AG19" i="39"/>
  <c r="AJ17" i="39"/>
  <c r="AH9" i="39"/>
  <c r="AG9" i="39"/>
  <c r="AF20" i="39"/>
  <c r="AJ15" i="39"/>
  <c r="AF13" i="39"/>
  <c r="AF10" i="39"/>
  <c r="AI20" i="39"/>
  <c r="AE23" i="39"/>
  <c r="AK12" i="39"/>
  <c r="AJ5" i="39"/>
  <c r="AK6" i="39"/>
  <c r="AH23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Hölzl, Manuel</author>
    <author>Manuel Hölzl</author>
  </authors>
  <commentList>
    <comment ref="F8" authorId="0" shapeId="0" xr:uid="{00000000-0006-0000-0100-000001000000}">
      <text>
        <r>
          <rPr>
            <sz val="9"/>
            <color indexed="81"/>
            <rFont val="Segoe UI"/>
            <family val="2"/>
          </rPr>
          <t>Calculated from cycle.
-&gt; Check with projected application speed</t>
        </r>
      </text>
    </comment>
    <comment ref="J36" authorId="1" shapeId="0" xr:uid="{00000000-0006-0000-0100-000002000000}">
      <text>
        <r>
          <rPr>
            <sz val="9"/>
            <color indexed="81"/>
            <rFont val="Tahoma"/>
            <family val="2"/>
          </rPr>
          <t>effective torque</t>
        </r>
      </text>
    </comment>
    <comment ref="K36" authorId="1" shapeId="0" xr:uid="{00000000-0006-0000-0100-000003000000}">
      <text>
        <r>
          <rPr>
            <sz val="9"/>
            <color indexed="81"/>
            <rFont val="Tahoma"/>
            <family val="2"/>
          </rPr>
          <t>average speed</t>
        </r>
      </text>
    </comment>
    <comment ref="M36" authorId="1" shapeId="0" xr:uid="{00000000-0006-0000-0100-000004000000}">
      <text>
        <r>
          <rPr>
            <sz val="9"/>
            <color indexed="81"/>
            <rFont val="Tahoma"/>
            <family val="2"/>
          </rPr>
          <t>average power
Pmittel = 1/T*Integral(P(t)*dt)</t>
        </r>
      </text>
    </comment>
    <comment ref="P36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effektives Moment</t>
        </r>
      </text>
    </comment>
    <comment ref="Q36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mittlere Leistung:
Pmittel = 1/T*Integral(P(t)*dt)</t>
        </r>
      </text>
    </comment>
    <comment ref="U36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effektives Moment</t>
        </r>
      </text>
    </comment>
    <comment ref="W36" authorId="1" shapeId="0" xr:uid="{00000000-0006-0000-0100-000008000000}">
      <text>
        <r>
          <rPr>
            <sz val="9"/>
            <color indexed="81"/>
            <rFont val="Tahoma"/>
            <family val="2"/>
          </rPr>
          <t>effective torque</t>
        </r>
      </text>
    </comment>
    <comment ref="X36" authorId="1" shapeId="0" xr:uid="{00000000-0006-0000-0100-000009000000}">
      <text>
        <r>
          <rPr>
            <sz val="9"/>
            <color indexed="81"/>
            <rFont val="Tahoma"/>
            <family val="2"/>
          </rPr>
          <t>average power
Pmittel = 1/T*Integral(P(t)*dt)</t>
        </r>
      </text>
    </comment>
    <comment ref="Z36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effektives Moment</t>
        </r>
      </text>
    </comment>
    <comment ref="AA36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mittlere Leistung:
Pmittel = 1/T*Integral(P(t)*dt)</t>
        </r>
      </text>
    </comment>
    <comment ref="J44" authorId="0" shapeId="0" xr:uid="{00000000-0006-0000-0100-00000C000000}">
      <text>
        <r>
          <rPr>
            <sz val="9"/>
            <color indexed="81"/>
            <rFont val="Segoe UI"/>
            <family val="2"/>
          </rPr>
          <t>Application and motor depending value  for fieldweakening overspeed</t>
        </r>
      </text>
    </comment>
    <comment ref="AG45" authorId="0" shapeId="0" xr:uid="{00000000-0006-0000-0100-00000D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Ratio:
"nominal current drive"
 / "current for eff torque":
IEffCycle/INomDrive
Value shoud not be higher than 100% - 110% (10% reserve are cacluated in torque)</t>
        </r>
      </text>
    </comment>
    <comment ref="AJ46" authorId="0" shapeId="0" xr:uid="{00000000-0006-0000-0100-00000E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
"needed peak torque current"
 / "SW current limit drive 25Hz@5kHz"
If value higher than 100% check based on outputfrequency [Hz]
Value shoud not be higher than 100% - 110% (10% reserve are cacluated in torque)</t>
        </r>
      </text>
    </comment>
    <comment ref="AJ48" authorId="0" shapeId="0" xr:uid="{00000000-0006-0000-0100-00000F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
"needed peak torque current"
 / "SW current limit drive 25Hz@5kHz"
If value higher than 100% check based on outputfrequency [Hz]
Value shoud not be higher than 100% - 110% (10% reserve are cacluated in torque)</t>
        </r>
      </text>
    </comment>
    <comment ref="AJ50" authorId="0" shapeId="0" xr:uid="{00000000-0006-0000-0100-000010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
"needed peak torque current"
 / "SW current limit drive 25Hz@5kHz"
If value higher than 100% check based on outputfrequency [Hz]
Value shoud not be higher than 100% - 110% (10% reserve are cacluated in torque)</t>
        </r>
      </text>
    </comment>
    <comment ref="AJ52" authorId="0" shapeId="0" xr:uid="{00000000-0006-0000-0100-000011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
"needed peak torque current"
 / "SW current limit drive 25Hz@5kHz"
If value higher than 100% check based on outputfrequency [Hz]
Value shoud not be higher than 100% - 110% (10% reserve are cacluated in torque)</t>
        </r>
      </text>
    </comment>
    <comment ref="AE62" authorId="0" shapeId="0" xr:uid="{00000000-0006-0000-0100-000012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Values for 5kHz</t>
        </r>
      </text>
    </comment>
    <comment ref="AB67" authorId="0" shapeId="0" xr:uid="{00000000-0006-0000-0100-000013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Change of is35 - current Limit.
On most drives the default value is 150% of 180% OC = 0,83333
Typical more than 0,91 is not applyable in applications (165% for 180% drives=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Hölzl, Manuel</author>
  </authors>
  <commentList>
    <comment ref="CC4" authorId="0" shapeId="0" xr:uid="{81802F12-F0D3-471B-BD18-F3AF25A879B2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SGATBR1-KB03</t>
        </r>
      </text>
    </comment>
    <comment ref="CE4" authorId="0" shapeId="0" xr:uid="{A7A3AE19-59E8-4C07-A740-7225A4C8DC01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SGATBR1-KB04</t>
        </r>
      </text>
    </comment>
    <comment ref="CF4" authorId="0" shapeId="0" xr:uid="{4D3DB812-C5FA-4112-8E32-00C8989AE27A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SGATBR1-KB02</t>
        </r>
      </text>
    </comment>
    <comment ref="B27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Kt</t>
        </r>
        <r>
          <rPr>
            <sz val="9"/>
            <color indexed="81"/>
            <rFont val="Segoe UI"/>
            <family val="2"/>
          </rPr>
          <t xml:space="preserve"> at dT105°C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Hölzl, Manuel</author>
  </authors>
  <commentList>
    <comment ref="N1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Check for correct values! Threse values are only for demonstration!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DL4_Prices_WJP" description="Verbindung mit der Abfrage 'DL4_Prices_WJP' in der Arbeitsmappe." type="5" refreshedVersion="6" background="1" saveData="1">
    <dbPr connection="Provider=Microsoft.Mashup.OleDb.1;Data Source=$Workbook$;Location=DL4_Prices_WJP;Extended Properties=&quot;&quot;" command="SELECT * FROM [DL4_Prices_WJP]"/>
  </connection>
  <connection id="2" xr16:uid="{00000000-0015-0000-FFFF-FFFF01000000}" keepAlive="1" name="Abfrage - KEBPrices" description="Verbindung mit der Abfrage 'KEBPrices' in der Arbeitsmappe." type="5" refreshedVersion="6" background="1" saveData="1">
    <dbPr connection="Provider=Microsoft.Mashup.OleDb.1;Data Source=$Workbook$;Location=KEBPrices;Extended Properties=&quot;&quot;" command="SELECT * FROM [KEBPrices]"/>
  </connection>
  <connection id="3" xr16:uid="{00000000-0015-0000-FFFF-FFFF02000000}" keepAlive="1" name="Abfrage - Prices_KEBComponents_ValidUntil" description="Verbindung mit der Abfrage 'Prices_KEBComponents_ValidUntil' in der Arbeitsmappe." type="5" refreshedVersion="6" background="1" saveData="1">
    <dbPr connection="Provider=Microsoft.Mashup.OleDb.1;Data Source=$Workbook$;Location=Prices_KEBComponents_ValidUntil;Extended Properties=&quot;&quot;" command="SELECT * FROM [Prices_KEBComponents_ValidUntil]"/>
  </connection>
  <connection id="4" xr16:uid="{00000000-0015-0000-FFFF-FFFF03000000}" keepAlive="1" name="Abfrage - Prices_Motors_ValidUntil" description="Verbindung mit der Abfrage 'Prices_Motors_ValidUntil' in der Arbeitsmappe." type="5" refreshedVersion="6" background="1" saveData="1">
    <dbPr connection="Provider=Microsoft.Mashup.OleDb.1;Data Source=$Workbook$;Location=Prices_Motors_ValidUntil;Extended Properties=&quot;&quot;" command="SELECT * FROM [Prices_Motors_ValidUntil]"/>
  </connection>
</connections>
</file>

<file path=xl/sharedStrings.xml><?xml version="1.0" encoding="utf-8"?>
<sst xmlns="http://schemas.openxmlformats.org/spreadsheetml/2006/main" count="1557" uniqueCount="730">
  <si>
    <t>[mm/s]</t>
  </si>
  <si>
    <t>Calculated injection speed</t>
  </si>
  <si>
    <t>Pump type</t>
  </si>
  <si>
    <t>Displacement volume</t>
  </si>
  <si>
    <t>[cm³]</t>
  </si>
  <si>
    <t>[rpm]</t>
  </si>
  <si>
    <t>Clamp closing 1</t>
  </si>
  <si>
    <t>Clamp closing 2 - High pressure</t>
  </si>
  <si>
    <t>[bar]</t>
  </si>
  <si>
    <t>[s]</t>
  </si>
  <si>
    <t>[Nm]</t>
  </si>
  <si>
    <t>Injection 1</t>
  </si>
  <si>
    <t>Injection 2 - Peak</t>
  </si>
  <si>
    <t>Injection 3 - Holding pressure</t>
  </si>
  <si>
    <t>Plasticizing</t>
  </si>
  <si>
    <t>Clamp opening 2</t>
  </si>
  <si>
    <t>Ejector forward</t>
  </si>
  <si>
    <t>Ejector backward</t>
  </si>
  <si>
    <t>Pause</t>
  </si>
  <si>
    <t>Pump / Drive unit type</t>
  </si>
  <si>
    <t>[Hz]</t>
  </si>
  <si>
    <t>[kW]</t>
  </si>
  <si>
    <r>
      <t>f</t>
    </r>
    <r>
      <rPr>
        <b/>
        <vertAlign val="subscript"/>
        <sz val="11"/>
        <rFont val="Calibri"/>
        <family val="2"/>
        <scheme val="minor"/>
      </rPr>
      <t>Motor</t>
    </r>
  </si>
  <si>
    <t>Datum</t>
  </si>
  <si>
    <t>Wer</t>
  </si>
  <si>
    <t>Was</t>
  </si>
  <si>
    <t>MH</t>
  </si>
  <si>
    <r>
      <t>P</t>
    </r>
    <r>
      <rPr>
        <b/>
        <vertAlign val="subscript"/>
        <sz val="11"/>
        <rFont val="Calibri"/>
        <family val="2"/>
        <scheme val="minor"/>
      </rPr>
      <t>InPump</t>
    </r>
  </si>
  <si>
    <t>In</t>
  </si>
  <si>
    <t>Pn</t>
  </si>
  <si>
    <t>W</t>
  </si>
  <si>
    <t>Tn</t>
  </si>
  <si>
    <t>Nm</t>
  </si>
  <si>
    <t>Nominal speed</t>
  </si>
  <si>
    <t>rpm</t>
  </si>
  <si>
    <t>Pole pairs</t>
  </si>
  <si>
    <t>mH</t>
  </si>
  <si>
    <t>ke</t>
  </si>
  <si>
    <t>Ohm</t>
  </si>
  <si>
    <t>kt</t>
  </si>
  <si>
    <t>Nm/Arms</t>
  </si>
  <si>
    <t>Nm/A</t>
  </si>
  <si>
    <t>Filter</t>
  </si>
  <si>
    <t>Ferrite</t>
  </si>
  <si>
    <t>00F6V80-001A</t>
  </si>
  <si>
    <t>22F6A16-3511</t>
  </si>
  <si>
    <t>16F6A12-3511</t>
  </si>
  <si>
    <t>15F6A12-3511</t>
  </si>
  <si>
    <t>18F6A13-3411</t>
  </si>
  <si>
    <t>19F6A13-3511</t>
  </si>
  <si>
    <t>20F6A14-3511</t>
  </si>
  <si>
    <t>23F6A16-3511</t>
  </si>
  <si>
    <t>00F6V80-2001</t>
  </si>
  <si>
    <t>16E6T60-3000</t>
  </si>
  <si>
    <t>15Z1B04-1000</t>
  </si>
  <si>
    <t>16Z1B04-1000</t>
  </si>
  <si>
    <t>---</t>
  </si>
  <si>
    <t>00F6V80-3001</t>
  </si>
  <si>
    <t>20E6T60-3000</t>
  </si>
  <si>
    <t>20Z1B04-1000</t>
  </si>
  <si>
    <t>00F6V80-4001</t>
  </si>
  <si>
    <t>22E6T60-3000</t>
  </si>
  <si>
    <t>24E6T60-3000</t>
  </si>
  <si>
    <t>22Z1B04-1000</t>
  </si>
  <si>
    <t>23Z1B04-1000</t>
  </si>
  <si>
    <t>19Z1B04-1000</t>
  </si>
  <si>
    <t>Projected injection speed</t>
  </si>
  <si>
    <t>Daten TH Maschinen von Richard Wagner erhalten. Erstentwurf erstellen</t>
  </si>
  <si>
    <t>A2 Injection Piston Area</t>
  </si>
  <si>
    <t>pump pflow</t>
  </si>
  <si>
    <t>[cm²]</t>
  </si>
  <si>
    <t>Reference cycle for motor and drive calculation</t>
  </si>
  <si>
    <r>
      <t>M</t>
    </r>
    <r>
      <rPr>
        <b/>
        <vertAlign val="subscript"/>
        <sz val="11"/>
        <rFont val="Calibri"/>
        <family val="2"/>
        <scheme val="minor"/>
      </rPr>
      <t>Pump</t>
    </r>
  </si>
  <si>
    <r>
      <t>n</t>
    </r>
    <r>
      <rPr>
        <b/>
        <vertAlign val="subscript"/>
        <sz val="11"/>
        <rFont val="Calibri"/>
        <family val="2"/>
        <scheme val="minor"/>
      </rPr>
      <t>Pump</t>
    </r>
  </si>
  <si>
    <t>Summary</t>
  </si>
  <si>
    <t>Average / effective</t>
  </si>
  <si>
    <t>Max. values</t>
  </si>
  <si>
    <t>Simple calculation</t>
  </si>
  <si>
    <t>Calculations</t>
  </si>
  <si>
    <t>[%]</t>
  </si>
  <si>
    <r>
      <t>P</t>
    </r>
    <r>
      <rPr>
        <b/>
        <vertAlign val="subscript"/>
        <sz val="11"/>
        <rFont val="Calibri"/>
        <family val="2"/>
        <scheme val="minor"/>
      </rPr>
      <t>M</t>
    </r>
  </si>
  <si>
    <t>[1]</t>
  </si>
  <si>
    <t>Anpassungen der Daten und Wirkungsgrade nach Rücksprache mit RW</t>
  </si>
  <si>
    <t>Average speed</t>
  </si>
  <si>
    <t>Max. torque</t>
  </si>
  <si>
    <t>Effective torque</t>
  </si>
  <si>
    <t>Max. speed</t>
  </si>
  <si>
    <t>Average power</t>
  </si>
  <si>
    <t>Max. power</t>
  </si>
  <si>
    <t>V82104</t>
  </si>
  <si>
    <t>V84104</t>
  </si>
  <si>
    <t>V86104</t>
  </si>
  <si>
    <t>V88104</t>
  </si>
  <si>
    <t>Ton</t>
  </si>
  <si>
    <t>n</t>
  </si>
  <si>
    <t>Peak torque 20°C</t>
  </si>
  <si>
    <t>Tpk</t>
  </si>
  <si>
    <t>Arms</t>
  </si>
  <si>
    <t>Ion</t>
  </si>
  <si>
    <t>Peak current</t>
  </si>
  <si>
    <t>Ipk</t>
  </si>
  <si>
    <t>Inertia</t>
  </si>
  <si>
    <t>Jm</t>
  </si>
  <si>
    <t>kgcm²</t>
  </si>
  <si>
    <t>Vs/rad</t>
  </si>
  <si>
    <t>Derating Temp. Coeff. Of Back EMF</t>
  </si>
  <si>
    <t>Dk/Dt</t>
  </si>
  <si>
    <t>[%/°C]</t>
  </si>
  <si>
    <t>Rc</t>
  </si>
  <si>
    <t>Lc</t>
  </si>
  <si>
    <t>V1000</t>
  </si>
  <si>
    <t>V/krpm</t>
  </si>
  <si>
    <t>Nominal voltage</t>
  </si>
  <si>
    <t>Vn</t>
  </si>
  <si>
    <t>Vrms</t>
  </si>
  <si>
    <t>Weight</t>
  </si>
  <si>
    <t>m</t>
  </si>
  <si>
    <t>kg</t>
  </si>
  <si>
    <t>2p</t>
  </si>
  <si>
    <t>V82204</t>
  </si>
  <si>
    <t>V84204</t>
  </si>
  <si>
    <t>V86204</t>
  </si>
  <si>
    <t>V88204</t>
  </si>
  <si>
    <t>V92104</t>
  </si>
  <si>
    <t>V94104</t>
  </si>
  <si>
    <t>V96104</t>
  </si>
  <si>
    <t>V98104</t>
  </si>
  <si>
    <t>V92204</t>
  </si>
  <si>
    <t>V96204</t>
  </si>
  <si>
    <t>V98204</t>
  </si>
  <si>
    <r>
      <t>Stall Torque</t>
    </r>
    <r>
      <rPr>
        <vertAlign val="superscript"/>
        <sz val="11"/>
        <rFont val="Arial"/>
        <family val="2"/>
      </rPr>
      <t xml:space="preserve"> 1) 3)</t>
    </r>
  </si>
  <si>
    <r>
      <t xml:space="preserve">Nominal Power </t>
    </r>
    <r>
      <rPr>
        <vertAlign val="superscript"/>
        <sz val="11"/>
        <rFont val="Arial"/>
        <family val="2"/>
      </rPr>
      <t>1)</t>
    </r>
  </si>
  <si>
    <r>
      <t xml:space="preserve">Current at nominal power </t>
    </r>
    <r>
      <rPr>
        <vertAlign val="superscript"/>
        <sz val="11"/>
        <rFont val="Arial"/>
        <family val="2"/>
      </rPr>
      <t>1)</t>
    </r>
  </si>
  <si>
    <r>
      <t xml:space="preserve">Stall current </t>
    </r>
    <r>
      <rPr>
        <vertAlign val="superscript"/>
        <sz val="11"/>
        <rFont val="Arial"/>
        <family val="2"/>
      </rPr>
      <t>1)</t>
    </r>
    <r>
      <rPr>
        <sz val="11"/>
        <rFont val="Arial"/>
        <family val="2"/>
      </rPr>
      <t xml:space="preserve"> </t>
    </r>
    <r>
      <rPr>
        <vertAlign val="superscript"/>
        <sz val="11"/>
        <rFont val="Arial"/>
        <family val="2"/>
      </rPr>
      <t>3)</t>
    </r>
  </si>
  <si>
    <r>
      <t xml:space="preserve">Voltage costant at 20°C </t>
    </r>
    <r>
      <rPr>
        <vertAlign val="superscript"/>
        <sz val="11"/>
        <rFont val="Arial"/>
        <family val="2"/>
      </rPr>
      <t>2)</t>
    </r>
  </si>
  <si>
    <r>
      <t xml:space="preserve">Torque costant at 20°C and 0 rpm </t>
    </r>
    <r>
      <rPr>
        <vertAlign val="superscript"/>
        <sz val="11"/>
        <rFont val="Arial"/>
        <family val="2"/>
      </rPr>
      <t>2)</t>
    </r>
  </si>
  <si>
    <r>
      <t xml:space="preserve">Winding Resistance at 20°C </t>
    </r>
    <r>
      <rPr>
        <vertAlign val="superscript"/>
        <sz val="11"/>
        <rFont val="Arial"/>
        <family val="2"/>
      </rPr>
      <t>2)</t>
    </r>
    <r>
      <rPr>
        <sz val="11"/>
        <rFont val="Arial"/>
        <family val="2"/>
      </rPr>
      <t xml:space="preserve"> </t>
    </r>
  </si>
  <si>
    <r>
      <t xml:space="preserve">Winding Inductance </t>
    </r>
    <r>
      <rPr>
        <vertAlign val="superscript"/>
        <sz val="11"/>
        <rFont val="Arial"/>
        <family val="2"/>
      </rPr>
      <t>2)</t>
    </r>
    <r>
      <rPr>
        <sz val="11"/>
        <rFont val="Arial"/>
        <family val="2"/>
      </rPr>
      <t xml:space="preserve"> </t>
    </r>
  </si>
  <si>
    <r>
      <t>bemf. at 1000 rpm a 20°C</t>
    </r>
    <r>
      <rPr>
        <vertAlign val="superscript"/>
        <sz val="11"/>
        <rFont val="Arial"/>
        <family val="2"/>
      </rPr>
      <t xml:space="preserve"> 2)</t>
    </r>
  </si>
  <si>
    <t>Est. S1 torque for speed:</t>
  </si>
  <si>
    <t>Reserve to Required torque</t>
  </si>
  <si>
    <t>Required max torque</t>
  </si>
  <si>
    <t>Difference to max speed, max speed:</t>
  </si>
  <si>
    <t>Injection speed</t>
  </si>
  <si>
    <t>Injection torque</t>
  </si>
  <si>
    <t>Plasticizing speed</t>
  </si>
  <si>
    <t>Plasticizing torque</t>
  </si>
  <si>
    <t>Holding speed</t>
  </si>
  <si>
    <t>Holding torque</t>
  </si>
  <si>
    <r>
      <t xml:space="preserve">Reserve to </t>
    </r>
    <r>
      <rPr>
        <b/>
        <sz val="11"/>
        <color theme="1"/>
        <rFont val="Calibri"/>
        <family val="2"/>
        <scheme val="minor"/>
      </rPr>
      <t>Holding</t>
    </r>
    <r>
      <rPr>
        <sz val="11"/>
        <color theme="1"/>
        <rFont val="Calibri"/>
        <family val="2"/>
        <scheme val="minor"/>
      </rPr>
      <t xml:space="preserve"> torque</t>
    </r>
  </si>
  <si>
    <r>
      <t xml:space="preserve">Reserve to </t>
    </r>
    <r>
      <rPr>
        <b/>
        <sz val="11"/>
        <color theme="1"/>
        <rFont val="Calibri"/>
        <family val="2"/>
        <scheme val="minor"/>
      </rPr>
      <t>Plasticize</t>
    </r>
    <r>
      <rPr>
        <sz val="11"/>
        <color theme="1"/>
        <rFont val="Calibri"/>
        <family val="2"/>
        <scheme val="minor"/>
      </rPr>
      <t xml:space="preserve"> torque</t>
    </r>
  </si>
  <si>
    <r>
      <t xml:space="preserve">Reserve to </t>
    </r>
    <r>
      <rPr>
        <b/>
        <sz val="11"/>
        <color theme="1"/>
        <rFont val="Calibri"/>
        <family val="2"/>
        <scheme val="minor"/>
      </rPr>
      <t>Injection</t>
    </r>
    <r>
      <rPr>
        <sz val="11"/>
        <color theme="1"/>
        <rFont val="Calibri"/>
        <family val="2"/>
        <scheme val="minor"/>
      </rPr>
      <t xml:space="preserve"> torque</t>
    </r>
  </si>
  <si>
    <r>
      <t xml:space="preserve">Nominal Torque  </t>
    </r>
    <r>
      <rPr>
        <b/>
        <vertAlign val="superscript"/>
        <sz val="11"/>
        <rFont val="Arial"/>
        <family val="2"/>
      </rPr>
      <t>1)</t>
    </r>
  </si>
  <si>
    <r>
      <t>Motor S1 torque @</t>
    </r>
    <r>
      <rPr>
        <b/>
        <sz val="11"/>
        <color theme="1"/>
        <rFont val="Calibri"/>
        <family val="2"/>
        <scheme val="minor"/>
      </rPr>
      <t>Plasticizing</t>
    </r>
    <r>
      <rPr>
        <sz val="11"/>
        <color theme="1"/>
        <rFont val="Calibri"/>
        <family val="2"/>
        <scheme val="minor"/>
      </rPr>
      <t xml:space="preserve"> speed:</t>
    </r>
  </si>
  <si>
    <r>
      <t>Motor S1 torque @</t>
    </r>
    <r>
      <rPr>
        <b/>
        <sz val="11"/>
        <color theme="1"/>
        <rFont val="Calibri"/>
        <family val="2"/>
        <scheme val="minor"/>
      </rPr>
      <t>Holding</t>
    </r>
    <r>
      <rPr>
        <sz val="11"/>
        <color theme="1"/>
        <rFont val="Calibri"/>
        <family val="2"/>
        <scheme val="minor"/>
      </rPr>
      <t xml:space="preserve"> speed:</t>
    </r>
  </si>
  <si>
    <r>
      <t>Motor S1 torque @</t>
    </r>
    <r>
      <rPr>
        <b/>
        <sz val="11"/>
        <color theme="1"/>
        <rFont val="Calibri"/>
        <family val="2"/>
        <scheme val="minor"/>
      </rPr>
      <t>Injection</t>
    </r>
    <r>
      <rPr>
        <sz val="11"/>
        <color theme="1"/>
        <rFont val="Calibri"/>
        <family val="2"/>
        <scheme val="minor"/>
      </rPr>
      <t xml:space="preserve"> speed:</t>
    </r>
  </si>
  <si>
    <t>Max calc S1 Speed @380V</t>
  </si>
  <si>
    <t>Selected Motor:</t>
  </si>
  <si>
    <r>
      <t>Kt</t>
    </r>
    <r>
      <rPr>
        <vertAlign val="subscript"/>
        <sz val="11"/>
        <color theme="1"/>
        <rFont val="Calibri"/>
        <family val="2"/>
        <scheme val="minor"/>
      </rPr>
      <t>Nom</t>
    </r>
  </si>
  <si>
    <t>V94204</t>
  </si>
  <si>
    <t>Stall Torque, Ton</t>
  </si>
  <si>
    <t>Nominal Power, Pn</t>
  </si>
  <si>
    <t>Nominal Torque, Tn</t>
  </si>
  <si>
    <t>Nominal speed, n</t>
  </si>
  <si>
    <t>Nominal current, In</t>
  </si>
  <si>
    <t>Inertia, Jm</t>
  </si>
  <si>
    <t>Torque costant at nom. current, kt</t>
  </si>
  <si>
    <t>Nominal voltage, Vn</t>
  </si>
  <si>
    <t>Weight, m</t>
  </si>
  <si>
    <t>Peak torque 20°C, Tpk</t>
  </si>
  <si>
    <t>[Arms]</t>
  </si>
  <si>
    <t>[kgcm²]</t>
  </si>
  <si>
    <t>[Nm/A]</t>
  </si>
  <si>
    <t>[Vrms]</t>
  </si>
  <si>
    <t>[kg]</t>
  </si>
  <si>
    <t>Continuous motor torque at avg speed</t>
  </si>
  <si>
    <t>Possible values with selected motor</t>
  </si>
  <si>
    <t>Peak torque motor</t>
  </si>
  <si>
    <t>Nominal motor power</t>
  </si>
  <si>
    <t>BRVMotorTypes</t>
  </si>
  <si>
    <t>V4 SF L2 CF SP10</t>
  </si>
  <si>
    <t>V4 SF L4 CF SP10</t>
  </si>
  <si>
    <t>V4 SF L6 CF SP10</t>
  </si>
  <si>
    <t>V4 SF L8 CF SP10</t>
  </si>
  <si>
    <t>V4 SF L4 CF SP20</t>
  </si>
  <si>
    <t>V4 SF L6 CF SP20</t>
  </si>
  <si>
    <t>V4 SF L8 CF SP20</t>
  </si>
  <si>
    <t>V4 SG L4 CF SP10</t>
  </si>
  <si>
    <t>V4 SF L2 CF SP20</t>
  </si>
  <si>
    <t>V4 SG L2 CF SP10</t>
  </si>
  <si>
    <t>V4 SG L6 CF SP10</t>
  </si>
  <si>
    <t>V4 SG L8 CF SP10</t>
  </si>
  <si>
    <t>V4 SG L4 CF SP20</t>
  </si>
  <si>
    <t>V4 SG L6 CF SP20</t>
  </si>
  <si>
    <t>V4 SG L8 CF SP20</t>
  </si>
  <si>
    <t>V4 SG L2 CF SP20</t>
  </si>
  <si>
    <t>DL4_CMAT</t>
  </si>
  <si>
    <t>[A]</t>
  </si>
  <si>
    <t>Drive requirements based on cycle and motor</t>
  </si>
  <si>
    <t>Requ. In based on OLfact 150%</t>
  </si>
  <si>
    <t xml:space="preserve">KEBDrive </t>
  </si>
  <si>
    <t>Part number</t>
  </si>
  <si>
    <t>P [kW]</t>
  </si>
  <si>
    <t>Inom [A]</t>
  </si>
  <si>
    <t>IOL [%]</t>
  </si>
  <si>
    <t>Imax [%]</t>
  </si>
  <si>
    <t>fsnom [kHz]</t>
  </si>
  <si>
    <t>Accesoires</t>
  </si>
  <si>
    <t>Shieldingset control part</t>
  </si>
  <si>
    <t>Shieldingset power part</t>
  </si>
  <si>
    <t>Connector</t>
  </si>
  <si>
    <t>00F6V80-2000</t>
  </si>
  <si>
    <t>20F6A13-3411</t>
  </si>
  <si>
    <t>22F6A14-3411</t>
  </si>
  <si>
    <t>19F6A14-3511</t>
  </si>
  <si>
    <t>21F6A14-3411</t>
  </si>
  <si>
    <t>24F6A16-3411</t>
  </si>
  <si>
    <t>21F6A16-3611</t>
  </si>
  <si>
    <r>
      <t>Imax</t>
    </r>
    <r>
      <rPr>
        <b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Hz_5kHz</t>
    </r>
  </si>
  <si>
    <r>
      <t>Imax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Hz_5kHz</t>
    </r>
  </si>
  <si>
    <r>
      <t>Imax</t>
    </r>
    <r>
      <rPr>
        <b/>
        <sz val="11"/>
        <color rgb="FFFF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Hz_5kHz</t>
    </r>
  </si>
  <si>
    <t>Selected drive:</t>
  </si>
  <si>
    <t>Choke</t>
  </si>
  <si>
    <t>Housing</t>
  </si>
  <si>
    <t>17Z1B04-1000</t>
  </si>
  <si>
    <t>Encoder cable</t>
  </si>
  <si>
    <t>18E6T60-3000</t>
  </si>
  <si>
    <t>18Z1B04-1000</t>
  </si>
  <si>
    <t>21Z1B04-1000</t>
  </si>
  <si>
    <t>24Z1B04-1000</t>
  </si>
  <si>
    <t>Rated power</t>
  </si>
  <si>
    <t>Overcurrent IOC</t>
  </si>
  <si>
    <t>Nominal current In</t>
  </si>
  <si>
    <t>Current based on "Eff. torque"</t>
  </si>
  <si>
    <t>Current based on "Injection torque"</t>
  </si>
  <si>
    <t>Current based on "Holding torque"</t>
  </si>
  <si>
    <t>Current based on "Plasticizing torque"</t>
  </si>
  <si>
    <t>&lt;-- Step 1</t>
  </si>
  <si>
    <t>&lt;-- Step 2</t>
  </si>
  <si>
    <r>
      <t>Imax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Hz_5kHz</t>
    </r>
  </si>
  <si>
    <t>Peak cycle current</t>
  </si>
  <si>
    <t>Ilimit/Inom</t>
  </si>
  <si>
    <t>Safetyfact SW current</t>
  </si>
  <si>
    <t>00S6L50-1005</t>
  </si>
  <si>
    <t>--N/A--</t>
  </si>
  <si>
    <t xml:space="preserve">MH </t>
  </si>
  <si>
    <t>bekannte Motoren mit 1500rpm in DL4 Tabelle eingefügt</t>
  </si>
  <si>
    <t>0090366-8000</t>
  </si>
  <si>
    <t>0090366-7000</t>
  </si>
  <si>
    <t>0090366-5000</t>
  </si>
  <si>
    <t>0090366-6000</t>
  </si>
  <si>
    <t>SGATBR1-KB04</t>
  </si>
  <si>
    <t>SGATBS1-KB02</t>
  </si>
  <si>
    <t>SGATBR1-KB03</t>
  </si>
  <si>
    <t>SGATBR1-KB02</t>
  </si>
  <si>
    <t>% Inenn</t>
  </si>
  <si>
    <r>
      <t xml:space="preserve">SW current limit </t>
    </r>
    <r>
      <rPr>
        <i/>
        <sz val="11"/>
        <color theme="1"/>
        <rFont val="Calibri"/>
        <family val="2"/>
        <scheme val="minor"/>
      </rPr>
      <t>(standard)</t>
    </r>
  </si>
  <si>
    <r>
      <t>Max. current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=0Hz @5kHz</t>
    </r>
  </si>
  <si>
    <r>
      <t>Max. current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=6Hz @5kHz</t>
    </r>
  </si>
  <si>
    <r>
      <t>Max. current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=25Hz @5kHz</t>
    </r>
  </si>
  <si>
    <r>
      <t>Max. current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=50Hz @5kHz</t>
    </r>
  </si>
  <si>
    <r>
      <t>SW current limit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=0Hz @5kHz</t>
    </r>
  </si>
  <si>
    <r>
      <t>SW current limit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=6Hz @5kHz</t>
    </r>
  </si>
  <si>
    <r>
      <t>SW current limit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=25Hz @5kHz</t>
    </r>
  </si>
  <si>
    <r>
      <t>SW current limit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=50Hz @5kHz</t>
    </r>
  </si>
  <si>
    <t>I/Inenn [%]</t>
  </si>
  <si>
    <t>Limit [s]</t>
  </si>
  <si>
    <t>OL Curve OL base 150%</t>
  </si>
  <si>
    <t>Est. time to Overload</t>
  </si>
  <si>
    <t>Imax SW 5kHz</t>
  </si>
  <si>
    <t>%Imax (5kHz)</t>
  </si>
  <si>
    <t>Cont. motor torque at Injection speed</t>
  </si>
  <si>
    <t>Cont. motor torque at Holding speed</t>
  </si>
  <si>
    <t>Cont. motor torque at Plast speed</t>
  </si>
  <si>
    <t>Motor load</t>
  </si>
  <si>
    <t>Auslegungen nach Rücksprache mit Richard Wagner angepasst</t>
  </si>
  <si>
    <t>Spalte1</t>
  </si>
  <si>
    <t>KEB-AT Part</t>
  </si>
  <si>
    <t>VK</t>
  </si>
  <si>
    <t>BRV82104</t>
  </si>
  <si>
    <t>BRV84104</t>
  </si>
  <si>
    <t>BRV86104</t>
  </si>
  <si>
    <t>BRV88104</t>
  </si>
  <si>
    <t>BRV82204</t>
  </si>
  <si>
    <t>BRV84204</t>
  </si>
  <si>
    <t>BRV86204</t>
  </si>
  <si>
    <t>BRV88204</t>
  </si>
  <si>
    <t>BRV92104</t>
  </si>
  <si>
    <t>BRV94104</t>
  </si>
  <si>
    <t>BRV96104</t>
  </si>
  <si>
    <t>BRV98104</t>
  </si>
  <si>
    <t>BRV92204</t>
  </si>
  <si>
    <t>BRV94204</t>
  </si>
  <si>
    <t>BRV96204</t>
  </si>
  <si>
    <t>BRV98204</t>
  </si>
  <si>
    <t>SGATBR1-KB01</t>
  </si>
  <si>
    <t>BRV94154</t>
  </si>
  <si>
    <t>BRV97154</t>
  </si>
  <si>
    <t>BRV97204</t>
  </si>
  <si>
    <t>BRV98154</t>
  </si>
  <si>
    <t>KEB Part number</t>
  </si>
  <si>
    <t>RefNumber</t>
  </si>
  <si>
    <t>V4 SG L4 CF SP15</t>
  </si>
  <si>
    <t>V4 SG L7 CF SP15</t>
  </si>
  <si>
    <t>KEB drive components and accessoires</t>
  </si>
  <si>
    <t>Motors</t>
  </si>
  <si>
    <t>Column1</t>
  </si>
  <si>
    <r>
      <t>HINWEIS: zur Aktualisierung der Preise: Excel Menü -&gt; Daten -&gt; "</t>
    </r>
    <r>
      <rPr>
        <b/>
        <sz val="11"/>
        <color rgb="FFFF0000"/>
        <rFont val="Calibri"/>
        <family val="2"/>
        <scheme val="minor"/>
      </rPr>
      <t>Alle aktualisieren</t>
    </r>
    <r>
      <rPr>
        <sz val="11"/>
        <color rgb="FFFF0000"/>
        <rFont val="Calibri"/>
        <family val="2"/>
        <scheme val="minor"/>
      </rPr>
      <t>"</t>
    </r>
  </si>
  <si>
    <t>Korrektur Regler 17F6- Typenschlüssel und Schaltfrequenz korrigiert</t>
  </si>
  <si>
    <t>17F6A13-3411</t>
  </si>
  <si>
    <t>Machine cycle</t>
  </si>
  <si>
    <r>
      <t>Q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Oil flow of all pumps</t>
    </r>
  </si>
  <si>
    <r>
      <t>η</t>
    </r>
    <r>
      <rPr>
        <vertAlign val="subscript"/>
        <sz val="11"/>
        <color theme="1"/>
        <rFont val="Calibri"/>
        <family val="2"/>
      </rPr>
      <t>vol</t>
    </r>
  </si>
  <si>
    <t>Pump data</t>
  </si>
  <si>
    <t>Inertia pump</t>
  </si>
  <si>
    <t>Appl data</t>
  </si>
  <si>
    <t>Max speed in application</t>
  </si>
  <si>
    <t>Example 1250</t>
  </si>
  <si>
    <t>Motor BR</t>
  </si>
  <si>
    <t>071154</t>
  </si>
  <si>
    <t>072154</t>
  </si>
  <si>
    <t>073154</t>
  </si>
  <si>
    <t>074154</t>
  </si>
  <si>
    <t>075154</t>
  </si>
  <si>
    <t>076154</t>
  </si>
  <si>
    <t>077154</t>
  </si>
  <si>
    <t>078154</t>
  </si>
  <si>
    <t>071204</t>
  </si>
  <si>
    <t>072204</t>
  </si>
  <si>
    <t>073204</t>
  </si>
  <si>
    <t>074204</t>
  </si>
  <si>
    <t>075204</t>
  </si>
  <si>
    <t>076204</t>
  </si>
  <si>
    <t>077204</t>
  </si>
  <si>
    <t>078204</t>
  </si>
  <si>
    <t>071304</t>
  </si>
  <si>
    <t>072304</t>
  </si>
  <si>
    <t>073304</t>
  </si>
  <si>
    <t>074304</t>
  </si>
  <si>
    <t>075304</t>
  </si>
  <si>
    <t>076304</t>
  </si>
  <si>
    <t>077304</t>
  </si>
  <si>
    <t>078304</t>
  </si>
  <si>
    <t>082104</t>
  </si>
  <si>
    <t>084104</t>
  </si>
  <si>
    <t>086104</t>
  </si>
  <si>
    <t>088104</t>
  </si>
  <si>
    <t>082204</t>
  </si>
  <si>
    <t>084204</t>
  </si>
  <si>
    <t>086204</t>
  </si>
  <si>
    <t>088204</t>
  </si>
  <si>
    <t>082304</t>
  </si>
  <si>
    <t>084304</t>
  </si>
  <si>
    <t>086304</t>
  </si>
  <si>
    <t>088304</t>
  </si>
  <si>
    <t>092104</t>
  </si>
  <si>
    <t>094104</t>
  </si>
  <si>
    <t>096104</t>
  </si>
  <si>
    <t>098104</t>
  </si>
  <si>
    <t>092204</t>
  </si>
  <si>
    <t>094204</t>
  </si>
  <si>
    <t>096204</t>
  </si>
  <si>
    <t>098204</t>
  </si>
  <si>
    <t>092304</t>
  </si>
  <si>
    <t>094304</t>
  </si>
  <si>
    <t>096304</t>
  </si>
  <si>
    <t>098304</t>
  </si>
  <si>
    <t>V71154</t>
  </si>
  <si>
    <t>V72154</t>
  </si>
  <si>
    <t>V73154</t>
  </si>
  <si>
    <t>V74154</t>
  </si>
  <si>
    <t>V75154</t>
  </si>
  <si>
    <t>V76154</t>
  </si>
  <si>
    <t>V77154</t>
  </si>
  <si>
    <t>V78154</t>
  </si>
  <si>
    <t>V71204</t>
  </si>
  <si>
    <t>V72204</t>
  </si>
  <si>
    <t>V73204</t>
  </si>
  <si>
    <t>V74204</t>
  </si>
  <si>
    <t>V75204</t>
  </si>
  <si>
    <t>V76204</t>
  </si>
  <si>
    <t>V77204</t>
  </si>
  <si>
    <t>V78204</t>
  </si>
  <si>
    <t>V71304</t>
  </si>
  <si>
    <t>V72304</t>
  </si>
  <si>
    <t>V73304</t>
  </si>
  <si>
    <t>V74304</t>
  </si>
  <si>
    <t>V75304</t>
  </si>
  <si>
    <t>V76304</t>
  </si>
  <si>
    <t>V77304</t>
  </si>
  <si>
    <t>V78304</t>
  </si>
  <si>
    <t>V82304</t>
  </si>
  <si>
    <t>V84304</t>
  </si>
  <si>
    <t>V86304</t>
  </si>
  <si>
    <t>V88304</t>
  </si>
  <si>
    <t>1) Continuous service S1 (dT=105°C);  2) Tolerance +/- 10%;  3) Referred to 100rpm; 4) Not available on continuous service S1</t>
  </si>
  <si>
    <r>
      <rPr>
        <b/>
        <sz val="12"/>
        <color theme="1"/>
        <rFont val="Calibri"/>
        <family val="2"/>
        <scheme val="minor"/>
      </rPr>
      <t>CS</t>
    </r>
    <r>
      <rPr>
        <sz val="12"/>
        <color theme="1"/>
        <rFont val="Calibri"/>
        <family val="2"/>
        <scheme val="minor"/>
      </rPr>
      <t xml:space="preserve"> -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ooling </t>
    </r>
    <r>
      <rPr>
        <b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urface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</si>
  <si>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-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ooling </t>
    </r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orced</t>
    </r>
  </si>
  <si>
    <r>
      <rPr>
        <b/>
        <sz val="12"/>
        <color theme="1"/>
        <rFont val="Calibri"/>
        <family val="2"/>
        <scheme val="minor"/>
      </rPr>
      <t>SE</t>
    </r>
    <r>
      <rPr>
        <sz val="12"/>
        <color theme="1"/>
        <rFont val="Calibri"/>
        <family val="2"/>
        <scheme val="minor"/>
      </rPr>
      <t xml:space="preserve"> - Size</t>
    </r>
  </si>
  <si>
    <r>
      <rPr>
        <b/>
        <sz val="12"/>
        <color theme="1"/>
        <rFont val="Calibri"/>
        <family val="2"/>
        <scheme val="minor"/>
      </rPr>
      <t>SF</t>
    </r>
    <r>
      <rPr>
        <sz val="12"/>
        <color theme="1"/>
        <rFont val="Calibri"/>
        <family val="2"/>
        <scheme val="minor"/>
      </rPr>
      <t xml:space="preserve"> - Size</t>
    </r>
  </si>
  <si>
    <r>
      <rPr>
        <b/>
        <sz val="12"/>
        <color theme="1"/>
        <rFont val="Calibri"/>
        <family val="2"/>
        <scheme val="minor"/>
      </rPr>
      <t>SG</t>
    </r>
    <r>
      <rPr>
        <sz val="12"/>
        <color theme="1"/>
        <rFont val="Calibri"/>
        <family val="2"/>
        <scheme val="minor"/>
      </rPr>
      <t xml:space="preserve"> - Size</t>
    </r>
  </si>
  <si>
    <r>
      <rPr>
        <b/>
        <sz val="12"/>
        <color theme="1"/>
        <rFont val="Calibri"/>
        <family val="2"/>
        <scheme val="minor"/>
      </rPr>
      <t>SP15</t>
    </r>
    <r>
      <rPr>
        <sz val="12"/>
        <color theme="1"/>
        <rFont val="Calibri"/>
        <family val="2"/>
        <scheme val="minor"/>
      </rPr>
      <t xml:space="preserve"> - 1500rpm</t>
    </r>
  </si>
  <si>
    <r>
      <rPr>
        <b/>
        <sz val="12"/>
        <color theme="1"/>
        <rFont val="Calibri"/>
        <family val="2"/>
        <scheme val="minor"/>
      </rPr>
      <t>SP10</t>
    </r>
    <r>
      <rPr>
        <sz val="12"/>
        <color theme="1"/>
        <rFont val="Calibri"/>
        <family val="2"/>
        <scheme val="minor"/>
      </rPr>
      <t xml:space="preserve"> - 1000rpm</t>
    </r>
  </si>
  <si>
    <r>
      <rPr>
        <b/>
        <sz val="12"/>
        <color theme="1"/>
        <rFont val="Calibri"/>
        <family val="2"/>
        <scheme val="minor"/>
      </rPr>
      <t>SP20</t>
    </r>
    <r>
      <rPr>
        <sz val="12"/>
        <color theme="1"/>
        <rFont val="Calibri"/>
        <family val="2"/>
        <scheme val="minor"/>
      </rPr>
      <t xml:space="preserve"> - 2000rpm</t>
    </r>
  </si>
  <si>
    <r>
      <rPr>
        <b/>
        <sz val="12"/>
        <color theme="1"/>
        <rFont val="Calibri"/>
        <family val="2"/>
        <scheme val="minor"/>
      </rPr>
      <t>SP30</t>
    </r>
    <r>
      <rPr>
        <sz val="12"/>
        <color theme="1"/>
        <rFont val="Calibri"/>
        <family val="2"/>
        <scheme val="minor"/>
      </rPr>
      <t xml:space="preserve"> - 3000rpm</t>
    </r>
  </si>
  <si>
    <t>V4 SE L2 CF SP15</t>
  </si>
  <si>
    <t>V4 SE L4 CF SP15</t>
  </si>
  <si>
    <t>V4 SE L6 CF SP15</t>
  </si>
  <si>
    <t>V4 SE L8 CF SP15</t>
  </si>
  <si>
    <t>V4 SE L2 CF SP20</t>
  </si>
  <si>
    <t>V4 SE L4 CF SP20</t>
  </si>
  <si>
    <t>V4 SE L6 CF SP20</t>
  </si>
  <si>
    <t>V4 SE L8 CF SP20</t>
  </si>
  <si>
    <t>V4 SE L2 CF SP30</t>
  </si>
  <si>
    <t>V4 SE L4 CF SP30</t>
  </si>
  <si>
    <t>V4 SE L6 CF SP30</t>
  </si>
  <si>
    <t>V4 SE L8 CF SP30</t>
  </si>
  <si>
    <t>V4 SF L2 CF SP30</t>
  </si>
  <si>
    <t>V4 SF L4 CF SP30</t>
  </si>
  <si>
    <t>V4 SF L6 CF SP30</t>
  </si>
  <si>
    <t>V4 SF L8 CF SP30</t>
  </si>
  <si>
    <t>V92304</t>
  </si>
  <si>
    <t>V94304</t>
  </si>
  <si>
    <t>V96304</t>
  </si>
  <si>
    <t>V98304</t>
  </si>
  <si>
    <t>V4 SG L2 CF SP30</t>
  </si>
  <si>
    <t>V4 SG L4 CF SP30</t>
  </si>
  <si>
    <t>V4 SG L6 CF SP30</t>
  </si>
  <si>
    <t>V4 SG L8 CF SP30</t>
  </si>
  <si>
    <t>V4 SE L2 CS SP15</t>
  </si>
  <si>
    <t>V4 SE L4 CS SP15</t>
  </si>
  <si>
    <t>V4 SE L6 CS SP15</t>
  </si>
  <si>
    <t>V4 SE L8 CS SP15</t>
  </si>
  <si>
    <t>V4 SE L2 CS SP20</t>
  </si>
  <si>
    <t>V4 SE L4 CS SP20</t>
  </si>
  <si>
    <t>V4 SE L6 CS SP20</t>
  </si>
  <si>
    <t>V4 SE L8 CS SP20</t>
  </si>
  <si>
    <t>V4 SE L2 CS SP30</t>
  </si>
  <si>
    <t>V4 SE L4 CS SP30</t>
  </si>
  <si>
    <t>V4 SE L6 CS SP30</t>
  </si>
  <si>
    <t>V4 SE L8 CS SP30</t>
  </si>
  <si>
    <t>V4 SF L2 CS SP10</t>
  </si>
  <si>
    <t>V4 SF L4 CS SP10</t>
  </si>
  <si>
    <t>V4 SF L6 CS SP10</t>
  </si>
  <si>
    <t>V4 SF L8 CS SP10</t>
  </si>
  <si>
    <t>V4 SF L2 CS SP20</t>
  </si>
  <si>
    <t>V4 SF L4 CS SP20</t>
  </si>
  <si>
    <t>V4 SF L6 CS SP20</t>
  </si>
  <si>
    <t>V4 SF L8 CS SP20</t>
  </si>
  <si>
    <t>V4 SF L2 CS SP30</t>
  </si>
  <si>
    <t>V4 SF L4 CS SP30</t>
  </si>
  <si>
    <t>V4 SF L6 CS SP30</t>
  </si>
  <si>
    <t>V4 SF L8 CS SP30</t>
  </si>
  <si>
    <t>V4 SG L2 CS SP10</t>
  </si>
  <si>
    <t>V4 SG L4 CS SP10</t>
  </si>
  <si>
    <t>V4 SG L6 CS SP10</t>
  </si>
  <si>
    <t>V4 SG L8 CS SP10</t>
  </si>
  <si>
    <t>V4 SG L2 CS SP20</t>
  </si>
  <si>
    <t>V4 SG L4 CS SP20</t>
  </si>
  <si>
    <t>V4 SG L6 CS SP20</t>
  </si>
  <si>
    <t>V4 SG L2 CS SP30</t>
  </si>
  <si>
    <t>V4 SG L4 CS SP30</t>
  </si>
  <si>
    <t>V4 SG L6 CS SP30</t>
  </si>
  <si>
    <t>V4 SG L8 CS SP30</t>
  </si>
  <si>
    <t>DL4_Cooling</t>
  </si>
  <si>
    <t>DL4_Size</t>
  </si>
  <si>
    <t>DL4_Speed</t>
  </si>
  <si>
    <t>V4 SG L8 CS SP20</t>
  </si>
  <si>
    <t>Acceleration time for max speed</t>
  </si>
  <si>
    <t xml:space="preserve">Consider acceleration and inertia </t>
  </si>
  <si>
    <t>Δn</t>
  </si>
  <si>
    <r>
      <t>M</t>
    </r>
    <r>
      <rPr>
        <b/>
        <vertAlign val="subscript"/>
        <sz val="11"/>
        <rFont val="Calibri"/>
        <family val="2"/>
        <scheme val="minor"/>
      </rPr>
      <t>2Peak</t>
    </r>
  </si>
  <si>
    <r>
      <t>M</t>
    </r>
    <r>
      <rPr>
        <b/>
        <vertAlign val="subscript"/>
        <sz val="11"/>
        <rFont val="Calibri"/>
        <family val="2"/>
        <scheme val="minor"/>
      </rPr>
      <t>2Eff</t>
    </r>
  </si>
  <si>
    <t>Jg:</t>
  </si>
  <si>
    <t>Nominal size</t>
  </si>
  <si>
    <t>Pumpname</t>
  </si>
  <si>
    <t>DHPH2_004</t>
  </si>
  <si>
    <t>DHPH2_005</t>
  </si>
  <si>
    <t>DHPH2_006</t>
  </si>
  <si>
    <t>DHPH2_008</t>
  </si>
  <si>
    <t>DHPH2_011</t>
  </si>
  <si>
    <t>DHPH2_013</t>
  </si>
  <si>
    <t>DHPH2_016</t>
  </si>
  <si>
    <t>DHPH2_019</t>
  </si>
  <si>
    <t>DHPH2_022</t>
  </si>
  <si>
    <t>DHPH2_025</t>
  </si>
  <si>
    <r>
      <t>η</t>
    </r>
    <r>
      <rPr>
        <vertAlign val="subscript"/>
        <sz val="11"/>
        <color theme="1"/>
        <rFont val="Calibri"/>
        <family val="2"/>
      </rPr>
      <t>hm</t>
    </r>
  </si>
  <si>
    <t>DHPH3_014</t>
  </si>
  <si>
    <t>DHPH3_016</t>
  </si>
  <si>
    <t>DHPH3_020</t>
  </si>
  <si>
    <t>DHPH3_025</t>
  </si>
  <si>
    <t>DHPH3_032</t>
  </si>
  <si>
    <t>DHPH3_040</t>
  </si>
  <si>
    <t>DHPH3_050</t>
  </si>
  <si>
    <t>DHPH3_064</t>
  </si>
  <si>
    <t>DHPH5_064</t>
  </si>
  <si>
    <t>DHPH5_080</t>
  </si>
  <si>
    <t>DHPH5_100</t>
  </si>
  <si>
    <t>DHPH6_100</t>
  </si>
  <si>
    <t>DHPH6_040</t>
  </si>
  <si>
    <t>DHPH6_050</t>
  </si>
  <si>
    <t>DHPH6_064</t>
  </si>
  <si>
    <t>DHPH6_080</t>
  </si>
  <si>
    <t>DHPH6_125</t>
  </si>
  <si>
    <t>DHPH6_160</t>
  </si>
  <si>
    <t>DHPH6_200</t>
  </si>
  <si>
    <t>DHPH6_250</t>
  </si>
  <si>
    <t>DHPS2_005</t>
  </si>
  <si>
    <t>DHPS2_006</t>
  </si>
  <si>
    <t>DHPS2_008</t>
  </si>
  <si>
    <t>DHPS2_011</t>
  </si>
  <si>
    <t>DHPS2_013</t>
  </si>
  <si>
    <t>DHPS2_016</t>
  </si>
  <si>
    <t>DHPS2_019</t>
  </si>
  <si>
    <t>DHPS2_022</t>
  </si>
  <si>
    <t>DHPS2_025</t>
  </si>
  <si>
    <t>DHPC3_020</t>
  </si>
  <si>
    <t>DHPC3_025</t>
  </si>
  <si>
    <t>DHPC3_032</t>
  </si>
  <si>
    <t>DHPC3_040</t>
  </si>
  <si>
    <t>DHPC3_050</t>
  </si>
  <si>
    <t>DHPC3_063</t>
  </si>
  <si>
    <t>DHPC3_064</t>
  </si>
  <si>
    <t>DHPC5_064</t>
  </si>
  <si>
    <t>DHPC5_080</t>
  </si>
  <si>
    <t>DHPC5_100</t>
  </si>
  <si>
    <t>DHPC6_125</t>
  </si>
  <si>
    <t>DHPC6_160</t>
  </si>
  <si>
    <t>DHPC6_200</t>
  </si>
  <si>
    <t>DHPC6_250</t>
  </si>
  <si>
    <t>Specific volume Vth
[cm³/U]</t>
  </si>
  <si>
    <t>Cont. Pressure
[bar]</t>
  </si>
  <si>
    <t>Max. pressure 10s/15%ED
[bar]</t>
  </si>
  <si>
    <t>Max. pressure
[bar]</t>
  </si>
  <si>
    <t>Nominal speed min
[rpm]</t>
  </si>
  <si>
    <t>Nominal speed max
[rpm]</t>
  </si>
  <si>
    <t>Max. speed
[rpm]</t>
  </si>
  <si>
    <t>Weight 
[kg]</t>
  </si>
  <si>
    <r>
      <t>η</t>
    </r>
    <r>
      <rPr>
        <vertAlign val="subscript"/>
        <sz val="11"/>
        <color theme="1"/>
        <rFont val="Calibri"/>
        <family val="2"/>
      </rPr>
      <t xml:space="preserve">vol
</t>
    </r>
    <r>
      <rPr>
        <sz val="11"/>
        <color theme="1"/>
        <rFont val="Calibri"/>
        <family val="2"/>
      </rPr>
      <t>[1]</t>
    </r>
  </si>
  <si>
    <r>
      <t>η</t>
    </r>
    <r>
      <rPr>
        <vertAlign val="subscript"/>
        <sz val="11"/>
        <color theme="1"/>
        <rFont val="Calibri"/>
        <family val="2"/>
      </rPr>
      <t xml:space="preserve">hm
</t>
    </r>
    <r>
      <rPr>
        <sz val="11"/>
        <color theme="1"/>
        <rFont val="Calibri"/>
        <family val="2"/>
      </rPr>
      <t>[1]</t>
    </r>
  </si>
  <si>
    <t>Noise
[db[A]]</t>
  </si>
  <si>
    <t>Change table size after adding new values</t>
  </si>
  <si>
    <t>&lt;-- Select</t>
  </si>
  <si>
    <t>Inertia
[kgcm²]</t>
  </si>
  <si>
    <r>
      <t>t</t>
    </r>
    <r>
      <rPr>
        <b/>
        <vertAlign val="subscript"/>
        <sz val="11"/>
        <color theme="1" tint="0.34998626667073579"/>
        <rFont val="Calibri"/>
        <family val="2"/>
        <scheme val="minor"/>
      </rPr>
      <t>B</t>
    </r>
  </si>
  <si>
    <r>
      <t>M</t>
    </r>
    <r>
      <rPr>
        <b/>
        <vertAlign val="subscript"/>
        <sz val="11"/>
        <color theme="1" tint="0.34998626667073579"/>
        <rFont val="Calibri"/>
        <family val="2"/>
        <scheme val="minor"/>
      </rPr>
      <t>B2</t>
    </r>
  </si>
  <si>
    <t>Calculation reserve:</t>
  </si>
  <si>
    <r>
      <t>M</t>
    </r>
    <r>
      <rPr>
        <b/>
        <vertAlign val="subscript"/>
        <sz val="11"/>
        <rFont val="Calibri"/>
        <family val="2"/>
        <scheme val="minor"/>
      </rPr>
      <t>p+Res</t>
    </r>
  </si>
  <si>
    <t>Cycle data for Motorselection</t>
  </si>
  <si>
    <t>Speed possible with max. 1,25 x n @380V</t>
  </si>
  <si>
    <t>[l/min]</t>
  </si>
  <si>
    <t>Inenn_5kHz</t>
  </si>
  <si>
    <t>0Hz/5kHz</t>
  </si>
  <si>
    <t>6Hz/5kHz</t>
  </si>
  <si>
    <t>25Hz/5kHz</t>
  </si>
  <si>
    <t>50Hz/5kHz</t>
  </si>
  <si>
    <r>
      <t>Imax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Hz_4kHz</t>
    </r>
  </si>
  <si>
    <r>
      <t>Imax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Hz_4kHz</t>
    </r>
  </si>
  <si>
    <r>
      <t>Imax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Hz_8kHz</t>
    </r>
  </si>
  <si>
    <r>
      <t>Imax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Hz_8kHz</t>
    </r>
  </si>
  <si>
    <r>
      <t>Imax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Hz_8kHz</t>
    </r>
  </si>
  <si>
    <r>
      <t>Imax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Hz_4kHz</t>
    </r>
  </si>
  <si>
    <t>15F6K12-35x1</t>
  </si>
  <si>
    <t>07S6K12-2x00*</t>
  </si>
  <si>
    <t>09S6K12-2x00*</t>
  </si>
  <si>
    <t>10S6K12-2x00*</t>
  </si>
  <si>
    <t>12S6K14-2x00*</t>
  </si>
  <si>
    <t>13S6K14-2x00*</t>
  </si>
  <si>
    <t>14S6K14-2x00</t>
  </si>
  <si>
    <t>16F6K12-35x1</t>
  </si>
  <si>
    <t>17F6K13-34x1</t>
  </si>
  <si>
    <t>18F6K13-34x1</t>
  </si>
  <si>
    <t>20F6K13-34x1</t>
  </si>
  <si>
    <t>19F6K13-35x1</t>
  </si>
  <si>
    <t>19F6K14-35x1</t>
  </si>
  <si>
    <t>20F6K14-35x1</t>
  </si>
  <si>
    <t>22F6K14-34x1</t>
  </si>
  <si>
    <t>21F6K14-34x1</t>
  </si>
  <si>
    <t>21F6K16-36x1</t>
  </si>
  <si>
    <t>22F6K16-35x1</t>
  </si>
  <si>
    <t>23F6K16-34x1</t>
  </si>
  <si>
    <t>24F6K16-34x1</t>
  </si>
  <si>
    <t>S [kVA]</t>
  </si>
  <si>
    <r>
      <t>Imax</t>
    </r>
    <r>
      <rPr>
        <sz val="11"/>
        <color theme="9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Hz_2kHz</t>
    </r>
  </si>
  <si>
    <r>
      <t>Imax</t>
    </r>
    <r>
      <rPr>
        <sz val="11"/>
        <color theme="9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Hz_2kHz</t>
    </r>
  </si>
  <si>
    <r>
      <t>Imax</t>
    </r>
    <r>
      <rPr>
        <sz val="11"/>
        <color theme="9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Hz_2kHz</t>
    </r>
  </si>
  <si>
    <t>OLFact_default</t>
  </si>
  <si>
    <r>
      <t>0Hz/fs</t>
    </r>
    <r>
      <rPr>
        <sz val="11"/>
        <color theme="6" tint="-0.249977111117893"/>
        <rFont val="Calibri"/>
        <family val="2"/>
        <scheme val="minor"/>
      </rPr>
      <t>4kHz</t>
    </r>
  </si>
  <si>
    <r>
      <t>6Hz/fs</t>
    </r>
    <r>
      <rPr>
        <sz val="11"/>
        <color theme="6" tint="-0.249977111117893"/>
        <rFont val="Calibri"/>
        <family val="2"/>
        <scheme val="minor"/>
      </rPr>
      <t>4kHz</t>
    </r>
  </si>
  <si>
    <r>
      <t>50Hz/fs</t>
    </r>
    <r>
      <rPr>
        <sz val="11"/>
        <color theme="6" tint="-0.249977111117893"/>
        <rFont val="Calibri"/>
        <family val="2"/>
        <scheme val="minor"/>
      </rPr>
      <t>4kHz</t>
    </r>
  </si>
  <si>
    <r>
      <t>0Hz/fs</t>
    </r>
    <r>
      <rPr>
        <sz val="11"/>
        <color theme="9" tint="-0.249977111117893"/>
        <rFont val="Calibri"/>
        <family val="2"/>
        <scheme val="minor"/>
      </rPr>
      <t>8kHz</t>
    </r>
  </si>
  <si>
    <r>
      <t>6Hz/fs</t>
    </r>
    <r>
      <rPr>
        <sz val="11"/>
        <color theme="9" tint="-0.249977111117893"/>
        <rFont val="Calibri"/>
        <family val="2"/>
        <scheme val="minor"/>
      </rPr>
      <t>8kHz</t>
    </r>
  </si>
  <si>
    <r>
      <t>50Hz/fs</t>
    </r>
    <r>
      <rPr>
        <sz val="11"/>
        <color theme="9" tint="-0.249977111117893"/>
        <rFont val="Calibri"/>
        <family val="2"/>
        <scheme val="minor"/>
      </rPr>
      <t>8kHz</t>
    </r>
  </si>
  <si>
    <r>
      <t>0Hz/fs</t>
    </r>
    <r>
      <rPr>
        <sz val="11"/>
        <color theme="3" tint="0.39997558519241921"/>
        <rFont val="Calibri"/>
        <family val="2"/>
        <scheme val="minor"/>
      </rPr>
      <t>2kHz</t>
    </r>
  </si>
  <si>
    <r>
      <t>6Hz/fs</t>
    </r>
    <r>
      <rPr>
        <sz val="11"/>
        <color theme="3" tint="0.39997558519241921"/>
        <rFont val="Calibri"/>
        <family val="2"/>
        <scheme val="minor"/>
      </rPr>
      <t>2kHz</t>
    </r>
  </si>
  <si>
    <r>
      <t>50Hz/fs</t>
    </r>
    <r>
      <rPr>
        <sz val="11"/>
        <color theme="3" tint="0.39997558519241921"/>
        <rFont val="Calibri"/>
        <family val="2"/>
        <scheme val="minor"/>
      </rPr>
      <t>2kHz</t>
    </r>
  </si>
  <si>
    <t>I-check:</t>
  </si>
  <si>
    <t>A</t>
  </si>
  <si>
    <t>OLfactor:</t>
  </si>
  <si>
    <t>Drive output current [A]</t>
  </si>
  <si>
    <t>Calculation</t>
  </si>
  <si>
    <t>V94154</t>
  </si>
  <si>
    <t>V97154</t>
  </si>
  <si>
    <t>V98154</t>
  </si>
  <si>
    <t>27F6K17-30x1</t>
  </si>
  <si>
    <t>28F6K17-30x1</t>
  </si>
  <si>
    <t>25F6K17-31x1</t>
  </si>
  <si>
    <t>26F6K17-31x1</t>
  </si>
  <si>
    <t>23F6K16-35x1</t>
  </si>
  <si>
    <t>28F6K18-31x1</t>
  </si>
  <si>
    <t>29F6K18-30x1</t>
  </si>
  <si>
    <t>30F6K18-30x1</t>
  </si>
  <si>
    <t>Update DL4 motor data</t>
  </si>
  <si>
    <r>
      <rPr>
        <b/>
        <sz val="12"/>
        <color theme="1"/>
        <rFont val="Calibri"/>
        <family val="2"/>
        <scheme val="minor"/>
      </rPr>
      <t>SP28</t>
    </r>
    <r>
      <rPr>
        <sz val="12"/>
        <color theme="1"/>
        <rFont val="Calibri"/>
        <family val="2"/>
        <scheme val="minor"/>
      </rPr>
      <t xml:space="preserve"> - 2800rpm</t>
    </r>
  </si>
  <si>
    <t>V96154</t>
  </si>
  <si>
    <t>V92284</t>
  </si>
  <si>
    <t>V94284</t>
  </si>
  <si>
    <t>V96284</t>
  </si>
  <si>
    <t>V98284</t>
  </si>
  <si>
    <t>Operation mode</t>
  </si>
  <si>
    <t>S1</t>
  </si>
  <si>
    <t>S3_40%</t>
  </si>
  <si>
    <t>Clamp opening 1 - High pressure release</t>
  </si>
  <si>
    <t>V4 SE L1 CS SP15</t>
  </si>
  <si>
    <t>V4 SE L3 CS SP15</t>
  </si>
  <si>
    <t>V4 SE L5 CS SP15</t>
  </si>
  <si>
    <t>V4 SE L7 CS SP15</t>
  </si>
  <si>
    <t>V4 SE L1 CS SP20</t>
  </si>
  <si>
    <t>V4 SE L3 CS SP20</t>
  </si>
  <si>
    <t>V4 SE L5 CS SP20</t>
  </si>
  <si>
    <t>V4 SE L7 CS SP20</t>
  </si>
  <si>
    <t>V4 SE L1 CS SP30</t>
  </si>
  <si>
    <t>V4 SE L3 CS SP30</t>
  </si>
  <si>
    <t>V4 SE L5 CS SP30</t>
  </si>
  <si>
    <t>V4 SE L7 CS SP30</t>
  </si>
  <si>
    <t>V4 SE L1 CF SP15</t>
  </si>
  <si>
    <t>V4 SE L3 CF SP15</t>
  </si>
  <si>
    <t>V4 SE L5 CF SP15</t>
  </si>
  <si>
    <t>V4 SE L7 CF SP15</t>
  </si>
  <si>
    <t>V4 SE L1 CF SP20</t>
  </si>
  <si>
    <t>V4 SE L3 CF SP20</t>
  </si>
  <si>
    <t>V4 SE L5 CF SP20</t>
  </si>
  <si>
    <t>V4 SE L7 CF SP20</t>
  </si>
  <si>
    <t>V4 SE L1 CF SP30</t>
  </si>
  <si>
    <t>V4 SE L3 CF SP30</t>
  </si>
  <si>
    <t>V4 SE L5 CF SP30</t>
  </si>
  <si>
    <t>V4 SE L7 CF SP30</t>
  </si>
  <si>
    <t>BR</t>
  </si>
  <si>
    <t>Cylinder</t>
  </si>
  <si>
    <t>in</t>
  </si>
  <si>
    <t>Clamp Stroke Length</t>
  </si>
  <si>
    <t>Motor Pump</t>
  </si>
  <si>
    <t>Clamping Pressure</t>
  </si>
  <si>
    <t>bar</t>
  </si>
  <si>
    <t>Time of Stroke</t>
  </si>
  <si>
    <t>s</t>
  </si>
  <si>
    <t>Pump Speed</t>
  </si>
  <si>
    <t>l/min</t>
  </si>
  <si>
    <t>Motor Efficiency</t>
  </si>
  <si>
    <t>Results</t>
  </si>
  <si>
    <t>Clamping Force</t>
  </si>
  <si>
    <t>T</t>
  </si>
  <si>
    <t>Calculated Flow Rate (V/t)</t>
  </si>
  <si>
    <t>Pump Displacement</t>
  </si>
  <si>
    <t>cc/rev</t>
  </si>
  <si>
    <t>kW</t>
  </si>
  <si>
    <t>1 Determine Required Pressure</t>
  </si>
  <si>
    <t>P</t>
  </si>
  <si>
    <t>pa</t>
  </si>
  <si>
    <t>bore dia</t>
  </si>
  <si>
    <t>rod dia</t>
  </si>
  <si>
    <t>m2</t>
  </si>
  <si>
    <t>in2</t>
  </si>
  <si>
    <t>F</t>
  </si>
  <si>
    <t>N</t>
  </si>
  <si>
    <t>2 Determine Flow Rate</t>
  </si>
  <si>
    <t>L</t>
  </si>
  <si>
    <t>V</t>
  </si>
  <si>
    <t>m3</t>
  </si>
  <si>
    <t>t</t>
  </si>
  <si>
    <t>Q</t>
  </si>
  <si>
    <t>m3/s</t>
  </si>
  <si>
    <t>3 Determine Pump Displacement</t>
  </si>
  <si>
    <t>D</t>
  </si>
  <si>
    <t>4 Determine Motor Power</t>
  </si>
  <si>
    <t>Psys</t>
  </si>
  <si>
    <t>eff</t>
  </si>
  <si>
    <t>n/a</t>
  </si>
  <si>
    <t>Pmotor</t>
  </si>
  <si>
    <t>Pump Calculator</t>
  </si>
  <si>
    <t>3000 rpm * 11 cc/rev = 33</t>
  </si>
  <si>
    <t>Clamp Bore Diameter</t>
  </si>
  <si>
    <t>Clamp Rod Diameter</t>
  </si>
  <si>
    <t>psi</t>
  </si>
  <si>
    <t>desired/actual</t>
  </si>
  <si>
    <t>cm3</t>
  </si>
  <si>
    <t>Motorname</t>
  </si>
  <si>
    <t>t1</t>
  </si>
  <si>
    <t>t2</t>
  </si>
  <si>
    <t>XXX__4</t>
  </si>
  <si>
    <t>10 = SP10</t>
  </si>
  <si>
    <t>15 = SP15</t>
  </si>
  <si>
    <t>20 = SP20</t>
  </si>
  <si>
    <t>30 = SP30</t>
  </si>
  <si>
    <t>X_XXXX</t>
  </si>
  <si>
    <t>1 = L1</t>
  </si>
  <si>
    <t>2 = L2</t>
  </si>
  <si>
    <t>3 = L3</t>
  </si>
  <si>
    <t>4 = L4</t>
  </si>
  <si>
    <t>5 = L5</t>
  </si>
  <si>
    <t>6 = L6</t>
  </si>
  <si>
    <t>7 = L7</t>
  </si>
  <si>
    <t>8 = L8</t>
  </si>
  <si>
    <t>XXXXX_</t>
  </si>
  <si>
    <t>4 = V4</t>
  </si>
  <si>
    <t>7 = SE</t>
  </si>
  <si>
    <t>8 = SF</t>
  </si>
  <si>
    <t>9 = SG</t>
  </si>
  <si>
    <t>_XXXXX</t>
  </si>
  <si>
    <t>0 = CS</t>
  </si>
  <si>
    <t>V = CF</t>
  </si>
  <si>
    <t>XX_XXX</t>
  </si>
  <si>
    <t>28 = SP28</t>
  </si>
  <si>
    <t>Rated Material Number</t>
  </si>
  <si>
    <t>Identifier</t>
  </si>
  <si>
    <t>Brusatori Mat. No.</t>
  </si>
  <si>
    <t>CMAT Type Code</t>
  </si>
  <si>
    <t>00SM000-CMAT</t>
  </si>
  <si>
    <t>Configuratble Options</t>
  </si>
  <si>
    <t>071104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</si>
</sst>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&quot;€&quot;_-;\-* #,##0.00\ &quot;€&quot;_-;_-* &quot;-&quot;??\ &quot;€&quot;_-;_-@_-"/>
    <numFmt numFmtId="165" formatCode="0.0"/>
    <numFmt numFmtId="166" formatCode="0.0%"/>
    <numFmt numFmtId="167" formatCode="_-[$€-C07]\ * #,##0.00_-;\-[$€-C07]\ * #,##0.00_-;_-[$€-C07]\ * &quot;-&quot;??_-;_-@_-"/>
    <numFmt numFmtId="168" formatCode="0.0%\ &quot;SW Imax&quot;"/>
    <numFmt numFmtId="169" formatCode="0.0&quot;A&quot;"/>
    <numFmt numFmtId="170" formatCode="0&quot;s&quot;"/>
    <numFmt numFmtId="171" formatCode="&quot;ηtotal&quot;\ 0.00"/>
    <numFmt numFmtId="172" formatCode="0.00&quot;s&quot;"/>
    <numFmt numFmtId="173" formatCode="0.00\ &quot;s⁻²&quot;"/>
    <numFmt numFmtId="174" formatCode="000"/>
  </numFmts>
  <fonts count="6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 tint="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name val="Arial"/>
      <family val="2"/>
    </font>
    <font>
      <b/>
      <sz val="11"/>
      <color rgb="FF3F3F76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vertAlign val="subscript"/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8" tint="0.79998168889431442"/>
      <name val="Arial"/>
      <family val="2"/>
    </font>
    <font>
      <b/>
      <sz val="10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9" fontId="10" fillId="0" borderId="0" applyFont="0" applyFill="0" applyBorder="0" applyAlignment="0" applyProtection="0"/>
    <xf numFmtId="0" fontId="19" fillId="0" borderId="0"/>
    <xf numFmtId="164" fontId="10" fillId="0" borderId="0" applyFont="0" applyFill="0" applyBorder="0" applyAlignment="0" applyProtection="0"/>
  </cellStyleXfs>
  <cellXfs count="35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" fontId="0" fillId="0" borderId="0" xfId="0" applyNumberFormat="1"/>
    <xf numFmtId="165" fontId="0" fillId="0" borderId="3" xfId="0" applyNumberFormat="1" applyBorder="1"/>
    <xf numFmtId="14" fontId="0" fillId="0" borderId="0" xfId="0" applyNumberFormat="1"/>
    <xf numFmtId="0" fontId="12" fillId="0" borderId="0" xfId="0" applyFont="1"/>
    <xf numFmtId="0" fontId="12" fillId="0" borderId="3" xfId="0" applyFont="1" applyBorder="1"/>
    <xf numFmtId="2" fontId="0" fillId="0" borderId="3" xfId="0" applyNumberFormat="1" applyBorder="1"/>
    <xf numFmtId="0" fontId="11" fillId="0" borderId="0" xfId="0" applyFont="1"/>
    <xf numFmtId="0" fontId="0" fillId="0" borderId="3" xfId="0" applyBorder="1"/>
    <xf numFmtId="0" fontId="7" fillId="0" borderId="0" xfId="0" applyFont="1"/>
    <xf numFmtId="0" fontId="12" fillId="8" borderId="3" xfId="0" applyFont="1" applyFill="1" applyBorder="1" applyAlignment="1">
      <alignment horizontal="center"/>
    </xf>
    <xf numFmtId="10" fontId="0" fillId="0" borderId="0" xfId="4" applyNumberFormat="1" applyFont="1"/>
    <xf numFmtId="0" fontId="12" fillId="0" borderId="3" xfId="0" applyFont="1" applyBorder="1" applyAlignment="1">
      <alignment horizontal="right"/>
    </xf>
    <xf numFmtId="165" fontId="21" fillId="0" borderId="0" xfId="0" applyNumberFormat="1" applyFont="1"/>
    <xf numFmtId="0" fontId="0" fillId="0" borderId="10" xfId="0" applyBorder="1"/>
    <xf numFmtId="0" fontId="12" fillId="0" borderId="10" xfId="0" applyFont="1" applyBorder="1" applyAlignment="1">
      <alignment horizontal="right"/>
    </xf>
    <xf numFmtId="0" fontId="22" fillId="14" borderId="8" xfId="0" applyFont="1" applyFill="1" applyBorder="1" applyAlignment="1">
      <alignment horizontal="center" vertical="center"/>
    </xf>
    <xf numFmtId="0" fontId="22" fillId="14" borderId="5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left" vertical="center"/>
    </xf>
    <xf numFmtId="0" fontId="23" fillId="8" borderId="7" xfId="0" applyFont="1" applyFill="1" applyBorder="1" applyAlignment="1">
      <alignment horizontal="center" vertical="center"/>
    </xf>
    <xf numFmtId="1" fontId="23" fillId="8" borderId="11" xfId="0" applyNumberFormat="1" applyFont="1" applyFill="1" applyBorder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1" fontId="23" fillId="0" borderId="12" xfId="0" applyNumberFormat="1" applyFont="1" applyBorder="1" applyAlignment="1">
      <alignment horizontal="center" vertical="center"/>
    </xf>
    <xf numFmtId="165" fontId="23" fillId="8" borderId="12" xfId="0" applyNumberFormat="1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" fontId="23" fillId="8" borderId="12" xfId="0" applyNumberFormat="1" applyFont="1" applyFill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5" fontId="23" fillId="0" borderId="12" xfId="0" applyNumberFormat="1" applyFont="1" applyBorder="1" applyAlignment="1">
      <alignment horizontal="center" vertical="center"/>
    </xf>
    <xf numFmtId="2" fontId="25" fillId="8" borderId="9" xfId="0" applyNumberFormat="1" applyFont="1" applyFill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23" fillId="0" borderId="12" xfId="0" applyNumberFormat="1" applyFont="1" applyBorder="1" applyAlignment="1">
      <alignment horizontal="center" vertical="center"/>
    </xf>
    <xf numFmtId="2" fontId="23" fillId="8" borderId="12" xfId="0" applyNumberFormat="1" applyFont="1" applyFill="1" applyBorder="1" applyAlignment="1">
      <alignment horizontal="center" vertical="center"/>
    </xf>
    <xf numFmtId="0" fontId="25" fillId="8" borderId="9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0" fontId="23" fillId="8" borderId="10" xfId="0" applyFont="1" applyFill="1" applyBorder="1" applyAlignment="1">
      <alignment horizontal="left" vertical="center"/>
    </xf>
    <xf numFmtId="0" fontId="23" fillId="8" borderId="10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8" borderId="14" xfId="0" applyFont="1" applyFill="1" applyBorder="1" applyAlignment="1">
      <alignment horizontal="center" vertical="center"/>
    </xf>
    <xf numFmtId="166" fontId="0" fillId="0" borderId="0" xfId="4" applyNumberFormat="1" applyFont="1"/>
    <xf numFmtId="0" fontId="1" fillId="2" borderId="6" xfId="1" applyBorder="1"/>
    <xf numFmtId="165" fontId="1" fillId="2" borderId="3" xfId="1" applyNumberFormat="1" applyBorder="1"/>
    <xf numFmtId="0" fontId="29" fillId="0" borderId="0" xfId="0" applyFont="1" applyAlignment="1">
      <alignment horizontal="center"/>
    </xf>
    <xf numFmtId="0" fontId="13" fillId="0" borderId="0" xfId="0" applyFont="1" applyAlignment="1">
      <alignment vertical="top"/>
    </xf>
    <xf numFmtId="1" fontId="0" fillId="0" borderId="3" xfId="0" applyNumberFormat="1" applyBorder="1"/>
    <xf numFmtId="165" fontId="11" fillId="0" borderId="3" xfId="0" applyNumberFormat="1" applyFont="1" applyBorder="1"/>
    <xf numFmtId="0" fontId="0" fillId="0" borderId="0" xfId="0" quotePrefix="1"/>
    <xf numFmtId="165" fontId="11" fillId="8" borderId="3" xfId="0" applyNumberFormat="1" applyFont="1" applyFill="1" applyBorder="1"/>
    <xf numFmtId="0" fontId="0" fillId="0" borderId="15" xfId="0" applyBorder="1"/>
    <xf numFmtId="0" fontId="7" fillId="15" borderId="0" xfId="0" applyFont="1" applyFill="1"/>
    <xf numFmtId="0" fontId="12" fillId="0" borderId="9" xfId="0" applyFont="1" applyBorder="1" applyAlignment="1">
      <alignment horizontal="left"/>
    </xf>
    <xf numFmtId="9" fontId="0" fillId="0" borderId="0" xfId="4" applyFont="1"/>
    <xf numFmtId="0" fontId="12" fillId="0" borderId="0" xfId="0" applyFont="1" applyAlignment="1">
      <alignment horizontal="left"/>
    </xf>
    <xf numFmtId="0" fontId="20" fillId="0" borderId="0" xfId="0" applyFont="1"/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67" fontId="0" fillId="0" borderId="0" xfId="0" applyNumberFormat="1"/>
    <xf numFmtId="1" fontId="25" fillId="8" borderId="12" xfId="0" applyNumberFormat="1" applyFont="1" applyFill="1" applyBorder="1" applyAlignment="1">
      <alignment horizontal="center" vertical="center"/>
    </xf>
    <xf numFmtId="1" fontId="25" fillId="8" borderId="9" xfId="0" applyNumberFormat="1" applyFont="1" applyFill="1" applyBorder="1" applyAlignment="1">
      <alignment horizontal="center" vertical="center"/>
    </xf>
    <xf numFmtId="0" fontId="35" fillId="17" borderId="0" xfId="0" applyFont="1" applyFill="1"/>
    <xf numFmtId="0" fontId="14" fillId="0" borderId="0" xfId="0" applyFont="1"/>
    <xf numFmtId="0" fontId="12" fillId="8" borderId="10" xfId="0" applyFont="1" applyFill="1" applyBorder="1" applyAlignment="1">
      <alignment horizontal="center"/>
    </xf>
    <xf numFmtId="169" fontId="12" fillId="0" borderId="0" xfId="0" applyNumberFormat="1" applyFont="1" applyAlignment="1">
      <alignment horizontal="left"/>
    </xf>
    <xf numFmtId="0" fontId="32" fillId="0" borderId="3" xfId="0" applyFont="1" applyBorder="1"/>
    <xf numFmtId="0" fontId="12" fillId="0" borderId="3" xfId="0" applyFont="1" applyBorder="1" applyAlignment="1">
      <alignment horizontal="left"/>
    </xf>
    <xf numFmtId="0" fontId="34" fillId="0" borderId="0" xfId="0" applyFont="1"/>
    <xf numFmtId="2" fontId="28" fillId="2" borderId="3" xfId="1" applyNumberFormat="1" applyFont="1" applyBorder="1"/>
    <xf numFmtId="165" fontId="12" fillId="0" borderId="3" xfId="0" applyNumberFormat="1" applyFont="1" applyBorder="1"/>
    <xf numFmtId="166" fontId="12" fillId="0" borderId="0" xfId="4" applyNumberFormat="1" applyFont="1" applyBorder="1" applyAlignment="1">
      <alignment horizontal="right"/>
    </xf>
    <xf numFmtId="168" fontId="12" fillId="0" borderId="0" xfId="4" applyNumberFormat="1" applyFont="1"/>
    <xf numFmtId="0" fontId="0" fillId="0" borderId="0" xfId="4" applyNumberFormat="1" applyFont="1"/>
    <xf numFmtId="170" fontId="10" fillId="0" borderId="0" xfId="4" applyNumberFormat="1" applyFont="1" applyBorder="1" applyAlignment="1">
      <alignment horizontal="right"/>
    </xf>
    <xf numFmtId="0" fontId="10" fillId="0" borderId="0" xfId="0" applyFont="1"/>
    <xf numFmtId="0" fontId="0" fillId="0" borderId="0" xfId="0" applyAlignment="1">
      <alignment horizontal="left"/>
    </xf>
    <xf numFmtId="166" fontId="12" fillId="0" borderId="3" xfId="4" applyNumberFormat="1" applyFont="1" applyBorder="1"/>
    <xf numFmtId="0" fontId="12" fillId="0" borderId="4" xfId="0" applyFont="1" applyBorder="1" applyAlignment="1">
      <alignment horizontal="left"/>
    </xf>
    <xf numFmtId="167" fontId="0" fillId="0" borderId="0" xfId="6" applyNumberFormat="1" applyFont="1"/>
    <xf numFmtId="0" fontId="40" fillId="0" borderId="0" xfId="0" applyFont="1"/>
    <xf numFmtId="0" fontId="0" fillId="7" borderId="3" xfId="0" applyFill="1" applyBorder="1"/>
    <xf numFmtId="0" fontId="1" fillId="2" borderId="1" xfId="1" applyAlignment="1"/>
    <xf numFmtId="165" fontId="3" fillId="3" borderId="1" xfId="3" applyNumberFormat="1" applyAlignment="1"/>
    <xf numFmtId="2" fontId="3" fillId="3" borderId="1" xfId="3" applyNumberFormat="1"/>
    <xf numFmtId="0" fontId="43" fillId="0" borderId="3" xfId="0" applyFont="1" applyBorder="1"/>
    <xf numFmtId="0" fontId="42" fillId="0" borderId="0" xfId="0" applyFont="1"/>
    <xf numFmtId="165" fontId="23" fillId="0" borderId="0" xfId="0" applyNumberFormat="1" applyFont="1" applyAlignment="1">
      <alignment horizontal="center" vertical="center"/>
    </xf>
    <xf numFmtId="2" fontId="25" fillId="8" borderId="0" xfId="0" applyNumberFormat="1" applyFont="1" applyFill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" fontId="23" fillId="8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3" fillId="8" borderId="0" xfId="0" applyNumberFormat="1" applyFont="1" applyFill="1" applyAlignment="1">
      <alignment horizontal="center" vertical="center"/>
    </xf>
    <xf numFmtId="1" fontId="25" fillId="8" borderId="0" xfId="0" applyNumberFormat="1" applyFont="1" applyFill="1" applyAlignment="1">
      <alignment horizontal="center" vertical="center"/>
    </xf>
    <xf numFmtId="2" fontId="23" fillId="8" borderId="0" xfId="0" applyNumberFormat="1" applyFont="1" applyFill="1" applyAlignment="1">
      <alignment horizontal="center" vertical="center"/>
    </xf>
    <xf numFmtId="1" fontId="23" fillId="8" borderId="9" xfId="0" applyNumberFormat="1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165" fontId="23" fillId="8" borderId="9" xfId="0" applyNumberFormat="1" applyFont="1" applyFill="1" applyBorder="1" applyAlignment="1">
      <alignment horizontal="center" vertical="center"/>
    </xf>
    <xf numFmtId="2" fontId="23" fillId="8" borderId="9" xfId="0" applyNumberFormat="1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2" fillId="14" borderId="4" xfId="0" applyFont="1" applyFill="1" applyBorder="1" applyAlignment="1">
      <alignment horizontal="center" vertical="center"/>
    </xf>
    <xf numFmtId="2" fontId="25" fillId="8" borderId="12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12" xfId="0" applyFont="1" applyBorder="1" applyAlignment="1">
      <alignment vertical="center"/>
    </xf>
    <xf numFmtId="0" fontId="39" fillId="0" borderId="13" xfId="0" applyFont="1" applyBorder="1" applyAlignment="1">
      <alignment vertical="center"/>
    </xf>
    <xf numFmtId="0" fontId="39" fillId="0" borderId="14" xfId="0" applyFont="1" applyBorder="1" applyAlignment="1">
      <alignment vertical="center"/>
    </xf>
    <xf numFmtId="172" fontId="0" fillId="0" borderId="0" xfId="0" applyNumberFormat="1"/>
    <xf numFmtId="0" fontId="43" fillId="0" borderId="0" xfId="0" applyFont="1"/>
    <xf numFmtId="0" fontId="12" fillId="0" borderId="0" xfId="0" applyFont="1" applyAlignment="1">
      <alignment horizontal="right"/>
    </xf>
    <xf numFmtId="165" fontId="12" fillId="0" borderId="0" xfId="0" applyNumberFormat="1" applyFont="1"/>
    <xf numFmtId="0" fontId="0" fillId="0" borderId="4" xfId="0" applyBorder="1"/>
    <xf numFmtId="0" fontId="0" fillId="0" borderId="5" xfId="0" applyBorder="1"/>
    <xf numFmtId="165" fontId="4" fillId="0" borderId="3" xfId="0" applyNumberFormat="1" applyFont="1" applyBorder="1"/>
    <xf numFmtId="0" fontId="8" fillId="3" borderId="3" xfId="3" applyFont="1" applyBorder="1"/>
    <xf numFmtId="0" fontId="8" fillId="6" borderId="3" xfId="3" applyFont="1" applyFill="1" applyBorder="1"/>
    <xf numFmtId="0" fontId="8" fillId="5" borderId="3" xfId="3" applyFont="1" applyFill="1" applyBorder="1"/>
    <xf numFmtId="0" fontId="0" fillId="0" borderId="0" xfId="0" applyAlignment="1">
      <alignment vertical="center"/>
    </xf>
    <xf numFmtId="174" fontId="0" fillId="0" borderId="0" xfId="0" quotePrefix="1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74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  <xf numFmtId="174" fontId="0" fillId="0" borderId="13" xfId="0" applyNumberFormat="1" applyBorder="1" applyAlignment="1">
      <alignment vertical="center"/>
    </xf>
    <xf numFmtId="165" fontId="0" fillId="0" borderId="13" xfId="0" applyNumberFormat="1" applyBorder="1" applyAlignment="1">
      <alignment vertical="center"/>
    </xf>
    <xf numFmtId="2" fontId="0" fillId="0" borderId="13" xfId="0" applyNumberFormat="1" applyBorder="1" applyAlignment="1">
      <alignment vertical="center"/>
    </xf>
    <xf numFmtId="0" fontId="0" fillId="19" borderId="0" xfId="0" applyFill="1" applyAlignment="1">
      <alignment vertical="center"/>
    </xf>
    <xf numFmtId="2" fontId="0" fillId="19" borderId="0" xfId="0" applyNumberFormat="1" applyFill="1" applyAlignment="1">
      <alignment vertical="center"/>
    </xf>
    <xf numFmtId="0" fontId="0" fillId="23" borderId="10" xfId="0" applyFill="1" applyBorder="1" applyAlignment="1">
      <alignment horizontal="center" vertical="center" wrapText="1"/>
    </xf>
    <xf numFmtId="0" fontId="43" fillId="23" borderId="10" xfId="0" applyFont="1" applyFill="1" applyBorder="1" applyAlignment="1">
      <alignment horizontal="center" vertical="center" wrapText="1"/>
    </xf>
    <xf numFmtId="165" fontId="2" fillId="3" borderId="2" xfId="2" applyNumberFormat="1"/>
    <xf numFmtId="0" fontId="2" fillId="3" borderId="2" xfId="2"/>
    <xf numFmtId="2" fontId="29" fillId="0" borderId="21" xfId="0" applyNumberFormat="1" applyFont="1" applyBorder="1"/>
    <xf numFmtId="0" fontId="46" fillId="3" borderId="21" xfId="3" applyFont="1" applyBorder="1"/>
    <xf numFmtId="0" fontId="47" fillId="3" borderId="21" xfId="3" applyFont="1" applyBorder="1"/>
    <xf numFmtId="0" fontId="47" fillId="3" borderId="22" xfId="3" applyFont="1" applyBorder="1"/>
    <xf numFmtId="0" fontId="49" fillId="8" borderId="21" xfId="0" applyFont="1" applyFill="1" applyBorder="1" applyAlignment="1">
      <alignment horizontal="center"/>
    </xf>
    <xf numFmtId="0" fontId="49" fillId="8" borderId="22" xfId="0" applyFont="1" applyFill="1" applyBorder="1" applyAlignment="1">
      <alignment horizontal="center"/>
    </xf>
    <xf numFmtId="165" fontId="45" fillId="0" borderId="0" xfId="0" applyNumberFormat="1" applyFont="1"/>
    <xf numFmtId="1" fontId="49" fillId="0" borderId="21" xfId="0" applyNumberFormat="1" applyFont="1" applyBorder="1"/>
    <xf numFmtId="2" fontId="49" fillId="0" borderId="21" xfId="0" applyNumberFormat="1" applyFont="1" applyBorder="1"/>
    <xf numFmtId="165" fontId="49" fillId="0" borderId="22" xfId="0" applyNumberFormat="1" applyFont="1" applyBorder="1"/>
    <xf numFmtId="165" fontId="11" fillId="12" borderId="16" xfId="0" applyNumberFormat="1" applyFont="1" applyFill="1" applyBorder="1"/>
    <xf numFmtId="165" fontId="15" fillId="5" borderId="16" xfId="0" applyNumberFormat="1" applyFont="1" applyFill="1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2" fillId="0" borderId="28" xfId="0" applyFont="1" applyBorder="1" applyAlignment="1">
      <alignment horizontal="right"/>
    </xf>
    <xf numFmtId="0" fontId="0" fillId="0" borderId="28" xfId="0" applyBorder="1"/>
    <xf numFmtId="0" fontId="0" fillId="0" borderId="29" xfId="0" applyBorder="1"/>
    <xf numFmtId="9" fontId="1" fillId="2" borderId="1" xfId="1" applyNumberFormat="1"/>
    <xf numFmtId="165" fontId="0" fillId="12" borderId="21" xfId="0" applyNumberFormat="1" applyFill="1" applyBorder="1"/>
    <xf numFmtId="165" fontId="0" fillId="5" borderId="21" xfId="0" applyNumberFormat="1" applyFill="1" applyBorder="1"/>
    <xf numFmtId="165" fontId="49" fillId="5" borderId="21" xfId="0" applyNumberFormat="1" applyFont="1" applyFill="1" applyBorder="1"/>
    <xf numFmtId="2" fontId="49" fillId="5" borderId="21" xfId="0" applyNumberFormat="1" applyFont="1" applyFill="1" applyBorder="1"/>
    <xf numFmtId="165" fontId="11" fillId="5" borderId="16" xfId="0" applyNumberFormat="1" applyFont="1" applyFill="1" applyBorder="1"/>
    <xf numFmtId="2" fontId="11" fillId="5" borderId="21" xfId="0" applyNumberFormat="1" applyFont="1" applyFill="1" applyBorder="1"/>
    <xf numFmtId="165" fontId="0" fillId="5" borderId="22" xfId="0" applyNumberFormat="1" applyFill="1" applyBorder="1"/>
    <xf numFmtId="0" fontId="29" fillId="0" borderId="0" xfId="0" applyFont="1"/>
    <xf numFmtId="0" fontId="0" fillId="0" borderId="6" xfId="0" applyBorder="1"/>
    <xf numFmtId="0" fontId="12" fillId="0" borderId="6" xfId="0" applyFont="1" applyBorder="1" applyAlignment="1">
      <alignment horizontal="right"/>
    </xf>
    <xf numFmtId="0" fontId="29" fillId="0" borderId="21" xfId="0" applyFont="1" applyBorder="1"/>
    <xf numFmtId="0" fontId="50" fillId="0" borderId="21" xfId="0" applyFont="1" applyBorder="1" applyAlignment="1">
      <alignment horizontal="right"/>
    </xf>
    <xf numFmtId="165" fontId="0" fillId="0" borderId="6" xfId="0" applyNumberFormat="1" applyBorder="1"/>
    <xf numFmtId="165" fontId="0" fillId="0" borderId="10" xfId="0" applyNumberFormat="1" applyBorder="1"/>
    <xf numFmtId="165" fontId="29" fillId="0" borderId="21" xfId="0" applyNumberFormat="1" applyFont="1" applyBorder="1"/>
    <xf numFmtId="0" fontId="50" fillId="0" borderId="21" xfId="0" applyFont="1" applyBorder="1" applyAlignment="1">
      <alignment horizontal="left"/>
    </xf>
    <xf numFmtId="165" fontId="29" fillId="0" borderId="30" xfId="0" applyNumberFormat="1" applyFont="1" applyBorder="1"/>
    <xf numFmtId="0" fontId="29" fillId="0" borderId="30" xfId="0" applyFont="1" applyBorder="1"/>
    <xf numFmtId="0" fontId="50" fillId="0" borderId="30" xfId="0" applyFont="1" applyBorder="1" applyAlignment="1">
      <alignment horizontal="right"/>
    </xf>
    <xf numFmtId="0" fontId="29" fillId="0" borderId="31" xfId="0" applyFont="1" applyBorder="1"/>
    <xf numFmtId="0" fontId="50" fillId="0" borderId="31" xfId="0" applyFont="1" applyBorder="1" applyAlignment="1">
      <alignment horizontal="right"/>
    </xf>
    <xf numFmtId="165" fontId="29" fillId="0" borderId="31" xfId="0" applyNumberFormat="1" applyFont="1" applyBorder="1"/>
    <xf numFmtId="0" fontId="31" fillId="4" borderId="32" xfId="2" applyFont="1" applyFill="1" applyBorder="1"/>
    <xf numFmtId="0" fontId="42" fillId="0" borderId="23" xfId="0" applyFont="1" applyBorder="1"/>
    <xf numFmtId="0" fontId="0" fillId="0" borderId="4" xfId="0" applyBorder="1" applyAlignment="1">
      <alignment vertical="center"/>
    </xf>
    <xf numFmtId="0" fontId="12" fillId="0" borderId="5" xfId="0" applyFont="1" applyBorder="1"/>
    <xf numFmtId="0" fontId="51" fillId="0" borderId="0" xfId="0" applyFont="1"/>
    <xf numFmtId="2" fontId="51" fillId="0" borderId="0" xfId="0" applyNumberFormat="1" applyFont="1"/>
    <xf numFmtId="1" fontId="42" fillId="0" borderId="25" xfId="0" applyNumberFormat="1" applyFont="1" applyBorder="1"/>
    <xf numFmtId="1" fontId="41" fillId="3" borderId="17" xfId="3" applyNumberFormat="1" applyFont="1" applyBorder="1"/>
    <xf numFmtId="173" fontId="41" fillId="3" borderId="17" xfId="3" applyNumberFormat="1" applyFont="1" applyBorder="1"/>
    <xf numFmtId="165" fontId="3" fillId="3" borderId="19" xfId="3" applyNumberFormat="1" applyBorder="1" applyAlignment="1"/>
    <xf numFmtId="0" fontId="1" fillId="2" borderId="38" xfId="1" applyBorder="1" applyAlignment="1"/>
    <xf numFmtId="0" fontId="1" fillId="2" borderId="16" xfId="1" applyBorder="1"/>
    <xf numFmtId="165" fontId="2" fillId="3" borderId="39" xfId="2" applyNumberFormat="1" applyBorder="1"/>
    <xf numFmtId="0" fontId="7" fillId="4" borderId="8" xfId="0" applyFont="1" applyFill="1" applyBorder="1"/>
    <xf numFmtId="0" fontId="23" fillId="25" borderId="7" xfId="0" applyFont="1" applyFill="1" applyBorder="1" applyAlignment="1">
      <alignment horizontal="left" vertical="center"/>
    </xf>
    <xf numFmtId="0" fontId="23" fillId="25" borderId="7" xfId="0" applyFont="1" applyFill="1" applyBorder="1" applyAlignment="1">
      <alignment horizontal="center" vertical="center"/>
    </xf>
    <xf numFmtId="1" fontId="23" fillId="25" borderId="9" xfId="0" applyNumberFormat="1" applyFont="1" applyFill="1" applyBorder="1" applyAlignment="1">
      <alignment horizontal="center" vertical="center"/>
    </xf>
    <xf numFmtId="1" fontId="23" fillId="25" borderId="0" xfId="0" applyNumberFormat="1" applyFont="1" applyFill="1" applyAlignment="1">
      <alignment horizontal="center" vertical="center"/>
    </xf>
    <xf numFmtId="1" fontId="23" fillId="25" borderId="12" xfId="0" applyNumberFormat="1" applyFont="1" applyFill="1" applyBorder="1" applyAlignment="1">
      <alignment horizontal="center" vertical="center"/>
    </xf>
    <xf numFmtId="0" fontId="0" fillId="25" borderId="0" xfId="0" applyFill="1"/>
    <xf numFmtId="0" fontId="26" fillId="25" borderId="7" xfId="0" applyFont="1" applyFill="1" applyBorder="1" applyAlignment="1">
      <alignment horizontal="left" vertical="center"/>
    </xf>
    <xf numFmtId="0" fontId="26" fillId="25" borderId="7" xfId="0" applyFont="1" applyFill="1" applyBorder="1" applyAlignment="1">
      <alignment horizontal="center" vertical="center"/>
    </xf>
    <xf numFmtId="165" fontId="26" fillId="25" borderId="9" xfId="0" applyNumberFormat="1" applyFont="1" applyFill="1" applyBorder="1" applyAlignment="1">
      <alignment horizontal="center" vertical="center"/>
    </xf>
    <xf numFmtId="165" fontId="26" fillId="25" borderId="0" xfId="0" applyNumberFormat="1" applyFont="1" applyFill="1" applyAlignment="1">
      <alignment horizontal="center" vertical="center"/>
    </xf>
    <xf numFmtId="165" fontId="26" fillId="25" borderId="12" xfId="0" applyNumberFormat="1" applyFont="1" applyFill="1" applyBorder="1" applyAlignment="1">
      <alignment horizontal="center" vertical="center"/>
    </xf>
    <xf numFmtId="0" fontId="36" fillId="21" borderId="8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3" xfId="0" quotePrefix="1" applyBorder="1"/>
    <xf numFmtId="165" fontId="0" fillId="0" borderId="23" xfId="0" applyNumberFormat="1" applyBorder="1"/>
    <xf numFmtId="0" fontId="0" fillId="0" borderId="13" xfId="0" applyBorder="1"/>
    <xf numFmtId="0" fontId="0" fillId="0" borderId="13" xfId="0" quotePrefix="1" applyBorder="1"/>
    <xf numFmtId="165" fontId="0" fillId="0" borderId="13" xfId="0" applyNumberFormat="1" applyBorder="1"/>
    <xf numFmtId="2" fontId="0" fillId="0" borderId="13" xfId="0" applyNumberFormat="1" applyBorder="1"/>
    <xf numFmtId="2" fontId="0" fillId="0" borderId="23" xfId="0" applyNumberFormat="1" applyBorder="1"/>
    <xf numFmtId="0" fontId="0" fillId="0" borderId="3" xfId="0" applyBorder="1" applyAlignment="1">
      <alignment wrapText="1"/>
    </xf>
    <xf numFmtId="165" fontId="0" fillId="0" borderId="9" xfId="0" applyNumberFormat="1" applyBorder="1"/>
    <xf numFmtId="165" fontId="0" fillId="0" borderId="18" xfId="0" applyNumberFormat="1" applyBorder="1"/>
    <xf numFmtId="165" fontId="0" fillId="0" borderId="42" xfId="0" applyNumberFormat="1" applyBorder="1"/>
    <xf numFmtId="165" fontId="0" fillId="0" borderId="12" xfId="0" applyNumberFormat="1" applyBorder="1"/>
    <xf numFmtId="165" fontId="0" fillId="0" borderId="14" xfId="0" applyNumberFormat="1" applyBorder="1"/>
    <xf numFmtId="165" fontId="0" fillId="0" borderId="43" xfId="0" applyNumberFormat="1" applyBorder="1"/>
    <xf numFmtId="0" fontId="0" fillId="0" borderId="0" xfId="0" applyAlignment="1">
      <alignment vertical="top" wrapText="1"/>
    </xf>
    <xf numFmtId="2" fontId="1" fillId="26" borderId="20" xfId="1" applyNumberFormat="1" applyFill="1" applyBorder="1"/>
    <xf numFmtId="0" fontId="1" fillId="26" borderId="44" xfId="1" applyFill="1" applyBorder="1"/>
    <xf numFmtId="0" fontId="0" fillId="0" borderId="12" xfId="0" applyBorder="1"/>
    <xf numFmtId="0" fontId="0" fillId="0" borderId="11" xfId="0" applyBorder="1"/>
    <xf numFmtId="9" fontId="0" fillId="26" borderId="3" xfId="4" applyFont="1" applyFill="1" applyBorder="1"/>
    <xf numFmtId="0" fontId="58" fillId="14" borderId="0" xfId="0" applyFont="1" applyFill="1" applyAlignment="1">
      <alignment horizontal="center" vertical="center"/>
    </xf>
    <xf numFmtId="165" fontId="0" fillId="0" borderId="45" xfId="0" applyNumberFormat="1" applyBorder="1"/>
    <xf numFmtId="165" fontId="0" fillId="0" borderId="15" xfId="0" applyNumberFormat="1" applyBorder="1"/>
    <xf numFmtId="165" fontId="0" fillId="0" borderId="11" xfId="0" applyNumberFormat="1" applyBorder="1"/>
    <xf numFmtId="0" fontId="58" fillId="14" borderId="4" xfId="0" applyFont="1" applyFill="1" applyBorder="1" applyAlignment="1">
      <alignment horizontal="center" vertical="center"/>
    </xf>
    <xf numFmtId="0" fontId="58" fillId="14" borderId="8" xfId="0" applyFont="1" applyFill="1" applyBorder="1" applyAlignment="1">
      <alignment horizontal="center" vertical="center"/>
    </xf>
    <xf numFmtId="0" fontId="58" fillId="14" borderId="5" xfId="0" applyFont="1" applyFill="1" applyBorder="1" applyAlignment="1">
      <alignment horizontal="center" vertical="center"/>
    </xf>
    <xf numFmtId="0" fontId="22" fillId="14" borderId="9" xfId="0" applyFont="1" applyFill="1" applyBorder="1" applyAlignment="1">
      <alignment horizontal="left" vertical="center"/>
    </xf>
    <xf numFmtId="0" fontId="22" fillId="14" borderId="0" xfId="0" applyFont="1" applyFill="1" applyAlignment="1">
      <alignment horizontal="left" vertical="center"/>
    </xf>
    <xf numFmtId="0" fontId="22" fillId="14" borderId="12" xfId="0" applyFont="1" applyFill="1" applyBorder="1" applyAlignment="1">
      <alignment horizontal="left" vertical="center"/>
    </xf>
    <xf numFmtId="0" fontId="22" fillId="14" borderId="9" xfId="0" applyFont="1" applyFill="1" applyBorder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5" fillId="29" borderId="0" xfId="0" applyFont="1" applyFill="1" applyAlignment="1">
      <alignment horizontal="center" vertical="center"/>
    </xf>
    <xf numFmtId="1" fontId="23" fillId="29" borderId="0" xfId="0" applyNumberFormat="1" applyFont="1" applyFill="1" applyAlignment="1">
      <alignment horizontal="center" vertical="center"/>
    </xf>
    <xf numFmtId="0" fontId="59" fillId="30" borderId="0" xfId="0" applyFont="1" applyFill="1" applyAlignment="1">
      <alignment horizontal="right"/>
    </xf>
    <xf numFmtId="0" fontId="60" fillId="30" borderId="0" xfId="0" applyFont="1" applyFill="1" applyAlignment="1">
      <alignment horizontal="right"/>
    </xf>
    <xf numFmtId="0" fontId="52" fillId="3" borderId="3" xfId="3" applyFont="1" applyBorder="1" applyAlignment="1"/>
    <xf numFmtId="0" fontId="0" fillId="0" borderId="47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16" xfId="0" applyBorder="1"/>
    <xf numFmtId="0" fontId="0" fillId="13" borderId="48" xfId="0" applyFill="1" applyBorder="1"/>
    <xf numFmtId="0" fontId="0" fillId="13" borderId="3" xfId="0" applyFill="1" applyBorder="1"/>
    <xf numFmtId="0" fontId="0" fillId="13" borderId="28" xfId="0" applyFill="1" applyBorder="1"/>
    <xf numFmtId="0" fontId="0" fillId="13" borderId="6" xfId="0" applyFill="1" applyBorder="1"/>
    <xf numFmtId="0" fontId="0" fillId="0" borderId="48" xfId="0" applyBorder="1"/>
    <xf numFmtId="0" fontId="14" fillId="0" borderId="4" xfId="0" applyFont="1" applyBorder="1"/>
    <xf numFmtId="0" fontId="14" fillId="0" borderId="5" xfId="0" applyFont="1" applyBorder="1"/>
    <xf numFmtId="0" fontId="14" fillId="0" borderId="3" xfId="0" applyFont="1" applyBorder="1"/>
    <xf numFmtId="2" fontId="14" fillId="0" borderId="3" xfId="0" applyNumberFormat="1" applyFont="1" applyBorder="1"/>
    <xf numFmtId="165" fontId="14" fillId="0" borderId="3" xfId="0" applyNumberFormat="1" applyFont="1" applyBorder="1"/>
    <xf numFmtId="0" fontId="11" fillId="0" borderId="0" xfId="0" applyFont="1" applyAlignment="1">
      <alignment vertical="center" textRotation="90"/>
    </xf>
    <xf numFmtId="0" fontId="12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2" borderId="33" xfId="1" applyBorder="1" applyAlignment="1">
      <alignment horizontal="center"/>
    </xf>
    <xf numFmtId="0" fontId="1" fillId="2" borderId="34" xfId="1" applyBorder="1" applyAlignment="1">
      <alignment horizontal="center"/>
    </xf>
    <xf numFmtId="0" fontId="1" fillId="2" borderId="35" xfId="1" applyBorder="1" applyAlignment="1">
      <alignment horizontal="center"/>
    </xf>
    <xf numFmtId="0" fontId="0" fillId="0" borderId="3" xfId="0" applyBorder="1" applyAlignment="1">
      <alignment horizontal="left"/>
    </xf>
    <xf numFmtId="0" fontId="11" fillId="24" borderId="32" xfId="0" applyFont="1" applyFill="1" applyBorder="1" applyAlignment="1">
      <alignment horizontal="left"/>
    </xf>
    <xf numFmtId="0" fontId="11" fillId="24" borderId="36" xfId="0" applyFont="1" applyFill="1" applyBorder="1" applyAlignment="1">
      <alignment horizontal="left"/>
    </xf>
    <xf numFmtId="0" fontId="11" fillId="24" borderId="37" xfId="0" applyFont="1" applyFill="1" applyBorder="1" applyAlignment="1">
      <alignment horizontal="left"/>
    </xf>
    <xf numFmtId="0" fontId="0" fillId="9" borderId="3" xfId="0" applyFill="1" applyBorder="1" applyAlignment="1">
      <alignment horizontal="center" vertical="center" textRotation="90"/>
    </xf>
    <xf numFmtId="0" fontId="7" fillId="13" borderId="3" xfId="0" applyFont="1" applyFill="1" applyBorder="1" applyAlignment="1">
      <alignment horizontal="left"/>
    </xf>
    <xf numFmtId="0" fontId="7" fillId="12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right"/>
    </xf>
    <xf numFmtId="0" fontId="0" fillId="12" borderId="21" xfId="0" applyFill="1" applyBorder="1" applyAlignment="1">
      <alignment horizontal="right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38" fillId="0" borderId="0" xfId="0" applyFont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7" fillId="11" borderId="3" xfId="0" applyFont="1" applyFill="1" applyBorder="1" applyAlignment="1">
      <alignment horizontal="center"/>
    </xf>
    <xf numFmtId="0" fontId="31" fillId="4" borderId="4" xfId="2" applyFont="1" applyFill="1" applyBorder="1" applyAlignment="1">
      <alignment horizontal="center"/>
    </xf>
    <xf numFmtId="0" fontId="31" fillId="4" borderId="8" xfId="2" applyFont="1" applyFill="1" applyBorder="1" applyAlignment="1">
      <alignment horizontal="center"/>
    </xf>
    <xf numFmtId="0" fontId="31" fillId="4" borderId="5" xfId="2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71" fontId="41" fillId="3" borderId="19" xfId="3" applyNumberFormat="1" applyFont="1" applyBorder="1" applyAlignment="1">
      <alignment horizontal="center" vertical="center" wrapText="1"/>
    </xf>
    <xf numFmtId="171" fontId="41" fillId="3" borderId="20" xfId="3" applyNumberFormat="1" applyFont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/>
    </xf>
    <xf numFmtId="0" fontId="0" fillId="0" borderId="46" xfId="0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7" fillId="4" borderId="4" xfId="0" applyFont="1" applyFill="1" applyBorder="1" applyAlignment="1">
      <alignment horizontal="center"/>
    </xf>
    <xf numFmtId="0" fontId="52" fillId="3" borderId="4" xfId="3" applyFont="1" applyBorder="1" applyAlignment="1">
      <alignment horizontal="center"/>
    </xf>
    <xf numFmtId="0" fontId="52" fillId="3" borderId="8" xfId="3" applyFont="1" applyBorder="1" applyAlignment="1">
      <alignment horizontal="center"/>
    </xf>
    <xf numFmtId="0" fontId="52" fillId="3" borderId="5" xfId="3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2" borderId="40" xfId="1" applyBorder="1" applyAlignment="1">
      <alignment horizontal="center" wrapText="1"/>
    </xf>
    <xf numFmtId="0" fontId="1" fillId="2" borderId="35" xfId="1" applyBorder="1" applyAlignment="1">
      <alignment horizontal="center" wrapText="1"/>
    </xf>
    <xf numFmtId="0" fontId="0" fillId="9" borderId="6" xfId="0" applyFill="1" applyBorder="1" applyAlignment="1">
      <alignment horizontal="center" vertical="center" textRotation="90"/>
    </xf>
    <xf numFmtId="0" fontId="0" fillId="9" borderId="7" xfId="0" applyFill="1" applyBorder="1" applyAlignment="1">
      <alignment horizontal="center" vertical="center" textRotation="90"/>
    </xf>
    <xf numFmtId="0" fontId="0" fillId="9" borderId="10" xfId="0" applyFill="1" applyBorder="1" applyAlignment="1">
      <alignment horizontal="center" vertical="center" textRotation="90"/>
    </xf>
    <xf numFmtId="0" fontId="11" fillId="0" borderId="46" xfId="0" applyFont="1" applyBorder="1" applyAlignment="1">
      <alignment horizontal="center" vertical="center" textRotation="90"/>
    </xf>
    <xf numFmtId="0" fontId="11" fillId="0" borderId="50" xfId="0" applyFont="1" applyBorder="1" applyAlignment="1">
      <alignment horizontal="center" vertical="center" textRotation="90"/>
    </xf>
    <xf numFmtId="0" fontId="11" fillId="0" borderId="38" xfId="0" applyFont="1" applyBorder="1" applyAlignment="1">
      <alignment horizontal="center" vertical="center" textRotation="90"/>
    </xf>
    <xf numFmtId="0" fontId="0" fillId="0" borderId="8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27" borderId="4" xfId="0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0" fillId="27" borderId="5" xfId="0" applyFill="1" applyBorder="1" applyAlignment="1">
      <alignment horizontal="center"/>
    </xf>
    <xf numFmtId="0" fontId="11" fillId="0" borderId="3" xfId="0" applyFont="1" applyBorder="1" applyAlignment="1">
      <alignment horizontal="right"/>
    </xf>
    <xf numFmtId="0" fontId="36" fillId="10" borderId="4" xfId="0" applyFont="1" applyFill="1" applyBorder="1" applyAlignment="1">
      <alignment horizontal="center" vertical="center"/>
    </xf>
    <xf numFmtId="0" fontId="36" fillId="10" borderId="8" xfId="0" applyFont="1" applyFill="1" applyBorder="1" applyAlignment="1">
      <alignment horizontal="center" vertical="center"/>
    </xf>
    <xf numFmtId="0" fontId="36" fillId="10" borderId="5" xfId="0" applyFont="1" applyFill="1" applyBorder="1" applyAlignment="1">
      <alignment horizontal="center" vertical="center"/>
    </xf>
    <xf numFmtId="0" fontId="36" fillId="20" borderId="4" xfId="0" applyFont="1" applyFill="1" applyBorder="1" applyAlignment="1">
      <alignment horizontal="center" vertical="center"/>
    </xf>
    <xf numFmtId="0" fontId="36" fillId="20" borderId="8" xfId="0" applyFont="1" applyFill="1" applyBorder="1" applyAlignment="1">
      <alignment horizontal="center" vertical="center"/>
    </xf>
    <xf numFmtId="0" fontId="36" fillId="20" borderId="5" xfId="0" applyFont="1" applyFill="1" applyBorder="1" applyAlignment="1">
      <alignment horizontal="center" vertical="center"/>
    </xf>
    <xf numFmtId="0" fontId="36" fillId="12" borderId="4" xfId="0" applyFont="1" applyFill="1" applyBorder="1" applyAlignment="1">
      <alignment horizontal="center" vertical="center"/>
    </xf>
    <xf numFmtId="0" fontId="36" fillId="12" borderId="8" xfId="0" applyFont="1" applyFill="1" applyBorder="1" applyAlignment="1">
      <alignment horizontal="center" vertical="center"/>
    </xf>
    <xf numFmtId="0" fontId="36" fillId="12" borderId="5" xfId="0" applyFont="1" applyFill="1" applyBorder="1" applyAlignment="1">
      <alignment horizontal="center" vertical="center"/>
    </xf>
    <xf numFmtId="0" fontId="36" fillId="28" borderId="4" xfId="0" applyFont="1" applyFill="1" applyBorder="1" applyAlignment="1">
      <alignment horizontal="center" vertical="center"/>
    </xf>
    <xf numFmtId="0" fontId="36" fillId="28" borderId="8" xfId="0" applyFont="1" applyFill="1" applyBorder="1" applyAlignment="1">
      <alignment horizontal="center" vertical="center"/>
    </xf>
    <xf numFmtId="0" fontId="36" fillId="28" borderId="5" xfId="0" applyFont="1" applyFill="1" applyBorder="1" applyAlignment="1">
      <alignment horizontal="center" vertical="center"/>
    </xf>
    <xf numFmtId="0" fontId="36" fillId="21" borderId="4" xfId="0" applyFont="1" applyFill="1" applyBorder="1" applyAlignment="1">
      <alignment horizontal="center" vertical="center"/>
    </xf>
    <xf numFmtId="0" fontId="36" fillId="21" borderId="8" xfId="0" applyFont="1" applyFill="1" applyBorder="1" applyAlignment="1">
      <alignment horizontal="center" vertical="center"/>
    </xf>
    <xf numFmtId="0" fontId="36" fillId="21" borderId="5" xfId="0" applyFont="1" applyFill="1" applyBorder="1" applyAlignment="1">
      <alignment horizontal="center" vertical="center"/>
    </xf>
    <xf numFmtId="0" fontId="36" fillId="22" borderId="4" xfId="0" applyFont="1" applyFill="1" applyBorder="1" applyAlignment="1">
      <alignment horizontal="center" vertical="center"/>
    </xf>
    <xf numFmtId="0" fontId="36" fillId="22" borderId="8" xfId="0" applyFont="1" applyFill="1" applyBorder="1" applyAlignment="1">
      <alignment horizontal="center" vertical="center"/>
    </xf>
    <xf numFmtId="0" fontId="36" fillId="22" borderId="5" xfId="0" applyFont="1" applyFill="1" applyBorder="1" applyAlignment="1">
      <alignment horizontal="center" vertical="center"/>
    </xf>
    <xf numFmtId="0" fontId="36" fillId="18" borderId="4" xfId="0" applyFont="1" applyFill="1" applyBorder="1" applyAlignment="1">
      <alignment horizontal="center" vertical="center"/>
    </xf>
    <xf numFmtId="0" fontId="36" fillId="18" borderId="8" xfId="0" applyFont="1" applyFill="1" applyBorder="1" applyAlignment="1">
      <alignment horizontal="center" vertical="center"/>
    </xf>
    <xf numFmtId="0" fontId="36" fillId="18" borderId="5" xfId="0" applyFont="1" applyFill="1" applyBorder="1" applyAlignment="1">
      <alignment horizontal="center" vertical="center"/>
    </xf>
    <xf numFmtId="0" fontId="36" fillId="16" borderId="4" xfId="0" applyFont="1" applyFill="1" applyBorder="1" applyAlignment="1">
      <alignment horizontal="center" vertical="center"/>
    </xf>
    <xf numFmtId="0" fontId="36" fillId="16" borderId="8" xfId="0" applyFont="1" applyFill="1" applyBorder="1" applyAlignment="1">
      <alignment horizontal="center" vertical="center"/>
    </xf>
    <xf numFmtId="0" fontId="36" fillId="16" borderId="5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0" fontId="36" fillId="5" borderId="8" xfId="0" applyFont="1" applyFill="1" applyBorder="1" applyAlignment="1">
      <alignment horizontal="center" vertical="center"/>
    </xf>
    <xf numFmtId="0" fontId="36" fillId="5" borderId="5" xfId="0" applyFont="1" applyFill="1" applyBorder="1" applyAlignment="1">
      <alignment horizontal="center" vertical="center"/>
    </xf>
    <xf numFmtId="0" fontId="22" fillId="14" borderId="4" xfId="0" applyFont="1" applyFill="1" applyBorder="1" applyAlignment="1">
      <alignment horizontal="left" vertical="center"/>
    </xf>
    <xf numFmtId="0" fontId="22" fillId="14" borderId="8" xfId="0" applyFont="1" applyFill="1" applyBorder="1" applyAlignment="1">
      <alignment horizontal="left" vertical="center"/>
    </xf>
    <xf numFmtId="0" fontId="22" fillId="14" borderId="5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9" borderId="0" xfId="0" applyFill="1"/>
    <xf numFmtId="0" fontId="0" fillId="9" borderId="0" xfId="0" quotePrefix="1" applyFill="1"/>
    <xf numFmtId="0" fontId="0" fillId="9" borderId="0" xfId="0" quotePrefix="1" applyFont="1" applyFill="1"/>
  </cellXfs>
  <cellStyles count="7">
    <cellStyle name="Calculation" xfId="3" builtinId="22"/>
    <cellStyle name="Currency" xfId="6" builtinId="4"/>
    <cellStyle name="Input" xfId="1" builtinId="20"/>
    <cellStyle name="Normal" xfId="0" builtinId="0"/>
    <cellStyle name="Output" xfId="2" builtinId="21"/>
    <cellStyle name="Percent" xfId="4" builtinId="5"/>
    <cellStyle name="Standard 2" xfId="5" xr:uid="{00000000-0005-0000-0000-000005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 val="0"/>
        <i/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63BE7B"/>
        </patternFill>
      </fill>
    </dxf>
    <dxf>
      <font>
        <color auto="1"/>
      </font>
      <fill>
        <patternFill>
          <bgColor rgb="FF63BE7B"/>
        </patternFill>
      </fill>
    </dxf>
    <dxf>
      <font>
        <color auto="1"/>
      </font>
      <fill>
        <patternFill>
          <bgColor rgb="FF63BE7B"/>
        </patternFill>
      </fill>
    </dxf>
    <dxf>
      <font>
        <color auto="1"/>
      </font>
      <fill>
        <patternFill>
          <bgColor rgb="FF63BE7B"/>
        </patternFill>
      </fill>
    </dxf>
    <dxf>
      <font>
        <b/>
        <i val="0"/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165" formatCode="0.0"/>
    </dxf>
    <dxf>
      <numFmt numFmtId="165" formatCode="0.0"/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175" formatCode="dd/mm/yyyy"/>
    </dxf>
    <dxf>
      <numFmt numFmtId="175" formatCode="dd/mm/yyyy"/>
    </dxf>
    <dxf>
      <numFmt numFmtId="167" formatCode="_-[$€-C07]\ * #,##0.00_-;\-[$€-C07]\ * #,##0.00_-;_-[$€-C07]\ 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[$€-C07]\ * #,##0.00_-;\-[$€-C07]\ * #,##0.00_-;_-[$€-C07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74" formatCode="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  <color rgb="FFFF0000"/>
      <color rgb="FFFFCCFF"/>
      <color rgb="FFFFEB84"/>
      <color rgb="FF63BE7B"/>
      <color rgb="FF33CC33"/>
      <color rgb="FFFF99FF"/>
      <color rgb="FFFF7C80"/>
      <color rgb="FF00DA63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200"/>
              <a:t>Machine cycle</a:t>
            </a:r>
          </a:p>
        </c:rich>
      </c:tx>
      <c:layout>
        <c:manualLayout>
          <c:xMode val="edge"/>
          <c:yMode val="edge"/>
          <c:x val="0.42431874914718237"/>
          <c:y val="2.376445954557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72618888740604E-2"/>
          <c:y val="0.12558358657775506"/>
          <c:w val="0.8659812269229058"/>
          <c:h val="0.65264328050132925"/>
        </c:manualLayout>
      </c:layout>
      <c:scatterChart>
        <c:scatterStyle val="lineMarker"/>
        <c:varyColors val="0"/>
        <c:ser>
          <c:idx val="0"/>
          <c:order val="0"/>
          <c:tx>
            <c:v>Pressure [bar]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H$22,InjectionMoldingMachine!$H$23,InjectionMoldingMachine!$H$23,InjectionMoldingMachine!$H$24,InjectionMoldingMachine!$H$24,InjectionMoldingMachine!$H$25,InjectionMoldingMachine!$H$25,InjectionMoldingMachine!$H$26,InjectionMoldingMachine!$H$26,InjectionMoldingMachine!$H$27,InjectionMoldingMachine!$H$27,InjectionMoldingMachine!$H$28,InjectionMoldingMachine!$H$28,InjectionMoldingMachine!$H$29,InjectionMoldingMachine!$H$29,InjectionMoldingMachine!$H$30,InjectionMoldingMachine!$H$30,InjectionMoldingMachine!$H$31,InjectionMoldingMachine!$H$31,InjectionMoldingMachine!$H$32,InjectionMoldingMachine!$H$32,InjectionMoldingMachine!$H$33,InjectionMoldingMachine!$H$33)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24</c:v>
                </c:pt>
                <c:pt idx="6">
                  <c:v>24</c:v>
                </c:pt>
                <c:pt idx="7">
                  <c:v>25.333333333333332</c:v>
                </c:pt>
                <c:pt idx="8">
                  <c:v>25.333333333333332</c:v>
                </c:pt>
                <c:pt idx="9">
                  <c:v>30.333333333333332</c:v>
                </c:pt>
                <c:pt idx="10">
                  <c:v>30.333333333333332</c:v>
                </c:pt>
                <c:pt idx="11">
                  <c:v>30.333333333333332</c:v>
                </c:pt>
                <c:pt idx="12">
                  <c:v>30.333333333333332</c:v>
                </c:pt>
                <c:pt idx="13">
                  <c:v>31.333333333333332</c:v>
                </c:pt>
                <c:pt idx="14">
                  <c:v>31.333333333333332</c:v>
                </c:pt>
                <c:pt idx="15">
                  <c:v>32.333333333333329</c:v>
                </c:pt>
                <c:pt idx="16">
                  <c:v>32.333333333333329</c:v>
                </c:pt>
                <c:pt idx="17">
                  <c:v>32.333333333333329</c:v>
                </c:pt>
                <c:pt idx="18">
                  <c:v>32.333333333333329</c:v>
                </c:pt>
                <c:pt idx="19">
                  <c:v>32.333333333333329</c:v>
                </c:pt>
                <c:pt idx="20">
                  <c:v>32.333333333333329</c:v>
                </c:pt>
                <c:pt idx="21">
                  <c:v>32.333333333333329</c:v>
                </c:pt>
                <c:pt idx="22">
                  <c:v>32.333333333333329</c:v>
                </c:pt>
              </c:numCache>
            </c:numRef>
          </c:xVal>
          <c:yVal>
            <c:numRef>
              <c:f>(InjectionMoldingMachine!$E$22,InjectionMoldingMachine!$E$22,InjectionMoldingMachine!$E$23,InjectionMoldingMachine!$E$23,InjectionMoldingMachine!$E$24,InjectionMoldingMachine!$E$24,InjectionMoldingMachine!$E$25,InjectionMoldingMachine!$E$25,InjectionMoldingMachine!$E$26,InjectionMoldingMachine!$E$26,InjectionMoldingMachine!$E$27,InjectionMoldingMachine!$E$27,InjectionMoldingMachine!$E$28,InjectionMoldingMachine!$E$28,InjectionMoldingMachine!$E$29,InjectionMoldingMachine!$E$29,InjectionMoldingMachine!$E$30,InjectionMoldingMachine!$E$30,InjectionMoldingMachine!$E$31,InjectionMoldingMachine!$E$31,InjectionMoldingMachine!$E$32,InjectionMoldingMachine!$E$32,InjectionMoldingMachine!$E$33,InjectionMoldingMachine!$E$33)</c:f>
              <c:numCache>
                <c:formatCode>General</c:formatCode>
                <c:ptCount val="24"/>
                <c:pt idx="0">
                  <c:v>181</c:v>
                </c:pt>
                <c:pt idx="1">
                  <c:v>181</c:v>
                </c:pt>
                <c:pt idx="2">
                  <c:v>34.482758620689658</c:v>
                </c:pt>
                <c:pt idx="3">
                  <c:v>34.482758620689658</c:v>
                </c:pt>
                <c:pt idx="4">
                  <c:v>34.482758620689658</c:v>
                </c:pt>
                <c:pt idx="5">
                  <c:v>34.482758620689658</c:v>
                </c:pt>
                <c:pt idx="6">
                  <c:v>34.482758620689658</c:v>
                </c:pt>
                <c:pt idx="7">
                  <c:v>34.482758620689658</c:v>
                </c:pt>
                <c:pt idx="8">
                  <c:v>34.482758620689658</c:v>
                </c:pt>
                <c:pt idx="9">
                  <c:v>34.482758620689658</c:v>
                </c:pt>
                <c:pt idx="10">
                  <c:v>0</c:v>
                </c:pt>
                <c:pt idx="11">
                  <c:v>0</c:v>
                </c:pt>
                <c:pt idx="12">
                  <c:v>68.965517241379317</c:v>
                </c:pt>
                <c:pt idx="13">
                  <c:v>68.965517241379317</c:v>
                </c:pt>
                <c:pt idx="14">
                  <c:v>68.965517241379317</c:v>
                </c:pt>
                <c:pt idx="15">
                  <c:v>68.965517241379317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E-444A-851F-84612C0472D7}"/>
            </c:ext>
          </c:extLst>
        </c:ser>
        <c:ser>
          <c:idx val="1"/>
          <c:order val="1"/>
          <c:tx>
            <c:v>Speed [lpm]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H$22,InjectionMoldingMachine!$H$23,InjectionMoldingMachine!$H$23,InjectionMoldingMachine!$H$24,InjectionMoldingMachine!$H$24,InjectionMoldingMachine!$H$25,InjectionMoldingMachine!$H$25,InjectionMoldingMachine!$H$26,InjectionMoldingMachine!$H$26,InjectionMoldingMachine!$H$27,InjectionMoldingMachine!$H$27,InjectionMoldingMachine!$H$28,InjectionMoldingMachine!$H$28,InjectionMoldingMachine!$H$29,InjectionMoldingMachine!$H$29,InjectionMoldingMachine!$H$30,InjectionMoldingMachine!$H$30,InjectionMoldingMachine!$H$31,InjectionMoldingMachine!$H$31,InjectionMoldingMachine!$H$32,InjectionMoldingMachine!$H$32,InjectionMoldingMachine!$H$33,InjectionMoldingMachine!$H$33)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24</c:v>
                </c:pt>
                <c:pt idx="6">
                  <c:v>24</c:v>
                </c:pt>
                <c:pt idx="7">
                  <c:v>25.333333333333332</c:v>
                </c:pt>
                <c:pt idx="8">
                  <c:v>25.333333333333332</c:v>
                </c:pt>
                <c:pt idx="9">
                  <c:v>30.333333333333332</c:v>
                </c:pt>
                <c:pt idx="10">
                  <c:v>30.333333333333332</c:v>
                </c:pt>
                <c:pt idx="11">
                  <c:v>30.333333333333332</c:v>
                </c:pt>
                <c:pt idx="12">
                  <c:v>30.333333333333332</c:v>
                </c:pt>
                <c:pt idx="13">
                  <c:v>31.333333333333332</c:v>
                </c:pt>
                <c:pt idx="14">
                  <c:v>31.333333333333332</c:v>
                </c:pt>
                <c:pt idx="15">
                  <c:v>32.333333333333329</c:v>
                </c:pt>
                <c:pt idx="16">
                  <c:v>32.333333333333329</c:v>
                </c:pt>
                <c:pt idx="17">
                  <c:v>32.333333333333329</c:v>
                </c:pt>
                <c:pt idx="18">
                  <c:v>32.333333333333329</c:v>
                </c:pt>
                <c:pt idx="19">
                  <c:v>32.333333333333329</c:v>
                </c:pt>
                <c:pt idx="20">
                  <c:v>32.333333333333329</c:v>
                </c:pt>
                <c:pt idx="21">
                  <c:v>32.333333333333329</c:v>
                </c:pt>
                <c:pt idx="22">
                  <c:v>32.333333333333329</c:v>
                </c:pt>
              </c:numCache>
            </c:numRef>
          </c:xVal>
          <c:yVal>
            <c:numRef>
              <c:f>(InjectionMoldingMachine!$G$22,InjectionMoldingMachine!$G$22,InjectionMoldingMachine!$G$23,InjectionMoldingMachine!$G$23,InjectionMoldingMachine!$G$24,InjectionMoldingMachine!$G$24,InjectionMoldingMachine!$G$25,InjectionMoldingMachine!$G$25,InjectionMoldingMachine!$G$26,InjectionMoldingMachine!$G$26,InjectionMoldingMachine!$G$27,InjectionMoldingMachine!$G$27,InjectionMoldingMachine!$G$28,InjectionMoldingMachine!$G$28,InjectionMoldingMachine!$G$29,InjectionMoldingMachine!$G$29,InjectionMoldingMachine!$G$30,InjectionMoldingMachine!$G$30,InjectionMoldingMachine!$G$31,InjectionMoldingMachine!$G$31,InjectionMoldingMachine!$G$32,InjectionMoldingMachine!$G$32,InjectionMoldingMachine!$G$33,InjectionMoldingMachine!$G$33)</c:f>
              <c:numCache>
                <c:formatCode>0.0</c:formatCode>
                <c:ptCount val="24"/>
                <c:pt idx="0">
                  <c:v>25.676388088307498</c:v>
                </c:pt>
                <c:pt idx="1">
                  <c:v>25.676388088307498</c:v>
                </c:pt>
                <c:pt idx="2">
                  <c:v>24.324999241554469</c:v>
                </c:pt>
                <c:pt idx="3">
                  <c:v>24.324999241554469</c:v>
                </c:pt>
                <c:pt idx="4">
                  <c:v>0</c:v>
                </c:pt>
                <c:pt idx="5">
                  <c:v>0</c:v>
                </c:pt>
                <c:pt idx="6">
                  <c:v>21.284374336360163</c:v>
                </c:pt>
                <c:pt idx="7">
                  <c:v>21.284374336360163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7.8187497562139354</c:v>
                </c:pt>
                <c:pt idx="13">
                  <c:v>7.8187497562139354</c:v>
                </c:pt>
                <c:pt idx="14">
                  <c:v>7.8187497562139354</c:v>
                </c:pt>
                <c:pt idx="15">
                  <c:v>7.8187497562139354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FE-444A-851F-84612C0472D7}"/>
            </c:ext>
          </c:extLst>
        </c:ser>
        <c:ser>
          <c:idx val="3"/>
          <c:order val="3"/>
          <c:tx>
            <c:v>Eff. Pressure [bar]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(InjectionMoldingMachine!$H$21,InjectionMoldingMachine!$H$33)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32.333333333333329</c:v>
                </c:pt>
              </c:numCache>
            </c:numRef>
          </c:xVal>
          <c:yVal>
            <c:numRef>
              <c:f>(InjectionMoldingMachine!$E$36,InjectionMoldingMachine!$E$36)</c:f>
              <c:numCache>
                <c:formatCode>0.0</c:formatCode>
                <c:ptCount val="2"/>
                <c:pt idx="0">
                  <c:v>57.988055114479323</c:v>
                </c:pt>
                <c:pt idx="1">
                  <c:v>57.988055114479323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0-4321-BB2C-CD2B245B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73784"/>
        <c:axId val="535974440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65628256"/>
        <c:axId val="9656367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Power [kW]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(InjectionMoldingMachine!$H$22,InjectionMoldingMachine!$H$23,InjectionMoldingMachine!$H$23,InjectionMoldingMachine!$H$24,InjectionMoldingMachine!$H$24,InjectionMoldingMachine!$H$25,InjectionMoldingMachine!$H$25,InjectionMoldingMachine!$H$26,InjectionMoldingMachine!$H$26,InjectionMoldingMachine!$H$27,InjectionMoldingMachine!$H$27,InjectionMoldingMachine!$H$28,InjectionMoldingMachine!$H$28,InjectionMoldingMachine!$H$29,InjectionMoldingMachine!$H$29,InjectionMoldingMachine!$H$30,InjectionMoldingMachine!$H$30,InjectionMoldingMachine!$H$31,InjectionMoldingMachine!$H$31,InjectionMoldingMachine!$H$32,InjectionMoldingMachine!$H$32,InjectionMoldingMachine!$H$33,InjectionMoldingMachine!$H$33)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25.333333333333332</c:v>
                      </c:pt>
                      <c:pt idx="8">
                        <c:v>25.333333333333332</c:v>
                      </c:pt>
                      <c:pt idx="9">
                        <c:v>30.333333333333332</c:v>
                      </c:pt>
                      <c:pt idx="10">
                        <c:v>30.333333333333332</c:v>
                      </c:pt>
                      <c:pt idx="11">
                        <c:v>30.333333333333332</c:v>
                      </c:pt>
                      <c:pt idx="12">
                        <c:v>30.333333333333332</c:v>
                      </c:pt>
                      <c:pt idx="13">
                        <c:v>31.333333333333332</c:v>
                      </c:pt>
                      <c:pt idx="14">
                        <c:v>31.333333333333332</c:v>
                      </c:pt>
                      <c:pt idx="15">
                        <c:v>32.333333333333329</c:v>
                      </c:pt>
                      <c:pt idx="16">
                        <c:v>32.333333333333329</c:v>
                      </c:pt>
                      <c:pt idx="17">
                        <c:v>32.333333333333329</c:v>
                      </c:pt>
                      <c:pt idx="18">
                        <c:v>32.333333333333329</c:v>
                      </c:pt>
                      <c:pt idx="19">
                        <c:v>32.333333333333329</c:v>
                      </c:pt>
                      <c:pt idx="20">
                        <c:v>32.333333333333329</c:v>
                      </c:pt>
                      <c:pt idx="21">
                        <c:v>32.333333333333329</c:v>
                      </c:pt>
                      <c:pt idx="22">
                        <c:v>32.333333333333329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InjectionMoldingMachine!$AA$22,InjectionMoldingMachine!$AA$22,InjectionMoldingMachine!$AA$23,InjectionMoldingMachine!$AA$23,InjectionMoldingMachine!$AA$24,InjectionMoldingMachine!$AA$24,InjectionMoldingMachine!$AA$25,InjectionMoldingMachine!$AA$25,InjectionMoldingMachine!$AA$26,InjectionMoldingMachine!$AA$26,InjectionMoldingMachine!$AA$27,InjectionMoldingMachine!$AA$27,InjectionMoldingMachine!$AA$28,InjectionMoldingMachine!$AA$28,InjectionMoldingMachine!$AA$29,InjectionMoldingMachine!$AA$29,InjectionMoldingMachine!$AA$30,InjectionMoldingMachine!$AA$30,InjectionMoldingMachine!$AA$31,InjectionMoldingMachine!$AA$31,InjectionMoldingMachine!$AA$32,InjectionMoldingMachine!$AA$32,InjectionMoldingMachine!$AA$33,InjectionMoldingMachine!$AA$33)</c15:sqref>
                        </c15:formulaRef>
                      </c:ext>
                    </c:extLst>
                    <c:numCache>
                      <c:formatCode>0.0</c:formatCode>
                      <c:ptCount val="24"/>
                      <c:pt idx="0">
                        <c:v>9.0011627893225423</c:v>
                      </c:pt>
                      <c:pt idx="1">
                        <c:v>9.0011627893225423</c:v>
                      </c:pt>
                      <c:pt idx="2">
                        <c:v>1.8893100248977965</c:v>
                      </c:pt>
                      <c:pt idx="3">
                        <c:v>1.8893100248977965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1.6468791740401247</c:v>
                      </c:pt>
                      <c:pt idx="7">
                        <c:v>1.6468791740401247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1.0937031544268576</c:v>
                      </c:pt>
                      <c:pt idx="13">
                        <c:v>1.0937031544268576</c:v>
                      </c:pt>
                      <c:pt idx="14">
                        <c:v>1.1553351341134022</c:v>
                      </c:pt>
                      <c:pt idx="15">
                        <c:v>1.1553351341134022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FFE-444A-851F-84612C0472D7}"/>
                  </c:ext>
                </c:extLst>
              </c15:ser>
            </c15:filteredScatterSeries>
          </c:ext>
        </c:extLst>
      </c:scatterChart>
      <c:valAx>
        <c:axId val="53597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74440"/>
        <c:crosses val="autoZero"/>
        <c:crossBetween val="midCat"/>
      </c:valAx>
      <c:valAx>
        <c:axId val="5359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73784"/>
        <c:crosses val="autoZero"/>
        <c:crossBetween val="midCat"/>
      </c:valAx>
      <c:valAx>
        <c:axId val="96563678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28256"/>
        <c:crosses val="max"/>
        <c:crossBetween val="midCat"/>
      </c:valAx>
      <c:valAx>
        <c:axId val="965628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96563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100"/>
              <a:t>Motor characteristic</a:t>
            </a:r>
          </a:p>
        </c:rich>
      </c:tx>
      <c:layout>
        <c:manualLayout>
          <c:xMode val="edge"/>
          <c:yMode val="edge"/>
          <c:x val="0.35836058954169192"/>
          <c:y val="1.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7474196844277"/>
          <c:y val="0.112"/>
          <c:w val="0.8090002386065378"/>
          <c:h val="0.70984902887139112"/>
        </c:manualLayout>
      </c:layout>
      <c:scatterChart>
        <c:scatterStyle val="lineMarker"/>
        <c:varyColors val="0"/>
        <c:ser>
          <c:idx val="0"/>
          <c:order val="0"/>
          <c:tx>
            <c:v>M (S1)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(InjectionMoldingMachine!$D$61,InjectionMoldingMachine!$E$61)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(InjectionMoldingMachine!$E$58,InjectionMoldingMachine!$E$60)</c:f>
              <c:numCache>
                <c:formatCode>0.0</c:formatCode>
                <c:ptCount val="2"/>
                <c:pt idx="0">
                  <c:v>22</c:v>
                </c:pt>
                <c:pt idx="1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6-4DF1-9423-B3438BB52539}"/>
            </c:ext>
          </c:extLst>
        </c:ser>
        <c:ser>
          <c:idx val="1"/>
          <c:order val="1"/>
          <c:tx>
            <c:v>Mpeak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(InjectionMoldingMachine!$D$61,InjectionMoldingMachine!$E$61)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(InjectionMoldingMachine!$E$62,InjectionMoldingMachine!$E$62)</c:f>
              <c:numCache>
                <c:formatCode>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C-4331-A8DB-8984ADE9AD13}"/>
            </c:ext>
          </c:extLst>
        </c:ser>
        <c:ser>
          <c:idx val="2"/>
          <c:order val="2"/>
          <c:tx>
            <c:v>Eff. operation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InjectionMoldingMachine!$E$43</c:f>
              <c:numCache>
                <c:formatCode>0.0</c:formatCode>
                <c:ptCount val="1"/>
                <c:pt idx="0">
                  <c:v>439.40115252168602</c:v>
                </c:pt>
              </c:numCache>
            </c:numRef>
          </c:xVal>
          <c:yVal>
            <c:numRef>
              <c:f>InjectionMoldingMachine!$E$45</c:f>
              <c:numCache>
                <c:formatCode>0.0</c:formatCode>
                <c:ptCount val="1"/>
                <c:pt idx="0">
                  <c:v>12.027906139667198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C-4331-A8DB-8984ADE9AD13}"/>
            </c:ext>
          </c:extLst>
        </c:ser>
        <c:ser>
          <c:idx val="3"/>
          <c:order val="3"/>
          <c:tx>
            <c:v>Max. operation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InjectionMoldingMachine!$E$44</c:f>
              <c:numCache>
                <c:formatCode>0.0</c:formatCode>
                <c:ptCount val="1"/>
                <c:pt idx="0">
                  <c:v>2532.9375642011933</c:v>
                </c:pt>
              </c:numCache>
            </c:numRef>
          </c:xVal>
          <c:yVal>
            <c:numRef>
              <c:f>InjectionMoldingMachine!$E$46</c:f>
              <c:numCache>
                <c:formatCode>0.0</c:formatCode>
                <c:ptCount val="1"/>
                <c:pt idx="0">
                  <c:v>38.568530910930598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C-4331-A8DB-8984ADE9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5080"/>
        <c:axId val="80886552"/>
      </c:scatterChart>
      <c:valAx>
        <c:axId val="8089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/>
                  <a:t>Speed [rpm]</a:t>
                </a:r>
              </a:p>
            </c:rich>
          </c:tx>
          <c:layout>
            <c:manualLayout>
              <c:xMode val="edge"/>
              <c:yMode val="edge"/>
              <c:x val="0.43634675036249837"/>
              <c:y val="0.91890645669291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6552"/>
        <c:crosses val="autoZero"/>
        <c:crossBetween val="midCat"/>
      </c:valAx>
      <c:valAx>
        <c:axId val="808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/>
                  <a:t>Torque [Nm]</a:t>
                </a:r>
              </a:p>
            </c:rich>
          </c:tx>
          <c:layout>
            <c:manualLayout>
              <c:xMode val="edge"/>
              <c:yMode val="edge"/>
              <c:x val="1.1872571872571873E-2"/>
              <c:y val="0.30221774278215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508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21211718257776"/>
          <c:y val="8.1471718835804507E-2"/>
          <c:w val="0.71633432431320032"/>
          <c:h val="0.781903860040559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KEB_F6_OL150Chart!$B$2</c:f>
              <c:strCache>
                <c:ptCount val="1"/>
                <c:pt idx="0">
                  <c:v>Limit [s]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33CC33"/>
                </a:solidFill>
              </a:ln>
              <a:effectLst/>
            </c:spPr>
          </c:marker>
          <c:xVal>
            <c:numRef>
              <c:f>KEB_F6_OL150Chart!$A$3:$A$68</c:f>
              <c:numCache>
                <c:formatCode>General</c:formatCode>
                <c:ptCount val="66"/>
                <c:pt idx="0">
                  <c:v>115</c:v>
                </c:pt>
                <c:pt idx="1">
                  <c:v>116</c:v>
                </c:pt>
                <c:pt idx="2">
                  <c:v>117</c:v>
                </c:pt>
                <c:pt idx="3">
                  <c:v>118</c:v>
                </c:pt>
                <c:pt idx="4">
                  <c:v>119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136</c:v>
                </c:pt>
                <c:pt idx="22">
                  <c:v>137</c:v>
                </c:pt>
                <c:pt idx="23">
                  <c:v>138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144</c:v>
                </c:pt>
                <c:pt idx="30">
                  <c:v>145</c:v>
                </c:pt>
                <c:pt idx="31">
                  <c:v>146</c:v>
                </c:pt>
                <c:pt idx="32">
                  <c:v>147</c:v>
                </c:pt>
                <c:pt idx="33">
                  <c:v>148</c:v>
                </c:pt>
                <c:pt idx="34">
                  <c:v>149</c:v>
                </c:pt>
                <c:pt idx="35">
                  <c:v>150</c:v>
                </c:pt>
                <c:pt idx="36">
                  <c:v>151</c:v>
                </c:pt>
                <c:pt idx="37">
                  <c:v>152</c:v>
                </c:pt>
                <c:pt idx="38">
                  <c:v>153</c:v>
                </c:pt>
                <c:pt idx="39">
                  <c:v>154</c:v>
                </c:pt>
                <c:pt idx="40">
                  <c:v>155</c:v>
                </c:pt>
                <c:pt idx="41">
                  <c:v>156</c:v>
                </c:pt>
                <c:pt idx="42">
                  <c:v>157</c:v>
                </c:pt>
                <c:pt idx="43">
                  <c:v>158</c:v>
                </c:pt>
                <c:pt idx="44">
                  <c:v>159</c:v>
                </c:pt>
                <c:pt idx="45">
                  <c:v>160</c:v>
                </c:pt>
                <c:pt idx="46">
                  <c:v>161</c:v>
                </c:pt>
                <c:pt idx="47">
                  <c:v>162</c:v>
                </c:pt>
                <c:pt idx="48">
                  <c:v>163</c:v>
                </c:pt>
                <c:pt idx="49">
                  <c:v>164</c:v>
                </c:pt>
                <c:pt idx="50">
                  <c:v>165</c:v>
                </c:pt>
                <c:pt idx="51">
                  <c:v>166</c:v>
                </c:pt>
                <c:pt idx="52">
                  <c:v>167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171</c:v>
                </c:pt>
                <c:pt idx="57">
                  <c:v>172</c:v>
                </c:pt>
                <c:pt idx="58">
                  <c:v>173</c:v>
                </c:pt>
                <c:pt idx="59">
                  <c:v>174</c:v>
                </c:pt>
                <c:pt idx="60">
                  <c:v>175</c:v>
                </c:pt>
                <c:pt idx="61">
                  <c:v>176</c:v>
                </c:pt>
                <c:pt idx="62">
                  <c:v>177</c:v>
                </c:pt>
                <c:pt idx="63">
                  <c:v>178</c:v>
                </c:pt>
                <c:pt idx="64">
                  <c:v>179</c:v>
                </c:pt>
                <c:pt idx="65">
                  <c:v>180</c:v>
                </c:pt>
              </c:numCache>
            </c:numRef>
          </c:xVal>
          <c:yVal>
            <c:numRef>
              <c:f>KEB_F6_OL150Chart!$B$3:$B$68</c:f>
              <c:numCache>
                <c:formatCode>General</c:formatCode>
                <c:ptCount val="66"/>
                <c:pt idx="0">
                  <c:v>300</c:v>
                </c:pt>
                <c:pt idx="1">
                  <c:v>274</c:v>
                </c:pt>
                <c:pt idx="2">
                  <c:v>252</c:v>
                </c:pt>
                <c:pt idx="3">
                  <c:v>232</c:v>
                </c:pt>
                <c:pt idx="4">
                  <c:v>215</c:v>
                </c:pt>
                <c:pt idx="5">
                  <c:v>200</c:v>
                </c:pt>
                <c:pt idx="6">
                  <c:v>186</c:v>
                </c:pt>
                <c:pt idx="7">
                  <c:v>175</c:v>
                </c:pt>
                <c:pt idx="8">
                  <c:v>165</c:v>
                </c:pt>
                <c:pt idx="9">
                  <c:v>156</c:v>
                </c:pt>
                <c:pt idx="10">
                  <c:v>147</c:v>
                </c:pt>
                <c:pt idx="11">
                  <c:v>140</c:v>
                </c:pt>
                <c:pt idx="12">
                  <c:v>133</c:v>
                </c:pt>
                <c:pt idx="13">
                  <c:v>126</c:v>
                </c:pt>
                <c:pt idx="14">
                  <c:v>120</c:v>
                </c:pt>
                <c:pt idx="15">
                  <c:v>115</c:v>
                </c:pt>
                <c:pt idx="16">
                  <c:v>110</c:v>
                </c:pt>
                <c:pt idx="17">
                  <c:v>106</c:v>
                </c:pt>
                <c:pt idx="18">
                  <c:v>102</c:v>
                </c:pt>
                <c:pt idx="19">
                  <c:v>98</c:v>
                </c:pt>
                <c:pt idx="20">
                  <c:v>94</c:v>
                </c:pt>
                <c:pt idx="21">
                  <c:v>91</c:v>
                </c:pt>
                <c:pt idx="22">
                  <c:v>88</c:v>
                </c:pt>
                <c:pt idx="23">
                  <c:v>85</c:v>
                </c:pt>
                <c:pt idx="24">
                  <c:v>82</c:v>
                </c:pt>
                <c:pt idx="25">
                  <c:v>80</c:v>
                </c:pt>
                <c:pt idx="26">
                  <c:v>77</c:v>
                </c:pt>
                <c:pt idx="27">
                  <c:v>75</c:v>
                </c:pt>
                <c:pt idx="28">
                  <c:v>72</c:v>
                </c:pt>
                <c:pt idx="29">
                  <c:v>70</c:v>
                </c:pt>
                <c:pt idx="30">
                  <c:v>68</c:v>
                </c:pt>
                <c:pt idx="31">
                  <c:v>66</c:v>
                </c:pt>
                <c:pt idx="32">
                  <c:v>64</c:v>
                </c:pt>
                <c:pt idx="33">
                  <c:v>62.5</c:v>
                </c:pt>
                <c:pt idx="34">
                  <c:v>61</c:v>
                </c:pt>
                <c:pt idx="35">
                  <c:v>60</c:v>
                </c:pt>
                <c:pt idx="36">
                  <c:v>58</c:v>
                </c:pt>
                <c:pt idx="37">
                  <c:v>56</c:v>
                </c:pt>
                <c:pt idx="38">
                  <c:v>51</c:v>
                </c:pt>
                <c:pt idx="39">
                  <c:v>43</c:v>
                </c:pt>
                <c:pt idx="40">
                  <c:v>35</c:v>
                </c:pt>
                <c:pt idx="41">
                  <c:v>30</c:v>
                </c:pt>
                <c:pt idx="42">
                  <c:v>24</c:v>
                </c:pt>
                <c:pt idx="43">
                  <c:v>20</c:v>
                </c:pt>
                <c:pt idx="44">
                  <c:v>16</c:v>
                </c:pt>
                <c:pt idx="45">
                  <c:v>13</c:v>
                </c:pt>
                <c:pt idx="46">
                  <c:v>10</c:v>
                </c:pt>
                <c:pt idx="47">
                  <c:v>8.5</c:v>
                </c:pt>
                <c:pt idx="48">
                  <c:v>7.5</c:v>
                </c:pt>
                <c:pt idx="49">
                  <c:v>6</c:v>
                </c:pt>
                <c:pt idx="50">
                  <c:v>5</c:v>
                </c:pt>
                <c:pt idx="51">
                  <c:v>4.5</c:v>
                </c:pt>
                <c:pt idx="52">
                  <c:v>4.25</c:v>
                </c:pt>
                <c:pt idx="53">
                  <c:v>4</c:v>
                </c:pt>
                <c:pt idx="54">
                  <c:v>3.5</c:v>
                </c:pt>
                <c:pt idx="55">
                  <c:v>3.25</c:v>
                </c:pt>
                <c:pt idx="56">
                  <c:v>3</c:v>
                </c:pt>
                <c:pt idx="57">
                  <c:v>2.75</c:v>
                </c:pt>
                <c:pt idx="58">
                  <c:v>2.5</c:v>
                </c:pt>
                <c:pt idx="59">
                  <c:v>2.25</c:v>
                </c:pt>
                <c:pt idx="60">
                  <c:v>2</c:v>
                </c:pt>
                <c:pt idx="61">
                  <c:v>1.5</c:v>
                </c:pt>
                <c:pt idx="62">
                  <c:v>1.25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C-478D-A651-D049449B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39752"/>
        <c:axId val="558546968"/>
      </c:scatterChart>
      <c:valAx>
        <c:axId val="558539752"/>
        <c:scaling>
          <c:orientation val="minMax"/>
          <c:max val="18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46968"/>
        <c:crosses val="autoZero"/>
        <c:crossBetween val="midCat"/>
      </c:valAx>
      <c:valAx>
        <c:axId val="5585469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9752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 w="25400"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9</xdr:row>
      <xdr:rowOff>123825</xdr:rowOff>
    </xdr:from>
    <xdr:to>
      <xdr:col>2</xdr:col>
      <xdr:colOff>5895122</xdr:colOff>
      <xdr:row>26</xdr:row>
      <xdr:rowOff>151992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838325"/>
          <a:ext cx="6828572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45048</xdr:colOff>
      <xdr:row>2</xdr:row>
      <xdr:rowOff>11429</xdr:rowOff>
    </xdr:from>
    <xdr:to>
      <xdr:col>36</xdr:col>
      <xdr:colOff>739813</xdr:colOff>
      <xdr:row>15</xdr:row>
      <xdr:rowOff>140971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54</xdr:row>
      <xdr:rowOff>28576</xdr:rowOff>
    </xdr:from>
    <xdr:to>
      <xdr:col>19</xdr:col>
      <xdr:colOff>114300</xdr:colOff>
      <xdr:row>71</xdr:row>
      <xdr:rowOff>38101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55</xdr:row>
      <xdr:rowOff>85725</xdr:rowOff>
    </xdr:from>
    <xdr:to>
      <xdr:col>8</xdr:col>
      <xdr:colOff>200905</xdr:colOff>
      <xdr:row>82</xdr:row>
      <xdr:rowOff>143601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572750"/>
          <a:ext cx="6306430" cy="5201376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38100</xdr:rowOff>
    </xdr:from>
    <xdr:to>
      <xdr:col>17</xdr:col>
      <xdr:colOff>515218</xdr:colOff>
      <xdr:row>53</xdr:row>
      <xdr:rowOff>124741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5" y="3857625"/>
          <a:ext cx="6220693" cy="656364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19</xdr:row>
      <xdr:rowOff>38100</xdr:rowOff>
    </xdr:from>
    <xdr:to>
      <xdr:col>8</xdr:col>
      <xdr:colOff>181848</xdr:colOff>
      <xdr:row>53</xdr:row>
      <xdr:rowOff>48530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3667125"/>
          <a:ext cx="6258798" cy="648743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55</xdr:row>
      <xdr:rowOff>95250</xdr:rowOff>
    </xdr:from>
    <xdr:to>
      <xdr:col>17</xdr:col>
      <xdr:colOff>562847</xdr:colOff>
      <xdr:row>82</xdr:row>
      <xdr:rowOff>162652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48425" y="10772775"/>
          <a:ext cx="6249272" cy="5210902"/>
        </a:xfrm>
        <a:prstGeom prst="rect">
          <a:avLst/>
        </a:prstGeom>
      </xdr:spPr>
    </xdr:pic>
    <xdr:clientData/>
  </xdr:twoCellAnchor>
  <xdr:twoCellAnchor editAs="oneCell">
    <xdr:from>
      <xdr:col>18</xdr:col>
      <xdr:colOff>409575</xdr:colOff>
      <xdr:row>19</xdr:row>
      <xdr:rowOff>85725</xdr:rowOff>
    </xdr:from>
    <xdr:to>
      <xdr:col>26</xdr:col>
      <xdr:colOff>229464</xdr:colOff>
      <xdr:row>50</xdr:row>
      <xdr:rowOff>10339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53975" y="3905250"/>
          <a:ext cx="6192114" cy="5830114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466725</xdr:colOff>
      <xdr:row>55</xdr:row>
      <xdr:rowOff>28575</xdr:rowOff>
    </xdr:from>
    <xdr:to>
      <xdr:col>26</xdr:col>
      <xdr:colOff>334246</xdr:colOff>
      <xdr:row>81</xdr:row>
      <xdr:rowOff>124530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11125" y="10706100"/>
          <a:ext cx="6239746" cy="5048955"/>
        </a:xfrm>
        <a:prstGeom prst="rect">
          <a:avLst/>
        </a:prstGeom>
      </xdr:spPr>
    </xdr:pic>
    <xdr:clientData/>
  </xdr:twoCellAnchor>
  <xdr:twoCellAnchor editAs="oneCell">
    <xdr:from>
      <xdr:col>26</xdr:col>
      <xdr:colOff>171450</xdr:colOff>
      <xdr:row>19</xdr:row>
      <xdr:rowOff>66675</xdr:rowOff>
    </xdr:from>
    <xdr:to>
      <xdr:col>34</xdr:col>
      <xdr:colOff>296143</xdr:colOff>
      <xdr:row>54</xdr:row>
      <xdr:rowOff>105711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11900" y="3886200"/>
          <a:ext cx="6220693" cy="6706536"/>
        </a:xfrm>
        <a:prstGeom prst="rect">
          <a:avLst/>
        </a:prstGeom>
      </xdr:spPr>
    </xdr:pic>
    <xdr:clientData/>
  </xdr:twoCellAnchor>
  <xdr:twoCellAnchor editAs="oneCell">
    <xdr:from>
      <xdr:col>26</xdr:col>
      <xdr:colOff>257175</xdr:colOff>
      <xdr:row>55</xdr:row>
      <xdr:rowOff>57150</xdr:rowOff>
    </xdr:from>
    <xdr:to>
      <xdr:col>34</xdr:col>
      <xdr:colOff>391394</xdr:colOff>
      <xdr:row>80</xdr:row>
      <xdr:rowOff>86394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97625" y="10734675"/>
          <a:ext cx="6230219" cy="479174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83</xdr:row>
      <xdr:rowOff>114299</xdr:rowOff>
    </xdr:from>
    <xdr:to>
      <xdr:col>9</xdr:col>
      <xdr:colOff>309107</xdr:colOff>
      <xdr:row>109</xdr:row>
      <xdr:rowOff>9524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" y="16125824"/>
          <a:ext cx="6871832" cy="4848225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142875</xdr:colOff>
      <xdr:row>85</xdr:row>
      <xdr:rowOff>47624</xdr:rowOff>
    </xdr:from>
    <xdr:to>
      <xdr:col>29</xdr:col>
      <xdr:colOff>738231</xdr:colOff>
      <xdr:row>99</xdr:row>
      <xdr:rowOff>114300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92350" y="16440149"/>
          <a:ext cx="7453356" cy="273367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18</xdr:row>
      <xdr:rowOff>0</xdr:rowOff>
    </xdr:from>
    <xdr:to>
      <xdr:col>18</xdr:col>
      <xdr:colOff>229448</xdr:colOff>
      <xdr:row>29</xdr:row>
      <xdr:rowOff>133661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00900" y="3629025"/>
          <a:ext cx="6077798" cy="2229161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83</xdr:row>
      <xdr:rowOff>38100</xdr:rowOff>
    </xdr:from>
    <xdr:to>
      <xdr:col>18</xdr:col>
      <xdr:colOff>353305</xdr:colOff>
      <xdr:row>109</xdr:row>
      <xdr:rowOff>19739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96125" y="16049625"/>
          <a:ext cx="6306430" cy="4934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70</xdr:row>
      <xdr:rowOff>85725</xdr:rowOff>
    </xdr:from>
    <xdr:to>
      <xdr:col>12</xdr:col>
      <xdr:colOff>353305</xdr:colOff>
      <xdr:row>97</xdr:row>
      <xdr:rowOff>143601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CE47C3D-F773-4BB4-8886-76ADFDB9A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763250"/>
          <a:ext cx="6306430" cy="5201376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32</xdr:row>
      <xdr:rowOff>152400</xdr:rowOff>
    </xdr:from>
    <xdr:to>
      <xdr:col>22</xdr:col>
      <xdr:colOff>58018</xdr:colOff>
      <xdr:row>67</xdr:row>
      <xdr:rowOff>48541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C9455CF-D34B-4464-AA4A-E54FDDC6A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5886450"/>
          <a:ext cx="6220693" cy="656364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34</xdr:row>
      <xdr:rowOff>38100</xdr:rowOff>
    </xdr:from>
    <xdr:to>
      <xdr:col>12</xdr:col>
      <xdr:colOff>334248</xdr:colOff>
      <xdr:row>68</xdr:row>
      <xdr:rowOff>48530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2D496E0-280A-4D6C-AC4A-B91F32900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3857625"/>
          <a:ext cx="6258798" cy="6487430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70</xdr:row>
      <xdr:rowOff>95250</xdr:rowOff>
    </xdr:from>
    <xdr:to>
      <xdr:col>23</xdr:col>
      <xdr:colOff>667622</xdr:colOff>
      <xdr:row>97</xdr:row>
      <xdr:rowOff>162652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23912B6-0C44-4BA8-9A25-11E25BFBF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62825" y="10772775"/>
          <a:ext cx="6249272" cy="5210902"/>
        </a:xfrm>
        <a:prstGeom prst="rect">
          <a:avLst/>
        </a:prstGeom>
      </xdr:spPr>
    </xdr:pic>
    <xdr:clientData/>
  </xdr:twoCellAnchor>
  <xdr:twoCellAnchor editAs="oneCell">
    <xdr:from>
      <xdr:col>32</xdr:col>
      <xdr:colOff>247650</xdr:colOff>
      <xdr:row>32</xdr:row>
      <xdr:rowOff>104775</xdr:rowOff>
    </xdr:from>
    <xdr:to>
      <xdr:col>42</xdr:col>
      <xdr:colOff>305664</xdr:colOff>
      <xdr:row>63</xdr:row>
      <xdr:rowOff>29389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CAB6C85-1568-4391-B158-2DF700AEC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9675" y="6124575"/>
          <a:ext cx="6192114" cy="5830114"/>
        </a:xfrm>
        <a:prstGeom prst="rect">
          <a:avLst/>
        </a:prstGeom>
      </xdr:spPr>
    </xdr:pic>
    <xdr:clientData/>
  </xdr:twoCellAnchor>
  <xdr:twoCellAnchor editAs="oneCell">
    <xdr:from>
      <xdr:col>24</xdr:col>
      <xdr:colOff>466725</xdr:colOff>
      <xdr:row>70</xdr:row>
      <xdr:rowOff>28575</xdr:rowOff>
    </xdr:from>
    <xdr:to>
      <xdr:col>38</xdr:col>
      <xdr:colOff>153271</xdr:colOff>
      <xdr:row>96</xdr:row>
      <xdr:rowOff>124530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C5BF14C-D4AA-41BF-8AF1-2A7CBFFE2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30375" y="10706100"/>
          <a:ext cx="6239746" cy="5048955"/>
        </a:xfrm>
        <a:prstGeom prst="rect">
          <a:avLst/>
        </a:prstGeom>
      </xdr:spPr>
    </xdr:pic>
    <xdr:clientData/>
  </xdr:twoCellAnchor>
  <xdr:twoCellAnchor editAs="oneCell">
    <xdr:from>
      <xdr:col>39</xdr:col>
      <xdr:colOff>723900</xdr:colOff>
      <xdr:row>32</xdr:row>
      <xdr:rowOff>85725</xdr:rowOff>
    </xdr:from>
    <xdr:to>
      <xdr:col>48</xdr:col>
      <xdr:colOff>86593</xdr:colOff>
      <xdr:row>67</xdr:row>
      <xdr:rowOff>124761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46E4638-035D-428D-AE30-684B503F1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91825" y="6105525"/>
          <a:ext cx="6220693" cy="6706536"/>
        </a:xfrm>
        <a:prstGeom prst="rect">
          <a:avLst/>
        </a:prstGeom>
      </xdr:spPr>
    </xdr:pic>
    <xdr:clientData/>
  </xdr:twoCellAnchor>
  <xdr:twoCellAnchor editAs="oneCell">
    <xdr:from>
      <xdr:col>34</xdr:col>
      <xdr:colOff>257175</xdr:colOff>
      <xdr:row>70</xdr:row>
      <xdr:rowOff>57150</xdr:rowOff>
    </xdr:from>
    <xdr:to>
      <xdr:col>43</xdr:col>
      <xdr:colOff>524744</xdr:colOff>
      <xdr:row>95</xdr:row>
      <xdr:rowOff>86394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3D49F09-49C8-4817-87A0-CBD62D9E2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93050" y="10734675"/>
          <a:ext cx="6230219" cy="47917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98</xdr:row>
      <xdr:rowOff>114299</xdr:rowOff>
    </xdr:from>
    <xdr:to>
      <xdr:col>13</xdr:col>
      <xdr:colOff>442457</xdr:colOff>
      <xdr:row>124</xdr:row>
      <xdr:rowOff>9524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21073822-EE02-441F-8F79-A833016FA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" y="16125824"/>
          <a:ext cx="6871832" cy="4848225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142875</xdr:colOff>
      <xdr:row>100</xdr:row>
      <xdr:rowOff>47624</xdr:rowOff>
    </xdr:from>
    <xdr:to>
      <xdr:col>41</xdr:col>
      <xdr:colOff>490581</xdr:colOff>
      <xdr:row>114</xdr:row>
      <xdr:rowOff>114300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B40C3A5-F242-432A-89CE-D869C9E53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16440149"/>
          <a:ext cx="7453356" cy="2733676"/>
        </a:xfrm>
        <a:prstGeom prst="rect">
          <a:avLst/>
        </a:prstGeom>
      </xdr:spPr>
    </xdr:pic>
    <xdr:clientData/>
  </xdr:twoCellAnchor>
  <xdr:twoCellAnchor editAs="oneCell">
    <xdr:from>
      <xdr:col>17</xdr:col>
      <xdr:colOff>85725</xdr:colOff>
      <xdr:row>98</xdr:row>
      <xdr:rowOff>38100</xdr:rowOff>
    </xdr:from>
    <xdr:to>
      <xdr:col>24</xdr:col>
      <xdr:colOff>372355</xdr:colOff>
      <xdr:row>124</xdr:row>
      <xdr:rowOff>19739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33D5BF-4037-4C3F-AB19-D0CCE2619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10525" y="16049625"/>
          <a:ext cx="6306430" cy="49346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48985</xdr:colOff>
      <xdr:row>2</xdr:row>
      <xdr:rowOff>23132</xdr:rowOff>
    </xdr:from>
    <xdr:to>
      <xdr:col>12</xdr:col>
      <xdr:colOff>325210</xdr:colOff>
      <xdr:row>32</xdr:row>
      <xdr:rowOff>89807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438149</xdr:colOff>
      <xdr:row>1</xdr:row>
      <xdr:rowOff>161925</xdr:rowOff>
    </xdr:from>
    <xdr:to>
      <xdr:col>25</xdr:col>
      <xdr:colOff>419100</xdr:colOff>
      <xdr:row>38</xdr:row>
      <xdr:rowOff>88881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5974" y="352425"/>
          <a:ext cx="9886951" cy="697545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700-000000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KEB Part number" tableColumnId="1"/>
      <queryTableField id="2" name="RefNumber" tableColumnId="2"/>
      <queryTableField id="3" name="Spalte1" tableColumnId="3"/>
      <queryTableField id="4" name="V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00000000-0016-0000-0700-000001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BRVMotorTypes" tableColumnId="1"/>
      <queryTableField id="2" name="DL4_CMAT" tableColumnId="2"/>
      <queryTableField id="3" name="KEB-AT Part" tableColumnId="3"/>
      <queryTableField id="4" name="V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00000000-0016-0000-0700-000002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00000000-0016-0000-0700-000003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KEBDriveData" displayName="KEBDriveData" ref="A2:S16" totalsRowShown="0" headerRowDxfId="55">
  <autoFilter ref="A2:S16" xr:uid="{00000000-0009-0000-0100-000008000000}"/>
  <sortState xmlns:xlrd2="http://schemas.microsoft.com/office/spreadsheetml/2017/richdata2" ref="A3:S16">
    <sortCondition ref="A2:A16"/>
  </sortState>
  <tableColumns count="19">
    <tableColumn id="1" xr3:uid="{00000000-0010-0000-0000-000001000000}" name="Part number"/>
    <tableColumn id="16" xr3:uid="{00000000-0010-0000-0000-000010000000}" name="Housing"/>
    <tableColumn id="2" xr3:uid="{00000000-0010-0000-0000-000002000000}" name="P [kW]"/>
    <tableColumn id="3" xr3:uid="{00000000-0010-0000-0000-000003000000}" name="Inom [A]"/>
    <tableColumn id="4" xr3:uid="{00000000-0010-0000-0000-000004000000}" name="IOL [%]"/>
    <tableColumn id="5" xr3:uid="{00000000-0010-0000-0000-000005000000}" name="Imax [%]"/>
    <tableColumn id="6" xr3:uid="{00000000-0010-0000-0000-000006000000}" name="fsnom [kHz]"/>
    <tableColumn id="19" xr3:uid="{63D1E228-3EC9-4AB4-AE14-3E926B010BC7}" name="Inenn_5kHz"/>
    <tableColumn id="7" xr3:uid="{00000000-0010-0000-0000-000007000000}" name="Imax0Hz_5kHz"/>
    <tableColumn id="8" xr3:uid="{00000000-0010-0000-0000-000008000000}" name="Imax6Hz_5kHz"/>
    <tableColumn id="9" xr3:uid="{00000000-0010-0000-0000-000009000000}" name="Imax25Hz_5kHz"/>
    <tableColumn id="18" xr3:uid="{00000000-0010-0000-0000-000012000000}" name="Imax50Hz_5kHz"/>
    <tableColumn id="10" xr3:uid="{00000000-0010-0000-0000-00000A000000}" name="Shieldingset control part"/>
    <tableColumn id="11" xr3:uid="{00000000-0010-0000-0000-00000B000000}" name="Shieldingset power part"/>
    <tableColumn id="12" xr3:uid="{00000000-0010-0000-0000-00000C000000}" name="Connector"/>
    <tableColumn id="13" xr3:uid="{00000000-0010-0000-0000-00000D000000}" name="Filter"/>
    <tableColumn id="14" xr3:uid="{00000000-0010-0000-0000-00000E000000}" name="Choke"/>
    <tableColumn id="15" xr3:uid="{00000000-0010-0000-0000-00000F000000}" name="Ferrite"/>
    <tableColumn id="17" xr3:uid="{00000000-0010-0000-0000-000011000000}" name="Encoder cable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ices_Motors_ValidUntil" displayName="Prices_Motors_ValidUntil" ref="J3:J4" tableType="queryTable" totalsRowShown="0">
  <autoFilter ref="J3:J4" xr:uid="{00000000-0009-0000-0100-000009000000}"/>
  <tableColumns count="1">
    <tableColumn id="1" xr3:uid="{00000000-0010-0000-0800-000001000000}" uniqueName="1" name="Column1" queryTableFieldId="1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76FCD-DE40-4585-B82A-F44DEA45B295}" name="KEBDriveData3" displayName="KEBDriveData3" ref="B4:Y32" totalsRowShown="0" headerRowDxfId="54">
  <autoFilter ref="B4:Y32" xr:uid="{00000000-0009-0000-0100-000008000000}"/>
  <sortState xmlns:xlrd2="http://schemas.microsoft.com/office/spreadsheetml/2017/richdata2" ref="B5:Y31">
    <sortCondition ref="B4:B31"/>
  </sortState>
  <tableColumns count="24">
    <tableColumn id="1" xr3:uid="{21C3113D-563E-42B9-A228-E47630FBBD49}" name="Part number"/>
    <tableColumn id="16" xr3:uid="{C0055C52-FABD-4FE5-93E8-7278F55877B5}" name="Housing"/>
    <tableColumn id="2" xr3:uid="{A1BDAF30-8970-461C-AC3F-866209D55022}" name="P [kW]"/>
    <tableColumn id="21" xr3:uid="{BB5F4EF1-2655-4F35-BF88-3C8329594A58}" name="S [kVA]"/>
    <tableColumn id="3" xr3:uid="{C372BF07-DD85-4975-BFB4-80BAEB7DF21E}" name="Inom [A]"/>
    <tableColumn id="4" xr3:uid="{43E80DB4-D1D2-4ECA-BB88-D2F3D8C2F5E6}" name="IOL [%]"/>
    <tableColumn id="5" xr3:uid="{C9758DCA-D12E-4563-B77A-AACC56AFBD9D}" name="Imax [%]"/>
    <tableColumn id="6" xr3:uid="{0E07AF71-2026-40CC-A024-CEB45B59E260}" name="fsnom [kHz]"/>
    <tableColumn id="22" xr3:uid="{90143814-BD45-4BC8-93EF-87DEDFC9BC92}" name="Imax0Hz_2kHz"/>
    <tableColumn id="23" xr3:uid="{DB2D2719-36F4-41C3-9692-7178EF17BE78}" name="Imax6Hz_2kHz"/>
    <tableColumn id="24" xr3:uid="{447311F4-CCA4-43DA-98A0-2B665B0FE2EC}" name="Imax50Hz_2kHz"/>
    <tableColumn id="19" xr3:uid="{8F50849E-7A4E-4BE4-9BFF-FDC40485E916}" name="Imax0Hz_4kHz"/>
    <tableColumn id="20" xr3:uid="{28FE0EDC-6607-4CB3-8A31-FB9EDDABB2C2}" name="Imax6Hz_4kHz"/>
    <tableColumn id="7" xr3:uid="{5A372D90-0D62-4EB6-95D6-69171D2F6A63}" name="Imax50Hz_4kHz"/>
    <tableColumn id="8" xr3:uid="{6B2AF1C4-4CA3-43A0-B000-A4D254C29300}" name="Imax0Hz_8kHz"/>
    <tableColumn id="9" xr3:uid="{BDC76FA5-D43A-4650-9328-5A7CB58027F7}" name="Imax6Hz_8kHz"/>
    <tableColumn id="18" xr3:uid="{26AD6534-8E56-4603-8C60-856FD5AE7256}" name="Imax50Hz_8kHz"/>
    <tableColumn id="10" xr3:uid="{F57D15C9-44C9-4E31-8407-7005AB840CF3}" name="Shieldingset control part"/>
    <tableColumn id="11" xr3:uid="{90AFF6C6-9C73-45B8-A36A-17DAFBFB54B2}" name="Shieldingset power part"/>
    <tableColumn id="12" xr3:uid="{8AFF2CE1-C9E3-421A-9C96-D1CE6B28D578}" name="Connector"/>
    <tableColumn id="13" xr3:uid="{ADBD879E-BAC1-48BB-8804-4C17EA147081}" name="Filter"/>
    <tableColumn id="14" xr3:uid="{D633C439-7D74-446E-B524-FA2524089AA7}" name="Choke"/>
    <tableColumn id="15" xr3:uid="{6C09E41D-D6DE-4CF4-A4BC-6E9F4FA59043}" name="Ferrite"/>
    <tableColumn id="17" xr3:uid="{F3F029F1-15C2-4661-8BBF-B61D2C58C7E4}" name="Encoder cable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F6_OLChart150" displayName="F6_OLChart150" ref="A2:B68" totalsRowShown="0">
  <autoFilter ref="A2:B68" xr:uid="{00000000-0009-0000-0100-000004000000}"/>
  <tableColumns count="2">
    <tableColumn id="1" xr3:uid="{00000000-0010-0000-0100-000001000000}" name="I/Inenn [%]"/>
    <tableColumn id="2" xr3:uid="{00000000-0010-0000-0100-000002000000}" name="Limit [s]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HydraulicPumps" displayName="HydraulicPumps" ref="A1:N54" totalsRowShown="0" headerRowDxfId="53" dataDxfId="51" headerRowBorderDxfId="52" tableBorderDxfId="50">
  <autoFilter ref="A1:N54" xr:uid="{00000000-0009-0000-0100-00000A000000}"/>
  <tableColumns count="14">
    <tableColumn id="1" xr3:uid="{00000000-0010-0000-0200-000001000000}" name="Pumpname" dataDxfId="49"/>
    <tableColumn id="2" xr3:uid="{00000000-0010-0000-0200-000002000000}" name="Nominal size" dataDxfId="48"/>
    <tableColumn id="3" xr3:uid="{00000000-0010-0000-0200-000003000000}" name="Specific volume Vth_x000a_[cm³/U]" dataDxfId="47"/>
    <tableColumn id="4" xr3:uid="{00000000-0010-0000-0200-000004000000}" name="Cont. Pressure_x000a_[bar]" dataDxfId="46"/>
    <tableColumn id="5" xr3:uid="{00000000-0010-0000-0200-000005000000}" name="Max. pressure 10s/15%ED_x000a_[bar]" dataDxfId="45"/>
    <tableColumn id="6" xr3:uid="{00000000-0010-0000-0200-000006000000}" name="Max. pressure_x000a_[bar]" dataDxfId="44"/>
    <tableColumn id="7" xr3:uid="{00000000-0010-0000-0200-000007000000}" name="Nominal speed min_x000a_[rpm]" dataDxfId="43"/>
    <tableColumn id="8" xr3:uid="{00000000-0010-0000-0200-000008000000}" name="Nominal speed max_x000a_[rpm]" dataDxfId="42"/>
    <tableColumn id="9" xr3:uid="{00000000-0010-0000-0200-000009000000}" name="Max. speed_x000a_[rpm]" dataDxfId="41"/>
    <tableColumn id="10" xr3:uid="{00000000-0010-0000-0200-00000A000000}" name="Weight _x000a_[kg]" dataDxfId="40"/>
    <tableColumn id="11" xr3:uid="{00000000-0010-0000-0200-00000B000000}" name="ηvol_x000a_[1]" dataDxfId="39"/>
    <tableColumn id="12" xr3:uid="{00000000-0010-0000-0200-00000C000000}" name="ηhm_x000a_[1]" dataDxfId="38"/>
    <tableColumn id="13" xr3:uid="{00000000-0010-0000-0200-00000D000000}" name="Noise_x000a_[db[A]]" dataDxfId="37"/>
    <tableColumn id="15" xr3:uid="{00000000-0010-0000-0200-00000F000000}" name="Inertia_x000a_[kgcm²]" dataDxfId="36">
      <calculatedColumnFormula>HydraulicPumps[[#This Row],[Weight 
'[kg']]]/2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RVMotorSizes" displayName="BRVMotorSizes" ref="B1:B98" totalsRowShown="0">
  <autoFilter ref="B1:B98" xr:uid="{00000000-0009-0000-0100-000001000000}">
    <filterColumn colId="0" hiddenButton="1"/>
  </autoFilter>
  <tableColumns count="1">
    <tableColumn id="1" xr3:uid="{00000000-0010-0000-0300-000001000000}" name="BRVMotorTyp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DL4_CMAT" displayName="DL4_CMAT" ref="A1:A98" totalsRowShown="0">
  <autoFilter ref="A1:A98" xr:uid="{00000000-0009-0000-0100-000003000000}">
    <filterColumn colId="0" hiddenButton="1"/>
  </autoFilter>
  <tableColumns count="1">
    <tableColumn id="1" xr3:uid="{00000000-0010-0000-0400-000001000000}" name="DL4_CMAT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EBPrices" displayName="KEBPrices" ref="A6:D45" tableType="queryTable" totalsRowShown="0">
  <autoFilter ref="A6:D45" xr:uid="{00000000-0009-0000-0100-000006000000}"/>
  <tableColumns count="4">
    <tableColumn id="1" xr3:uid="{00000000-0010-0000-0500-000001000000}" uniqueName="1" name="KEB Part number" queryTableFieldId="1" dataDxfId="35"/>
    <tableColumn id="2" xr3:uid="{00000000-0010-0000-0500-000002000000}" uniqueName="2" name="RefNumber" queryTableFieldId="2" dataDxfId="34"/>
    <tableColumn id="3" xr3:uid="{00000000-0010-0000-0500-000003000000}" uniqueName="3" name="Spalte1" queryTableFieldId="3" dataDxfId="33"/>
    <tableColumn id="4" xr3:uid="{00000000-0010-0000-0500-000004000000}" uniqueName="4" name="VK" queryTableFieldId="4" dataDxfId="3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DL4_Prices_WJP" displayName="DL4_Prices_WJP" ref="G6:J27" tableType="queryTable" totalsRowShown="0">
  <autoFilter ref="G6:J27" xr:uid="{00000000-0009-0000-0100-000005000000}"/>
  <tableColumns count="4">
    <tableColumn id="1" xr3:uid="{00000000-0010-0000-0600-000001000000}" uniqueName="1" name="BRVMotorTypes" queryTableFieldId="1" dataDxfId="31"/>
    <tableColumn id="2" xr3:uid="{00000000-0010-0000-0600-000002000000}" uniqueName="2" name="DL4_CMAT" queryTableFieldId="2" dataDxfId="30"/>
    <tableColumn id="3" xr3:uid="{00000000-0010-0000-0600-000003000000}" uniqueName="3" name="KEB-AT Part" queryTableFieldId="3" dataDxfId="29"/>
    <tableColumn id="4" xr3:uid="{00000000-0010-0000-0600-000004000000}" uniqueName="4" name="VK" queryTableFieldId="4" dataDxfId="2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Prices_KEBComponents_ValidUntil" displayName="Prices_KEBComponents_ValidUntil" ref="D3:D4" tableType="queryTable" totalsRowShown="0">
  <autoFilter ref="D3:D4" xr:uid="{00000000-0009-0000-0100-000007000000}"/>
  <tableColumns count="1">
    <tableColumn id="1" xr3:uid="{00000000-0010-0000-0700-000001000000}" uniqueName="1" name="Column1" queryTableFieldId="1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5"/>
  <sheetViews>
    <sheetView workbookViewId="0">
      <selection activeCell="A8" sqref="A8"/>
    </sheetView>
  </sheetViews>
  <sheetFormatPr defaultColWidth="11.44140625" defaultRowHeight="14.4" x14ac:dyDescent="0.3"/>
  <cols>
    <col min="3" max="3" width="102.33203125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s="7">
        <v>44242</v>
      </c>
      <c r="B2" t="s">
        <v>26</v>
      </c>
      <c r="C2" s="2" t="s">
        <v>67</v>
      </c>
    </row>
    <row r="3" spans="1:3" x14ac:dyDescent="0.3">
      <c r="A3" s="7">
        <v>44251</v>
      </c>
      <c r="B3" t="s">
        <v>26</v>
      </c>
      <c r="C3" s="2" t="s">
        <v>82</v>
      </c>
    </row>
    <row r="4" spans="1:3" x14ac:dyDescent="0.3">
      <c r="A4" s="7">
        <v>44253</v>
      </c>
      <c r="B4" t="s">
        <v>245</v>
      </c>
      <c r="C4" s="2" t="s">
        <v>246</v>
      </c>
    </row>
    <row r="5" spans="1:3" x14ac:dyDescent="0.3">
      <c r="A5" s="7">
        <v>44257</v>
      </c>
      <c r="B5" t="s">
        <v>26</v>
      </c>
      <c r="C5" s="2" t="s">
        <v>275</v>
      </c>
    </row>
    <row r="6" spans="1:3" x14ac:dyDescent="0.3">
      <c r="A6" s="7">
        <v>44319</v>
      </c>
      <c r="B6" t="s">
        <v>26</v>
      </c>
      <c r="C6" s="2" t="s">
        <v>308</v>
      </c>
    </row>
    <row r="7" spans="1:3" x14ac:dyDescent="0.3">
      <c r="A7" s="7">
        <v>45460</v>
      </c>
      <c r="B7" t="s">
        <v>26</v>
      </c>
      <c r="C7" s="2" t="s">
        <v>612</v>
      </c>
    </row>
    <row r="8" spans="1:3" x14ac:dyDescent="0.3">
      <c r="C8" s="2"/>
    </row>
    <row r="9" spans="1:3" x14ac:dyDescent="0.3">
      <c r="C9" s="2"/>
    </row>
    <row r="10" spans="1:3" x14ac:dyDescent="0.3"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  <row r="29" spans="3:3" x14ac:dyDescent="0.3">
      <c r="C29" s="2"/>
    </row>
    <row r="30" spans="3:3" x14ac:dyDescent="0.3">
      <c r="C30" s="2"/>
    </row>
    <row r="31" spans="3:3" x14ac:dyDescent="0.3">
      <c r="C31" s="2"/>
    </row>
    <row r="32" spans="3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0" spans="3:3" x14ac:dyDescent="0.3">
      <c r="C40" s="2"/>
    </row>
    <row r="41" spans="3:3" x14ac:dyDescent="0.3">
      <c r="C41" s="2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  <row r="85" spans="3:3" x14ac:dyDescent="0.3">
      <c r="C85" s="2"/>
    </row>
    <row r="86" spans="3:3" x14ac:dyDescent="0.3">
      <c r="C86" s="2"/>
    </row>
    <row r="87" spans="3:3" x14ac:dyDescent="0.3">
      <c r="C87" s="2"/>
    </row>
    <row r="88" spans="3:3" x14ac:dyDescent="0.3">
      <c r="C88" s="2"/>
    </row>
    <row r="89" spans="3:3" x14ac:dyDescent="0.3">
      <c r="C89" s="2"/>
    </row>
    <row r="90" spans="3:3" x14ac:dyDescent="0.3">
      <c r="C90" s="2"/>
    </row>
    <row r="91" spans="3:3" x14ac:dyDescent="0.3">
      <c r="C91" s="2"/>
    </row>
    <row r="92" spans="3:3" x14ac:dyDescent="0.3">
      <c r="C92" s="2"/>
    </row>
    <row r="93" spans="3:3" x14ac:dyDescent="0.3">
      <c r="C93" s="2"/>
    </row>
    <row r="94" spans="3:3" x14ac:dyDescent="0.3">
      <c r="C94" s="2"/>
    </row>
    <row r="95" spans="3:3" x14ac:dyDescent="0.3">
      <c r="C95" s="2"/>
    </row>
    <row r="96" spans="3:3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  <row r="100" spans="3:3" x14ac:dyDescent="0.3">
      <c r="C100" s="2"/>
    </row>
    <row r="101" spans="3:3" x14ac:dyDescent="0.3">
      <c r="C101" s="2"/>
    </row>
    <row r="102" spans="3:3" x14ac:dyDescent="0.3">
      <c r="C102" s="2"/>
    </row>
    <row r="103" spans="3:3" x14ac:dyDescent="0.3">
      <c r="C103" s="2"/>
    </row>
    <row r="104" spans="3:3" x14ac:dyDescent="0.3">
      <c r="C104" s="2"/>
    </row>
    <row r="105" spans="3:3" x14ac:dyDescent="0.3">
      <c r="C105" s="2"/>
    </row>
    <row r="106" spans="3:3" x14ac:dyDescent="0.3">
      <c r="C106" s="2"/>
    </row>
    <row r="107" spans="3:3" x14ac:dyDescent="0.3">
      <c r="C107" s="2"/>
    </row>
    <row r="108" spans="3:3" x14ac:dyDescent="0.3">
      <c r="C108" s="2"/>
    </row>
    <row r="109" spans="3:3" x14ac:dyDescent="0.3">
      <c r="C109" s="2"/>
    </row>
    <row r="110" spans="3:3" x14ac:dyDescent="0.3">
      <c r="C110" s="2"/>
    </row>
    <row r="111" spans="3:3" x14ac:dyDescent="0.3">
      <c r="C111" s="2"/>
    </row>
    <row r="112" spans="3:3" x14ac:dyDescent="0.3">
      <c r="C112" s="2"/>
    </row>
    <row r="113" spans="3:3" x14ac:dyDescent="0.3">
      <c r="C113" s="2"/>
    </row>
    <row r="114" spans="3:3" x14ac:dyDescent="0.3">
      <c r="C114" s="2"/>
    </row>
    <row r="115" spans="3:3" x14ac:dyDescent="0.3">
      <c r="C115" s="2"/>
    </row>
    <row r="116" spans="3:3" x14ac:dyDescent="0.3">
      <c r="C116" s="2"/>
    </row>
    <row r="117" spans="3:3" x14ac:dyDescent="0.3">
      <c r="C117" s="2"/>
    </row>
    <row r="118" spans="3:3" x14ac:dyDescent="0.3">
      <c r="C118" s="2"/>
    </row>
    <row r="119" spans="3:3" x14ac:dyDescent="0.3">
      <c r="C119" s="2"/>
    </row>
    <row r="120" spans="3:3" x14ac:dyDescent="0.3">
      <c r="C120" s="2"/>
    </row>
    <row r="121" spans="3:3" x14ac:dyDescent="0.3">
      <c r="C121" s="2"/>
    </row>
    <row r="122" spans="3:3" x14ac:dyDescent="0.3">
      <c r="C122" s="2"/>
    </row>
    <row r="123" spans="3:3" x14ac:dyDescent="0.3">
      <c r="C123" s="2"/>
    </row>
    <row r="124" spans="3:3" x14ac:dyDescent="0.3">
      <c r="C124" s="2"/>
    </row>
    <row r="125" spans="3:3" x14ac:dyDescent="0.3">
      <c r="C125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  <outlinePr summaryBelow="0"/>
  </sheetPr>
  <dimension ref="A1:AS71"/>
  <sheetViews>
    <sheetView showGridLines="0" topLeftCell="A12" zoomScale="70" zoomScaleNormal="70" workbookViewId="0">
      <selection activeCell="AN21" sqref="AN21"/>
    </sheetView>
  </sheetViews>
  <sheetFormatPr defaultColWidth="11.44140625" defaultRowHeight="14.4" outlineLevelRow="1" x14ac:dyDescent="0.3"/>
  <cols>
    <col min="1" max="1" width="3.6640625" bestFit="1" customWidth="1"/>
    <col min="2" max="2" width="30.6640625" style="8" bestFit="1" customWidth="1"/>
    <col min="3" max="3" width="6.5546875" bestFit="1" customWidth="1"/>
    <col min="4" max="4" width="0.88671875" customWidth="1"/>
    <col min="5" max="7" width="10.6640625" customWidth="1"/>
    <col min="8" max="8" width="2.44140625" customWidth="1"/>
    <col min="9" max="9" width="0.5546875" customWidth="1"/>
    <col min="10" max="10" width="8.109375" bestFit="1" customWidth="1"/>
    <col min="11" max="11" width="7.5546875" bestFit="1" customWidth="1"/>
    <col min="12" max="12" width="0.88671875" customWidth="1"/>
    <col min="13" max="13" width="6.33203125" customWidth="1"/>
    <col min="14" max="14" width="5.88671875" customWidth="1"/>
    <col min="15" max="15" width="0.88671875" customWidth="1"/>
    <col min="16" max="16" width="12" bestFit="1" customWidth="1"/>
    <col min="17" max="17" width="6.6640625" customWidth="1"/>
    <col min="18" max="18" width="7.6640625" customWidth="1"/>
    <col min="19" max="20" width="6.6640625" customWidth="1"/>
    <col min="21" max="21" width="6.88671875" customWidth="1"/>
    <col min="22" max="22" width="8.6640625" customWidth="1"/>
    <col min="23" max="23" width="8" customWidth="1"/>
    <col min="24" max="24" width="6.6640625" bestFit="1" customWidth="1"/>
    <col min="25" max="25" width="0.5546875" customWidth="1"/>
    <col min="26" max="26" width="6.88671875" customWidth="1"/>
    <col min="27" max="27" width="7.109375" customWidth="1"/>
    <col min="28" max="28" width="8.88671875" customWidth="1"/>
    <col min="29" max="29" width="6.6640625" customWidth="1"/>
    <col min="30" max="30" width="9.33203125" bestFit="1" customWidth="1"/>
    <col min="31" max="31" width="7.33203125" hidden="1" customWidth="1"/>
    <col min="32" max="32" width="4" hidden="1" customWidth="1"/>
    <col min="33" max="33" width="8.109375" hidden="1" customWidth="1"/>
    <col min="34" max="34" width="9.88671875" hidden="1" customWidth="1"/>
    <col min="35" max="35" width="8.5546875" hidden="1" customWidth="1"/>
    <col min="36" max="36" width="14.109375" hidden="1" customWidth="1"/>
    <col min="37" max="37" width="11.44140625" customWidth="1"/>
    <col min="38" max="38" width="13.6640625" customWidth="1"/>
    <col min="40" max="40" width="12" bestFit="1" customWidth="1"/>
    <col min="42" max="42" width="13.109375" customWidth="1"/>
    <col min="43" max="43" width="5.5546875" customWidth="1"/>
    <col min="44" max="44" width="7.109375" customWidth="1"/>
    <col min="45" max="45" width="6" customWidth="1"/>
  </cols>
  <sheetData>
    <row r="1" spans="1:45" ht="16.2" thickBot="1" x14ac:dyDescent="0.35">
      <c r="A1" s="303" t="s">
        <v>19</v>
      </c>
      <c r="B1" s="295"/>
      <c r="C1" s="295"/>
      <c r="D1" s="195"/>
      <c r="E1" s="295" t="s">
        <v>317</v>
      </c>
      <c r="F1" s="295"/>
      <c r="G1" s="296"/>
      <c r="J1" s="307" t="s">
        <v>689</v>
      </c>
      <c r="K1" s="307"/>
      <c r="L1" s="307"/>
      <c r="M1" s="307"/>
      <c r="N1" s="307"/>
      <c r="O1" s="307"/>
      <c r="P1" s="307"/>
      <c r="Q1" s="307"/>
      <c r="S1" s="304" t="s">
        <v>78</v>
      </c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6"/>
      <c r="AE1" s="247"/>
      <c r="AF1" s="247"/>
      <c r="AG1" s="247"/>
      <c r="AH1" s="247"/>
    </row>
    <row r="2" spans="1:45" ht="14.25" customHeight="1" thickBot="1" x14ac:dyDescent="0.35">
      <c r="B2"/>
      <c r="H2" s="300" t="s">
        <v>648</v>
      </c>
      <c r="J2" s="248" t="s">
        <v>691</v>
      </c>
      <c r="K2" s="250"/>
      <c r="L2" s="250"/>
      <c r="M2" s="250"/>
      <c r="N2" s="250"/>
      <c r="O2" s="250"/>
      <c r="P2" s="253">
        <v>3.25</v>
      </c>
      <c r="Q2" s="249" t="s">
        <v>649</v>
      </c>
      <c r="AM2" t="s">
        <v>666</v>
      </c>
    </row>
    <row r="3" spans="1:45" ht="15.6" customHeight="1" thickBot="1" x14ac:dyDescent="0.4">
      <c r="A3" s="310" t="s">
        <v>315</v>
      </c>
      <c r="B3" s="12" t="s">
        <v>311</v>
      </c>
      <c r="C3" s="9" t="s">
        <v>550</v>
      </c>
      <c r="E3" s="87">
        <f>SUM(E16)</f>
        <v>25.07</v>
      </c>
      <c r="H3" s="301"/>
      <c r="J3" s="152" t="s">
        <v>692</v>
      </c>
      <c r="P3" s="254">
        <v>2</v>
      </c>
      <c r="Q3" s="153" t="s">
        <v>649</v>
      </c>
      <c r="AM3" t="s">
        <v>667</v>
      </c>
      <c r="AN3" s="252">
        <f>P5</f>
        <v>181.1</v>
      </c>
      <c r="AO3" t="s">
        <v>653</v>
      </c>
      <c r="AP3">
        <f>AN3*100000</f>
        <v>18110000</v>
      </c>
      <c r="AQ3" t="s">
        <v>668</v>
      </c>
      <c r="AR3">
        <f>AN3*14.5</f>
        <v>2625.95</v>
      </c>
      <c r="AS3" t="s">
        <v>693</v>
      </c>
    </row>
    <row r="4" spans="1:45" ht="14.4" customHeight="1" thickBot="1" x14ac:dyDescent="0.35">
      <c r="A4" s="311"/>
      <c r="B4" s="12" t="s">
        <v>66</v>
      </c>
      <c r="C4" s="9" t="s">
        <v>0</v>
      </c>
      <c r="E4" s="86">
        <v>110</v>
      </c>
      <c r="H4" s="302"/>
      <c r="J4" s="251" t="s">
        <v>650</v>
      </c>
      <c r="K4" s="208"/>
      <c r="L4" s="208"/>
      <c r="M4" s="208"/>
      <c r="N4" s="208"/>
      <c r="O4" s="208"/>
      <c r="P4" s="255">
        <v>8</v>
      </c>
      <c r="Q4" s="158" t="s">
        <v>649</v>
      </c>
      <c r="AM4" t="s">
        <v>669</v>
      </c>
      <c r="AN4" s="252">
        <f>P2</f>
        <v>3.25</v>
      </c>
      <c r="AO4" t="s">
        <v>649</v>
      </c>
    </row>
    <row r="5" spans="1:45" ht="15.75" customHeight="1" thickBot="1" x14ac:dyDescent="0.35">
      <c r="A5" s="311"/>
      <c r="B5" s="12" t="s">
        <v>68</v>
      </c>
      <c r="C5" s="9" t="s">
        <v>70</v>
      </c>
      <c r="E5" s="85">
        <v>263.89999999999998</v>
      </c>
      <c r="H5" s="300" t="s">
        <v>651</v>
      </c>
      <c r="J5" s="248" t="s">
        <v>652</v>
      </c>
      <c r="K5" s="250"/>
      <c r="L5" s="250"/>
      <c r="M5" s="250"/>
      <c r="N5" s="250"/>
      <c r="O5" s="250"/>
      <c r="P5" s="253">
        <v>181.1</v>
      </c>
      <c r="Q5" s="249" t="s">
        <v>653</v>
      </c>
      <c r="AM5" t="s">
        <v>670</v>
      </c>
      <c r="AN5" s="252">
        <f>P3</f>
        <v>2</v>
      </c>
      <c r="AO5" t="s">
        <v>649</v>
      </c>
    </row>
    <row r="6" spans="1:45" x14ac:dyDescent="0.3">
      <c r="A6" s="311"/>
      <c r="H6" s="301"/>
      <c r="J6" s="152" t="s">
        <v>654</v>
      </c>
      <c r="P6" s="254">
        <v>1.8</v>
      </c>
      <c r="Q6" s="153" t="s">
        <v>655</v>
      </c>
      <c r="AM6" t="s">
        <v>597</v>
      </c>
      <c r="AN6">
        <f>(3.14159*((AN4/39.37)/2)^2)-(3.14159*((AN5/39.37)/2)^2)</f>
        <v>3.3252783239437452E-3</v>
      </c>
      <c r="AO6" t="s">
        <v>671</v>
      </c>
      <c r="AP6">
        <f>AN6*1550</f>
        <v>5.1541814021128047</v>
      </c>
      <c r="AQ6" t="s">
        <v>672</v>
      </c>
    </row>
    <row r="7" spans="1:45" ht="15" customHeight="1" thickBot="1" x14ac:dyDescent="0.35">
      <c r="A7" s="311"/>
      <c r="B7" s="12" t="s">
        <v>1</v>
      </c>
      <c r="C7" s="9" t="s">
        <v>0</v>
      </c>
      <c r="E7" s="191">
        <f>E3*10000/E5/60</f>
        <v>15.83301755715549</v>
      </c>
      <c r="H7" s="301"/>
      <c r="J7" s="152" t="s">
        <v>656</v>
      </c>
      <c r="P7" s="254">
        <v>2300</v>
      </c>
      <c r="Q7" s="153" t="s">
        <v>34</v>
      </c>
      <c r="AM7" t="s">
        <v>673</v>
      </c>
      <c r="AN7">
        <f>AP7/9806.65</f>
        <v>6.1408116376765998</v>
      </c>
      <c r="AO7" t="s">
        <v>661</v>
      </c>
      <c r="AP7">
        <f>AP3*AN6</f>
        <v>60220.790446621228</v>
      </c>
      <c r="AQ7" t="s">
        <v>674</v>
      </c>
    </row>
    <row r="8" spans="1:45" ht="15" thickBot="1" x14ac:dyDescent="0.35">
      <c r="A8" s="311"/>
      <c r="B8" s="12" t="s">
        <v>316</v>
      </c>
      <c r="C8" s="9" t="s">
        <v>5</v>
      </c>
      <c r="E8" s="193">
        <v>2500</v>
      </c>
      <c r="F8" s="189">
        <f>ROUND(MAX(K22:K33),0)</f>
        <v>2533</v>
      </c>
      <c r="H8" s="302"/>
      <c r="J8" s="152" t="s">
        <v>658</v>
      </c>
      <c r="P8" s="256">
        <v>0.9</v>
      </c>
      <c r="Q8" s="153"/>
    </row>
    <row r="9" spans="1:45" ht="13.5" customHeight="1" thickBot="1" x14ac:dyDescent="0.35">
      <c r="A9" s="312"/>
      <c r="B9" s="12" t="s">
        <v>468</v>
      </c>
      <c r="C9" s="71" t="s">
        <v>9</v>
      </c>
      <c r="E9" s="192">
        <v>0.5</v>
      </c>
      <c r="F9" s="190">
        <f>E8/60/E9</f>
        <v>83.333333333333329</v>
      </c>
      <c r="H9" s="313" t="s">
        <v>659</v>
      </c>
      <c r="J9" s="248" t="s">
        <v>660</v>
      </c>
      <c r="K9" s="250"/>
      <c r="L9" s="250"/>
      <c r="M9" s="250"/>
      <c r="N9" s="250"/>
      <c r="O9" s="250"/>
      <c r="P9" s="257">
        <f>AN7</f>
        <v>6.1408116376765998</v>
      </c>
      <c r="Q9" s="249" t="s">
        <v>661</v>
      </c>
      <c r="AD9" s="115"/>
      <c r="AM9" t="s">
        <v>675</v>
      </c>
    </row>
    <row r="10" spans="1:45" ht="16.5" customHeight="1" thickBot="1" x14ac:dyDescent="0.35">
      <c r="H10" s="314"/>
      <c r="J10" s="152" t="s">
        <v>662</v>
      </c>
      <c r="P10" s="12">
        <f>AP15</f>
        <v>22.523263560706091</v>
      </c>
      <c r="Q10" s="153" t="s">
        <v>657</v>
      </c>
      <c r="AM10" t="s">
        <v>597</v>
      </c>
      <c r="AN10">
        <f>AN6</f>
        <v>3.3252783239437452E-3</v>
      </c>
      <c r="AO10" t="s">
        <v>671</v>
      </c>
    </row>
    <row r="11" spans="1:45" ht="15.75" customHeight="1" thickBot="1" x14ac:dyDescent="0.35">
      <c r="A11" s="310" t="s">
        <v>313</v>
      </c>
      <c r="B11" s="184" t="s">
        <v>2</v>
      </c>
      <c r="C11" s="185"/>
      <c r="E11" s="308" t="s">
        <v>480</v>
      </c>
      <c r="F11" s="309"/>
      <c r="G11" s="60" t="s">
        <v>542</v>
      </c>
      <c r="H11" s="315"/>
      <c r="J11" s="251" t="s">
        <v>663</v>
      </c>
      <c r="K11" s="208"/>
      <c r="L11" s="208"/>
      <c r="M11" s="208"/>
      <c r="N11" s="208"/>
      <c r="O11" s="208"/>
      <c r="P11" s="157">
        <f>AN20</f>
        <v>9.7913043478260864</v>
      </c>
      <c r="Q11" s="158" t="s">
        <v>664</v>
      </c>
      <c r="AM11" t="s">
        <v>676</v>
      </c>
      <c r="AN11" s="252">
        <f>P4</f>
        <v>8</v>
      </c>
      <c r="AO11" t="s">
        <v>649</v>
      </c>
      <c r="AP11">
        <f>AN11/39.37</f>
        <v>0.20320040640081283</v>
      </c>
      <c r="AQ11" t="s">
        <v>116</v>
      </c>
    </row>
    <row r="12" spans="1:45" x14ac:dyDescent="0.3">
      <c r="A12" s="311"/>
      <c r="B12" s="12" t="s">
        <v>3</v>
      </c>
      <c r="C12" s="9" t="s">
        <v>4</v>
      </c>
      <c r="E12" s="194">
        <f>VLOOKUP($E$11,HydraulicPumps[],3,FALSE)</f>
        <v>10.9</v>
      </c>
      <c r="H12" s="263"/>
      <c r="AM12" t="s">
        <v>677</v>
      </c>
      <c r="AN12">
        <f>AN10*AP11</f>
        <v>6.7569790682118277E-4</v>
      </c>
      <c r="AO12" t="s">
        <v>678</v>
      </c>
      <c r="AP12">
        <f>AN12*100*100*100</f>
        <v>675.69790682118287</v>
      </c>
      <c r="AQ12" t="s">
        <v>695</v>
      </c>
    </row>
    <row r="13" spans="1:45" ht="14.4" customHeight="1" thickBot="1" x14ac:dyDescent="0.35">
      <c r="A13" s="311"/>
      <c r="B13" s="12" t="s">
        <v>314</v>
      </c>
      <c r="C13" s="9" t="s">
        <v>171</v>
      </c>
      <c r="E13" s="137">
        <f>VLOOKUP($E$11,HydraulicPumps[],14,FALSE)</f>
        <v>2.7</v>
      </c>
      <c r="H13" s="263"/>
    </row>
    <row r="14" spans="1:45" ht="16.2" thickBot="1" x14ac:dyDescent="0.4">
      <c r="A14" s="311"/>
      <c r="B14" s="89" t="s">
        <v>312</v>
      </c>
      <c r="C14" s="71" t="s">
        <v>81</v>
      </c>
      <c r="E14" s="138">
        <f>VLOOKUP($E$11,HydraulicPumps[],11,FALSE)</f>
        <v>0.93</v>
      </c>
      <c r="F14" s="297">
        <f>E14*E15</f>
        <v>0.85560000000000003</v>
      </c>
      <c r="AM14" t="s">
        <v>679</v>
      </c>
      <c r="AN14" s="252">
        <f>P6</f>
        <v>1.8</v>
      </c>
      <c r="AO14" t="s">
        <v>655</v>
      </c>
    </row>
    <row r="15" spans="1:45" ht="15.6" x14ac:dyDescent="0.35">
      <c r="A15" s="311"/>
      <c r="B15" s="89" t="s">
        <v>486</v>
      </c>
      <c r="C15" s="71" t="s">
        <v>81</v>
      </c>
      <c r="E15" s="138">
        <f>VLOOKUP($E$11,HydraulicPumps[],12,FALSE)</f>
        <v>0.92</v>
      </c>
      <c r="F15" s="298"/>
      <c r="AM15" t="s">
        <v>680</v>
      </c>
      <c r="AN15">
        <f>AN12/AN14</f>
        <v>3.753877260117682E-4</v>
      </c>
      <c r="AO15" t="s">
        <v>681</v>
      </c>
      <c r="AP15">
        <f>AN15*60000</f>
        <v>22.523263560706091</v>
      </c>
      <c r="AQ15" t="s">
        <v>657</v>
      </c>
    </row>
    <row r="16" spans="1:45" x14ac:dyDescent="0.3">
      <c r="A16" s="312"/>
      <c r="B16" s="12" t="s">
        <v>69</v>
      </c>
      <c r="C16" s="9" t="s">
        <v>550</v>
      </c>
      <c r="E16" s="88">
        <f>E12/1000*E8*E15</f>
        <v>25.07</v>
      </c>
    </row>
    <row r="17" spans="1:42" ht="10.95" customHeight="1" thickBot="1" x14ac:dyDescent="0.35">
      <c r="B17"/>
      <c r="H17" s="90"/>
      <c r="AM17" t="s">
        <v>682</v>
      </c>
    </row>
    <row r="18" spans="1:42" ht="15" thickBot="1" x14ac:dyDescent="0.35">
      <c r="E18" s="292" t="s">
        <v>546</v>
      </c>
      <c r="F18" s="293"/>
      <c r="G18" s="159">
        <v>0.1</v>
      </c>
      <c r="H18" s="90"/>
      <c r="J18" s="299" t="s">
        <v>77</v>
      </c>
      <c r="K18" s="299"/>
      <c r="L18" s="299"/>
      <c r="M18" s="299"/>
      <c r="N18" s="299"/>
      <c r="O18" s="299"/>
      <c r="P18" s="299"/>
      <c r="Q18" s="299"/>
      <c r="S18" s="294" t="s">
        <v>469</v>
      </c>
      <c r="T18" s="294"/>
      <c r="U18" s="294"/>
      <c r="V18" s="294"/>
      <c r="W18" s="294"/>
      <c r="X18" s="294"/>
      <c r="Y18" s="294"/>
      <c r="Z18" s="294"/>
      <c r="AA18" s="294"/>
      <c r="AM18" t="s">
        <v>680</v>
      </c>
      <c r="AN18" s="252">
        <v>22.52</v>
      </c>
      <c r="AO18" t="s">
        <v>657</v>
      </c>
      <c r="AP18" t="s">
        <v>694</v>
      </c>
    </row>
    <row r="19" spans="1:42" ht="15" thickBot="1" x14ac:dyDescent="0.35">
      <c r="B19"/>
      <c r="H19" s="186"/>
      <c r="S19" s="116" t="s">
        <v>473</v>
      </c>
      <c r="T19" s="117">
        <f>E13+E64</f>
        <v>17.803999999999998</v>
      </c>
      <c r="U19" s="59" t="s">
        <v>103</v>
      </c>
      <c r="V19" s="17">
        <v>1</v>
      </c>
      <c r="W19" s="2"/>
      <c r="X19" s="114"/>
      <c r="AM19" t="s">
        <v>94</v>
      </c>
      <c r="AN19" s="252">
        <f>P7</f>
        <v>2300</v>
      </c>
      <c r="AO19" t="s">
        <v>34</v>
      </c>
    </row>
    <row r="20" spans="1:42" ht="16.2" x14ac:dyDescent="0.35">
      <c r="B20" s="274" t="s">
        <v>71</v>
      </c>
      <c r="C20" s="274"/>
      <c r="D20" s="274"/>
      <c r="E20" s="274"/>
      <c r="F20" s="274"/>
      <c r="G20" s="274"/>
      <c r="H20" s="186"/>
      <c r="J20" s="121" t="s">
        <v>72</v>
      </c>
      <c r="K20" s="121" t="s">
        <v>73</v>
      </c>
      <c r="L20" s="4"/>
      <c r="M20" s="121" t="s">
        <v>27</v>
      </c>
      <c r="N20" s="121" t="s">
        <v>22</v>
      </c>
      <c r="P20" s="123" t="s">
        <v>547</v>
      </c>
      <c r="Q20" s="121" t="s">
        <v>80</v>
      </c>
      <c r="S20" s="140" t="s">
        <v>470</v>
      </c>
      <c r="T20" s="141" t="s">
        <v>544</v>
      </c>
      <c r="U20" s="142" t="s">
        <v>545</v>
      </c>
      <c r="V20" s="121" t="s">
        <v>471</v>
      </c>
      <c r="W20" s="121" t="s">
        <v>472</v>
      </c>
      <c r="X20" s="121" t="s">
        <v>27</v>
      </c>
      <c r="Z20" s="122" t="s">
        <v>547</v>
      </c>
      <c r="AA20" s="121" t="s">
        <v>80</v>
      </c>
      <c r="AM20" t="s">
        <v>683</v>
      </c>
      <c r="AN20">
        <f>(AN18*1000)/AN19</f>
        <v>9.7913043478260864</v>
      </c>
      <c r="AO20" t="s">
        <v>664</v>
      </c>
    </row>
    <row r="21" spans="1:42" x14ac:dyDescent="0.3">
      <c r="B21"/>
      <c r="E21" s="68" t="s">
        <v>8</v>
      </c>
      <c r="F21" s="68" t="s">
        <v>9</v>
      </c>
      <c r="G21" s="68" t="s">
        <v>550</v>
      </c>
      <c r="H21" s="186">
        <v>0</v>
      </c>
      <c r="J21" s="14" t="s">
        <v>10</v>
      </c>
      <c r="K21" s="14" t="s">
        <v>5</v>
      </c>
      <c r="M21" s="14" t="s">
        <v>21</v>
      </c>
      <c r="N21" s="14" t="s">
        <v>20</v>
      </c>
      <c r="P21" s="14" t="s">
        <v>10</v>
      </c>
      <c r="Q21" s="14" t="s">
        <v>21</v>
      </c>
      <c r="S21" s="143" t="s">
        <v>5</v>
      </c>
      <c r="T21" s="143" t="s">
        <v>9</v>
      </c>
      <c r="U21" s="144" t="s">
        <v>10</v>
      </c>
      <c r="V21" s="14" t="s">
        <v>10</v>
      </c>
      <c r="W21" s="14" t="s">
        <v>10</v>
      </c>
      <c r="X21" s="14" t="s">
        <v>21</v>
      </c>
      <c r="Z21" s="14" t="s">
        <v>10</v>
      </c>
      <c r="AA21" s="14" t="s">
        <v>21</v>
      </c>
    </row>
    <row r="22" spans="1:42" ht="15" outlineLevel="1" thickBot="1" x14ac:dyDescent="0.35">
      <c r="A22" s="273" t="s">
        <v>310</v>
      </c>
      <c r="B22" s="258" t="s">
        <v>6</v>
      </c>
      <c r="C22" s="259"/>
      <c r="D22" s="67"/>
      <c r="E22" s="260">
        <v>181</v>
      </c>
      <c r="F22" s="261">
        <v>2</v>
      </c>
      <c r="G22" s="262">
        <v>25.676388088307498</v>
      </c>
      <c r="H22" s="187">
        <v>0</v>
      </c>
      <c r="I22" s="1"/>
      <c r="J22" s="6">
        <f>($E$12*E22)/(20*PI())*1/$E$15</f>
        <v>34.130085568043512</v>
      </c>
      <c r="K22" s="6">
        <f>$G22*1000/$E$12/$E$14</f>
        <v>2532.9375642011933</v>
      </c>
      <c r="M22" s="6">
        <f>$J22*$K22/9550</f>
        <v>9.0522906601778459</v>
      </c>
      <c r="N22" s="51">
        <f>$K22/60*4</f>
        <v>168.86250428007955</v>
      </c>
      <c r="P22" s="6">
        <f>J22*(1+CalculationReserveProzent)</f>
        <v>37.543094124847869</v>
      </c>
      <c r="Q22" s="6">
        <f>P22*K22/9550</f>
        <v>9.957519726195633</v>
      </c>
      <c r="S22" s="146">
        <f>K22-0</f>
        <v>2532.9375642011933</v>
      </c>
      <c r="T22" s="147">
        <f>$E$9/$E$8*ABS(S22)</f>
        <v>0.50658751284023873</v>
      </c>
      <c r="U22" s="148">
        <f t="shared" ref="U22:U33" si="0">IF(S22,(S22*$T$19*kgcm²_kgm²/(Const_RpmToM*T22)),0)</f>
        <v>0.93221526007521105</v>
      </c>
      <c r="V22" s="120">
        <f t="shared" ref="V22:V33" si="1">J22+U22</f>
        <v>35.062300828118723</v>
      </c>
      <c r="W22" s="6">
        <f>IF(F22,SQRT((((0+J22)/2+U22)^2*T22+J22^2*(F22-T22))/F22),0)</f>
        <v>30.852106213084085</v>
      </c>
      <c r="X22" s="6">
        <f t="shared" ref="X22:X33" si="2">$W22*$K22/9550</f>
        <v>8.1828752630204917</v>
      </c>
      <c r="Z22" s="6">
        <f t="shared" ref="Z22:Z33" si="3">W22*(1+CalculationReserveProzent)</f>
        <v>33.937316834392497</v>
      </c>
      <c r="AA22" s="6">
        <f t="shared" ref="AA22:AA33" si="4">Z22*K22/9550</f>
        <v>9.0011627893225423</v>
      </c>
      <c r="AM22" t="s">
        <v>684</v>
      </c>
    </row>
    <row r="23" spans="1:42" ht="15" outlineLevel="1" thickBot="1" x14ac:dyDescent="0.35">
      <c r="A23" s="273"/>
      <c r="B23" s="118" t="s">
        <v>7</v>
      </c>
      <c r="C23" s="119"/>
      <c r="E23" s="12">
        <v>34.482758620689658</v>
      </c>
      <c r="F23" s="10">
        <v>2</v>
      </c>
      <c r="G23" s="6">
        <v>24.324999241554469</v>
      </c>
      <c r="H23" s="187">
        <f>H22+F22</f>
        <v>2</v>
      </c>
      <c r="I23" s="1"/>
      <c r="J23" s="6">
        <f t="shared" ref="J23:J33" si="5">($E$12*E23)/(20*PI())*1/$E$15</f>
        <v>6.5022071952835807</v>
      </c>
      <c r="K23" s="6">
        <f t="shared" ref="K23:K33" si="6">$G23*1000/$E$12/$E$14</f>
        <v>2399.6250608221826</v>
      </c>
      <c r="M23" s="6">
        <f t="shared" ref="M23:M33" si="7">$J23*$K23/9550</f>
        <v>1.633807260362387</v>
      </c>
      <c r="N23" s="51">
        <f t="shared" ref="N23:N33" si="8">$K23/60*4</f>
        <v>159.97500405481216</v>
      </c>
      <c r="P23" s="6">
        <f t="shared" ref="P23:P33" si="9">J23*(1+CalculationReserveProzent)</f>
        <v>7.1524279148119394</v>
      </c>
      <c r="Q23" s="6">
        <f t="shared" ref="Q23:Q33" si="10">P23*K23/9550</f>
        <v>1.797187986398626</v>
      </c>
      <c r="S23" s="146">
        <f t="shared" ref="S23:S33" si="11">K23-K22</f>
        <v>-133.31250337901065</v>
      </c>
      <c r="T23" s="147">
        <f t="shared" ref="T23:T33" si="12">$E$9/$E$8*ABS(S23)</f>
        <v>2.6662500675802132E-2</v>
      </c>
      <c r="U23" s="148">
        <f t="shared" si="0"/>
        <v>-0.93221526007521116</v>
      </c>
      <c r="V23" s="120">
        <f t="shared" si="1"/>
        <v>5.5699919352083693</v>
      </c>
      <c r="W23" s="6">
        <f t="shared" ref="W23:W33" si="13">IF(F23,SQRT((((J22+J23)/2+U23)^2*T23+J23^2*(F23-T23))/F23),0)</f>
        <v>6.8355037597536255</v>
      </c>
      <c r="X23" s="6">
        <f t="shared" si="2"/>
        <v>1.7175545680889059</v>
      </c>
      <c r="Z23" s="6">
        <f t="shared" si="3"/>
        <v>7.5190541357289886</v>
      </c>
      <c r="AA23" s="6">
        <f t="shared" si="4"/>
        <v>1.8893100248977965</v>
      </c>
      <c r="AM23" t="s">
        <v>685</v>
      </c>
      <c r="AN23" s="252">
        <f>AN3</f>
        <v>181.1</v>
      </c>
      <c r="AO23" t="s">
        <v>653</v>
      </c>
    </row>
    <row r="24" spans="1:42" ht="15" outlineLevel="1" thickBot="1" x14ac:dyDescent="0.35">
      <c r="A24" s="273"/>
      <c r="B24" s="118" t="s">
        <v>11</v>
      </c>
      <c r="C24" s="119"/>
      <c r="E24" s="12">
        <v>34.482758620689658</v>
      </c>
      <c r="F24" s="10">
        <v>20</v>
      </c>
      <c r="G24" s="6">
        <v>0</v>
      </c>
      <c r="H24" s="187">
        <f t="shared" ref="H24:H33" si="14">H23+F23</f>
        <v>4</v>
      </c>
      <c r="I24" s="1"/>
      <c r="J24" s="6">
        <f t="shared" si="5"/>
        <v>6.5022071952835807</v>
      </c>
      <c r="K24" s="6">
        <f t="shared" si="6"/>
        <v>0</v>
      </c>
      <c r="M24" s="6">
        <f t="shared" si="7"/>
        <v>0</v>
      </c>
      <c r="N24" s="51">
        <f t="shared" si="8"/>
        <v>0</v>
      </c>
      <c r="P24" s="6">
        <f t="shared" si="9"/>
        <v>7.1524279148119394</v>
      </c>
      <c r="Q24" s="6">
        <f t="shared" si="10"/>
        <v>0</v>
      </c>
      <c r="S24" s="146">
        <f t="shared" si="11"/>
        <v>-2399.6250608221826</v>
      </c>
      <c r="T24" s="147">
        <f t="shared" si="12"/>
        <v>0.47992501216443656</v>
      </c>
      <c r="U24" s="148">
        <f t="shared" si="0"/>
        <v>-0.93221526007521116</v>
      </c>
      <c r="V24" s="120">
        <f t="shared" si="1"/>
        <v>5.5699919352083693</v>
      </c>
      <c r="W24" s="6">
        <f t="shared" si="13"/>
        <v>6.4814078167928129</v>
      </c>
      <c r="X24" s="6">
        <f t="shared" si="2"/>
        <v>0</v>
      </c>
      <c r="Z24" s="6">
        <f t="shared" si="3"/>
        <v>7.1295485984720948</v>
      </c>
      <c r="AA24" s="6">
        <f t="shared" si="4"/>
        <v>0</v>
      </c>
      <c r="AM24" t="s">
        <v>680</v>
      </c>
      <c r="AN24">
        <f>AN18</f>
        <v>22.52</v>
      </c>
      <c r="AO24" t="s">
        <v>657</v>
      </c>
    </row>
    <row r="25" spans="1:42" ht="15" outlineLevel="1" thickBot="1" x14ac:dyDescent="0.35">
      <c r="A25" s="273"/>
      <c r="B25" s="118" t="s">
        <v>12</v>
      </c>
      <c r="C25" s="119"/>
      <c r="E25" s="12">
        <v>34.482758620689658</v>
      </c>
      <c r="F25" s="10">
        <v>1.3333333333333333</v>
      </c>
      <c r="G25" s="6">
        <v>21.284374336360163</v>
      </c>
      <c r="H25" s="187">
        <f t="shared" si="14"/>
        <v>24</v>
      </c>
      <c r="I25" s="1"/>
      <c r="J25" s="6">
        <f t="shared" si="5"/>
        <v>6.5022071952835807</v>
      </c>
      <c r="K25" s="6">
        <f t="shared" si="6"/>
        <v>2099.6719282194103</v>
      </c>
      <c r="M25" s="6">
        <f t="shared" si="7"/>
        <v>1.4295813528170889</v>
      </c>
      <c r="N25" s="51">
        <f t="shared" si="8"/>
        <v>139.97812854796069</v>
      </c>
      <c r="P25" s="6">
        <f t="shared" si="9"/>
        <v>7.1524279148119394</v>
      </c>
      <c r="Q25" s="6">
        <f t="shared" si="10"/>
        <v>1.572539488098798</v>
      </c>
      <c r="S25" s="146">
        <f t="shared" si="11"/>
        <v>2099.6719282194103</v>
      </c>
      <c r="T25" s="147">
        <f t="shared" si="12"/>
        <v>0.41993438564388208</v>
      </c>
      <c r="U25" s="148">
        <f t="shared" si="0"/>
        <v>0.93221526007521116</v>
      </c>
      <c r="V25" s="120">
        <f t="shared" si="1"/>
        <v>7.4344224553587921</v>
      </c>
      <c r="W25" s="6">
        <f t="shared" si="13"/>
        <v>6.8095902813561686</v>
      </c>
      <c r="X25" s="6">
        <f t="shared" si="2"/>
        <v>1.4971628854910224</v>
      </c>
      <c r="Z25" s="6">
        <f t="shared" si="3"/>
        <v>7.4905493094917857</v>
      </c>
      <c r="AA25" s="6">
        <f t="shared" si="4"/>
        <v>1.6468791740401247</v>
      </c>
      <c r="AM25" t="s">
        <v>686</v>
      </c>
      <c r="AN25" s="252">
        <f>P8</f>
        <v>0.9</v>
      </c>
      <c r="AO25" t="s">
        <v>687</v>
      </c>
    </row>
    <row r="26" spans="1:42" outlineLevel="1" x14ac:dyDescent="0.3">
      <c r="A26" s="273"/>
      <c r="B26" s="118" t="s">
        <v>13</v>
      </c>
      <c r="C26" s="119"/>
      <c r="E26" s="12">
        <v>34.482758620689658</v>
      </c>
      <c r="F26" s="10">
        <v>5</v>
      </c>
      <c r="G26" s="6">
        <v>0</v>
      </c>
      <c r="H26" s="187">
        <f t="shared" si="14"/>
        <v>25.333333333333332</v>
      </c>
      <c r="I26" s="1"/>
      <c r="J26" s="6">
        <f t="shared" si="5"/>
        <v>6.5022071952835807</v>
      </c>
      <c r="K26" s="6">
        <f t="shared" si="6"/>
        <v>0</v>
      </c>
      <c r="M26" s="6">
        <f t="shared" si="7"/>
        <v>0</v>
      </c>
      <c r="N26" s="51">
        <f t="shared" si="8"/>
        <v>0</v>
      </c>
      <c r="P26" s="6">
        <f t="shared" si="9"/>
        <v>7.1524279148119394</v>
      </c>
      <c r="Q26" s="6">
        <f t="shared" si="10"/>
        <v>0</v>
      </c>
      <c r="S26" s="146">
        <f t="shared" si="11"/>
        <v>-2099.6719282194103</v>
      </c>
      <c r="T26" s="147">
        <f t="shared" si="12"/>
        <v>0.41993438564388208</v>
      </c>
      <c r="U26" s="148">
        <f t="shared" si="0"/>
        <v>-0.93221526007521116</v>
      </c>
      <c r="V26" s="120">
        <f t="shared" si="1"/>
        <v>5.5699919352083693</v>
      </c>
      <c r="W26" s="6">
        <f t="shared" si="13"/>
        <v>6.4291149842374509</v>
      </c>
      <c r="X26" s="6">
        <f t="shared" si="2"/>
        <v>0</v>
      </c>
      <c r="Z26" s="6">
        <f t="shared" si="3"/>
        <v>7.0720264826611965</v>
      </c>
      <c r="AA26" s="6">
        <f t="shared" si="4"/>
        <v>0</v>
      </c>
      <c r="AM26" t="s">
        <v>688</v>
      </c>
      <c r="AN26">
        <f>(AN23*AN24)/(600*AN25)</f>
        <v>7.5525407407407403</v>
      </c>
      <c r="AO26" t="s">
        <v>665</v>
      </c>
    </row>
    <row r="27" spans="1:42" outlineLevel="1" x14ac:dyDescent="0.3">
      <c r="A27" s="273"/>
      <c r="B27" s="118" t="s">
        <v>14</v>
      </c>
      <c r="C27" s="119"/>
      <c r="E27" s="12">
        <v>0</v>
      </c>
      <c r="F27" s="10">
        <v>0</v>
      </c>
      <c r="G27" s="6">
        <v>0</v>
      </c>
      <c r="H27" s="187">
        <f t="shared" si="14"/>
        <v>30.333333333333332</v>
      </c>
      <c r="I27" s="1"/>
      <c r="J27" s="6">
        <f t="shared" si="5"/>
        <v>0</v>
      </c>
      <c r="K27" s="6">
        <f t="shared" si="6"/>
        <v>0</v>
      </c>
      <c r="M27" s="6">
        <f t="shared" si="7"/>
        <v>0</v>
      </c>
      <c r="N27" s="51">
        <f t="shared" si="8"/>
        <v>0</v>
      </c>
      <c r="P27" s="6">
        <f t="shared" si="9"/>
        <v>0</v>
      </c>
      <c r="Q27" s="6">
        <f t="shared" si="10"/>
        <v>0</v>
      </c>
      <c r="S27" s="146">
        <f t="shared" si="11"/>
        <v>0</v>
      </c>
      <c r="T27" s="147">
        <f t="shared" si="12"/>
        <v>0</v>
      </c>
      <c r="U27" s="148">
        <f t="shared" si="0"/>
        <v>0</v>
      </c>
      <c r="V27" s="120">
        <f t="shared" si="1"/>
        <v>0</v>
      </c>
      <c r="W27" s="6">
        <f t="shared" si="13"/>
        <v>0</v>
      </c>
      <c r="X27" s="6">
        <f t="shared" si="2"/>
        <v>0</v>
      </c>
      <c r="Z27" s="6">
        <f t="shared" si="3"/>
        <v>0</v>
      </c>
      <c r="AA27" s="6">
        <f t="shared" si="4"/>
        <v>0</v>
      </c>
    </row>
    <row r="28" spans="1:42" outlineLevel="1" x14ac:dyDescent="0.3">
      <c r="A28" s="273"/>
      <c r="B28" s="118" t="s">
        <v>622</v>
      </c>
      <c r="C28" s="119"/>
      <c r="E28" s="12">
        <v>68.965517241379317</v>
      </c>
      <c r="F28" s="10">
        <v>1</v>
      </c>
      <c r="G28" s="6">
        <v>7.8187497562139354</v>
      </c>
      <c r="H28" s="187">
        <f t="shared" si="14"/>
        <v>30.333333333333332</v>
      </c>
      <c r="I28" s="1"/>
      <c r="J28" s="6">
        <f t="shared" si="5"/>
        <v>13.004414390567161</v>
      </c>
      <c r="K28" s="6">
        <f t="shared" si="6"/>
        <v>771.30805526427287</v>
      </c>
      <c r="M28" s="6">
        <f t="shared" si="7"/>
        <v>1.0503046673758201</v>
      </c>
      <c r="N28" s="51">
        <f t="shared" si="8"/>
        <v>51.420537017618194</v>
      </c>
      <c r="P28" s="6">
        <f t="shared" si="9"/>
        <v>14.304855829623879</v>
      </c>
      <c r="Q28" s="6">
        <f t="shared" si="10"/>
        <v>1.1553351341134022</v>
      </c>
      <c r="S28" s="146">
        <f t="shared" si="11"/>
        <v>771.30805526427287</v>
      </c>
      <c r="T28" s="147">
        <f t="shared" si="12"/>
        <v>0.15426161105285457</v>
      </c>
      <c r="U28" s="148">
        <f t="shared" si="0"/>
        <v>0.93221526007521127</v>
      </c>
      <c r="V28" s="120">
        <f t="shared" si="1"/>
        <v>13.936629650642372</v>
      </c>
      <c r="W28" s="6">
        <f t="shared" si="13"/>
        <v>12.310686847891935</v>
      </c>
      <c r="X28" s="6">
        <f t="shared" si="2"/>
        <v>0.99427559493350681</v>
      </c>
      <c r="Z28" s="6">
        <f t="shared" si="3"/>
        <v>13.54175553268113</v>
      </c>
      <c r="AA28" s="6">
        <f t="shared" si="4"/>
        <v>1.0937031544268576</v>
      </c>
    </row>
    <row r="29" spans="1:42" outlineLevel="1" x14ac:dyDescent="0.3">
      <c r="A29" s="273"/>
      <c r="B29" s="118" t="s">
        <v>15</v>
      </c>
      <c r="C29" s="119"/>
      <c r="E29" s="12">
        <v>68.965517241379317</v>
      </c>
      <c r="F29" s="10">
        <v>1</v>
      </c>
      <c r="G29" s="6">
        <v>7.8187497562139354</v>
      </c>
      <c r="H29" s="187">
        <f t="shared" si="14"/>
        <v>31.333333333333332</v>
      </c>
      <c r="I29" s="1"/>
      <c r="J29" s="6">
        <f t="shared" si="5"/>
        <v>13.004414390567161</v>
      </c>
      <c r="K29" s="6">
        <f t="shared" si="6"/>
        <v>771.30805526427287</v>
      </c>
      <c r="M29" s="6">
        <f t="shared" si="7"/>
        <v>1.0503046673758201</v>
      </c>
      <c r="N29" s="51">
        <f t="shared" si="8"/>
        <v>51.420537017618194</v>
      </c>
      <c r="P29" s="6">
        <f t="shared" si="9"/>
        <v>14.304855829623879</v>
      </c>
      <c r="Q29" s="6">
        <f t="shared" si="10"/>
        <v>1.1553351341134022</v>
      </c>
      <c r="S29" s="146">
        <f t="shared" si="11"/>
        <v>0</v>
      </c>
      <c r="T29" s="147">
        <f t="shared" si="12"/>
        <v>0</v>
      </c>
      <c r="U29" s="148">
        <f t="shared" si="0"/>
        <v>0</v>
      </c>
      <c r="V29" s="120">
        <f t="shared" si="1"/>
        <v>13.004414390567161</v>
      </c>
      <c r="W29" s="6">
        <f t="shared" si="13"/>
        <v>13.004414390567161</v>
      </c>
      <c r="X29" s="6">
        <f t="shared" si="2"/>
        <v>1.0503046673758201</v>
      </c>
      <c r="Z29" s="6">
        <f t="shared" si="3"/>
        <v>14.304855829623879</v>
      </c>
      <c r="AA29" s="6">
        <f t="shared" si="4"/>
        <v>1.1553351341134022</v>
      </c>
    </row>
    <row r="30" spans="1:42" outlineLevel="1" x14ac:dyDescent="0.3">
      <c r="A30" s="273"/>
      <c r="B30" s="118" t="s">
        <v>16</v>
      </c>
      <c r="C30" s="119"/>
      <c r="E30" s="12"/>
      <c r="F30" s="10"/>
      <c r="G30" s="6"/>
      <c r="H30" s="187">
        <f t="shared" si="14"/>
        <v>32.333333333333329</v>
      </c>
      <c r="I30" s="1"/>
      <c r="J30" s="6">
        <f t="shared" si="5"/>
        <v>0</v>
      </c>
      <c r="K30" s="6">
        <f t="shared" si="6"/>
        <v>0</v>
      </c>
      <c r="M30" s="6">
        <f t="shared" si="7"/>
        <v>0</v>
      </c>
      <c r="N30" s="51">
        <f t="shared" si="8"/>
        <v>0</v>
      </c>
      <c r="P30" s="6">
        <f t="shared" si="9"/>
        <v>0</v>
      </c>
      <c r="Q30" s="6">
        <f t="shared" si="10"/>
        <v>0</v>
      </c>
      <c r="S30" s="146">
        <f t="shared" si="11"/>
        <v>-771.30805526427287</v>
      </c>
      <c r="T30" s="147">
        <f t="shared" si="12"/>
        <v>0.15426161105285457</v>
      </c>
      <c r="U30" s="148">
        <f t="shared" si="0"/>
        <v>-0.93221526007521127</v>
      </c>
      <c r="V30" s="120">
        <f t="shared" si="1"/>
        <v>-0.93221526007521127</v>
      </c>
      <c r="W30" s="6">
        <f t="shared" si="13"/>
        <v>0</v>
      </c>
      <c r="X30" s="6">
        <f t="shared" si="2"/>
        <v>0</v>
      </c>
      <c r="Z30" s="6">
        <f t="shared" si="3"/>
        <v>0</v>
      </c>
      <c r="AA30" s="6">
        <f t="shared" si="4"/>
        <v>0</v>
      </c>
    </row>
    <row r="31" spans="1:42" outlineLevel="1" x14ac:dyDescent="0.3">
      <c r="A31" s="273"/>
      <c r="B31" s="118" t="s">
        <v>17</v>
      </c>
      <c r="C31" s="119"/>
      <c r="E31" s="12"/>
      <c r="F31" s="10"/>
      <c r="G31" s="6"/>
      <c r="H31" s="187">
        <f t="shared" si="14"/>
        <v>32.333333333333329</v>
      </c>
      <c r="I31" s="1"/>
      <c r="J31" s="6">
        <f t="shared" si="5"/>
        <v>0</v>
      </c>
      <c r="K31" s="6">
        <f t="shared" si="6"/>
        <v>0</v>
      </c>
      <c r="M31" s="6">
        <f t="shared" si="7"/>
        <v>0</v>
      </c>
      <c r="N31" s="51">
        <f t="shared" si="8"/>
        <v>0</v>
      </c>
      <c r="P31" s="6">
        <f t="shared" si="9"/>
        <v>0</v>
      </c>
      <c r="Q31" s="6">
        <f t="shared" si="10"/>
        <v>0</v>
      </c>
      <c r="S31" s="146">
        <f t="shared" si="11"/>
        <v>0</v>
      </c>
      <c r="T31" s="147">
        <f t="shared" si="12"/>
        <v>0</v>
      </c>
      <c r="U31" s="148">
        <f t="shared" si="0"/>
        <v>0</v>
      </c>
      <c r="V31" s="120">
        <f t="shared" si="1"/>
        <v>0</v>
      </c>
      <c r="W31" s="6">
        <f t="shared" si="13"/>
        <v>0</v>
      </c>
      <c r="X31" s="6">
        <f t="shared" si="2"/>
        <v>0</v>
      </c>
      <c r="Z31" s="6">
        <f t="shared" si="3"/>
        <v>0</v>
      </c>
      <c r="AA31" s="6">
        <f t="shared" si="4"/>
        <v>0</v>
      </c>
    </row>
    <row r="32" spans="1:42" outlineLevel="1" x14ac:dyDescent="0.3">
      <c r="A32" s="273"/>
      <c r="B32" s="118" t="s">
        <v>18</v>
      </c>
      <c r="C32" s="119"/>
      <c r="E32" s="12"/>
      <c r="F32" s="10"/>
      <c r="G32" s="6"/>
      <c r="H32" s="187">
        <f t="shared" si="14"/>
        <v>32.333333333333329</v>
      </c>
      <c r="I32" s="1"/>
      <c r="J32" s="6">
        <f t="shared" si="5"/>
        <v>0</v>
      </c>
      <c r="K32" s="6">
        <f t="shared" si="6"/>
        <v>0</v>
      </c>
      <c r="M32" s="6">
        <f t="shared" si="7"/>
        <v>0</v>
      </c>
      <c r="N32" s="51">
        <f t="shared" si="8"/>
        <v>0</v>
      </c>
      <c r="P32" s="6">
        <f t="shared" si="9"/>
        <v>0</v>
      </c>
      <c r="Q32" s="6">
        <f t="shared" si="10"/>
        <v>0</v>
      </c>
      <c r="S32" s="146">
        <f t="shared" si="11"/>
        <v>0</v>
      </c>
      <c r="T32" s="147">
        <f t="shared" si="12"/>
        <v>0</v>
      </c>
      <c r="U32" s="148">
        <f t="shared" si="0"/>
        <v>0</v>
      </c>
      <c r="V32" s="120">
        <f t="shared" si="1"/>
        <v>0</v>
      </c>
      <c r="W32" s="6">
        <f t="shared" si="13"/>
        <v>0</v>
      </c>
      <c r="X32" s="6">
        <f t="shared" si="2"/>
        <v>0</v>
      </c>
      <c r="Z32" s="6">
        <f t="shared" si="3"/>
        <v>0</v>
      </c>
      <c r="AA32" s="6">
        <f t="shared" si="4"/>
        <v>0</v>
      </c>
    </row>
    <row r="33" spans="1:40" ht="13.95" customHeight="1" outlineLevel="1" x14ac:dyDescent="0.3">
      <c r="A33" s="273"/>
      <c r="B33" s="283"/>
      <c r="C33" s="284"/>
      <c r="E33" s="12"/>
      <c r="F33" s="10"/>
      <c r="G33" s="6"/>
      <c r="H33" s="187">
        <f t="shared" si="14"/>
        <v>32.333333333333329</v>
      </c>
      <c r="I33" s="1"/>
      <c r="J33" s="6">
        <f t="shared" si="5"/>
        <v>0</v>
      </c>
      <c r="K33" s="6">
        <f t="shared" si="6"/>
        <v>0</v>
      </c>
      <c r="M33" s="6">
        <f t="shared" si="7"/>
        <v>0</v>
      </c>
      <c r="N33" s="51">
        <f t="shared" si="8"/>
        <v>0</v>
      </c>
      <c r="P33" s="6">
        <f t="shared" si="9"/>
        <v>0</v>
      </c>
      <c r="Q33" s="6">
        <f t="shared" si="10"/>
        <v>0</v>
      </c>
      <c r="S33" s="146">
        <f t="shared" si="11"/>
        <v>0</v>
      </c>
      <c r="T33" s="147">
        <f t="shared" si="12"/>
        <v>0</v>
      </c>
      <c r="U33" s="148">
        <f t="shared" si="0"/>
        <v>0</v>
      </c>
      <c r="V33" s="120">
        <f t="shared" si="1"/>
        <v>0</v>
      </c>
      <c r="W33" s="6">
        <f t="shared" si="13"/>
        <v>0</v>
      </c>
      <c r="X33" s="6">
        <f t="shared" si="2"/>
        <v>0</v>
      </c>
      <c r="Z33" s="6">
        <f t="shared" si="3"/>
        <v>0</v>
      </c>
      <c r="AA33" s="6">
        <f t="shared" si="4"/>
        <v>0</v>
      </c>
    </row>
    <row r="34" spans="1:40" ht="3" customHeight="1" outlineLevel="1" x14ac:dyDescent="0.3">
      <c r="B34" s="283" t="s">
        <v>18</v>
      </c>
      <c r="C34" s="284"/>
      <c r="E34" s="12">
        <v>0</v>
      </c>
      <c r="F34" s="10">
        <v>4</v>
      </c>
      <c r="G34" s="6">
        <v>0</v>
      </c>
      <c r="H34" s="186"/>
    </row>
    <row r="35" spans="1:40" ht="15" thickBot="1" x14ac:dyDescent="0.35">
      <c r="B35" s="276" t="s">
        <v>74</v>
      </c>
      <c r="C35" s="276"/>
      <c r="F35" s="165">
        <f>SUM(F22:F33)</f>
        <v>32.333333333333329</v>
      </c>
      <c r="H35" s="186"/>
      <c r="J35" s="3"/>
      <c r="K35" s="3"/>
      <c r="M35" s="3"/>
      <c r="N35" s="5"/>
      <c r="P35" s="3"/>
      <c r="T35" s="163">
        <f>SUM(T22:T33)</f>
        <v>2.1615670190739507</v>
      </c>
      <c r="U35" s="145"/>
      <c r="V35" s="3"/>
      <c r="W35" s="3"/>
      <c r="X35" s="3"/>
      <c r="Z35" s="3"/>
      <c r="AN35" t="s">
        <v>657</v>
      </c>
    </row>
    <row r="36" spans="1:40" ht="15" thickBot="1" x14ac:dyDescent="0.35">
      <c r="B36" s="276" t="s">
        <v>75</v>
      </c>
      <c r="C36" s="276"/>
      <c r="E36" s="161">
        <f>SQRT(SUMPRODUCT(E22:E33^2*F22:F33)/F35)</f>
        <v>57.988055114479323</v>
      </c>
      <c r="J36" s="166">
        <f>SQRT(SUMPRODUCT(J22:J33^2*$F22:$F33)/$F$35)</f>
        <v>10.93446012697018</v>
      </c>
      <c r="K36" s="164">
        <f>SUMPRODUCT($F22:$F33,K22:K33)/$F$35</f>
        <v>439.40115252168602</v>
      </c>
      <c r="M36" s="161">
        <f>SUMPRODUCT(M22:M33*$F22:$F33)/$F$35</f>
        <v>0.7849148550388112</v>
      </c>
      <c r="P36" s="150">
        <f>SQRT(SUMPRODUCT(P22:P33^2*$F22:$F33)/$F$35)</f>
        <v>12.027906139667198</v>
      </c>
      <c r="Q36" s="150">
        <f>SUMPRODUCT(Q22:Q33*$F22:$F33)/$F$35</f>
        <v>0.86340634054269227</v>
      </c>
      <c r="T36" s="145"/>
      <c r="U36" s="162">
        <f>SQRT(SUMPRODUCT(U22:U33^2*$T22:$T33)/$T$35)</f>
        <v>0.93221526007521105</v>
      </c>
      <c r="W36" s="161">
        <f>SQRT(SUMPRODUCT(W22:W33^2*$F22:$F33)/$F$35)</f>
        <v>10.294361652719111</v>
      </c>
      <c r="X36" s="161">
        <f>SUMPRODUCT(X22:X33*$F22:$F33)/$F$35</f>
        <v>0.73737083830462324</v>
      </c>
      <c r="Z36" s="164">
        <f>SQRT(SUMPRODUCT(Z22:Z33^2*$F22:$F33)/$F$35)</f>
        <v>11.323797817991023</v>
      </c>
      <c r="AA36" s="164">
        <f>SUMPRODUCT(AA22:AA33*$F22:$F33)/$F$35</f>
        <v>0.81110792213508565</v>
      </c>
      <c r="AN36" t="s">
        <v>34</v>
      </c>
    </row>
    <row r="37" spans="1:40" ht="15" thickBot="1" x14ac:dyDescent="0.35">
      <c r="B37"/>
      <c r="AN37" t="s">
        <v>664</v>
      </c>
    </row>
    <row r="38" spans="1:40" ht="15" thickBot="1" x14ac:dyDescent="0.35">
      <c r="B38" s="277" t="s">
        <v>76</v>
      </c>
      <c r="C38" s="277"/>
      <c r="E38" s="160">
        <f>MAX(E22:E33)</f>
        <v>181</v>
      </c>
      <c r="G38" s="160">
        <f>MAX(G22:G33)</f>
        <v>25.676388088307498</v>
      </c>
      <c r="J38" s="160">
        <f>MAX(J22:J33)</f>
        <v>34.130085568043512</v>
      </c>
      <c r="K38" s="160">
        <f>MAX(K22:K33)</f>
        <v>2532.9375642011933</v>
      </c>
      <c r="M38" s="160">
        <f>MAX(M22:M33)</f>
        <v>9.0522906601778459</v>
      </c>
      <c r="P38" s="149">
        <f>MAX(P22:P33)</f>
        <v>37.543094124847869</v>
      </c>
      <c r="Q38" s="160">
        <f>MAX(Q22:Q33)</f>
        <v>9.957519726195633</v>
      </c>
      <c r="V38" s="160">
        <f>MAX(V22:V33)</f>
        <v>35.062300828118723</v>
      </c>
      <c r="W38" s="160">
        <f>MAX(W22:W33)</f>
        <v>30.852106213084085</v>
      </c>
      <c r="X38" s="160">
        <f>MAX(X22:X33)</f>
        <v>8.1828752630204917</v>
      </c>
      <c r="Z38" s="149">
        <f>MAX(Z22:Z33)</f>
        <v>33.937316834392497</v>
      </c>
      <c r="AA38" s="160">
        <f>MAX(AA22:AA33)</f>
        <v>9.0011627893225423</v>
      </c>
      <c r="AN38" t="s">
        <v>690</v>
      </c>
    </row>
    <row r="39" spans="1:40" ht="5.0999999999999996" customHeight="1" x14ac:dyDescent="0.3">
      <c r="B39"/>
    </row>
    <row r="40" spans="1:40" ht="5.0999999999999996" customHeight="1" x14ac:dyDescent="0.3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</row>
    <row r="41" spans="1:40" ht="5.0999999999999996" customHeight="1" x14ac:dyDescent="0.3">
      <c r="B41"/>
    </row>
    <row r="42" spans="1:40" ht="15.6" x14ac:dyDescent="0.3">
      <c r="B42" s="275" t="s">
        <v>548</v>
      </c>
      <c r="C42" s="275"/>
      <c r="D42" s="275"/>
      <c r="E42" s="275"/>
      <c r="F42" s="275"/>
      <c r="G42" s="275"/>
      <c r="J42" s="289" t="s">
        <v>176</v>
      </c>
      <c r="K42" s="290"/>
      <c r="L42" s="290"/>
      <c r="M42" s="290"/>
      <c r="N42" s="290"/>
      <c r="O42" s="290"/>
      <c r="P42" s="290"/>
      <c r="Q42" s="290"/>
      <c r="R42" s="290"/>
      <c r="S42" s="291"/>
      <c r="U42" s="288" t="s">
        <v>198</v>
      </c>
      <c r="V42" s="288"/>
      <c r="W42" s="288"/>
      <c r="X42" s="288"/>
      <c r="Y42" s="288"/>
      <c r="Z42" s="288"/>
      <c r="AA42" s="288"/>
      <c r="AB42" s="288"/>
      <c r="AC42" s="288"/>
      <c r="AD42" s="288"/>
    </row>
    <row r="43" spans="1:40" ht="15" customHeight="1" x14ac:dyDescent="0.3">
      <c r="B43" s="18" t="s">
        <v>83</v>
      </c>
      <c r="C43" s="19" t="s">
        <v>5</v>
      </c>
      <c r="E43" s="6">
        <f>K36</f>
        <v>439.40115252168602</v>
      </c>
      <c r="S43" s="286" t="s">
        <v>274</v>
      </c>
      <c r="AE43" s="3">
        <f>E43/60*4</f>
        <v>29.293410168112402</v>
      </c>
      <c r="AF43" s="59" t="s">
        <v>20</v>
      </c>
      <c r="AG43" s="59"/>
      <c r="AH43" s="285" t="s">
        <v>268</v>
      </c>
      <c r="AI43" s="279" t="s">
        <v>269</v>
      </c>
      <c r="AJ43" s="279" t="s">
        <v>270</v>
      </c>
    </row>
    <row r="44" spans="1:40" x14ac:dyDescent="0.3">
      <c r="B44" s="12" t="s">
        <v>86</v>
      </c>
      <c r="C44" s="16" t="s">
        <v>5</v>
      </c>
      <c r="E44" s="6">
        <f>K38</f>
        <v>2532.9375642011933</v>
      </c>
      <c r="F44" s="10">
        <f>F24</f>
        <v>20</v>
      </c>
      <c r="G44" s="71" t="s">
        <v>9</v>
      </c>
      <c r="J44" s="280" t="s">
        <v>549</v>
      </c>
      <c r="K44" s="281"/>
      <c r="L44" s="281"/>
      <c r="M44" s="281"/>
      <c r="N44" s="281"/>
      <c r="O44" s="281"/>
      <c r="P44" s="282"/>
      <c r="Q44" s="51">
        <f>$E$61/$E$66*380*1.25</f>
        <v>4418.9632715603248</v>
      </c>
      <c r="R44" s="82" t="s">
        <v>5</v>
      </c>
      <c r="S44" s="287"/>
      <c r="AG44" s="11" t="s">
        <v>255</v>
      </c>
      <c r="AH44" s="285"/>
      <c r="AI44" s="279"/>
      <c r="AJ44" s="279"/>
    </row>
    <row r="45" spans="1:40" x14ac:dyDescent="0.3">
      <c r="B45" s="168" t="s">
        <v>85</v>
      </c>
      <c r="C45" s="169" t="s">
        <v>10</v>
      </c>
      <c r="E45" s="172">
        <f>MAX(P36,Z36)</f>
        <v>12.027906139667198</v>
      </c>
      <c r="J45" s="280" t="s">
        <v>175</v>
      </c>
      <c r="K45" s="281"/>
      <c r="L45" s="281"/>
      <c r="M45" s="281"/>
      <c r="N45" s="281"/>
      <c r="O45" s="281"/>
      <c r="P45" s="282"/>
      <c r="Q45" s="6">
        <f>$E$58+($E$60-$E$58)/($E$61-100)*($E$43-100)</f>
        <v>21.356308159010595</v>
      </c>
      <c r="R45" s="71" t="s">
        <v>10</v>
      </c>
      <c r="S45" s="81">
        <f>E45/Q45</f>
        <v>0.56320156321552317</v>
      </c>
      <c r="U45" s="265" t="s">
        <v>233</v>
      </c>
      <c r="V45" s="265"/>
      <c r="W45" s="265"/>
      <c r="X45" s="265"/>
      <c r="Y45" s="265"/>
      <c r="Z45" s="265"/>
      <c r="AA45" s="265"/>
      <c r="AB45" s="265"/>
      <c r="AC45" s="54">
        <f>E45/$E$65</f>
        <v>7.5067101328351891</v>
      </c>
      <c r="AD45" s="71" t="s">
        <v>197</v>
      </c>
      <c r="AG45" s="75">
        <f>AC45/$AB$59</f>
        <v>0.3127795888681329</v>
      </c>
      <c r="AH45" s="78"/>
      <c r="AJ45" s="15"/>
    </row>
    <row r="46" spans="1:40" collapsed="1" x14ac:dyDescent="0.3">
      <c r="B46" s="12" t="s">
        <v>84</v>
      </c>
      <c r="C46" s="16" t="s">
        <v>10</v>
      </c>
      <c r="E46" s="6">
        <f>MAX(V38*(1+CalculationReserveProzent),P38,Z38)</f>
        <v>38.568530910930598</v>
      </c>
      <c r="F46" s="10">
        <f>F25</f>
        <v>1.3333333333333333</v>
      </c>
      <c r="G46" s="71" t="s">
        <v>9</v>
      </c>
      <c r="J46" s="280" t="s">
        <v>177</v>
      </c>
      <c r="K46" s="281"/>
      <c r="L46" s="281"/>
      <c r="M46" s="281"/>
      <c r="N46" s="281"/>
      <c r="O46" s="281"/>
      <c r="P46" s="282"/>
      <c r="Q46" s="6">
        <f>E62</f>
        <v>50</v>
      </c>
      <c r="R46" s="71" t="s">
        <v>10</v>
      </c>
      <c r="S46" s="81">
        <f>E46/Q46</f>
        <v>0.77137061821861197</v>
      </c>
      <c r="U46" s="265" t="s">
        <v>240</v>
      </c>
      <c r="V46" s="265"/>
      <c r="W46" s="265"/>
      <c r="X46" s="265"/>
      <c r="Y46" s="265"/>
      <c r="Z46" s="265"/>
      <c r="AA46" s="265"/>
      <c r="AB46" s="265"/>
      <c r="AC46" s="6">
        <f>E46/$E$65</f>
        <v>24.070921275551356</v>
      </c>
      <c r="AD46" s="71" t="s">
        <v>197</v>
      </c>
      <c r="AE46" s="3">
        <f>AA25</f>
        <v>1.6468791740401247</v>
      </c>
      <c r="AF46" s="59" t="s">
        <v>20</v>
      </c>
      <c r="AG46" s="75">
        <f>AC46/$AB$59</f>
        <v>1.0029550531479732</v>
      </c>
      <c r="AH46" s="78" t="str">
        <f>IF(AG46&lt;1.15,"&gt;300s",VLOOKUP(AG46*100,F6_OLChart150[],2))</f>
        <v>&gt;300s</v>
      </c>
      <c r="AI46" s="69">
        <f>IF(AE46&gt;=50,$AB$71,IF(AE46&gt;=25,((AE46-25)*($AB$71-$AB$70)/(50-25)+$AB$70),IF(AE46&gt;=6,((AE46-6)*($AB$70-$AB$69)/(25-6))+$AB$69,(AE46*($AB$69-$AB$68)/(6-0))+$AB$68)))</f>
        <v>4.8308455771843661</v>
      </c>
      <c r="AJ46" s="76">
        <f>AC46/AI46</f>
        <v>4.9827552735769647</v>
      </c>
    </row>
    <row r="47" spans="1:40" hidden="1" outlineLevel="1" x14ac:dyDescent="0.3">
      <c r="B47" s="179" t="s">
        <v>143</v>
      </c>
      <c r="C47" s="180" t="s">
        <v>5</v>
      </c>
      <c r="D47" s="167"/>
      <c r="E47" s="181">
        <f>K24</f>
        <v>0</v>
      </c>
      <c r="F47" s="167"/>
      <c r="G47" s="167"/>
      <c r="J47" s="80"/>
      <c r="K47" s="80"/>
      <c r="L47" s="80"/>
      <c r="M47" s="80"/>
      <c r="N47" s="80"/>
      <c r="O47" s="80"/>
      <c r="P47" s="80"/>
      <c r="R47" s="80"/>
      <c r="W47" s="265" t="s">
        <v>199</v>
      </c>
      <c r="X47" s="265"/>
      <c r="Y47" s="265"/>
      <c r="Z47" s="265"/>
      <c r="AA47" s="265"/>
      <c r="AB47" s="265"/>
      <c r="AC47" s="54">
        <f>AC46/1.5</f>
        <v>16.047280850367571</v>
      </c>
      <c r="AD47" s="71" t="s">
        <v>197</v>
      </c>
      <c r="AH47" s="79"/>
      <c r="AJ47" s="8"/>
    </row>
    <row r="48" spans="1:40" hidden="1" outlineLevel="1" x14ac:dyDescent="0.3">
      <c r="B48" s="170" t="s">
        <v>144</v>
      </c>
      <c r="C48" s="171" t="s">
        <v>10</v>
      </c>
      <c r="D48" s="167"/>
      <c r="E48" s="174">
        <f>Z24</f>
        <v>7.1295485984720948</v>
      </c>
      <c r="F48" s="139">
        <f>F24</f>
        <v>20</v>
      </c>
      <c r="G48" s="175" t="s">
        <v>9</v>
      </c>
      <c r="J48" s="280" t="s">
        <v>271</v>
      </c>
      <c r="K48" s="281"/>
      <c r="L48" s="281"/>
      <c r="M48" s="281"/>
      <c r="N48" s="281"/>
      <c r="O48" s="281"/>
      <c r="P48" s="282"/>
      <c r="Q48" s="6">
        <f>$E$58+($E$60-$E$58)/($E$61-100)*($E$47-100)</f>
        <v>22.189655172413794</v>
      </c>
      <c r="R48" s="71" t="s">
        <v>10</v>
      </c>
      <c r="S48" s="81">
        <f>E48/Q48</f>
        <v>0.32130055843930183</v>
      </c>
      <c r="U48" s="265" t="s">
        <v>234</v>
      </c>
      <c r="V48" s="265"/>
      <c r="W48" s="265"/>
      <c r="X48" s="265"/>
      <c r="Y48" s="265"/>
      <c r="Z48" s="265"/>
      <c r="AA48" s="265"/>
      <c r="AB48" s="265"/>
      <c r="AC48" s="6">
        <f>E48/$E$65</f>
        <v>4.449606946149002</v>
      </c>
      <c r="AD48" s="71" t="s">
        <v>197</v>
      </c>
      <c r="AE48" s="3">
        <f>E47/60*4</f>
        <v>0</v>
      </c>
      <c r="AF48" s="59" t="s">
        <v>20</v>
      </c>
      <c r="AG48" s="75">
        <f>AC48/$AB$59</f>
        <v>0.18540028942287509</v>
      </c>
      <c r="AH48" s="78" t="str">
        <f>IF(AG48&lt;1.15,"&gt;300s",VLOOKUP(AG48*100,F6_OLChart150[],2))</f>
        <v>&gt;300s</v>
      </c>
      <c r="AI48" s="69">
        <f>IF(AE48&gt;=50,$AB$71,IF(AE48&gt;=25,((AE48-25)*($AB$71-$AB$70)/(50-25)+$AB$70),IF(AE48&gt;=6,((AE48-6)*($AB$70-$AB$69)/(25-6))+$AB$69,(AE48*($AB$69-$AB$68)/(6-0))+$AB$68)))</f>
        <v>0</v>
      </c>
      <c r="AJ48" s="76" t="e">
        <f>AC48/AI48</f>
        <v>#DIV/0!</v>
      </c>
    </row>
    <row r="49" spans="2:36" hidden="1" outlineLevel="1" x14ac:dyDescent="0.3">
      <c r="B49" s="170" t="s">
        <v>147</v>
      </c>
      <c r="C49" s="171" t="s">
        <v>5</v>
      </c>
      <c r="D49" s="167"/>
      <c r="E49" s="174">
        <f>K26</f>
        <v>0</v>
      </c>
      <c r="F49" s="167"/>
      <c r="G49" s="167"/>
      <c r="J49" s="80"/>
      <c r="K49" s="80"/>
      <c r="L49" s="80"/>
      <c r="M49" s="80"/>
      <c r="N49" s="80"/>
      <c r="O49" s="80"/>
      <c r="P49" s="80"/>
      <c r="R49" s="80"/>
      <c r="AH49" s="79"/>
      <c r="AJ49" s="8"/>
    </row>
    <row r="50" spans="2:36" hidden="1" outlineLevel="1" x14ac:dyDescent="0.3">
      <c r="B50" s="170" t="s">
        <v>148</v>
      </c>
      <c r="C50" s="171" t="s">
        <v>10</v>
      </c>
      <c r="D50" s="167"/>
      <c r="E50" s="174">
        <f>Z26</f>
        <v>7.0720264826611965</v>
      </c>
      <c r="F50" s="139">
        <f>F26</f>
        <v>5</v>
      </c>
      <c r="G50" s="175" t="s">
        <v>9</v>
      </c>
      <c r="J50" s="280" t="s">
        <v>272</v>
      </c>
      <c r="K50" s="281"/>
      <c r="L50" s="281"/>
      <c r="M50" s="281"/>
      <c r="N50" s="281"/>
      <c r="O50" s="281"/>
      <c r="P50" s="282"/>
      <c r="Q50" s="6">
        <f>$E$58+($E$60-$E$58)/($E$61-100)*($E$49-100)</f>
        <v>22.189655172413794</v>
      </c>
      <c r="R50" s="71" t="s">
        <v>10</v>
      </c>
      <c r="S50" s="81">
        <f>E50/Q50</f>
        <v>0.31870826417587367</v>
      </c>
      <c r="U50" s="265" t="s">
        <v>235</v>
      </c>
      <c r="V50" s="265"/>
      <c r="W50" s="265"/>
      <c r="X50" s="265"/>
      <c r="Y50" s="265"/>
      <c r="Z50" s="265"/>
      <c r="AA50" s="265"/>
      <c r="AB50" s="265"/>
      <c r="AC50" s="6">
        <f>E50/$E$65</f>
        <v>4.4137069445522377</v>
      </c>
      <c r="AD50" s="71" t="s">
        <v>197</v>
      </c>
      <c r="AE50" s="3">
        <f>E49/60*4</f>
        <v>0</v>
      </c>
      <c r="AF50" s="59" t="s">
        <v>20</v>
      </c>
      <c r="AG50" s="75">
        <f>AC50/$AB$59</f>
        <v>0.18390445602300989</v>
      </c>
      <c r="AH50" s="78" t="str">
        <f>IF(AG50&lt;1.15,"&gt;300s",VLOOKUP(AG50*100,F6_OLChart150[],2))</f>
        <v>&gt;300s</v>
      </c>
      <c r="AI50" s="69">
        <f>IF(AE50&gt;=50,$AB$71,IF(AE50&gt;=25,((AE50-25)*($AB$71-$AB$70)/(50-25)+$AB$70),IF(AE50&gt;=6,((AE50-6)*($AB$70-$AB$69)/(25-6))+$AB$69,(AE50*($AB$69-$AB$68)/(6-0))+$AB$68)))</f>
        <v>0</v>
      </c>
      <c r="AJ50" s="76" t="e">
        <f>AC50/AI50</f>
        <v>#DIV/0!</v>
      </c>
    </row>
    <row r="51" spans="2:36" hidden="1" outlineLevel="1" x14ac:dyDescent="0.3">
      <c r="B51" s="170" t="s">
        <v>145</v>
      </c>
      <c r="C51" s="171" t="s">
        <v>5</v>
      </c>
      <c r="D51" s="167"/>
      <c r="E51" s="174">
        <f>K27</f>
        <v>0</v>
      </c>
      <c r="F51" s="167"/>
      <c r="G51" s="167"/>
      <c r="J51" s="80"/>
      <c r="K51" s="80"/>
      <c r="L51" s="80"/>
      <c r="M51" s="80"/>
      <c r="N51" s="80"/>
      <c r="O51" s="80"/>
      <c r="P51" s="80"/>
      <c r="R51" s="80"/>
      <c r="AH51" s="79"/>
      <c r="AJ51" s="8"/>
    </row>
    <row r="52" spans="2:36" hidden="1" outlineLevel="1" x14ac:dyDescent="0.3">
      <c r="B52" s="177" t="s">
        <v>146</v>
      </c>
      <c r="C52" s="178" t="s">
        <v>10</v>
      </c>
      <c r="D52" s="167"/>
      <c r="E52" s="176">
        <f>Z27</f>
        <v>0</v>
      </c>
      <c r="F52" s="139">
        <f>F27</f>
        <v>0</v>
      </c>
      <c r="G52" s="175" t="s">
        <v>9</v>
      </c>
      <c r="J52" s="280" t="s">
        <v>273</v>
      </c>
      <c r="K52" s="281"/>
      <c r="L52" s="281"/>
      <c r="M52" s="281"/>
      <c r="N52" s="281"/>
      <c r="O52" s="281"/>
      <c r="P52" s="282"/>
      <c r="Q52" s="6">
        <f>$E$58+($E$60-$E$58)/($E$61-100)*($E$52-100)</f>
        <v>22.189655172413794</v>
      </c>
      <c r="R52" s="71" t="s">
        <v>10</v>
      </c>
      <c r="S52" s="81">
        <f>E52/Q52</f>
        <v>0</v>
      </c>
      <c r="U52" s="265" t="s">
        <v>236</v>
      </c>
      <c r="V52" s="265"/>
      <c r="W52" s="265"/>
      <c r="X52" s="265"/>
      <c r="Y52" s="265"/>
      <c r="Z52" s="265"/>
      <c r="AA52" s="265"/>
      <c r="AB52" s="265"/>
      <c r="AC52" s="6">
        <f>E52/$E$65</f>
        <v>0</v>
      </c>
      <c r="AD52" s="71" t="s">
        <v>197</v>
      </c>
      <c r="AE52" s="3">
        <f>E51/60*4</f>
        <v>0</v>
      </c>
      <c r="AF52" s="59" t="s">
        <v>20</v>
      </c>
      <c r="AG52" s="75">
        <f>AC52/$AB$59</f>
        <v>0</v>
      </c>
      <c r="AH52" s="78" t="str">
        <f>IF(AG52&lt;1.15,"&gt;300s",VLOOKUP(AG52*100,F6_OLChart150[],2))</f>
        <v>&gt;300s</v>
      </c>
      <c r="AI52" s="69">
        <f>IF(AE52&gt;=50,$AB$71,IF(AE52&gt;=25,((AE52-25)*($AB$71-$AB$70)/(50-25)+$AB$70),IF(AE52&gt;=6,((AE52-6)*($AB$70-$AB$69)/(25-6))+$AB$69,(AE52*($AB$69-$AB$68)/(6-0))+$AB$68)))</f>
        <v>0</v>
      </c>
      <c r="AJ52" s="76" t="e">
        <f>AC52/AI52</f>
        <v>#DIV/0!</v>
      </c>
    </row>
    <row r="53" spans="2:36" x14ac:dyDescent="0.3">
      <c r="B53" s="12" t="s">
        <v>87</v>
      </c>
      <c r="C53" s="16" t="s">
        <v>21</v>
      </c>
      <c r="E53" s="6">
        <f>AA36</f>
        <v>0.81110792213508565</v>
      </c>
      <c r="J53" s="280" t="s">
        <v>178</v>
      </c>
      <c r="K53" s="281"/>
      <c r="L53" s="281"/>
      <c r="M53" s="281"/>
      <c r="N53" s="281"/>
      <c r="O53" s="281"/>
      <c r="P53" s="282"/>
      <c r="Q53" s="6">
        <f>E59</f>
        <v>5.1836278784231586</v>
      </c>
      <c r="R53" s="71" t="s">
        <v>21</v>
      </c>
      <c r="S53" s="81">
        <f>E53/Q53</f>
        <v>0.15647495174399398</v>
      </c>
    </row>
    <row r="54" spans="2:36" x14ac:dyDescent="0.3">
      <c r="B54" s="18" t="s">
        <v>88</v>
      </c>
      <c r="C54" s="19" t="s">
        <v>21</v>
      </c>
      <c r="E54" s="173">
        <f>AA38</f>
        <v>9.0011627893225423</v>
      </c>
    </row>
    <row r="55" spans="2:36" ht="5.0999999999999996" customHeight="1" thickBot="1" x14ac:dyDescent="0.35"/>
    <row r="56" spans="2:36" ht="16.2" thickBot="1" x14ac:dyDescent="0.35">
      <c r="B56" s="182" t="s">
        <v>157</v>
      </c>
      <c r="C56" s="266" t="s">
        <v>438</v>
      </c>
      <c r="D56" s="267"/>
      <c r="E56" s="267"/>
      <c r="F56" s="268"/>
      <c r="G56" s="60" t="s">
        <v>237</v>
      </c>
      <c r="U56" s="270" t="s">
        <v>221</v>
      </c>
      <c r="V56" s="271"/>
      <c r="W56" s="271"/>
      <c r="X56" s="271"/>
      <c r="Y56" s="272"/>
      <c r="Z56" s="267" t="s">
        <v>47</v>
      </c>
      <c r="AA56" s="267"/>
      <c r="AB56" s="267"/>
      <c r="AC56" s="268"/>
      <c r="AD56" s="60" t="s">
        <v>238</v>
      </c>
    </row>
    <row r="57" spans="2:36" x14ac:dyDescent="0.3">
      <c r="B57" s="152"/>
      <c r="C57" s="245" t="s">
        <v>647</v>
      </c>
      <c r="D57" s="246"/>
      <c r="E57" s="246" t="str">
        <f>VLOOKUP(C56,DL4MotorCodes,2,FALSE)</f>
        <v>074304</v>
      </c>
      <c r="F57" s="153"/>
    </row>
    <row r="58" spans="2:36" x14ac:dyDescent="0.3">
      <c r="B58" s="154" t="s">
        <v>160</v>
      </c>
      <c r="C58" s="16" t="s">
        <v>10</v>
      </c>
      <c r="D58" s="90"/>
      <c r="E58" s="6">
        <f>HLOOKUP($E$57,BRVMotorDataTable,3,FALSE)</f>
        <v>22</v>
      </c>
      <c r="F58" s="153"/>
      <c r="U58" s="269" t="s">
        <v>230</v>
      </c>
      <c r="V58" s="269"/>
      <c r="W58" s="269"/>
      <c r="X58" s="269"/>
      <c r="Y58" s="269"/>
      <c r="Z58" s="269"/>
      <c r="AA58" s="269"/>
      <c r="AB58" s="12">
        <f>VLOOKUP($Z$56,KEBDriveData[],3,FALSE)</f>
        <v>11</v>
      </c>
      <c r="AC58" s="57" t="s">
        <v>21</v>
      </c>
      <c r="AJ58" s="46"/>
    </row>
    <row r="59" spans="2:36" x14ac:dyDescent="0.3">
      <c r="B59" s="154" t="s">
        <v>161</v>
      </c>
      <c r="C59" s="16" t="s">
        <v>21</v>
      </c>
      <c r="D59" s="90"/>
      <c r="E59" s="10">
        <f>HLOOKUP($E$57,BRVMotorDataTable,4,FALSE)/1000</f>
        <v>5.1836278784231586</v>
      </c>
      <c r="F59" s="153"/>
      <c r="U59" s="269" t="s">
        <v>232</v>
      </c>
      <c r="V59" s="269"/>
      <c r="W59" s="269"/>
      <c r="X59" s="269"/>
      <c r="Y59" s="269"/>
      <c r="Z59" s="269"/>
      <c r="AA59" s="269"/>
      <c r="AB59" s="12">
        <f>VLOOKUP($Z$56,KEBDriveData[],4,FALSE)</f>
        <v>24</v>
      </c>
      <c r="AC59" s="57" t="s">
        <v>197</v>
      </c>
      <c r="AD59" s="58">
        <f>MAX(AC45,AC47)/AB59</f>
        <v>0.66863670209864878</v>
      </c>
      <c r="AI59" s="77"/>
    </row>
    <row r="60" spans="2:36" x14ac:dyDescent="0.3">
      <c r="B60" s="154" t="s">
        <v>162</v>
      </c>
      <c r="C60" s="16" t="s">
        <v>10</v>
      </c>
      <c r="D60" s="90"/>
      <c r="E60" s="52">
        <f>HLOOKUP($E$57,BRVMotorDataTable,5,FALSE)</f>
        <v>16.5</v>
      </c>
      <c r="F60" s="153"/>
      <c r="U60" s="269" t="s">
        <v>256</v>
      </c>
      <c r="V60" s="269"/>
      <c r="W60" s="269"/>
      <c r="X60" s="269"/>
      <c r="Y60" s="269"/>
      <c r="Z60" s="269"/>
      <c r="AA60" s="269"/>
      <c r="AB60" s="12">
        <f>AB$59*VLOOKUP($Z$56,KEBDriveData[],5,FALSE)/100</f>
        <v>36</v>
      </c>
      <c r="AC60" s="57" t="s">
        <v>197</v>
      </c>
    </row>
    <row r="61" spans="2:36" x14ac:dyDescent="0.3">
      <c r="B61" s="154" t="s">
        <v>163</v>
      </c>
      <c r="C61" s="16" t="s">
        <v>5</v>
      </c>
      <c r="D61" s="90">
        <v>0</v>
      </c>
      <c r="E61" s="51">
        <f>HLOOKUP($E$57,BRVMotorDataTable,6,FALSE)</f>
        <v>3000</v>
      </c>
      <c r="F61" s="188">
        <f>$E$61/$E$66*380</f>
        <v>3535.1706172482595</v>
      </c>
      <c r="U61" s="269" t="s">
        <v>231</v>
      </c>
      <c r="V61" s="269"/>
      <c r="W61" s="269"/>
      <c r="X61" s="269"/>
      <c r="Y61" s="269"/>
      <c r="Z61" s="269"/>
      <c r="AA61" s="269"/>
      <c r="AB61" s="12">
        <f>AB$59*VLOOKUP($Z$56,KEBDriveData[],6,FALSE)/100</f>
        <v>43.2</v>
      </c>
      <c r="AC61" s="57" t="s">
        <v>197</v>
      </c>
    </row>
    <row r="62" spans="2:36" x14ac:dyDescent="0.3">
      <c r="B62" s="154" t="s">
        <v>169</v>
      </c>
      <c r="C62" s="16" t="s">
        <v>10</v>
      </c>
      <c r="D62" s="90">
        <v>0</v>
      </c>
      <c r="E62" s="51">
        <f>HLOOKUP($E$57,BRVMotorDataTable,7,FALSE)</f>
        <v>50</v>
      </c>
      <c r="F62" s="153"/>
      <c r="AE62" s="278" t="s">
        <v>241</v>
      </c>
      <c r="AF62" s="278"/>
    </row>
    <row r="63" spans="2:36" ht="15" x14ac:dyDescent="0.35">
      <c r="B63" s="154" t="s">
        <v>164</v>
      </c>
      <c r="C63" s="16" t="s">
        <v>170</v>
      </c>
      <c r="D63" s="90"/>
      <c r="E63" s="6">
        <f>HLOOKUP($E$57,BRVMotorDataTable,8,FALSE)</f>
        <v>10.297778828128413</v>
      </c>
      <c r="F63" s="153"/>
      <c r="U63" s="264" t="s">
        <v>257</v>
      </c>
      <c r="V63" s="264"/>
      <c r="W63" s="264"/>
      <c r="X63" s="264"/>
      <c r="Y63" s="264"/>
      <c r="Z63" s="264"/>
      <c r="AA63" s="264"/>
      <c r="AB63" s="9">
        <f>AB$59*VLOOKUP($Z$56,KEBDriveData[],8,FALSE)/100</f>
        <v>0</v>
      </c>
      <c r="AC63" s="57" t="s">
        <v>197</v>
      </c>
      <c r="AE63" s="72">
        <f>LOOKUP($Z$56,KEBDriveData[Part number],KEBDriveData[Imax0Hz_5kHz])</f>
        <v>88</v>
      </c>
      <c r="AF63" s="62" t="s">
        <v>79</v>
      </c>
    </row>
    <row r="64" spans="2:36" ht="15" x14ac:dyDescent="0.35">
      <c r="B64" s="154" t="s">
        <v>165</v>
      </c>
      <c r="C64" s="16" t="s">
        <v>171</v>
      </c>
      <c r="D64" s="90"/>
      <c r="E64" s="51">
        <f>HLOOKUP($E$57,BRVMotorDataTable,11,FALSE)</f>
        <v>15.103999999999999</v>
      </c>
      <c r="F64" s="153"/>
      <c r="U64" s="264" t="s">
        <v>258</v>
      </c>
      <c r="V64" s="264"/>
      <c r="W64" s="264"/>
      <c r="X64" s="264"/>
      <c r="Y64" s="264"/>
      <c r="Z64" s="264"/>
      <c r="AA64" s="264"/>
      <c r="AB64" s="9">
        <f>AB$59*VLOOKUP($Z$56,KEBDriveData[],9,FALSE)/100</f>
        <v>21.12</v>
      </c>
      <c r="AC64" s="57" t="s">
        <v>197</v>
      </c>
      <c r="AE64" s="72">
        <f>LOOKUP($Z$56,KEBDriveData[Part number],KEBDriveData[Imax6Hz_5kHz])</f>
        <v>165</v>
      </c>
      <c r="AF64" s="62" t="s">
        <v>79</v>
      </c>
    </row>
    <row r="65" spans="2:32" ht="15" x14ac:dyDescent="0.35">
      <c r="B65" s="154" t="s">
        <v>166</v>
      </c>
      <c r="C65" s="16" t="s">
        <v>172</v>
      </c>
      <c r="D65" s="90"/>
      <c r="E65" s="10">
        <f>HLOOKUP($E$57,BRVMotorDataTable,24,FALSE)</f>
        <v>1.6022872772262502</v>
      </c>
      <c r="F65" s="153"/>
      <c r="U65" s="264" t="s">
        <v>259</v>
      </c>
      <c r="V65" s="264"/>
      <c r="W65" s="264"/>
      <c r="X65" s="264"/>
      <c r="Y65" s="264"/>
      <c r="Z65" s="264"/>
      <c r="AA65" s="264"/>
      <c r="AB65" s="9">
        <f>AB$59*VLOOKUP($Z$56,KEBDriveData[],10,FALSE)/100</f>
        <v>39.6</v>
      </c>
      <c r="AC65" s="57" t="s">
        <v>197</v>
      </c>
      <c r="AE65" s="72">
        <f>LOOKUP($Z$56,KEBDriveData[Part number],KEBDriveData[Imax25Hz_5kHz])</f>
        <v>180</v>
      </c>
      <c r="AF65" s="62" t="s">
        <v>79</v>
      </c>
    </row>
    <row r="66" spans="2:32" ht="15" x14ac:dyDescent="0.35">
      <c r="B66" s="154" t="s">
        <v>167</v>
      </c>
      <c r="C66" s="16" t="s">
        <v>173</v>
      </c>
      <c r="D66" s="90"/>
      <c r="E66" s="51">
        <f>HLOOKUP($E$57,BRVMotorDataTable,18,FALSE)</f>
        <v>322.47382755386337</v>
      </c>
      <c r="F66" s="153"/>
      <c r="U66" s="264" t="s">
        <v>260</v>
      </c>
      <c r="V66" s="264"/>
      <c r="W66" s="264"/>
      <c r="X66" s="264"/>
      <c r="Y66" s="264"/>
      <c r="Z66" s="264"/>
      <c r="AA66" s="264"/>
      <c r="AB66" s="9">
        <f>AB$59*VLOOKUP($Z$56,KEBDriveData[],11,FALSE)/100</f>
        <v>43.2</v>
      </c>
      <c r="AC66" s="57" t="s">
        <v>197</v>
      </c>
      <c r="AE66" s="72">
        <f>LOOKUP($Z$56,KEBDriveData[Part number],KEBDriveData[Imax50Hz_5kHz])</f>
        <v>180</v>
      </c>
      <c r="AF66" s="62" t="s">
        <v>79</v>
      </c>
    </row>
    <row r="67" spans="2:32" ht="15" thickBot="1" x14ac:dyDescent="0.35">
      <c r="B67" s="155" t="s">
        <v>168</v>
      </c>
      <c r="C67" s="156" t="s">
        <v>174</v>
      </c>
      <c r="D67" s="183"/>
      <c r="E67" s="157">
        <f>HLOOKUP($E$57,BRVMotorDataTable,19,FALSE)</f>
        <v>16.600000000000001</v>
      </c>
      <c r="F67" s="158"/>
      <c r="V67" s="265" t="s">
        <v>242</v>
      </c>
      <c r="W67" s="265"/>
      <c r="X67" s="265"/>
      <c r="Y67" s="265"/>
      <c r="Z67" s="265"/>
      <c r="AA67" s="265"/>
      <c r="AB67" s="73">
        <f>150/180</f>
        <v>0.83333333333333337</v>
      </c>
      <c r="AC67" s="70">
        <f>LOOKUP($Z$56,KEBDriveData[Part number],KEBDriveData[Imax '[%']])*AB67</f>
        <v>150</v>
      </c>
      <c r="AD67" s="61" t="s">
        <v>79</v>
      </c>
    </row>
    <row r="68" spans="2:32" ht="15" hidden="1" x14ac:dyDescent="0.35">
      <c r="U68" s="264" t="s">
        <v>261</v>
      </c>
      <c r="V68" s="264"/>
      <c r="W68" s="264"/>
      <c r="X68" s="264"/>
      <c r="Y68" s="264"/>
      <c r="Z68" s="264"/>
      <c r="AA68" s="264"/>
      <c r="AB68" s="74">
        <f>MIN(AB63*$AB$67,$AB$61*$AB$67)</f>
        <v>0</v>
      </c>
      <c r="AC68" s="57" t="s">
        <v>197</v>
      </c>
      <c r="AD68" s="61"/>
    </row>
    <row r="69" spans="2:32" ht="15" hidden="1" x14ac:dyDescent="0.35">
      <c r="U69" s="264" t="s">
        <v>262</v>
      </c>
      <c r="V69" s="264"/>
      <c r="W69" s="264"/>
      <c r="X69" s="264"/>
      <c r="Y69" s="264"/>
      <c r="Z69" s="264"/>
      <c r="AA69" s="264"/>
      <c r="AB69" s="74">
        <f t="shared" ref="AB69:AB70" si="15">MIN(AB64*$AB$67,$AB$61*$AB$67)</f>
        <v>17.600000000000001</v>
      </c>
      <c r="AC69" s="57" t="s">
        <v>197</v>
      </c>
    </row>
    <row r="70" spans="2:32" ht="15" hidden="1" x14ac:dyDescent="0.35">
      <c r="U70" s="264" t="s">
        <v>263</v>
      </c>
      <c r="V70" s="264"/>
      <c r="W70" s="264"/>
      <c r="X70" s="264"/>
      <c r="Y70" s="264"/>
      <c r="Z70" s="264"/>
      <c r="AA70" s="264"/>
      <c r="AB70" s="74">
        <f t="shared" si="15"/>
        <v>33</v>
      </c>
      <c r="AC70" s="57" t="s">
        <v>197</v>
      </c>
      <c r="AD70" s="15"/>
    </row>
    <row r="71" spans="2:32" ht="15" hidden="1" x14ac:dyDescent="0.35">
      <c r="U71" s="264" t="s">
        <v>264</v>
      </c>
      <c r="V71" s="264"/>
      <c r="W71" s="264"/>
      <c r="X71" s="264"/>
      <c r="Y71" s="264"/>
      <c r="Z71" s="264"/>
      <c r="AA71" s="264"/>
      <c r="AB71" s="74">
        <f>MIN(AB66*$AB$67,$AB$61*$AB$67)</f>
        <v>36.000000000000007</v>
      </c>
      <c r="AC71" s="57" t="s">
        <v>197</v>
      </c>
    </row>
  </sheetData>
  <dataConsolidate/>
  <mergeCells count="58">
    <mergeCell ref="A1:C1"/>
    <mergeCell ref="S1:AD1"/>
    <mergeCell ref="H2:H4"/>
    <mergeCell ref="J1:Q1"/>
    <mergeCell ref="E11:F11"/>
    <mergeCell ref="A11:A16"/>
    <mergeCell ref="A3:A9"/>
    <mergeCell ref="H9:H11"/>
    <mergeCell ref="E18:F18"/>
    <mergeCell ref="S18:AA18"/>
    <mergeCell ref="E1:G1"/>
    <mergeCell ref="J50:P50"/>
    <mergeCell ref="J52:P52"/>
    <mergeCell ref="F14:F15"/>
    <mergeCell ref="J18:Q18"/>
    <mergeCell ref="H5:H8"/>
    <mergeCell ref="J53:P53"/>
    <mergeCell ref="J45:P45"/>
    <mergeCell ref="B33:C33"/>
    <mergeCell ref="B34:C34"/>
    <mergeCell ref="AH43:AH44"/>
    <mergeCell ref="J44:P44"/>
    <mergeCell ref="J46:P46"/>
    <mergeCell ref="S43:S44"/>
    <mergeCell ref="U48:AB48"/>
    <mergeCell ref="J48:P48"/>
    <mergeCell ref="U42:AD42"/>
    <mergeCell ref="J42:S42"/>
    <mergeCell ref="AE62:AF62"/>
    <mergeCell ref="U71:AA71"/>
    <mergeCell ref="AI43:AI44"/>
    <mergeCell ref="AJ43:AJ44"/>
    <mergeCell ref="U45:AB45"/>
    <mergeCell ref="U46:AB46"/>
    <mergeCell ref="U50:AB50"/>
    <mergeCell ref="U52:AB52"/>
    <mergeCell ref="U60:AA60"/>
    <mergeCell ref="U61:AA61"/>
    <mergeCell ref="U68:AA68"/>
    <mergeCell ref="U69:AA69"/>
    <mergeCell ref="U70:AA70"/>
    <mergeCell ref="U63:AA63"/>
    <mergeCell ref="U64:AA64"/>
    <mergeCell ref="W47:AB47"/>
    <mergeCell ref="A22:A33"/>
    <mergeCell ref="B20:G20"/>
    <mergeCell ref="B42:G42"/>
    <mergeCell ref="B35:C35"/>
    <mergeCell ref="B36:C36"/>
    <mergeCell ref="B38:C38"/>
    <mergeCell ref="U66:AA66"/>
    <mergeCell ref="V67:AA67"/>
    <mergeCell ref="C56:F56"/>
    <mergeCell ref="Z56:AC56"/>
    <mergeCell ref="U58:AA58"/>
    <mergeCell ref="U59:AA59"/>
    <mergeCell ref="U65:AA65"/>
    <mergeCell ref="U56:Y56"/>
  </mergeCells>
  <conditionalFormatting sqref="J22:J33">
    <cfRule type="top10" dxfId="25" priority="73" rank="1"/>
  </conditionalFormatting>
  <conditionalFormatting sqref="K22:K33">
    <cfRule type="top10" dxfId="24" priority="66" rank="1"/>
  </conditionalFormatting>
  <conditionalFormatting sqref="M22:M33">
    <cfRule type="top10" dxfId="23" priority="70" rank="1"/>
  </conditionalFormatting>
  <conditionalFormatting sqref="N22:N33">
    <cfRule type="cellIs" dxfId="22" priority="4" operator="between">
      <formula>0.1</formula>
      <formula>6.1</formula>
    </cfRule>
    <cfRule type="cellIs" dxfId="21" priority="67" operator="lessThan">
      <formula>9.9</formula>
    </cfRule>
    <cfRule type="top10" dxfId="20" priority="68" rank="1"/>
    <cfRule type="top10" dxfId="19" priority="69" bottom="1" rank="2"/>
  </conditionalFormatting>
  <conditionalFormatting sqref="P22:P33">
    <cfRule type="top10" dxfId="18" priority="53" rank="1"/>
  </conditionalFormatting>
  <conditionalFormatting sqref="Q44">
    <cfRule type="colorScale" priority="12">
      <colorScale>
        <cfvo type="formula" val="$E$44/1.2"/>
        <cfvo type="formula" val="$E$44"/>
        <color rgb="FFFF7C80"/>
        <color rgb="FF33CC33"/>
      </colorScale>
    </cfRule>
  </conditionalFormatting>
  <conditionalFormatting sqref="Q45">
    <cfRule type="colorScale" priority="196">
      <colorScale>
        <cfvo type="formula" val="$E$45/$AE$19"/>
        <cfvo type="formula" val="$E$45"/>
        <color rgb="FFFF7C80"/>
        <color rgb="FF33CC33"/>
      </colorScale>
    </cfRule>
  </conditionalFormatting>
  <conditionalFormatting sqref="Q46">
    <cfRule type="colorScale" priority="197">
      <colorScale>
        <cfvo type="formula" val="$E$46/$AE$19"/>
        <cfvo type="formula" val="$E$46"/>
        <color rgb="FFFF7C80"/>
        <color rgb="FF33CC33"/>
      </colorScale>
    </cfRule>
  </conditionalFormatting>
  <conditionalFormatting sqref="Q53">
    <cfRule type="colorScale" priority="11">
      <colorScale>
        <cfvo type="formula" val="$E$53"/>
        <cfvo type="formula" val="$E$53*1.05"/>
        <color rgb="FFFF7C80"/>
        <color rgb="FF33CC33"/>
      </colorScale>
    </cfRule>
  </conditionalFormatting>
  <conditionalFormatting sqref="S45">
    <cfRule type="colorScale" priority="10">
      <colorScale>
        <cfvo type="num" val="0.9"/>
        <cfvo type="percentile" val="50"/>
        <cfvo type="num" val="0.99"/>
        <color rgb="FF63BE7B"/>
        <color rgb="FFFFEB84"/>
        <color rgb="FFF8696B"/>
      </colorScale>
    </cfRule>
  </conditionalFormatting>
  <conditionalFormatting sqref="S46">
    <cfRule type="colorScale" priority="9">
      <colorScale>
        <cfvo type="num" val="0.9"/>
        <cfvo type="percentile" val="50"/>
        <cfvo type="num" val="0.99"/>
        <color rgb="FF63BE7B"/>
        <color rgb="FFFFEB84"/>
        <color rgb="FFF8696B"/>
      </colorScale>
    </cfRule>
  </conditionalFormatting>
  <conditionalFormatting sqref="S48">
    <cfRule type="cellIs" dxfId="17" priority="5" operator="greaterThan">
      <formula>0.99</formula>
    </cfRule>
  </conditionalFormatting>
  <conditionalFormatting sqref="S50">
    <cfRule type="cellIs" dxfId="16" priority="7" operator="greaterThan">
      <formula>0.99</formula>
    </cfRule>
  </conditionalFormatting>
  <conditionalFormatting sqref="S52">
    <cfRule type="cellIs" dxfId="15" priority="6" operator="greaterThan">
      <formula>0.99</formula>
    </cfRule>
  </conditionalFormatting>
  <conditionalFormatting sqref="S53">
    <cfRule type="colorScale" priority="8">
      <colorScale>
        <cfvo type="num" val="0.9"/>
        <cfvo type="percentile" val="50"/>
        <cfvo type="num" val="0.99"/>
        <color rgb="FF63BE7B"/>
        <color rgb="FFFFEB84"/>
        <color rgb="FFF8696B"/>
      </colorScale>
    </cfRule>
  </conditionalFormatting>
  <conditionalFormatting sqref="X22:X33">
    <cfRule type="top10" dxfId="14" priority="2" rank="1"/>
  </conditionalFormatting>
  <conditionalFormatting sqref="Z22:Z33">
    <cfRule type="top10" dxfId="13" priority="1" rank="1"/>
  </conditionalFormatting>
  <conditionalFormatting sqref="AB59">
    <cfRule type="cellIs" dxfId="12" priority="42" operator="lessThan">
      <formula>$AC$47</formula>
    </cfRule>
  </conditionalFormatting>
  <conditionalFormatting sqref="AG46">
    <cfRule type="colorScale" priority="32">
      <colorScale>
        <cfvo type="num" val="1.05"/>
        <cfvo type="num" val="1.25"/>
        <cfvo type="formula" val="$AC$67/100"/>
        <color rgb="FF63BE7B"/>
        <color rgb="FFFFEB84"/>
        <color rgb="FFF8696B"/>
      </colorScale>
    </cfRule>
  </conditionalFormatting>
  <conditionalFormatting sqref="AG45 AG48 AG50 AG52">
    <cfRule type="colorScale" priority="41">
      <colorScale>
        <cfvo type="num" val="1.05"/>
        <cfvo type="percentile" val="1.5"/>
        <cfvo type="formula" val="$AC$67/100"/>
        <color rgb="FF63BE7B"/>
        <color rgb="FFFFEB84"/>
        <color rgb="FFF8696B"/>
      </colorScale>
    </cfRule>
  </conditionalFormatting>
  <conditionalFormatting sqref="AH46">
    <cfRule type="cellIs" dxfId="11" priority="37" operator="equal">
      <formula>"&gt;300s"</formula>
    </cfRule>
    <cfRule type="colorScale" priority="38">
      <colorScale>
        <cfvo type="formula" val="$F$546"/>
        <cfvo type="formula" val="$F$46+0.1"/>
        <cfvo type="formula" val="$F$46*1.1"/>
        <color rgb="FFF8696B"/>
        <color rgb="FFFFEB84"/>
        <color rgb="FF63BE7B"/>
      </colorScale>
    </cfRule>
  </conditionalFormatting>
  <conditionalFormatting sqref="AH48">
    <cfRule type="cellIs" dxfId="10" priority="39" operator="equal">
      <formula>"&gt;300s"</formula>
    </cfRule>
    <cfRule type="colorScale" priority="40">
      <colorScale>
        <cfvo type="formula" val="$F$48"/>
        <cfvo type="formula" val="$F$48+0.1"/>
        <cfvo type="formula" val="$F$48*1.1"/>
        <color rgb="FFF8696B"/>
        <color rgb="FFFFEB84"/>
        <color rgb="FF63BE7B"/>
      </colorScale>
    </cfRule>
  </conditionalFormatting>
  <conditionalFormatting sqref="AH50">
    <cfRule type="cellIs" dxfId="9" priority="35" operator="equal">
      <formula>"&gt;300s"</formula>
    </cfRule>
    <cfRule type="colorScale" priority="36">
      <colorScale>
        <cfvo type="formula" val="$F$52"/>
        <cfvo type="formula" val="$F$52+0.1"/>
        <cfvo type="formula" val="$F$52*1.1"/>
        <color rgb="FFF8696B"/>
        <color rgb="FFFFEB84"/>
        <color rgb="FF63BE7B"/>
      </colorScale>
    </cfRule>
  </conditionalFormatting>
  <conditionalFormatting sqref="AH52">
    <cfRule type="cellIs" dxfId="8" priority="33" operator="equal">
      <formula>"&gt;300s"</formula>
    </cfRule>
    <cfRule type="colorScale" priority="34">
      <colorScale>
        <cfvo type="formula" val="$F$52"/>
        <cfvo type="formula" val="$F$52+0.1"/>
        <cfvo type="formula" val="$F$52*1.1"/>
        <color rgb="FFF8696B"/>
        <color rgb="FFFFEB84"/>
        <color rgb="FF63BE7B"/>
      </colorScale>
    </cfRule>
  </conditionalFormatting>
  <conditionalFormatting sqref="AJ45:AJ46 AJ48 AJ50 AJ52">
    <cfRule type="colorScale" priority="43">
      <colorScale>
        <cfvo type="num" val="0.92"/>
        <cfvo type="num" val="0.96"/>
        <cfvo type="num" val="0.99990000000000001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KEB_Drives!$A$3:$A$16</xm:f>
          </x14:formula1>
          <xm:sqref>Z56:AC56</xm:sqref>
        </x14:dataValidation>
        <x14:dataValidation type="list" allowBlank="1" showInputMessage="1" showErrorMessage="1" xr:uid="{00000000-0002-0000-0100-000002000000}">
          <x14:formula1>
            <xm:f>HydrPumps!$A$2:$A$54</xm:f>
          </x14:formula1>
          <xm:sqref>E11:F11</xm:sqref>
        </x14:dataValidation>
        <x14:dataValidation type="list" allowBlank="1" showInputMessage="1" showErrorMessage="1" xr:uid="{00000000-0002-0000-0100-000001000000}">
          <x14:formula1>
            <xm:f>DL4_Motorcodes!$A$2:$A$98</xm:f>
          </x14:formula1>
          <xm:sqref>C56:F56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99FF"/>
  </sheetPr>
  <dimension ref="A1:X16"/>
  <sheetViews>
    <sheetView zoomScaleNormal="100" workbookViewId="0">
      <selection activeCell="L15" sqref="L15"/>
    </sheetView>
  </sheetViews>
  <sheetFormatPr defaultColWidth="11.44140625" defaultRowHeight="14.4" x14ac:dyDescent="0.3"/>
  <cols>
    <col min="1" max="1" width="14.109375" customWidth="1"/>
    <col min="2" max="2" width="10.44140625" bestFit="1" customWidth="1"/>
    <col min="3" max="3" width="9" customWidth="1"/>
    <col min="4" max="4" width="10.88671875" customWidth="1"/>
    <col min="5" max="5" width="9.44140625" customWidth="1"/>
    <col min="6" max="6" width="10.88671875" customWidth="1"/>
    <col min="7" max="8" width="13.6640625" customWidth="1"/>
    <col min="9" max="9" width="8.33203125" customWidth="1"/>
    <col min="10" max="10" width="8.6640625" customWidth="1"/>
    <col min="11" max="12" width="9.6640625" customWidth="1"/>
    <col min="13" max="13" width="13.6640625" customWidth="1"/>
    <col min="14" max="14" width="14.5546875" customWidth="1"/>
    <col min="15" max="15" width="13.33203125" bestFit="1" customWidth="1"/>
    <col min="16" max="16" width="12.6640625" bestFit="1" customWidth="1"/>
    <col min="17" max="17" width="12.88671875" bestFit="1" customWidth="1"/>
    <col min="18" max="18" width="13.6640625" customWidth="1"/>
    <col min="19" max="19" width="15.5546875" bestFit="1" customWidth="1"/>
  </cols>
  <sheetData>
    <row r="1" spans="1:24" ht="15.6" x14ac:dyDescent="0.3">
      <c r="A1" s="56" t="s">
        <v>200</v>
      </c>
      <c r="B1" s="13"/>
      <c r="M1" s="56" t="s">
        <v>207</v>
      </c>
    </row>
    <row r="2" spans="1:24" s="2" customFormat="1" ht="28.8" x14ac:dyDescent="0.3">
      <c r="A2" s="2" t="s">
        <v>201</v>
      </c>
      <c r="B2" s="2" t="s">
        <v>223</v>
      </c>
      <c r="C2" s="2" t="s">
        <v>202</v>
      </c>
      <c r="D2" s="2" t="s">
        <v>203</v>
      </c>
      <c r="E2" s="2" t="s">
        <v>204</v>
      </c>
      <c r="F2" s="2" t="s">
        <v>205</v>
      </c>
      <c r="G2" s="2" t="s">
        <v>206</v>
      </c>
      <c r="H2" s="2" t="s">
        <v>551</v>
      </c>
      <c r="I2" s="2" t="s">
        <v>219</v>
      </c>
      <c r="J2" s="2" t="s">
        <v>218</v>
      </c>
      <c r="K2" s="2" t="s">
        <v>220</v>
      </c>
      <c r="L2" s="2" t="s">
        <v>239</v>
      </c>
      <c r="M2" s="2" t="s">
        <v>208</v>
      </c>
      <c r="N2" s="2" t="s">
        <v>209</v>
      </c>
      <c r="O2" s="2" t="s">
        <v>210</v>
      </c>
      <c r="P2" s="2" t="s">
        <v>42</v>
      </c>
      <c r="Q2" s="2" t="s">
        <v>222</v>
      </c>
      <c r="R2" s="2" t="s">
        <v>43</v>
      </c>
      <c r="S2" s="2" t="s">
        <v>225</v>
      </c>
      <c r="U2" s="2" t="s">
        <v>552</v>
      </c>
      <c r="V2" s="2" t="s">
        <v>553</v>
      </c>
      <c r="W2" s="2" t="s">
        <v>554</v>
      </c>
      <c r="X2" s="2" t="s">
        <v>555</v>
      </c>
    </row>
    <row r="3" spans="1:24" x14ac:dyDescent="0.3">
      <c r="A3" t="s">
        <v>47</v>
      </c>
      <c r="B3">
        <v>2</v>
      </c>
      <c r="C3">
        <v>11</v>
      </c>
      <c r="D3">
        <v>24</v>
      </c>
      <c r="E3">
        <v>150</v>
      </c>
      <c r="F3">
        <v>180</v>
      </c>
      <c r="G3">
        <v>4</v>
      </c>
      <c r="I3">
        <v>88</v>
      </c>
      <c r="J3">
        <v>165</v>
      </c>
      <c r="K3">
        <v>180</v>
      </c>
      <c r="L3">
        <v>180</v>
      </c>
      <c r="M3" t="s">
        <v>211</v>
      </c>
      <c r="N3" t="s">
        <v>52</v>
      </c>
      <c r="O3" t="s">
        <v>44</v>
      </c>
      <c r="P3" t="s">
        <v>53</v>
      </c>
      <c r="Q3" t="s">
        <v>54</v>
      </c>
      <c r="R3" s="53" t="s">
        <v>249</v>
      </c>
      <c r="S3" s="53" t="s">
        <v>243</v>
      </c>
      <c r="U3" s="3">
        <f>15/18*KEBDriveData[[#This Row],[Imax0Hz_5kHz]]/100*KEBDriveData[[#This Row],[Inenn_5kHz]]</f>
        <v>0</v>
      </c>
      <c r="V3" s="3">
        <f>15/18*KEBDriveData[[#This Row],[Imax6Hz_5kHz]]/100*KEBDriveData[[#This Row],[Inenn_5kHz]]</f>
        <v>0</v>
      </c>
      <c r="W3" s="3">
        <f>15/18*KEBDriveData[[#This Row],[Imax25Hz_5kHz]]/100*KEBDriveData[[#This Row],[Inenn_5kHz]]</f>
        <v>0</v>
      </c>
      <c r="X3" s="3">
        <f>15/18*KEBDriveData[[#This Row],[Imax50Hz_5kHz]]/100*KEBDriveData[[#This Row],[Inenn_5kHz]]</f>
        <v>0</v>
      </c>
    </row>
    <row r="4" spans="1:24" x14ac:dyDescent="0.3">
      <c r="A4" t="s">
        <v>46</v>
      </c>
      <c r="B4">
        <v>2</v>
      </c>
      <c r="C4">
        <v>15</v>
      </c>
      <c r="D4">
        <v>33</v>
      </c>
      <c r="E4">
        <v>150</v>
      </c>
      <c r="F4">
        <v>180</v>
      </c>
      <c r="G4">
        <v>4</v>
      </c>
      <c r="H4">
        <v>30</v>
      </c>
      <c r="I4">
        <v>69</v>
      </c>
      <c r="J4">
        <v>137</v>
      </c>
      <c r="K4">
        <v>152</v>
      </c>
      <c r="L4">
        <v>180</v>
      </c>
      <c r="M4" t="s">
        <v>211</v>
      </c>
      <c r="N4" t="s">
        <v>52</v>
      </c>
      <c r="O4" t="s">
        <v>44</v>
      </c>
      <c r="P4" t="s">
        <v>53</v>
      </c>
      <c r="Q4" t="s">
        <v>55</v>
      </c>
      <c r="R4" s="53" t="s">
        <v>249</v>
      </c>
      <c r="S4" s="53" t="s">
        <v>243</v>
      </c>
      <c r="U4" s="3">
        <f>15/18*KEBDriveData[[#This Row],[Imax0Hz_5kHz]]/100*KEBDriveData[[#This Row],[Inenn_5kHz]]</f>
        <v>17.25</v>
      </c>
      <c r="V4" s="3">
        <f>15/18*KEBDriveData[[#This Row],[Imax6Hz_5kHz]]/100*KEBDriveData[[#This Row],[Inenn_5kHz]]</f>
        <v>34.25</v>
      </c>
      <c r="W4" s="3">
        <f>15/18*KEBDriveData[[#This Row],[Imax25Hz_5kHz]]/100*KEBDriveData[[#This Row],[Inenn_5kHz]]</f>
        <v>38</v>
      </c>
      <c r="X4" s="3">
        <f>15/18*KEBDriveData[[#This Row],[Imax50Hz_5kHz]]/100*KEBDriveData[[#This Row],[Inenn_5kHz]]</f>
        <v>45</v>
      </c>
    </row>
    <row r="5" spans="1:24" x14ac:dyDescent="0.3">
      <c r="A5" s="55" t="s">
        <v>309</v>
      </c>
      <c r="B5" s="55">
        <v>3</v>
      </c>
      <c r="C5" s="55">
        <v>18.5</v>
      </c>
      <c r="D5" s="55">
        <v>42</v>
      </c>
      <c r="E5" s="55">
        <v>150</v>
      </c>
      <c r="F5" s="55">
        <v>180</v>
      </c>
      <c r="G5" s="55">
        <v>2</v>
      </c>
      <c r="H5" s="55"/>
      <c r="I5" s="55">
        <v>79</v>
      </c>
      <c r="J5" s="55">
        <v>148</v>
      </c>
      <c r="K5" s="55">
        <v>180</v>
      </c>
      <c r="L5" s="55">
        <v>180</v>
      </c>
      <c r="M5" s="55" t="s">
        <v>211</v>
      </c>
      <c r="N5" s="55" t="s">
        <v>57</v>
      </c>
      <c r="O5" s="55" t="s">
        <v>44</v>
      </c>
      <c r="P5" t="s">
        <v>226</v>
      </c>
      <c r="Q5" t="s">
        <v>224</v>
      </c>
      <c r="R5" s="53" t="s">
        <v>250</v>
      </c>
      <c r="S5" s="53" t="s">
        <v>243</v>
      </c>
      <c r="U5" s="3">
        <f>15/18*KEBDriveData[[#This Row],[Imax0Hz_5kHz]]/100*KEBDriveData[[#This Row],[Inenn_5kHz]]</f>
        <v>0</v>
      </c>
      <c r="V5" s="3">
        <f>15/18*KEBDriveData[[#This Row],[Imax6Hz_5kHz]]/100*KEBDriveData[[#This Row],[Inenn_5kHz]]</f>
        <v>0</v>
      </c>
      <c r="W5" s="3">
        <f>15/18*KEBDriveData[[#This Row],[Imax25Hz_5kHz]]/100*KEBDriveData[[#This Row],[Inenn_5kHz]]</f>
        <v>0</v>
      </c>
      <c r="X5" s="3">
        <f>15/18*KEBDriveData[[#This Row],[Imax50Hz_5kHz]]/100*KEBDriveData[[#This Row],[Inenn_5kHz]]</f>
        <v>0</v>
      </c>
    </row>
    <row r="6" spans="1:24" x14ac:dyDescent="0.3">
      <c r="A6" t="s">
        <v>48</v>
      </c>
      <c r="B6">
        <v>3</v>
      </c>
      <c r="C6">
        <v>22</v>
      </c>
      <c r="D6">
        <v>50</v>
      </c>
      <c r="E6">
        <v>150</v>
      </c>
      <c r="F6">
        <v>180</v>
      </c>
      <c r="G6">
        <v>2</v>
      </c>
      <c r="H6">
        <v>43</v>
      </c>
      <c r="I6">
        <v>66</v>
      </c>
      <c r="J6">
        <v>124</v>
      </c>
      <c r="K6">
        <v>180</v>
      </c>
      <c r="L6">
        <v>180</v>
      </c>
      <c r="M6" t="s">
        <v>211</v>
      </c>
      <c r="N6" t="s">
        <v>57</v>
      </c>
      <c r="O6" t="s">
        <v>44</v>
      </c>
      <c r="P6" t="s">
        <v>226</v>
      </c>
      <c r="Q6" t="s">
        <v>227</v>
      </c>
      <c r="R6" s="53" t="s">
        <v>250</v>
      </c>
      <c r="S6" s="53" t="s">
        <v>243</v>
      </c>
      <c r="U6" s="3">
        <f>15/18*KEBDriveData[[#This Row],[Imax0Hz_5kHz]]/100*KEBDriveData[[#This Row],[Inenn_5kHz]]</f>
        <v>23.650000000000002</v>
      </c>
      <c r="V6" s="3">
        <f>15/18*KEBDriveData[[#This Row],[Imax6Hz_5kHz]]/100*KEBDriveData[[#This Row],[Inenn_5kHz]]</f>
        <v>44.433333333333337</v>
      </c>
      <c r="W6" s="3">
        <f>15/18*KEBDriveData[[#This Row],[Imax25Hz_5kHz]]/100*KEBDriveData[[#This Row],[Inenn_5kHz]]</f>
        <v>64.5</v>
      </c>
      <c r="X6" s="3">
        <f>15/18*KEBDriveData[[#This Row],[Imax50Hz_5kHz]]/100*KEBDriveData[[#This Row],[Inenn_5kHz]]</f>
        <v>64.5</v>
      </c>
    </row>
    <row r="7" spans="1:24" x14ac:dyDescent="0.3">
      <c r="A7" t="s">
        <v>49</v>
      </c>
      <c r="B7">
        <v>3</v>
      </c>
      <c r="C7">
        <v>30</v>
      </c>
      <c r="D7">
        <v>60</v>
      </c>
      <c r="E7">
        <v>150</v>
      </c>
      <c r="F7">
        <v>180</v>
      </c>
      <c r="G7">
        <v>4</v>
      </c>
      <c r="H7">
        <v>49</v>
      </c>
      <c r="I7">
        <v>88</v>
      </c>
      <c r="J7">
        <v>160</v>
      </c>
      <c r="K7">
        <v>180</v>
      </c>
      <c r="L7">
        <v>180</v>
      </c>
      <c r="M7" t="s">
        <v>211</v>
      </c>
      <c r="N7" t="s">
        <v>57</v>
      </c>
      <c r="O7" t="s">
        <v>44</v>
      </c>
      <c r="P7" t="s">
        <v>58</v>
      </c>
      <c r="Q7" t="s">
        <v>65</v>
      </c>
      <c r="R7" s="53" t="s">
        <v>250</v>
      </c>
      <c r="S7" s="53" t="s">
        <v>243</v>
      </c>
      <c r="U7" s="3">
        <f>15/18*KEBDriveData[[#This Row],[Imax0Hz_5kHz]]/100*KEBDriveData[[#This Row],[Inenn_5kHz]]</f>
        <v>35.933333333333337</v>
      </c>
      <c r="V7" s="3">
        <f>15/18*KEBDriveData[[#This Row],[Imax6Hz_5kHz]]/100*KEBDriveData[[#This Row],[Inenn_5kHz]]</f>
        <v>65.333333333333343</v>
      </c>
      <c r="W7" s="3">
        <f>15/18*KEBDriveData[[#This Row],[Imax25Hz_5kHz]]/100*KEBDriveData[[#This Row],[Inenn_5kHz]]</f>
        <v>73.5</v>
      </c>
      <c r="X7" s="3">
        <f>15/18*KEBDriveData[[#This Row],[Imax50Hz_5kHz]]/100*KEBDriveData[[#This Row],[Inenn_5kHz]]</f>
        <v>73.5</v>
      </c>
    </row>
    <row r="8" spans="1:24" x14ac:dyDescent="0.3">
      <c r="A8" t="s">
        <v>214</v>
      </c>
      <c r="B8">
        <v>4</v>
      </c>
      <c r="C8">
        <v>30</v>
      </c>
      <c r="D8">
        <v>60</v>
      </c>
      <c r="E8">
        <v>150</v>
      </c>
      <c r="F8">
        <v>180</v>
      </c>
      <c r="G8">
        <v>4</v>
      </c>
      <c r="I8">
        <v>123</v>
      </c>
      <c r="J8">
        <v>154</v>
      </c>
      <c r="K8">
        <v>180</v>
      </c>
      <c r="L8">
        <v>180</v>
      </c>
      <c r="M8" s="53" t="s">
        <v>244</v>
      </c>
      <c r="N8" t="s">
        <v>60</v>
      </c>
      <c r="O8" t="s">
        <v>44</v>
      </c>
      <c r="P8" t="s">
        <v>58</v>
      </c>
      <c r="Q8" t="s">
        <v>65</v>
      </c>
      <c r="R8" s="53" t="s">
        <v>250</v>
      </c>
      <c r="S8" s="53" t="s">
        <v>243</v>
      </c>
      <c r="U8" s="3">
        <f>15/18*KEBDriveData[[#This Row],[Imax0Hz_5kHz]]/100*KEBDriveData[[#This Row],[Inenn_5kHz]]</f>
        <v>0</v>
      </c>
      <c r="V8" s="3">
        <f>15/18*KEBDriveData[[#This Row],[Imax6Hz_5kHz]]/100*KEBDriveData[[#This Row],[Inenn_5kHz]]</f>
        <v>0</v>
      </c>
      <c r="W8" s="3">
        <f>15/18*KEBDriveData[[#This Row],[Imax25Hz_5kHz]]/100*KEBDriveData[[#This Row],[Inenn_5kHz]]</f>
        <v>0</v>
      </c>
      <c r="X8" s="3">
        <f>15/18*KEBDriveData[[#This Row],[Imax50Hz_5kHz]]/100*KEBDriveData[[#This Row],[Inenn_5kHz]]</f>
        <v>0</v>
      </c>
    </row>
    <row r="9" spans="1:24" x14ac:dyDescent="0.3">
      <c r="A9" s="55" t="s">
        <v>212</v>
      </c>
      <c r="B9" s="55">
        <v>3</v>
      </c>
      <c r="C9" s="55">
        <v>37</v>
      </c>
      <c r="D9" s="55">
        <v>75</v>
      </c>
      <c r="E9" s="55">
        <v>150</v>
      </c>
      <c r="F9" s="55">
        <v>180</v>
      </c>
      <c r="G9" s="55">
        <v>2</v>
      </c>
      <c r="H9" s="55"/>
      <c r="I9" s="55">
        <v>70</v>
      </c>
      <c r="J9" s="55">
        <v>128</v>
      </c>
      <c r="K9" s="55">
        <v>157</v>
      </c>
      <c r="L9" s="55">
        <v>164</v>
      </c>
      <c r="M9" s="55" t="s">
        <v>211</v>
      </c>
      <c r="N9" s="55" t="s">
        <v>57</v>
      </c>
      <c r="O9" s="55" t="s">
        <v>44</v>
      </c>
      <c r="P9" t="s">
        <v>58</v>
      </c>
      <c r="Q9" t="s">
        <v>59</v>
      </c>
      <c r="R9" s="53" t="s">
        <v>248</v>
      </c>
      <c r="S9" s="53" t="s">
        <v>243</v>
      </c>
      <c r="U9" s="3">
        <f>15/18*KEBDriveData[[#This Row],[Imax0Hz_5kHz]]/100*KEBDriveData[[#This Row],[Inenn_5kHz]]</f>
        <v>0</v>
      </c>
      <c r="V9" s="3">
        <f>15/18*KEBDriveData[[#This Row],[Imax6Hz_5kHz]]/100*KEBDriveData[[#This Row],[Inenn_5kHz]]</f>
        <v>0</v>
      </c>
      <c r="W9" s="3">
        <f>15/18*KEBDriveData[[#This Row],[Imax25Hz_5kHz]]/100*KEBDriveData[[#This Row],[Inenn_5kHz]]</f>
        <v>0</v>
      </c>
      <c r="X9" s="3">
        <f>15/18*KEBDriveData[[#This Row],[Imax50Hz_5kHz]]/100*KEBDriveData[[#This Row],[Inenn_5kHz]]</f>
        <v>0</v>
      </c>
    </row>
    <row r="10" spans="1:24" x14ac:dyDescent="0.3">
      <c r="A10" t="s">
        <v>50</v>
      </c>
      <c r="B10">
        <v>4</v>
      </c>
      <c r="C10">
        <v>37</v>
      </c>
      <c r="D10">
        <v>75</v>
      </c>
      <c r="E10">
        <v>150</v>
      </c>
      <c r="F10">
        <v>180</v>
      </c>
      <c r="G10">
        <v>4</v>
      </c>
      <c r="H10">
        <v>63</v>
      </c>
      <c r="I10">
        <v>98</v>
      </c>
      <c r="J10">
        <v>123</v>
      </c>
      <c r="K10">
        <v>154</v>
      </c>
      <c r="L10">
        <v>169</v>
      </c>
      <c r="M10" s="53" t="s">
        <v>244</v>
      </c>
      <c r="N10" t="s">
        <v>60</v>
      </c>
      <c r="O10" t="s">
        <v>44</v>
      </c>
      <c r="P10" t="s">
        <v>58</v>
      </c>
      <c r="Q10" t="s">
        <v>59</v>
      </c>
      <c r="R10" s="53" t="s">
        <v>248</v>
      </c>
      <c r="S10" s="53" t="s">
        <v>243</v>
      </c>
      <c r="U10" s="3">
        <f>15/18*KEBDriveData[[#This Row],[Imax0Hz_5kHz]]/100*KEBDriveData[[#This Row],[Inenn_5kHz]]</f>
        <v>51.45</v>
      </c>
      <c r="V10" s="3">
        <f>15/18*KEBDriveData[[#This Row],[Imax6Hz_5kHz]]/100*KEBDriveData[[#This Row],[Inenn_5kHz]]</f>
        <v>64.574999999999989</v>
      </c>
      <c r="W10" s="3">
        <f>15/18*KEBDriveData[[#This Row],[Imax25Hz_5kHz]]/100*KEBDriveData[[#This Row],[Inenn_5kHz]]</f>
        <v>80.850000000000009</v>
      </c>
      <c r="X10" s="3">
        <f>15/18*KEBDriveData[[#This Row],[Imax50Hz_5kHz]]/100*KEBDriveData[[#This Row],[Inenn_5kHz]]</f>
        <v>88.725000000000009</v>
      </c>
    </row>
    <row r="11" spans="1:24" x14ac:dyDescent="0.3">
      <c r="A11" t="s">
        <v>215</v>
      </c>
      <c r="B11">
        <v>4</v>
      </c>
      <c r="C11">
        <v>45</v>
      </c>
      <c r="D11">
        <v>90</v>
      </c>
      <c r="E11">
        <v>150</v>
      </c>
      <c r="F11">
        <v>180</v>
      </c>
      <c r="G11">
        <v>2</v>
      </c>
      <c r="I11">
        <v>82</v>
      </c>
      <c r="J11">
        <v>102</v>
      </c>
      <c r="K11">
        <v>128</v>
      </c>
      <c r="L11">
        <v>141</v>
      </c>
      <c r="M11" s="53" t="s">
        <v>244</v>
      </c>
      <c r="N11" t="s">
        <v>60</v>
      </c>
      <c r="O11" t="s">
        <v>44</v>
      </c>
      <c r="P11" t="s">
        <v>61</v>
      </c>
      <c r="Q11" t="s">
        <v>228</v>
      </c>
      <c r="R11" s="53" t="s">
        <v>248</v>
      </c>
      <c r="S11" s="53" t="s">
        <v>243</v>
      </c>
      <c r="U11" s="3">
        <f>15/18*KEBDriveData[[#This Row],[Imax0Hz_5kHz]]/100*KEBDriveData[[#This Row],[Inenn_5kHz]]</f>
        <v>0</v>
      </c>
      <c r="V11" s="3">
        <f>15/18*KEBDriveData[[#This Row],[Imax6Hz_5kHz]]/100*KEBDriveData[[#This Row],[Inenn_5kHz]]</f>
        <v>0</v>
      </c>
      <c r="W11" s="3">
        <f>15/18*KEBDriveData[[#This Row],[Imax25Hz_5kHz]]/100*KEBDriveData[[#This Row],[Inenn_5kHz]]</f>
        <v>0</v>
      </c>
      <c r="X11" s="3">
        <f>15/18*KEBDriveData[[#This Row],[Imax50Hz_5kHz]]/100*KEBDriveData[[#This Row],[Inenn_5kHz]]</f>
        <v>0</v>
      </c>
    </row>
    <row r="12" spans="1:24" x14ac:dyDescent="0.3">
      <c r="A12" t="s">
        <v>217</v>
      </c>
      <c r="B12">
        <v>6</v>
      </c>
      <c r="C12">
        <v>45</v>
      </c>
      <c r="D12">
        <v>90</v>
      </c>
      <c r="E12">
        <v>150</v>
      </c>
      <c r="F12">
        <v>180</v>
      </c>
      <c r="G12">
        <v>8</v>
      </c>
      <c r="H12">
        <v>90</v>
      </c>
      <c r="I12">
        <v>180</v>
      </c>
      <c r="J12">
        <v>180</v>
      </c>
      <c r="K12">
        <v>180</v>
      </c>
      <c r="L12">
        <v>180</v>
      </c>
      <c r="M12" s="53" t="s">
        <v>244</v>
      </c>
      <c r="N12" s="53" t="s">
        <v>244</v>
      </c>
      <c r="O12" t="s">
        <v>44</v>
      </c>
      <c r="P12" t="s">
        <v>61</v>
      </c>
      <c r="Q12" t="s">
        <v>228</v>
      </c>
      <c r="R12" s="53" t="s">
        <v>248</v>
      </c>
      <c r="S12" s="53" t="s">
        <v>243</v>
      </c>
      <c r="U12" s="3">
        <f>15/18*KEBDriveData[[#This Row],[Imax0Hz_5kHz]]/100*KEBDriveData[[#This Row],[Inenn_5kHz]]</f>
        <v>135</v>
      </c>
      <c r="V12" s="3">
        <f>15/18*KEBDriveData[[#This Row],[Imax6Hz_5kHz]]/100*KEBDriveData[[#This Row],[Inenn_5kHz]]</f>
        <v>135</v>
      </c>
      <c r="W12" s="3">
        <f>15/18*KEBDriveData[[#This Row],[Imax25Hz_5kHz]]/100*KEBDriveData[[#This Row],[Inenn_5kHz]]</f>
        <v>135</v>
      </c>
      <c r="X12" s="3">
        <f>15/18*KEBDriveData[[#This Row],[Imax50Hz_5kHz]]/100*KEBDriveData[[#This Row],[Inenn_5kHz]]</f>
        <v>135</v>
      </c>
    </row>
    <row r="13" spans="1:24" x14ac:dyDescent="0.3">
      <c r="A13" s="55" t="s">
        <v>213</v>
      </c>
      <c r="B13" s="55">
        <v>4</v>
      </c>
      <c r="C13" s="55">
        <v>55</v>
      </c>
      <c r="D13" s="55">
        <v>110</v>
      </c>
      <c r="E13" s="55">
        <v>150</v>
      </c>
      <c r="F13" s="55">
        <v>180</v>
      </c>
      <c r="G13" s="55">
        <v>2</v>
      </c>
      <c r="H13" s="55">
        <v>68</v>
      </c>
      <c r="I13" s="55">
        <v>75</v>
      </c>
      <c r="J13" s="55">
        <v>95</v>
      </c>
      <c r="K13" s="55">
        <v>116</v>
      </c>
      <c r="L13" s="55">
        <v>127</v>
      </c>
      <c r="M13" s="53" t="s">
        <v>244</v>
      </c>
      <c r="N13" s="55" t="s">
        <v>60</v>
      </c>
      <c r="O13" s="55" t="s">
        <v>44</v>
      </c>
      <c r="P13" t="s">
        <v>61</v>
      </c>
      <c r="Q13" t="s">
        <v>63</v>
      </c>
      <c r="R13" s="53" t="s">
        <v>248</v>
      </c>
      <c r="S13" s="53" t="s">
        <v>243</v>
      </c>
      <c r="U13" s="3">
        <f>15/18*KEBDriveData[[#This Row],[Imax0Hz_5kHz]]/100*KEBDriveData[[#This Row],[Inenn_5kHz]]</f>
        <v>42.5</v>
      </c>
      <c r="V13" s="3">
        <f>15/18*KEBDriveData[[#This Row],[Imax6Hz_5kHz]]/100*KEBDriveData[[#This Row],[Inenn_5kHz]]</f>
        <v>53.833333333333336</v>
      </c>
      <c r="W13" s="3">
        <f>15/18*KEBDriveData[[#This Row],[Imax25Hz_5kHz]]/100*KEBDriveData[[#This Row],[Inenn_5kHz]]</f>
        <v>65.733333333333334</v>
      </c>
      <c r="X13" s="3">
        <f>15/18*KEBDriveData[[#This Row],[Imax50Hz_5kHz]]/100*KEBDriveData[[#This Row],[Inenn_5kHz]]</f>
        <v>71.966666666666669</v>
      </c>
    </row>
    <row r="14" spans="1:24" x14ac:dyDescent="0.3">
      <c r="A14" t="s">
        <v>45</v>
      </c>
      <c r="B14">
        <v>6</v>
      </c>
      <c r="C14">
        <v>55</v>
      </c>
      <c r="D14">
        <v>115</v>
      </c>
      <c r="E14">
        <v>150</v>
      </c>
      <c r="F14">
        <v>180</v>
      </c>
      <c r="G14">
        <v>4</v>
      </c>
      <c r="H14">
        <v>115</v>
      </c>
      <c r="I14">
        <v>144</v>
      </c>
      <c r="J14">
        <v>180</v>
      </c>
      <c r="K14">
        <v>180</v>
      </c>
      <c r="L14">
        <v>180</v>
      </c>
      <c r="M14" s="53" t="s">
        <v>244</v>
      </c>
      <c r="N14" s="53" t="s">
        <v>244</v>
      </c>
      <c r="O14" t="s">
        <v>44</v>
      </c>
      <c r="P14" t="s">
        <v>61</v>
      </c>
      <c r="Q14" t="s">
        <v>63</v>
      </c>
      <c r="R14" s="53" t="s">
        <v>248</v>
      </c>
      <c r="S14" s="53" t="s">
        <v>243</v>
      </c>
      <c r="U14" s="3">
        <f>15/18*KEBDriveData[[#This Row],[Imax0Hz_5kHz]]/100*KEBDriveData[[#This Row],[Inenn_5kHz]]</f>
        <v>138</v>
      </c>
      <c r="V14" s="3">
        <f>15/18*KEBDriveData[[#This Row],[Imax6Hz_5kHz]]/100*KEBDriveData[[#This Row],[Inenn_5kHz]]</f>
        <v>172.5</v>
      </c>
      <c r="W14" s="3">
        <f>15/18*KEBDriveData[[#This Row],[Imax25Hz_5kHz]]/100*KEBDriveData[[#This Row],[Inenn_5kHz]]</f>
        <v>172.5</v>
      </c>
      <c r="X14" s="3">
        <f>15/18*KEBDriveData[[#This Row],[Imax50Hz_5kHz]]/100*KEBDriveData[[#This Row],[Inenn_5kHz]]</f>
        <v>172.5</v>
      </c>
    </row>
    <row r="15" spans="1:24" x14ac:dyDescent="0.3">
      <c r="A15" t="s">
        <v>51</v>
      </c>
      <c r="B15">
        <v>6</v>
      </c>
      <c r="C15">
        <v>75</v>
      </c>
      <c r="D15">
        <v>150</v>
      </c>
      <c r="E15">
        <v>150</v>
      </c>
      <c r="F15">
        <v>180</v>
      </c>
      <c r="G15">
        <v>2</v>
      </c>
      <c r="H15">
        <v>138</v>
      </c>
      <c r="I15">
        <v>111</v>
      </c>
      <c r="J15">
        <v>156</v>
      </c>
      <c r="K15">
        <v>180</v>
      </c>
      <c r="L15">
        <v>180</v>
      </c>
      <c r="M15" s="53" t="s">
        <v>244</v>
      </c>
      <c r="N15" s="53" t="s">
        <v>244</v>
      </c>
      <c r="O15" t="s">
        <v>44</v>
      </c>
      <c r="P15" t="s">
        <v>62</v>
      </c>
      <c r="Q15" t="s">
        <v>64</v>
      </c>
      <c r="R15" s="53" t="s">
        <v>248</v>
      </c>
      <c r="S15" s="53" t="s">
        <v>243</v>
      </c>
      <c r="U15" s="3">
        <f>15/18*KEBDriveData[[#This Row],[Imax0Hz_5kHz]]/100*KEBDriveData[[#This Row],[Inenn_5kHz]]</f>
        <v>127.65</v>
      </c>
      <c r="V15" s="3">
        <f>15/18*KEBDriveData[[#This Row],[Imax6Hz_5kHz]]/100*KEBDriveData[[#This Row],[Inenn_5kHz]]</f>
        <v>179.4</v>
      </c>
      <c r="W15" s="3">
        <f>15/18*KEBDriveData[[#This Row],[Imax25Hz_5kHz]]/100*KEBDriveData[[#This Row],[Inenn_5kHz]]</f>
        <v>207</v>
      </c>
      <c r="X15" s="3">
        <f>15/18*KEBDriveData[[#This Row],[Imax50Hz_5kHz]]/100*KEBDriveData[[#This Row],[Inenn_5kHz]]</f>
        <v>207</v>
      </c>
    </row>
    <row r="16" spans="1:24" x14ac:dyDescent="0.3">
      <c r="A16" t="s">
        <v>216</v>
      </c>
      <c r="B16">
        <v>6</v>
      </c>
      <c r="C16">
        <v>90</v>
      </c>
      <c r="D16">
        <v>180</v>
      </c>
      <c r="E16">
        <v>150</v>
      </c>
      <c r="F16">
        <v>180</v>
      </c>
      <c r="G16">
        <v>2</v>
      </c>
      <c r="I16">
        <v>111</v>
      </c>
      <c r="J16">
        <v>171</v>
      </c>
      <c r="K16">
        <v>180</v>
      </c>
      <c r="L16">
        <v>180</v>
      </c>
      <c r="M16" s="53" t="s">
        <v>244</v>
      </c>
      <c r="N16" s="53" t="s">
        <v>244</v>
      </c>
      <c r="O16" t="s">
        <v>44</v>
      </c>
      <c r="P16" t="s">
        <v>62</v>
      </c>
      <c r="Q16" t="s">
        <v>229</v>
      </c>
      <c r="R16" s="53" t="s">
        <v>247</v>
      </c>
      <c r="S16" s="53" t="s">
        <v>243</v>
      </c>
      <c r="U16" s="3">
        <f>15/18*KEBDriveData[[#This Row],[Imax0Hz_5kHz]]/100*KEBDriveData[[#This Row],[Inenn_5kHz]]</f>
        <v>0</v>
      </c>
      <c r="V16" s="3">
        <f>15/18*KEBDriveData[[#This Row],[Imax6Hz_5kHz]]/100*KEBDriveData[[#This Row],[Inenn_5kHz]]</f>
        <v>0</v>
      </c>
      <c r="W16" s="3">
        <f>15/18*KEBDriveData[[#This Row],[Imax25Hz_5kHz]]/100*KEBDriveData[[#This Row],[Inenn_5kHz]]</f>
        <v>0</v>
      </c>
      <c r="X16" s="3">
        <f>15/18*KEBDriveData[[#This Row],[Imax50Hz_5kHz]]/100*KEBDriveData[[#This Row],[Inenn_5kHz]]</f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CA5A-BA39-46E1-94F7-FB50676D9964}">
  <sheetPr codeName="Sheet4">
    <tabColor rgb="FFFF99FF"/>
  </sheetPr>
  <dimension ref="A1:AW32"/>
  <sheetViews>
    <sheetView showGridLines="0" zoomScaleNormal="100" workbookViewId="0">
      <pane xSplit="2" ySplit="4" topLeftCell="C5" activePane="bottomRight" state="frozen"/>
      <selection activeCell="J14" sqref="J14"/>
      <selection pane="topRight" activeCell="J14" sqref="J14"/>
      <selection pane="bottomLeft" activeCell="J14" sqref="J14"/>
      <selection pane="bottomRight" activeCell="B4" sqref="B4"/>
    </sheetView>
  </sheetViews>
  <sheetFormatPr defaultColWidth="11.44140625" defaultRowHeight="14.4" outlineLevelCol="1" x14ac:dyDescent="0.3"/>
  <cols>
    <col min="1" max="1" width="1.88671875" customWidth="1"/>
    <col min="2" max="2" width="14.109375" customWidth="1"/>
    <col min="3" max="3" width="8.109375" customWidth="1"/>
    <col min="4" max="5" width="7.109375" customWidth="1"/>
    <col min="6" max="6" width="6.109375" customWidth="1"/>
    <col min="7" max="8" width="6.88671875" customWidth="1"/>
    <col min="9" max="9" width="7.5546875" customWidth="1"/>
    <col min="10" max="10" width="8.5546875" customWidth="1" outlineLevel="1"/>
    <col min="11" max="11" width="8.109375" customWidth="1" outlineLevel="1"/>
    <col min="12" max="12" width="9.109375" customWidth="1" outlineLevel="1"/>
    <col min="13" max="13" width="8.5546875" customWidth="1" outlineLevel="1"/>
    <col min="14" max="14" width="8.33203125" customWidth="1" outlineLevel="1"/>
    <col min="15" max="15" width="9.33203125" customWidth="1" outlineLevel="1"/>
    <col min="16" max="16" width="8.33203125" customWidth="1" outlineLevel="1"/>
    <col min="17" max="17" width="8.44140625" customWidth="1" outlineLevel="1"/>
    <col min="18" max="18" width="9.44140625" customWidth="1" outlineLevel="1"/>
    <col min="19" max="19" width="13.6640625" customWidth="1"/>
    <col min="20" max="20" width="14.5546875" customWidth="1"/>
    <col min="21" max="21" width="13.33203125" customWidth="1"/>
    <col min="22" max="22" width="12.6640625" customWidth="1"/>
    <col min="23" max="23" width="12.88671875" customWidth="1"/>
    <col min="24" max="24" width="13.6640625" customWidth="1"/>
    <col min="25" max="25" width="15.5546875" customWidth="1"/>
    <col min="26" max="26" width="1.44140625" customWidth="1"/>
    <col min="27" max="27" width="8.88671875" customWidth="1"/>
    <col min="28" max="28" width="0.109375" customWidth="1"/>
    <col min="29" max="29" width="5.88671875" customWidth="1"/>
    <col min="30" max="30" width="6.5546875" customWidth="1"/>
    <col min="31" max="31" width="7.33203125" customWidth="1"/>
    <col min="32" max="32" width="6.33203125" customWidth="1"/>
    <col min="33" max="33" width="6.44140625" customWidth="1"/>
    <col min="34" max="34" width="7.5546875" customWidth="1"/>
    <col min="35" max="35" width="6.5546875" customWidth="1"/>
    <col min="36" max="36" width="6.88671875" customWidth="1"/>
    <col min="37" max="37" width="7.44140625" customWidth="1"/>
  </cols>
  <sheetData>
    <row r="1" spans="1:49" ht="6.75" customHeight="1" x14ac:dyDescent="0.3"/>
    <row r="2" spans="1:49" x14ac:dyDescent="0.3">
      <c r="AC2" s="318" t="s">
        <v>599</v>
      </c>
      <c r="AD2" s="319"/>
      <c r="AE2" s="319"/>
      <c r="AF2" s="319"/>
      <c r="AG2" s="319"/>
      <c r="AH2" s="319"/>
      <c r="AI2" s="319"/>
      <c r="AJ2" s="319"/>
      <c r="AK2" s="320"/>
    </row>
    <row r="3" spans="1:49" ht="15.6" x14ac:dyDescent="0.3">
      <c r="B3" s="56" t="s">
        <v>200</v>
      </c>
      <c r="C3" s="13"/>
      <c r="S3" s="56" t="s">
        <v>207</v>
      </c>
      <c r="AA3" s="224">
        <f>100*AE3/180</f>
        <v>0.88888888888888884</v>
      </c>
      <c r="AC3" s="321" t="s">
        <v>598</v>
      </c>
      <c r="AD3" s="321"/>
      <c r="AE3" s="228">
        <v>1.6</v>
      </c>
      <c r="AF3" s="118"/>
      <c r="AG3" s="316" t="s">
        <v>596</v>
      </c>
      <c r="AH3" s="317"/>
      <c r="AI3" s="225">
        <v>337.9</v>
      </c>
      <c r="AJ3" s="226" t="s">
        <v>597</v>
      </c>
      <c r="AK3" s="227"/>
    </row>
    <row r="4" spans="1:49" s="2" customFormat="1" ht="30" customHeight="1" x14ac:dyDescent="0.3">
      <c r="B4" s="2" t="s">
        <v>201</v>
      </c>
      <c r="C4" s="223" t="s">
        <v>223</v>
      </c>
      <c r="D4" s="223" t="s">
        <v>202</v>
      </c>
      <c r="E4" s="223" t="s">
        <v>582</v>
      </c>
      <c r="F4" s="2" t="s">
        <v>203</v>
      </c>
      <c r="G4" s="2" t="s">
        <v>204</v>
      </c>
      <c r="H4" s="2" t="s">
        <v>205</v>
      </c>
      <c r="I4" s="2" t="s">
        <v>206</v>
      </c>
      <c r="J4" s="2" t="s">
        <v>583</v>
      </c>
      <c r="K4" s="2" t="s">
        <v>584</v>
      </c>
      <c r="L4" s="2" t="s">
        <v>585</v>
      </c>
      <c r="M4" s="2" t="s">
        <v>556</v>
      </c>
      <c r="N4" s="2" t="s">
        <v>561</v>
      </c>
      <c r="O4" s="2" t="s">
        <v>557</v>
      </c>
      <c r="P4" s="2" t="s">
        <v>560</v>
      </c>
      <c r="Q4" s="2" t="s">
        <v>559</v>
      </c>
      <c r="R4" s="2" t="s">
        <v>558</v>
      </c>
      <c r="S4" s="2" t="s">
        <v>208</v>
      </c>
      <c r="T4" s="2" t="s">
        <v>209</v>
      </c>
      <c r="U4" s="2" t="s">
        <v>210</v>
      </c>
      <c r="V4" s="2" t="s">
        <v>42</v>
      </c>
      <c r="W4" s="2" t="s">
        <v>222</v>
      </c>
      <c r="X4" s="2" t="s">
        <v>43</v>
      </c>
      <c r="Y4" s="2" t="s">
        <v>225</v>
      </c>
      <c r="AA4" s="2" t="s">
        <v>586</v>
      </c>
      <c r="AC4" s="216" t="s">
        <v>593</v>
      </c>
      <c r="AD4" s="216" t="s">
        <v>594</v>
      </c>
      <c r="AE4" s="216" t="s">
        <v>595</v>
      </c>
      <c r="AF4" s="216" t="s">
        <v>587</v>
      </c>
      <c r="AG4" s="216" t="s">
        <v>588</v>
      </c>
      <c r="AH4" s="216" t="s">
        <v>589</v>
      </c>
      <c r="AI4" s="216" t="s">
        <v>590</v>
      </c>
      <c r="AJ4" s="216" t="s">
        <v>591</v>
      </c>
      <c r="AK4" s="216" t="s">
        <v>592</v>
      </c>
    </row>
    <row r="5" spans="1:49" x14ac:dyDescent="0.3">
      <c r="B5" t="s">
        <v>563</v>
      </c>
      <c r="C5">
        <v>2</v>
      </c>
      <c r="D5">
        <v>0.75</v>
      </c>
      <c r="F5">
        <v>2.6</v>
      </c>
      <c r="G5">
        <v>250</v>
      </c>
      <c r="H5">
        <v>300</v>
      </c>
      <c r="I5">
        <v>8</v>
      </c>
      <c r="M5">
        <v>215</v>
      </c>
      <c r="N5">
        <v>300</v>
      </c>
      <c r="O5">
        <v>300</v>
      </c>
      <c r="P5">
        <v>162</v>
      </c>
      <c r="Q5">
        <v>292</v>
      </c>
      <c r="R5">
        <v>300</v>
      </c>
      <c r="X5" s="53"/>
      <c r="Y5" s="53"/>
      <c r="AA5" s="1">
        <f>KEBDriveData3[[#This Row],[IOL '[%']]]/KEBDriveData3[[#This Row],[Imax '[%']]]</f>
        <v>0.83333333333333337</v>
      </c>
      <c r="AB5" s="1"/>
      <c r="AC5" s="217"/>
      <c r="AD5" s="3"/>
      <c r="AE5" s="220"/>
      <c r="AF5" s="3">
        <f>KEBDriveData3[[#This Row],[Inom '[A']]]*KEBDriveData3[[#This Row],[Imax0Hz_4kHz]]/100*$AA$3</f>
        <v>4.9688888888888885</v>
      </c>
      <c r="AG5" s="3">
        <f>KEBDriveData3[[#This Row],[Inom '[A']]]*KEBDriveData3[[#This Row],[Imax6Hz_4kHz]]/100*$AA$3</f>
        <v>6.9333333333333327</v>
      </c>
      <c r="AH5" s="3">
        <f>KEBDriveData3[[#This Row],[Inom '[A']]]*KEBDriveData3[[#This Row],[Imax50Hz_4kHz]]/100*$AA$3</f>
        <v>6.9333333333333327</v>
      </c>
      <c r="AI5" s="217">
        <f>KEBDriveData3[[#This Row],[Inom '[A']]]*KEBDriveData3[[#This Row],[Imax0Hz_8kHz]]/100*$AA$3</f>
        <v>3.7439999999999998</v>
      </c>
      <c r="AJ5" s="3">
        <f>KEBDriveData3[[#This Row],[Inom '[A']]]*KEBDriveData3[[#This Row],[Imax6Hz_8kHz]]/100*$AA$3</f>
        <v>6.7484444444444449</v>
      </c>
      <c r="AK5" s="220">
        <f>KEBDriveData3[[#This Row],[Inom '[A']]]*KEBDriveData3[[#This Row],[Imax50Hz_8kHz]]/100*$AA$3</f>
        <v>6.9333333333333327</v>
      </c>
    </row>
    <row r="6" spans="1:49" x14ac:dyDescent="0.3">
      <c r="B6" t="s">
        <v>564</v>
      </c>
      <c r="C6">
        <v>2</v>
      </c>
      <c r="D6">
        <v>1.5</v>
      </c>
      <c r="F6">
        <v>4.0999999999999996</v>
      </c>
      <c r="G6">
        <v>250</v>
      </c>
      <c r="H6">
        <v>300</v>
      </c>
      <c r="I6">
        <v>8</v>
      </c>
      <c r="M6">
        <v>193</v>
      </c>
      <c r="N6">
        <v>300</v>
      </c>
      <c r="O6">
        <v>300</v>
      </c>
      <c r="P6">
        <v>132</v>
      </c>
      <c r="Q6">
        <v>234</v>
      </c>
      <c r="R6">
        <v>300</v>
      </c>
      <c r="X6" s="53"/>
      <c r="Y6" s="53"/>
      <c r="AA6" s="1">
        <f>KEBDriveData3[[#This Row],[IOL '[%']]]/KEBDriveData3[[#This Row],[Imax '[%']]]</f>
        <v>0.83333333333333337</v>
      </c>
      <c r="AB6" s="1"/>
      <c r="AC6" s="217"/>
      <c r="AD6" s="3"/>
      <c r="AE6" s="220"/>
      <c r="AF6" s="3">
        <f>KEBDriveData3[[#This Row],[Inom '[A']]]*KEBDriveData3[[#This Row],[Imax0Hz_4kHz]]/100*$AA$3</f>
        <v>7.033777777777777</v>
      </c>
      <c r="AG6" s="3">
        <f>KEBDriveData3[[#This Row],[Inom '[A']]]*KEBDriveData3[[#This Row],[Imax6Hz_4kHz]]/100*$AA$3</f>
        <v>10.933333333333334</v>
      </c>
      <c r="AH6" s="3">
        <f>KEBDriveData3[[#This Row],[Inom '[A']]]*KEBDriveData3[[#This Row],[Imax50Hz_4kHz]]/100*$AA$3</f>
        <v>10.933333333333334</v>
      </c>
      <c r="AI6" s="217">
        <f>KEBDriveData3[[#This Row],[Inom '[A']]]*KEBDriveData3[[#This Row],[Imax0Hz_8kHz]]/100*$AA$3</f>
        <v>4.8106666666666653</v>
      </c>
      <c r="AJ6" s="3">
        <f>KEBDriveData3[[#This Row],[Inom '[A']]]*KEBDriveData3[[#This Row],[Imax6Hz_8kHz]]/100*$AA$3</f>
        <v>8.5279999999999987</v>
      </c>
      <c r="AK6" s="220">
        <f>KEBDriveData3[[#This Row],[Inom '[A']]]*KEBDriveData3[[#This Row],[Imax50Hz_8kHz]]/100*$AA$3</f>
        <v>10.933333333333334</v>
      </c>
    </row>
    <row r="7" spans="1:49" s="211" customFormat="1" x14ac:dyDescent="0.3">
      <c r="A7"/>
      <c r="B7" s="211" t="s">
        <v>565</v>
      </c>
      <c r="C7" s="211">
        <v>2</v>
      </c>
      <c r="D7" s="211">
        <v>2.2000000000000002</v>
      </c>
      <c r="F7" s="211">
        <v>5.8</v>
      </c>
      <c r="G7" s="211">
        <v>250</v>
      </c>
      <c r="H7" s="211">
        <v>300</v>
      </c>
      <c r="I7" s="211">
        <v>8</v>
      </c>
      <c r="M7" s="211">
        <v>155</v>
      </c>
      <c r="N7" s="211">
        <v>284</v>
      </c>
      <c r="O7" s="211">
        <v>300</v>
      </c>
      <c r="P7" s="211">
        <v>103</v>
      </c>
      <c r="Q7" s="211">
        <v>207</v>
      </c>
      <c r="R7" s="211">
        <v>276</v>
      </c>
      <c r="X7" s="212"/>
      <c r="Y7" s="212"/>
      <c r="AA7" s="214">
        <f>KEBDriveData3[[#This Row],[IOL '[%']]]/KEBDriveData3[[#This Row],[Imax '[%']]]</f>
        <v>0.83333333333333337</v>
      </c>
      <c r="AB7" s="214"/>
      <c r="AC7" s="218"/>
      <c r="AD7" s="213"/>
      <c r="AE7" s="221"/>
      <c r="AF7" s="213">
        <f>KEBDriveData3[[#This Row],[Inom '[A']]]*KEBDriveData3[[#This Row],[Imax0Hz_4kHz]]/100*$AA$3</f>
        <v>7.9911111111111106</v>
      </c>
      <c r="AG7" s="213">
        <f>KEBDriveData3[[#This Row],[Inom '[A']]]*KEBDriveData3[[#This Row],[Imax6Hz_4kHz]]/100*$AA$3</f>
        <v>14.641777777777778</v>
      </c>
      <c r="AH7" s="213">
        <f>KEBDriveData3[[#This Row],[Inom '[A']]]*KEBDriveData3[[#This Row],[Imax50Hz_4kHz]]/100*$AA$3</f>
        <v>15.466666666666665</v>
      </c>
      <c r="AI7" s="218">
        <f>KEBDriveData3[[#This Row],[Inom '[A']]]*KEBDriveData3[[#This Row],[Imax0Hz_8kHz]]/100*$AA$3</f>
        <v>5.3102222222222224</v>
      </c>
      <c r="AJ7" s="213">
        <f>KEBDriveData3[[#This Row],[Inom '[A']]]*KEBDriveData3[[#This Row],[Imax6Hz_8kHz]]/100*$AA$3</f>
        <v>10.671999999999999</v>
      </c>
      <c r="AK7" s="221">
        <f>KEBDriveData3[[#This Row],[Inom '[A']]]*KEBDriveData3[[#This Row],[Imax50Hz_8kHz]]/100*$AA$3</f>
        <v>14.229333333333331</v>
      </c>
      <c r="AL7"/>
      <c r="AM7"/>
      <c r="AN7"/>
      <c r="AO7"/>
      <c r="AP7"/>
      <c r="AQ7"/>
      <c r="AR7"/>
      <c r="AS7"/>
      <c r="AT7"/>
      <c r="AU7"/>
      <c r="AV7"/>
      <c r="AW7"/>
    </row>
    <row r="8" spans="1:49" x14ac:dyDescent="0.3">
      <c r="B8" t="s">
        <v>566</v>
      </c>
      <c r="C8">
        <v>4</v>
      </c>
      <c r="D8">
        <v>4</v>
      </c>
      <c r="F8">
        <v>9.5</v>
      </c>
      <c r="G8">
        <v>250</v>
      </c>
      <c r="H8">
        <v>300</v>
      </c>
      <c r="I8">
        <v>8</v>
      </c>
      <c r="M8">
        <v>273</v>
      </c>
      <c r="N8">
        <v>300</v>
      </c>
      <c r="O8">
        <v>300</v>
      </c>
      <c r="P8">
        <v>189</v>
      </c>
      <c r="Q8">
        <v>294</v>
      </c>
      <c r="R8">
        <v>300</v>
      </c>
      <c r="X8" s="53"/>
      <c r="Y8" s="53"/>
      <c r="AA8" s="1">
        <f>KEBDriveData3[[#This Row],[IOL '[%']]]/KEBDriveData3[[#This Row],[Imax '[%']]]</f>
        <v>0.83333333333333337</v>
      </c>
      <c r="AB8" s="1"/>
      <c r="AC8" s="217"/>
      <c r="AD8" s="3"/>
      <c r="AE8" s="220"/>
      <c r="AF8" s="3">
        <f>KEBDriveData3[[#This Row],[Inom '[A']]]*KEBDriveData3[[#This Row],[Imax0Hz_4kHz]]/100*$AA$3</f>
        <v>23.053333333333331</v>
      </c>
      <c r="AG8" s="3">
        <f>KEBDriveData3[[#This Row],[Inom '[A']]]*KEBDriveData3[[#This Row],[Imax6Hz_4kHz]]/100*$AA$3</f>
        <v>25.333333333333332</v>
      </c>
      <c r="AH8" s="3">
        <f>KEBDriveData3[[#This Row],[Inom '[A']]]*KEBDriveData3[[#This Row],[Imax50Hz_4kHz]]/100*$AA$3</f>
        <v>25.333333333333332</v>
      </c>
      <c r="AI8" s="217">
        <f>KEBDriveData3[[#This Row],[Inom '[A']]]*KEBDriveData3[[#This Row],[Imax0Hz_8kHz]]/100*$AA$3</f>
        <v>15.959999999999997</v>
      </c>
      <c r="AJ8" s="3">
        <f>KEBDriveData3[[#This Row],[Inom '[A']]]*KEBDriveData3[[#This Row],[Imax6Hz_8kHz]]/100*$AA$3</f>
        <v>24.826666666666664</v>
      </c>
      <c r="AK8" s="220">
        <f>KEBDriveData3[[#This Row],[Inom '[A']]]*KEBDriveData3[[#This Row],[Imax50Hz_8kHz]]/100*$AA$3</f>
        <v>25.333333333333332</v>
      </c>
    </row>
    <row r="9" spans="1:49" x14ac:dyDescent="0.3">
      <c r="B9" t="s">
        <v>567</v>
      </c>
      <c r="C9">
        <v>4</v>
      </c>
      <c r="D9">
        <v>5.5</v>
      </c>
      <c r="F9">
        <v>12.5</v>
      </c>
      <c r="G9">
        <v>250</v>
      </c>
      <c r="H9">
        <v>300</v>
      </c>
      <c r="I9">
        <v>8</v>
      </c>
      <c r="M9">
        <v>283</v>
      </c>
      <c r="N9">
        <v>300</v>
      </c>
      <c r="O9">
        <v>300</v>
      </c>
      <c r="P9">
        <v>183</v>
      </c>
      <c r="Q9">
        <v>283</v>
      </c>
      <c r="R9">
        <v>300</v>
      </c>
      <c r="X9" s="53"/>
      <c r="Y9" s="53"/>
      <c r="AA9" s="1">
        <f>KEBDriveData3[[#This Row],[IOL '[%']]]/KEBDriveData3[[#This Row],[Imax '[%']]]</f>
        <v>0.83333333333333337</v>
      </c>
      <c r="AB9" s="1"/>
      <c r="AC9" s="217"/>
      <c r="AD9" s="3"/>
      <c r="AE9" s="220"/>
      <c r="AF9" s="3">
        <f>KEBDriveData3[[#This Row],[Inom '[A']]]*KEBDriveData3[[#This Row],[Imax0Hz_4kHz]]/100*$AA$3</f>
        <v>31.444444444444443</v>
      </c>
      <c r="AG9" s="3">
        <f>KEBDriveData3[[#This Row],[Inom '[A']]]*KEBDriveData3[[#This Row],[Imax6Hz_4kHz]]/100*$AA$3</f>
        <v>33.333333333333329</v>
      </c>
      <c r="AH9" s="3">
        <f>KEBDriveData3[[#This Row],[Inom '[A']]]*KEBDriveData3[[#This Row],[Imax50Hz_4kHz]]/100*$AA$3</f>
        <v>33.333333333333329</v>
      </c>
      <c r="AI9" s="217">
        <f>KEBDriveData3[[#This Row],[Inom '[A']]]*KEBDriveData3[[#This Row],[Imax0Hz_8kHz]]/100*$AA$3</f>
        <v>20.333333333333332</v>
      </c>
      <c r="AJ9" s="3">
        <f>KEBDriveData3[[#This Row],[Inom '[A']]]*KEBDriveData3[[#This Row],[Imax6Hz_8kHz]]/100*$AA$3</f>
        <v>31.444444444444443</v>
      </c>
      <c r="AK9" s="220">
        <f>KEBDriveData3[[#This Row],[Inom '[A']]]*KEBDriveData3[[#This Row],[Imax50Hz_8kHz]]/100*$AA$3</f>
        <v>33.333333333333329</v>
      </c>
    </row>
    <row r="10" spans="1:49" s="208" customFormat="1" ht="15" thickBot="1" x14ac:dyDescent="0.35">
      <c r="A10"/>
      <c r="B10" s="208" t="s">
        <v>568</v>
      </c>
      <c r="C10" s="208">
        <v>4</v>
      </c>
      <c r="D10" s="208">
        <v>7.5</v>
      </c>
      <c r="F10" s="208">
        <v>16.5</v>
      </c>
      <c r="G10" s="208">
        <v>180</v>
      </c>
      <c r="H10" s="208">
        <v>216</v>
      </c>
      <c r="I10" s="208">
        <v>4</v>
      </c>
      <c r="M10" s="208">
        <v>170</v>
      </c>
      <c r="N10" s="208">
        <v>216</v>
      </c>
      <c r="O10" s="208">
        <v>216</v>
      </c>
      <c r="P10" s="208">
        <v>109</v>
      </c>
      <c r="Q10" s="208">
        <v>206</v>
      </c>
      <c r="R10" s="208">
        <v>216</v>
      </c>
      <c r="X10" s="209"/>
      <c r="Y10" s="209"/>
      <c r="AA10" s="215">
        <f>KEBDriveData3[[#This Row],[IOL '[%']]]/KEBDriveData3[[#This Row],[Imax '[%']]]</f>
        <v>0.83333333333333337</v>
      </c>
      <c r="AB10" s="215"/>
      <c r="AC10" s="219"/>
      <c r="AD10" s="210"/>
      <c r="AE10" s="222"/>
      <c r="AF10" s="210">
        <f>KEBDriveData3[[#This Row],[Inom '[A']]]*KEBDriveData3[[#This Row],[Imax0Hz_4kHz]]/100*$AA$3</f>
        <v>24.933333333333334</v>
      </c>
      <c r="AG10" s="210">
        <f>KEBDriveData3[[#This Row],[Inom '[A']]]*KEBDriveData3[[#This Row],[Imax6Hz_4kHz]]/100*$AA$3</f>
        <v>31.68</v>
      </c>
      <c r="AH10" s="210">
        <f>KEBDriveData3[[#This Row],[Inom '[A']]]*KEBDriveData3[[#This Row],[Imax50Hz_4kHz]]/100*$AA$3</f>
        <v>31.68</v>
      </c>
      <c r="AI10" s="219">
        <f>KEBDriveData3[[#This Row],[Inom '[A']]]*KEBDriveData3[[#This Row],[Imax0Hz_8kHz]]/100*$AA$3</f>
        <v>15.986666666666665</v>
      </c>
      <c r="AJ10" s="210">
        <f>KEBDriveData3[[#This Row],[Inom '[A']]]*KEBDriveData3[[#This Row],[Imax6Hz_8kHz]]/100*$AA$3</f>
        <v>30.213333333333335</v>
      </c>
      <c r="AK10" s="222">
        <f>KEBDriveData3[[#This Row],[Inom '[A']]]*KEBDriveData3[[#This Row],[Imax50Hz_8kHz]]/100*$AA$3</f>
        <v>31.68</v>
      </c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x14ac:dyDescent="0.3">
      <c r="B11" t="s">
        <v>562</v>
      </c>
      <c r="C11">
        <v>2</v>
      </c>
      <c r="D11">
        <v>11</v>
      </c>
      <c r="E11">
        <v>16.600000000000001</v>
      </c>
      <c r="F11">
        <v>24</v>
      </c>
      <c r="G11">
        <v>150</v>
      </c>
      <c r="H11">
        <v>180</v>
      </c>
      <c r="I11">
        <v>4</v>
      </c>
      <c r="J11">
        <v>108</v>
      </c>
      <c r="K11">
        <v>180</v>
      </c>
      <c r="L11">
        <v>180</v>
      </c>
      <c r="M11">
        <v>100</v>
      </c>
      <c r="N11">
        <v>180</v>
      </c>
      <c r="O11">
        <v>180</v>
      </c>
      <c r="P11">
        <v>50</v>
      </c>
      <c r="Q11">
        <v>108</v>
      </c>
      <c r="R11">
        <v>129</v>
      </c>
      <c r="X11" s="53"/>
      <c r="Y11" s="53"/>
      <c r="AA11" s="1">
        <f>KEBDriveData3[[#This Row],[IOL '[%']]]/KEBDriveData3[[#This Row],[Imax '[%']]]</f>
        <v>0.83333333333333337</v>
      </c>
      <c r="AB11" s="1"/>
      <c r="AC11" s="217">
        <f>KEBDriveData3[[#This Row],[Inom '[A']]]*KEBDriveData3[[#This Row],[Imax0Hz_2kHz]]/100*$AA$3</f>
        <v>23.04</v>
      </c>
      <c r="AD11" s="3">
        <f>KEBDriveData3[[#This Row],[Inom '[A']]]*KEBDriveData3[[#This Row],[Imax6Hz_2kHz]]/100*$AA$3</f>
        <v>38.4</v>
      </c>
      <c r="AE11" s="220">
        <f>KEBDriveData3[[#This Row],[Inom '[A']]]*KEBDriveData3[[#This Row],[Imax50Hz_2kHz]]/100*$AA$3</f>
        <v>38.4</v>
      </c>
      <c r="AF11" s="3">
        <f>KEBDriveData3[[#This Row],[Inom '[A']]]*KEBDriveData3[[#This Row],[Imax0Hz_4kHz]]/100*$AA$3</f>
        <v>21.333333333333332</v>
      </c>
      <c r="AG11" s="3">
        <f>KEBDriveData3[[#This Row],[Inom '[A']]]*KEBDriveData3[[#This Row],[Imax6Hz_4kHz]]/100*$AA$3</f>
        <v>38.4</v>
      </c>
      <c r="AH11" s="3">
        <f>KEBDriveData3[[#This Row],[Inom '[A']]]*KEBDriveData3[[#This Row],[Imax50Hz_4kHz]]/100*$AA$3</f>
        <v>38.4</v>
      </c>
      <c r="AI11" s="217">
        <f>KEBDriveData3[[#This Row],[Inom '[A']]]*KEBDriveData3[[#This Row],[Imax0Hz_8kHz]]/100*$AA$3</f>
        <v>10.666666666666666</v>
      </c>
      <c r="AJ11" s="3">
        <f>KEBDriveData3[[#This Row],[Inom '[A']]]*KEBDriveData3[[#This Row],[Imax6Hz_8kHz]]/100*$AA$3</f>
        <v>23.04</v>
      </c>
      <c r="AK11" s="220">
        <f>KEBDriveData3[[#This Row],[Inom '[A']]]*KEBDriveData3[[#This Row],[Imax50Hz_8kHz]]/100*$AA$3</f>
        <v>27.52</v>
      </c>
    </row>
    <row r="12" spans="1:49" s="211" customFormat="1" x14ac:dyDescent="0.3">
      <c r="A12"/>
      <c r="B12" s="211" t="s">
        <v>569</v>
      </c>
      <c r="C12" s="211">
        <v>2</v>
      </c>
      <c r="D12" s="211">
        <v>15</v>
      </c>
      <c r="E12" s="211">
        <v>22.9</v>
      </c>
      <c r="F12" s="211">
        <v>33</v>
      </c>
      <c r="G12" s="211">
        <v>150</v>
      </c>
      <c r="H12" s="211">
        <v>180</v>
      </c>
      <c r="I12" s="211">
        <v>4</v>
      </c>
      <c r="J12" s="211">
        <v>127</v>
      </c>
      <c r="K12" s="211">
        <v>180</v>
      </c>
      <c r="L12" s="211">
        <v>180</v>
      </c>
      <c r="M12" s="211">
        <v>100</v>
      </c>
      <c r="N12" s="211">
        <v>180</v>
      </c>
      <c r="O12" s="211">
        <v>180</v>
      </c>
      <c r="P12" s="211">
        <v>91</v>
      </c>
      <c r="Q12" s="211">
        <v>167</v>
      </c>
      <c r="R12" s="211">
        <v>180</v>
      </c>
      <c r="X12" s="212"/>
      <c r="Y12" s="212"/>
      <c r="AA12" s="214">
        <f>KEBDriveData3[[#This Row],[IOL '[%']]]/KEBDriveData3[[#This Row],[Imax '[%']]]</f>
        <v>0.83333333333333337</v>
      </c>
      <c r="AB12" s="214"/>
      <c r="AC12" s="218">
        <f>KEBDriveData3[[#This Row],[Inom '[A']]]*KEBDriveData3[[#This Row],[Imax0Hz_2kHz]]/100*$AA$3</f>
        <v>37.25333333333333</v>
      </c>
      <c r="AD12" s="213">
        <f>KEBDriveData3[[#This Row],[Inom '[A']]]*KEBDriveData3[[#This Row],[Imax6Hz_2kHz]]/100*$AA$3</f>
        <v>52.8</v>
      </c>
      <c r="AE12" s="221">
        <f>KEBDriveData3[[#This Row],[Inom '[A']]]*KEBDriveData3[[#This Row],[Imax50Hz_2kHz]]/100*$AA$3</f>
        <v>52.8</v>
      </c>
      <c r="AF12" s="213">
        <f>KEBDriveData3[[#This Row],[Inom '[A']]]*KEBDriveData3[[#This Row],[Imax0Hz_4kHz]]/100*$AA$3</f>
        <v>29.333333333333332</v>
      </c>
      <c r="AG12" s="213">
        <f>KEBDriveData3[[#This Row],[Inom '[A']]]*KEBDriveData3[[#This Row],[Imax6Hz_4kHz]]/100*$AA$3</f>
        <v>52.8</v>
      </c>
      <c r="AH12" s="213">
        <f>KEBDriveData3[[#This Row],[Inom '[A']]]*KEBDriveData3[[#This Row],[Imax50Hz_4kHz]]/100*$AA$3</f>
        <v>52.8</v>
      </c>
      <c r="AI12" s="218">
        <f>KEBDriveData3[[#This Row],[Inom '[A']]]*KEBDriveData3[[#This Row],[Imax0Hz_8kHz]]/100*$AA$3</f>
        <v>26.693333333333332</v>
      </c>
      <c r="AJ12" s="213">
        <f>KEBDriveData3[[#This Row],[Inom '[A']]]*KEBDriveData3[[#This Row],[Imax6Hz_8kHz]]/100*$AA$3</f>
        <v>48.986666666666665</v>
      </c>
      <c r="AK12" s="221">
        <f>KEBDriveData3[[#This Row],[Inom '[A']]]*KEBDriveData3[[#This Row],[Imax50Hz_8kHz]]/100*$AA$3</f>
        <v>52.8</v>
      </c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5.75" customHeight="1" x14ac:dyDescent="0.3">
      <c r="B13" t="s">
        <v>570</v>
      </c>
      <c r="C13">
        <v>3</v>
      </c>
      <c r="D13">
        <v>18.5</v>
      </c>
      <c r="E13">
        <v>29</v>
      </c>
      <c r="F13">
        <v>42</v>
      </c>
      <c r="G13">
        <v>150</v>
      </c>
      <c r="H13">
        <v>180</v>
      </c>
      <c r="I13">
        <v>2</v>
      </c>
      <c r="J13">
        <v>143</v>
      </c>
      <c r="K13">
        <v>180</v>
      </c>
      <c r="L13">
        <v>180</v>
      </c>
      <c r="M13">
        <v>93</v>
      </c>
      <c r="N13">
        <v>167</v>
      </c>
      <c r="O13">
        <v>180</v>
      </c>
      <c r="P13">
        <v>36</v>
      </c>
      <c r="Q13">
        <v>91</v>
      </c>
      <c r="R13">
        <v>153</v>
      </c>
      <c r="X13" s="53"/>
      <c r="Y13" s="53"/>
      <c r="AA13" s="1">
        <f>KEBDriveData3[[#This Row],[IOL '[%']]]/KEBDriveData3[[#This Row],[Imax '[%']]]</f>
        <v>0.83333333333333337</v>
      </c>
      <c r="AB13" s="1"/>
      <c r="AC13" s="217">
        <f>KEBDriveData3[[#This Row],[Inom '[A']]]*KEBDriveData3[[#This Row],[Imax0Hz_2kHz]]/100*$AA$3</f>
        <v>53.386666666666663</v>
      </c>
      <c r="AD13" s="3">
        <f>KEBDriveData3[[#This Row],[Inom '[A']]]*KEBDriveData3[[#This Row],[Imax6Hz_2kHz]]/100*$AA$3</f>
        <v>67.199999999999989</v>
      </c>
      <c r="AE13" s="220">
        <f>KEBDriveData3[[#This Row],[Inom '[A']]]*KEBDriveData3[[#This Row],[Imax50Hz_2kHz]]/100*$AA$3</f>
        <v>67.199999999999989</v>
      </c>
      <c r="AF13" s="3">
        <f>KEBDriveData3[[#This Row],[Inom '[A']]]*KEBDriveData3[[#This Row],[Imax0Hz_4kHz]]/100*$AA$3</f>
        <v>34.72</v>
      </c>
      <c r="AG13" s="3">
        <f>KEBDriveData3[[#This Row],[Inom '[A']]]*KEBDriveData3[[#This Row],[Imax6Hz_4kHz]]/100*$AA$3</f>
        <v>62.346666666666664</v>
      </c>
      <c r="AH13" s="3">
        <f>KEBDriveData3[[#This Row],[Inom '[A']]]*KEBDriveData3[[#This Row],[Imax50Hz_4kHz]]/100*$AA$3</f>
        <v>67.199999999999989</v>
      </c>
      <c r="AI13" s="217">
        <f>KEBDriveData3[[#This Row],[Inom '[A']]]*KEBDriveData3[[#This Row],[Imax0Hz_8kHz]]/100*$AA$3</f>
        <v>13.439999999999998</v>
      </c>
      <c r="AJ13" s="3">
        <f>KEBDriveData3[[#This Row],[Inom '[A']]]*KEBDriveData3[[#This Row],[Imax6Hz_8kHz]]/100*$AA$3</f>
        <v>33.973333333333329</v>
      </c>
      <c r="AK13" s="220">
        <f>KEBDriveData3[[#This Row],[Inom '[A']]]*KEBDriveData3[[#This Row],[Imax50Hz_8kHz]]/100*$AA$3</f>
        <v>57.120000000000005</v>
      </c>
    </row>
    <row r="14" spans="1:49" x14ac:dyDescent="0.3">
      <c r="B14" t="s">
        <v>571</v>
      </c>
      <c r="C14">
        <v>3</v>
      </c>
      <c r="D14">
        <v>22</v>
      </c>
      <c r="E14">
        <v>35</v>
      </c>
      <c r="F14">
        <v>50</v>
      </c>
      <c r="G14">
        <v>150</v>
      </c>
      <c r="H14">
        <v>180</v>
      </c>
      <c r="I14">
        <v>2</v>
      </c>
      <c r="J14">
        <v>120</v>
      </c>
      <c r="K14">
        <v>180</v>
      </c>
      <c r="L14">
        <v>180</v>
      </c>
      <c r="M14">
        <v>78</v>
      </c>
      <c r="N14">
        <v>140</v>
      </c>
      <c r="O14">
        <v>180</v>
      </c>
      <c r="P14">
        <v>30</v>
      </c>
      <c r="Q14">
        <v>76</v>
      </c>
      <c r="R14">
        <v>128</v>
      </c>
      <c r="X14" s="53"/>
      <c r="Y14" s="53"/>
      <c r="AA14" s="1">
        <f>KEBDriveData3[[#This Row],[IOL '[%']]]/KEBDriveData3[[#This Row],[Imax '[%']]]</f>
        <v>0.83333333333333337</v>
      </c>
      <c r="AB14" s="1"/>
      <c r="AC14" s="217">
        <f>KEBDriveData3[[#This Row],[Inom '[A']]]*KEBDriveData3[[#This Row],[Imax0Hz_2kHz]]/100*$AA$3</f>
        <v>53.333333333333329</v>
      </c>
      <c r="AD14" s="3">
        <f>KEBDriveData3[[#This Row],[Inom '[A']]]*KEBDriveData3[[#This Row],[Imax6Hz_2kHz]]/100*$AA$3</f>
        <v>80</v>
      </c>
      <c r="AE14" s="220">
        <f>KEBDriveData3[[#This Row],[Inom '[A']]]*KEBDriveData3[[#This Row],[Imax50Hz_2kHz]]/100*$AA$3</f>
        <v>80</v>
      </c>
      <c r="AF14" s="3">
        <f>KEBDriveData3[[#This Row],[Inom '[A']]]*KEBDriveData3[[#This Row],[Imax0Hz_4kHz]]/100*$AA$3</f>
        <v>34.666666666666664</v>
      </c>
      <c r="AG14" s="3">
        <f>KEBDriveData3[[#This Row],[Inom '[A']]]*KEBDriveData3[[#This Row],[Imax6Hz_4kHz]]/100*$AA$3</f>
        <v>62.222222222222221</v>
      </c>
      <c r="AH14" s="3">
        <f>KEBDriveData3[[#This Row],[Inom '[A']]]*KEBDriveData3[[#This Row],[Imax50Hz_4kHz]]/100*$AA$3</f>
        <v>80</v>
      </c>
      <c r="AI14" s="217">
        <f>KEBDriveData3[[#This Row],[Inom '[A']]]*KEBDriveData3[[#This Row],[Imax0Hz_8kHz]]/100*$AA$3</f>
        <v>13.333333333333332</v>
      </c>
      <c r="AJ14" s="3">
        <f>KEBDriveData3[[#This Row],[Inom '[A']]]*KEBDriveData3[[#This Row],[Imax6Hz_8kHz]]/100*$AA$3</f>
        <v>33.777777777777779</v>
      </c>
      <c r="AK14" s="220">
        <f>KEBDriveData3[[#This Row],[Inom '[A']]]*KEBDriveData3[[#This Row],[Imax50Hz_8kHz]]/100*$AA$3</f>
        <v>56.888888888888886</v>
      </c>
    </row>
    <row r="15" spans="1:49" x14ac:dyDescent="0.3">
      <c r="B15" t="s">
        <v>573</v>
      </c>
      <c r="C15">
        <v>3</v>
      </c>
      <c r="D15">
        <v>30</v>
      </c>
      <c r="E15">
        <v>42</v>
      </c>
      <c r="F15">
        <v>60</v>
      </c>
      <c r="G15">
        <v>150</v>
      </c>
      <c r="H15">
        <v>180</v>
      </c>
      <c r="I15">
        <v>4</v>
      </c>
      <c r="J15">
        <v>134</v>
      </c>
      <c r="K15">
        <v>180</v>
      </c>
      <c r="L15">
        <v>180</v>
      </c>
      <c r="M15">
        <v>100</v>
      </c>
      <c r="N15">
        <v>180</v>
      </c>
      <c r="O15">
        <v>180</v>
      </c>
      <c r="P15">
        <v>50</v>
      </c>
      <c r="Q15">
        <v>100</v>
      </c>
      <c r="R15">
        <v>142</v>
      </c>
      <c r="X15" s="53"/>
      <c r="Y15" s="53"/>
      <c r="AA15" s="1">
        <f>KEBDriveData3[[#This Row],[IOL '[%']]]/KEBDriveData3[[#This Row],[Imax '[%']]]</f>
        <v>0.83333333333333337</v>
      </c>
      <c r="AB15" s="1"/>
      <c r="AC15" s="217">
        <f>KEBDriveData3[[#This Row],[Inom '[A']]]*KEBDriveData3[[#This Row],[Imax0Hz_2kHz]]/100*$AA$3</f>
        <v>71.466666666666669</v>
      </c>
      <c r="AD15" s="3">
        <f>KEBDriveData3[[#This Row],[Inom '[A']]]*KEBDriveData3[[#This Row],[Imax6Hz_2kHz]]/100*$AA$3</f>
        <v>96</v>
      </c>
      <c r="AE15" s="220">
        <f>KEBDriveData3[[#This Row],[Inom '[A']]]*KEBDriveData3[[#This Row],[Imax50Hz_2kHz]]/100*$AA$3</f>
        <v>96</v>
      </c>
      <c r="AF15" s="3">
        <f>KEBDriveData3[[#This Row],[Inom '[A']]]*KEBDriveData3[[#This Row],[Imax0Hz_4kHz]]/100*$AA$3</f>
        <v>53.333333333333329</v>
      </c>
      <c r="AG15" s="3">
        <f>KEBDriveData3[[#This Row],[Inom '[A']]]*KEBDriveData3[[#This Row],[Imax6Hz_4kHz]]/100*$AA$3</f>
        <v>96</v>
      </c>
      <c r="AH15" s="3">
        <f>KEBDriveData3[[#This Row],[Inom '[A']]]*KEBDriveData3[[#This Row],[Imax50Hz_4kHz]]/100*$AA$3</f>
        <v>96</v>
      </c>
      <c r="AI15" s="217">
        <f>KEBDriveData3[[#This Row],[Inom '[A']]]*KEBDriveData3[[#This Row],[Imax0Hz_8kHz]]/100*$AA$3</f>
        <v>26.666666666666664</v>
      </c>
      <c r="AJ15" s="3">
        <f>KEBDriveData3[[#This Row],[Inom '[A']]]*KEBDriveData3[[#This Row],[Imax6Hz_8kHz]]/100*$AA$3</f>
        <v>53.333333333333329</v>
      </c>
      <c r="AK15" s="220">
        <f>KEBDriveData3[[#This Row],[Inom '[A']]]*KEBDriveData3[[#This Row],[Imax50Hz_8kHz]]/100*$AA$3</f>
        <v>75.733333333333334</v>
      </c>
    </row>
    <row r="16" spans="1:49" s="211" customFormat="1" x14ac:dyDescent="0.3">
      <c r="A16"/>
      <c r="B16" s="211" t="s">
        <v>572</v>
      </c>
      <c r="C16" s="211">
        <v>3</v>
      </c>
      <c r="D16" s="211">
        <v>37</v>
      </c>
      <c r="E16" s="211">
        <v>52</v>
      </c>
      <c r="F16" s="211">
        <v>75</v>
      </c>
      <c r="G16" s="211">
        <v>150</v>
      </c>
      <c r="H16" s="211">
        <v>180</v>
      </c>
      <c r="I16" s="211">
        <v>2</v>
      </c>
      <c r="J16" s="211">
        <v>107</v>
      </c>
      <c r="K16" s="211">
        <v>180</v>
      </c>
      <c r="L16" s="211">
        <v>180</v>
      </c>
      <c r="M16" s="211">
        <v>80</v>
      </c>
      <c r="N16" s="211">
        <v>144</v>
      </c>
      <c r="O16" s="211">
        <v>180</v>
      </c>
      <c r="P16" s="211">
        <v>40</v>
      </c>
      <c r="Q16" s="211">
        <v>80</v>
      </c>
      <c r="R16" s="211">
        <v>114</v>
      </c>
      <c r="X16" s="212"/>
      <c r="Y16" s="212"/>
      <c r="AA16" s="214">
        <f>KEBDriveData3[[#This Row],[IOL '[%']]]/KEBDriveData3[[#This Row],[Imax '[%']]]</f>
        <v>0.83333333333333337</v>
      </c>
      <c r="AB16" s="214"/>
      <c r="AC16" s="218">
        <f>KEBDriveData3[[#This Row],[Inom '[A']]]*KEBDriveData3[[#This Row],[Imax0Hz_2kHz]]/100*$AA$3</f>
        <v>71.333333333333329</v>
      </c>
      <c r="AD16" s="213">
        <f>KEBDriveData3[[#This Row],[Inom '[A']]]*KEBDriveData3[[#This Row],[Imax6Hz_2kHz]]/100*$AA$3</f>
        <v>120</v>
      </c>
      <c r="AE16" s="221">
        <f>KEBDriveData3[[#This Row],[Inom '[A']]]*KEBDriveData3[[#This Row],[Imax50Hz_2kHz]]/100*$AA$3</f>
        <v>120</v>
      </c>
      <c r="AF16" s="213">
        <f>KEBDriveData3[[#This Row],[Inom '[A']]]*KEBDriveData3[[#This Row],[Imax0Hz_4kHz]]/100*$AA$3</f>
        <v>53.333333333333329</v>
      </c>
      <c r="AG16" s="213">
        <f>KEBDriveData3[[#This Row],[Inom '[A']]]*KEBDriveData3[[#This Row],[Imax6Hz_4kHz]]/100*$AA$3</f>
        <v>96</v>
      </c>
      <c r="AH16" s="213">
        <f>KEBDriveData3[[#This Row],[Inom '[A']]]*KEBDriveData3[[#This Row],[Imax50Hz_4kHz]]/100*$AA$3</f>
        <v>120</v>
      </c>
      <c r="AI16" s="218">
        <f>KEBDriveData3[[#This Row],[Inom '[A']]]*KEBDriveData3[[#This Row],[Imax0Hz_8kHz]]/100*$AA$3</f>
        <v>26.666666666666664</v>
      </c>
      <c r="AJ16" s="213">
        <f>KEBDriveData3[[#This Row],[Inom '[A']]]*KEBDriveData3[[#This Row],[Imax6Hz_8kHz]]/100*$AA$3</f>
        <v>53.333333333333329</v>
      </c>
      <c r="AK16" s="221">
        <f>KEBDriveData3[[#This Row],[Inom '[A']]]*KEBDriveData3[[#This Row],[Imax50Hz_8kHz]]/100*$AA$3</f>
        <v>76</v>
      </c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B17" t="s">
        <v>574</v>
      </c>
      <c r="C17">
        <v>4</v>
      </c>
      <c r="D17">
        <v>30</v>
      </c>
      <c r="E17">
        <v>42</v>
      </c>
      <c r="F17">
        <v>60</v>
      </c>
      <c r="G17">
        <v>150</v>
      </c>
      <c r="H17">
        <v>180</v>
      </c>
      <c r="I17">
        <v>4</v>
      </c>
      <c r="J17">
        <v>176</v>
      </c>
      <c r="K17">
        <v>180</v>
      </c>
      <c r="L17">
        <v>180</v>
      </c>
      <c r="M17">
        <v>135</v>
      </c>
      <c r="N17">
        <v>168</v>
      </c>
      <c r="O17">
        <v>180</v>
      </c>
      <c r="P17">
        <v>88</v>
      </c>
      <c r="Q17">
        <v>111</v>
      </c>
      <c r="R17">
        <v>180</v>
      </c>
      <c r="X17" s="53"/>
      <c r="Y17" s="53" t="s">
        <v>243</v>
      </c>
      <c r="AA17" s="1">
        <f>KEBDriveData3[[#This Row],[IOL '[%']]]/KEBDriveData3[[#This Row],[Imax '[%']]]</f>
        <v>0.83333333333333337</v>
      </c>
      <c r="AB17" s="1"/>
      <c r="AC17" s="217">
        <f>KEBDriveData3[[#This Row],[Inom '[A']]]*KEBDriveData3[[#This Row],[Imax0Hz_2kHz]]/100*$AA$3</f>
        <v>93.86666666666666</v>
      </c>
      <c r="AD17" s="3">
        <f>KEBDriveData3[[#This Row],[Inom '[A']]]*KEBDriveData3[[#This Row],[Imax6Hz_2kHz]]/100*$AA$3</f>
        <v>96</v>
      </c>
      <c r="AE17" s="220">
        <f>KEBDriveData3[[#This Row],[Inom '[A']]]*KEBDriveData3[[#This Row],[Imax50Hz_2kHz]]/100*$AA$3</f>
        <v>96</v>
      </c>
      <c r="AF17" s="3">
        <f>KEBDriveData3[[#This Row],[Inom '[A']]]*KEBDriveData3[[#This Row],[Imax0Hz_4kHz]]/100*$AA$3</f>
        <v>72</v>
      </c>
      <c r="AG17" s="3">
        <f>KEBDriveData3[[#This Row],[Inom '[A']]]*KEBDriveData3[[#This Row],[Imax6Hz_4kHz]]/100*$AA$3</f>
        <v>89.6</v>
      </c>
      <c r="AH17" s="3">
        <f>KEBDriveData3[[#This Row],[Inom '[A']]]*KEBDriveData3[[#This Row],[Imax50Hz_4kHz]]/100*$AA$3</f>
        <v>96</v>
      </c>
      <c r="AI17" s="217">
        <f>KEBDriveData3[[#This Row],[Inom '[A']]]*KEBDriveData3[[#This Row],[Imax0Hz_8kHz]]/100*$AA$3</f>
        <v>46.93333333333333</v>
      </c>
      <c r="AJ17" s="3">
        <f>KEBDriveData3[[#This Row],[Inom '[A']]]*KEBDriveData3[[#This Row],[Imax6Hz_8kHz]]/100*$AA$3</f>
        <v>59.199999999999989</v>
      </c>
      <c r="AK17" s="220">
        <f>KEBDriveData3[[#This Row],[Inom '[A']]]*KEBDriveData3[[#This Row],[Imax50Hz_8kHz]]/100*$AA$3</f>
        <v>96</v>
      </c>
    </row>
    <row r="18" spans="1:49" x14ac:dyDescent="0.3">
      <c r="B18" t="s">
        <v>575</v>
      </c>
      <c r="C18">
        <v>4</v>
      </c>
      <c r="D18">
        <v>37</v>
      </c>
      <c r="E18">
        <v>52</v>
      </c>
      <c r="F18">
        <v>75</v>
      </c>
      <c r="G18">
        <v>150</v>
      </c>
      <c r="H18">
        <v>180</v>
      </c>
      <c r="I18">
        <v>4</v>
      </c>
      <c r="J18">
        <v>141</v>
      </c>
      <c r="K18">
        <v>174</v>
      </c>
      <c r="L18">
        <v>180</v>
      </c>
      <c r="M18">
        <v>108</v>
      </c>
      <c r="N18">
        <v>134</v>
      </c>
      <c r="O18">
        <v>180</v>
      </c>
      <c r="P18">
        <v>70</v>
      </c>
      <c r="Q18">
        <v>89</v>
      </c>
      <c r="R18">
        <v>125</v>
      </c>
      <c r="X18" s="53"/>
      <c r="Y18" s="53" t="s">
        <v>243</v>
      </c>
      <c r="AA18" s="1">
        <f>KEBDriveData3[[#This Row],[IOL '[%']]]/KEBDriveData3[[#This Row],[Imax '[%']]]</f>
        <v>0.83333333333333337</v>
      </c>
      <c r="AB18" s="1"/>
      <c r="AC18" s="217">
        <f>KEBDriveData3[[#This Row],[Inom '[A']]]*KEBDriveData3[[#This Row],[Imax0Hz_2kHz]]/100*$AA$3</f>
        <v>94</v>
      </c>
      <c r="AD18" s="3">
        <f>KEBDriveData3[[#This Row],[Inom '[A']]]*KEBDriveData3[[#This Row],[Imax6Hz_2kHz]]/100*$AA$3</f>
        <v>116</v>
      </c>
      <c r="AE18" s="220">
        <f>KEBDriveData3[[#This Row],[Inom '[A']]]*KEBDriveData3[[#This Row],[Imax50Hz_2kHz]]/100*$AA$3</f>
        <v>120</v>
      </c>
      <c r="AF18" s="3">
        <f>KEBDriveData3[[#This Row],[Inom '[A']]]*KEBDriveData3[[#This Row],[Imax0Hz_4kHz]]/100*$AA$3</f>
        <v>72</v>
      </c>
      <c r="AG18" s="3">
        <f>KEBDriveData3[[#This Row],[Inom '[A']]]*KEBDriveData3[[#This Row],[Imax6Hz_4kHz]]/100*$AA$3</f>
        <v>89.333333333333329</v>
      </c>
      <c r="AH18" s="3">
        <f>KEBDriveData3[[#This Row],[Inom '[A']]]*KEBDriveData3[[#This Row],[Imax50Hz_4kHz]]/100*$AA$3</f>
        <v>120</v>
      </c>
      <c r="AI18" s="217">
        <f>KEBDriveData3[[#This Row],[Inom '[A']]]*KEBDriveData3[[#This Row],[Imax0Hz_8kHz]]/100*$AA$3</f>
        <v>46.666666666666664</v>
      </c>
      <c r="AJ18" s="3">
        <f>KEBDriveData3[[#This Row],[Inom '[A']]]*KEBDriveData3[[#This Row],[Imax6Hz_8kHz]]/100*$AA$3</f>
        <v>59.333333333333329</v>
      </c>
      <c r="AK18" s="220">
        <f>KEBDriveData3[[#This Row],[Inom '[A']]]*KEBDriveData3[[#This Row],[Imax50Hz_8kHz]]/100*$AA$3</f>
        <v>83.333333333333329</v>
      </c>
    </row>
    <row r="19" spans="1:49" x14ac:dyDescent="0.3">
      <c r="B19" t="s">
        <v>577</v>
      </c>
      <c r="C19">
        <v>4</v>
      </c>
      <c r="D19">
        <v>45</v>
      </c>
      <c r="E19">
        <v>62</v>
      </c>
      <c r="F19">
        <v>90</v>
      </c>
      <c r="G19">
        <v>150</v>
      </c>
      <c r="H19">
        <v>180</v>
      </c>
      <c r="I19">
        <v>2</v>
      </c>
      <c r="J19">
        <v>117</v>
      </c>
      <c r="K19">
        <v>145</v>
      </c>
      <c r="L19">
        <v>180</v>
      </c>
      <c r="M19">
        <v>90</v>
      </c>
      <c r="N19">
        <v>112</v>
      </c>
      <c r="O19">
        <v>153</v>
      </c>
      <c r="P19">
        <v>58</v>
      </c>
      <c r="Q19">
        <v>74</v>
      </c>
      <c r="R19">
        <v>104</v>
      </c>
      <c r="X19" s="53"/>
      <c r="Y19" s="53" t="s">
        <v>243</v>
      </c>
      <c r="AA19" s="1">
        <f>KEBDriveData3[[#This Row],[IOL '[%']]]/KEBDriveData3[[#This Row],[Imax '[%']]]</f>
        <v>0.83333333333333337</v>
      </c>
      <c r="AB19" s="1"/>
      <c r="AC19" s="217">
        <f>KEBDriveData3[[#This Row],[Inom '[A']]]*KEBDriveData3[[#This Row],[Imax0Hz_2kHz]]/100*$AA$3</f>
        <v>93.6</v>
      </c>
      <c r="AD19" s="3">
        <f>KEBDriveData3[[#This Row],[Inom '[A']]]*KEBDriveData3[[#This Row],[Imax6Hz_2kHz]]/100*$AA$3</f>
        <v>116</v>
      </c>
      <c r="AE19" s="220">
        <f>KEBDriveData3[[#This Row],[Inom '[A']]]*KEBDriveData3[[#This Row],[Imax50Hz_2kHz]]/100*$AA$3</f>
        <v>144</v>
      </c>
      <c r="AF19" s="3">
        <f>KEBDriveData3[[#This Row],[Inom '[A']]]*KEBDriveData3[[#This Row],[Imax0Hz_4kHz]]/100*$AA$3</f>
        <v>72</v>
      </c>
      <c r="AG19" s="3">
        <f>KEBDriveData3[[#This Row],[Inom '[A']]]*KEBDriveData3[[#This Row],[Imax6Hz_4kHz]]/100*$AA$3</f>
        <v>89.6</v>
      </c>
      <c r="AH19" s="3">
        <f>KEBDriveData3[[#This Row],[Inom '[A']]]*KEBDriveData3[[#This Row],[Imax50Hz_4kHz]]/100*$AA$3</f>
        <v>122.39999999999998</v>
      </c>
      <c r="AI19" s="217">
        <f>KEBDriveData3[[#This Row],[Inom '[A']]]*KEBDriveData3[[#This Row],[Imax0Hz_8kHz]]/100*$AA$3</f>
        <v>46.4</v>
      </c>
      <c r="AJ19" s="3">
        <f>KEBDriveData3[[#This Row],[Inom '[A']]]*KEBDriveData3[[#This Row],[Imax6Hz_8kHz]]/100*$AA$3</f>
        <v>59.199999999999989</v>
      </c>
      <c r="AK19" s="220">
        <f>KEBDriveData3[[#This Row],[Inom '[A']]]*KEBDriveData3[[#This Row],[Imax50Hz_8kHz]]/100*$AA$3</f>
        <v>83.199999999999989</v>
      </c>
    </row>
    <row r="20" spans="1:49" s="211" customFormat="1" x14ac:dyDescent="0.3">
      <c r="A20"/>
      <c r="B20" s="211" t="s">
        <v>576</v>
      </c>
      <c r="C20" s="211">
        <v>4</v>
      </c>
      <c r="D20" s="211">
        <v>55</v>
      </c>
      <c r="E20" s="211">
        <v>76</v>
      </c>
      <c r="F20" s="211">
        <v>110</v>
      </c>
      <c r="G20" s="211">
        <v>150</v>
      </c>
      <c r="H20" s="211">
        <v>180</v>
      </c>
      <c r="I20" s="211">
        <v>2</v>
      </c>
      <c r="J20" s="211">
        <v>111</v>
      </c>
      <c r="K20" s="211">
        <v>136</v>
      </c>
      <c r="L20" s="211">
        <v>180</v>
      </c>
      <c r="M20" s="211">
        <v>82</v>
      </c>
      <c r="N20" s="211">
        <v>104</v>
      </c>
      <c r="O20" s="211">
        <v>138</v>
      </c>
      <c r="P20" s="211">
        <v>51</v>
      </c>
      <c r="Q20" s="211">
        <v>66</v>
      </c>
      <c r="R20" s="211">
        <v>93</v>
      </c>
      <c r="X20" s="212"/>
      <c r="Y20" s="212" t="s">
        <v>243</v>
      </c>
      <c r="AA20" s="214">
        <f>KEBDriveData3[[#This Row],[IOL '[%']]]/KEBDriveData3[[#This Row],[Imax '[%']]]</f>
        <v>0.83333333333333337</v>
      </c>
      <c r="AB20" s="214"/>
      <c r="AC20" s="218">
        <f>KEBDriveData3[[#This Row],[Inom '[A']]]*KEBDriveData3[[#This Row],[Imax0Hz_2kHz]]/100*$AA$3</f>
        <v>108.53333333333332</v>
      </c>
      <c r="AD20" s="213">
        <f>KEBDriveData3[[#This Row],[Inom '[A']]]*KEBDriveData3[[#This Row],[Imax6Hz_2kHz]]/100*$AA$3</f>
        <v>132.97777777777776</v>
      </c>
      <c r="AE20" s="221">
        <f>KEBDriveData3[[#This Row],[Inom '[A']]]*KEBDriveData3[[#This Row],[Imax50Hz_2kHz]]/100*$AA$3</f>
        <v>176</v>
      </c>
      <c r="AF20" s="213">
        <f>KEBDriveData3[[#This Row],[Inom '[A']]]*KEBDriveData3[[#This Row],[Imax0Hz_4kHz]]/100*$AA$3</f>
        <v>80.177777777777777</v>
      </c>
      <c r="AG20" s="213">
        <f>KEBDriveData3[[#This Row],[Inom '[A']]]*KEBDriveData3[[#This Row],[Imax6Hz_4kHz]]/100*$AA$3</f>
        <v>101.68888888888888</v>
      </c>
      <c r="AH20" s="213">
        <f>KEBDriveData3[[#This Row],[Inom '[A']]]*KEBDriveData3[[#This Row],[Imax50Hz_4kHz]]/100*$AA$3</f>
        <v>134.93333333333334</v>
      </c>
      <c r="AI20" s="218">
        <f>KEBDriveData3[[#This Row],[Inom '[A']]]*KEBDriveData3[[#This Row],[Imax0Hz_8kHz]]/100*$AA$3</f>
        <v>49.866666666666667</v>
      </c>
      <c r="AJ20" s="213">
        <f>KEBDriveData3[[#This Row],[Inom '[A']]]*KEBDriveData3[[#This Row],[Imax6Hz_8kHz]]/100*$AA$3</f>
        <v>64.533333333333331</v>
      </c>
      <c r="AK20" s="221">
        <f>KEBDriveData3[[#This Row],[Inom '[A']]]*KEBDriveData3[[#This Row],[Imax50Hz_8kHz]]/100*$AA$3</f>
        <v>90.933333333333323</v>
      </c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3">
      <c r="B21" t="s">
        <v>578</v>
      </c>
      <c r="C21">
        <v>6</v>
      </c>
      <c r="D21">
        <v>45</v>
      </c>
      <c r="E21">
        <v>62</v>
      </c>
      <c r="F21">
        <v>90</v>
      </c>
      <c r="G21">
        <v>150</v>
      </c>
      <c r="H21">
        <v>180</v>
      </c>
      <c r="I21">
        <v>8</v>
      </c>
      <c r="J21">
        <v>180</v>
      </c>
      <c r="K21">
        <v>180</v>
      </c>
      <c r="L21">
        <v>180</v>
      </c>
      <c r="M21">
        <v>180</v>
      </c>
      <c r="N21">
        <v>180</v>
      </c>
      <c r="O21">
        <v>180</v>
      </c>
      <c r="P21">
        <v>133</v>
      </c>
      <c r="Q21">
        <v>180</v>
      </c>
      <c r="R21">
        <v>180</v>
      </c>
      <c r="X21" s="53"/>
      <c r="Y21" s="53" t="s">
        <v>243</v>
      </c>
      <c r="AA21" s="1">
        <f>KEBDriveData3[[#This Row],[IOL '[%']]]/KEBDriveData3[[#This Row],[Imax '[%']]]</f>
        <v>0.83333333333333337</v>
      </c>
      <c r="AB21" s="1"/>
      <c r="AC21" s="217">
        <f>KEBDriveData3[[#This Row],[Inom '[A']]]*KEBDriveData3[[#This Row],[Imax0Hz_2kHz]]/100*$AA$3</f>
        <v>144</v>
      </c>
      <c r="AD21" s="3">
        <f>KEBDriveData3[[#This Row],[Inom '[A']]]*KEBDriveData3[[#This Row],[Imax6Hz_2kHz]]/100*$AA$3</f>
        <v>144</v>
      </c>
      <c r="AE21" s="220">
        <f>KEBDriveData3[[#This Row],[Inom '[A']]]*KEBDriveData3[[#This Row],[Imax50Hz_2kHz]]/100*$AA$3</f>
        <v>144</v>
      </c>
      <c r="AF21" s="3">
        <f>KEBDriveData3[[#This Row],[Inom '[A']]]*KEBDriveData3[[#This Row],[Imax0Hz_4kHz]]/100*$AA$3</f>
        <v>144</v>
      </c>
      <c r="AG21" s="3">
        <f>KEBDriveData3[[#This Row],[Inom '[A']]]*KEBDriveData3[[#This Row],[Imax6Hz_4kHz]]/100*$AA$3</f>
        <v>144</v>
      </c>
      <c r="AH21" s="3">
        <f>KEBDriveData3[[#This Row],[Inom '[A']]]*KEBDriveData3[[#This Row],[Imax50Hz_4kHz]]/100*$AA$3</f>
        <v>144</v>
      </c>
      <c r="AI21" s="217">
        <f>KEBDriveData3[[#This Row],[Inom '[A']]]*KEBDriveData3[[#This Row],[Imax0Hz_8kHz]]/100*$AA$3</f>
        <v>106.39999999999999</v>
      </c>
      <c r="AJ21" s="3">
        <f>KEBDriveData3[[#This Row],[Inom '[A']]]*KEBDriveData3[[#This Row],[Imax6Hz_8kHz]]/100*$AA$3</f>
        <v>144</v>
      </c>
      <c r="AK21" s="220">
        <f>KEBDriveData3[[#This Row],[Inom '[A']]]*KEBDriveData3[[#This Row],[Imax50Hz_8kHz]]/100*$AA$3</f>
        <v>144</v>
      </c>
    </row>
    <row r="22" spans="1:49" x14ac:dyDescent="0.3">
      <c r="B22" t="s">
        <v>579</v>
      </c>
      <c r="C22">
        <v>6</v>
      </c>
      <c r="D22">
        <v>55</v>
      </c>
      <c r="E22">
        <v>80</v>
      </c>
      <c r="F22">
        <v>115</v>
      </c>
      <c r="G22">
        <v>150</v>
      </c>
      <c r="H22">
        <v>180</v>
      </c>
      <c r="I22">
        <v>4</v>
      </c>
      <c r="J22">
        <v>180</v>
      </c>
      <c r="K22">
        <v>180</v>
      </c>
      <c r="L22">
        <v>180</v>
      </c>
      <c r="M22">
        <v>157</v>
      </c>
      <c r="N22">
        <v>180</v>
      </c>
      <c r="O22">
        <v>180</v>
      </c>
      <c r="P22">
        <v>104</v>
      </c>
      <c r="Q22">
        <v>155</v>
      </c>
      <c r="R22">
        <v>180</v>
      </c>
      <c r="S22" s="53"/>
      <c r="X22" s="53"/>
      <c r="Y22" s="53" t="s">
        <v>243</v>
      </c>
      <c r="AA22" s="1">
        <f>KEBDriveData3[[#This Row],[IOL '[%']]]/KEBDriveData3[[#This Row],[Imax '[%']]]</f>
        <v>0.83333333333333337</v>
      </c>
      <c r="AB22" s="1"/>
      <c r="AC22" s="217">
        <f>KEBDriveData3[[#This Row],[Inom '[A']]]*KEBDriveData3[[#This Row],[Imax0Hz_2kHz]]/100*$AA$3</f>
        <v>184</v>
      </c>
      <c r="AD22" s="3">
        <f>KEBDriveData3[[#This Row],[Inom '[A']]]*KEBDriveData3[[#This Row],[Imax6Hz_2kHz]]/100*$AA$3</f>
        <v>184</v>
      </c>
      <c r="AE22" s="220">
        <f>KEBDriveData3[[#This Row],[Inom '[A']]]*KEBDriveData3[[#This Row],[Imax50Hz_2kHz]]/100*$AA$3</f>
        <v>184</v>
      </c>
      <c r="AF22" s="3">
        <f>KEBDriveData3[[#This Row],[Inom '[A']]]*KEBDriveData3[[#This Row],[Imax0Hz_4kHz]]/100*$AA$3</f>
        <v>160.48888888888888</v>
      </c>
      <c r="AG22" s="3">
        <f>KEBDriveData3[[#This Row],[Inom '[A']]]*KEBDriveData3[[#This Row],[Imax6Hz_4kHz]]/100*$AA$3</f>
        <v>184</v>
      </c>
      <c r="AH22" s="3">
        <f>KEBDriveData3[[#This Row],[Inom '[A']]]*KEBDriveData3[[#This Row],[Imax50Hz_4kHz]]/100*$AA$3</f>
        <v>184</v>
      </c>
      <c r="AI22" s="217">
        <f>KEBDriveData3[[#This Row],[Inom '[A']]]*KEBDriveData3[[#This Row],[Imax0Hz_8kHz]]/100*$AA$3</f>
        <v>106.3111111111111</v>
      </c>
      <c r="AJ22" s="3">
        <f>KEBDriveData3[[#This Row],[Inom '[A']]]*KEBDriveData3[[#This Row],[Imax6Hz_8kHz]]/100*$AA$3</f>
        <v>158.44444444444443</v>
      </c>
      <c r="AK22" s="220">
        <f>KEBDriveData3[[#This Row],[Inom '[A']]]*KEBDriveData3[[#This Row],[Imax50Hz_8kHz]]/100*$AA$3</f>
        <v>184</v>
      </c>
    </row>
    <row r="23" spans="1:49" x14ac:dyDescent="0.3">
      <c r="B23" t="s">
        <v>580</v>
      </c>
      <c r="C23">
        <v>6</v>
      </c>
      <c r="D23">
        <v>75</v>
      </c>
      <c r="E23">
        <v>104</v>
      </c>
      <c r="F23">
        <v>150</v>
      </c>
      <c r="G23">
        <v>150</v>
      </c>
      <c r="H23">
        <v>180</v>
      </c>
      <c r="I23">
        <v>2</v>
      </c>
      <c r="J23">
        <v>154</v>
      </c>
      <c r="K23">
        <v>180</v>
      </c>
      <c r="L23">
        <v>180</v>
      </c>
      <c r="M23">
        <v>121</v>
      </c>
      <c r="N23">
        <v>168</v>
      </c>
      <c r="O23">
        <v>180</v>
      </c>
      <c r="P23">
        <v>80</v>
      </c>
      <c r="Q23">
        <v>119</v>
      </c>
      <c r="R23">
        <v>157</v>
      </c>
      <c r="X23" s="53"/>
      <c r="Y23" s="53" t="s">
        <v>243</v>
      </c>
      <c r="AA23" s="1">
        <f>KEBDriveData3[[#This Row],[IOL '[%']]]/KEBDriveData3[[#This Row],[Imax '[%']]]</f>
        <v>0.83333333333333337</v>
      </c>
      <c r="AB23" s="1"/>
      <c r="AC23" s="217">
        <f>KEBDriveData3[[#This Row],[Inom '[A']]]*KEBDriveData3[[#This Row],[Imax0Hz_2kHz]]/100*$AA$3</f>
        <v>205.33333333333331</v>
      </c>
      <c r="AD23" s="3">
        <f>KEBDriveData3[[#This Row],[Inom '[A']]]*KEBDriveData3[[#This Row],[Imax6Hz_2kHz]]/100*$AA$3</f>
        <v>240</v>
      </c>
      <c r="AE23" s="220">
        <f>KEBDriveData3[[#This Row],[Inom '[A']]]*KEBDriveData3[[#This Row],[Imax50Hz_2kHz]]/100*$AA$3</f>
        <v>240</v>
      </c>
      <c r="AF23" s="3">
        <f>KEBDriveData3[[#This Row],[Inom '[A']]]*KEBDriveData3[[#This Row],[Imax0Hz_4kHz]]/100*$AA$3</f>
        <v>161.33333333333331</v>
      </c>
      <c r="AG23" s="3">
        <f>KEBDriveData3[[#This Row],[Inom '[A']]]*KEBDriveData3[[#This Row],[Imax6Hz_4kHz]]/100*$AA$3</f>
        <v>224</v>
      </c>
      <c r="AH23" s="3">
        <f>KEBDriveData3[[#This Row],[Inom '[A']]]*KEBDriveData3[[#This Row],[Imax50Hz_4kHz]]/100*$AA$3</f>
        <v>240</v>
      </c>
      <c r="AI23" s="217">
        <f>KEBDriveData3[[#This Row],[Inom '[A']]]*KEBDriveData3[[#This Row],[Imax0Hz_8kHz]]/100*$AA$3</f>
        <v>106.66666666666666</v>
      </c>
      <c r="AJ23" s="3">
        <f>KEBDriveData3[[#This Row],[Inom '[A']]]*KEBDriveData3[[#This Row],[Imax6Hz_8kHz]]/100*$AA$3</f>
        <v>158.66666666666666</v>
      </c>
      <c r="AK23" s="220">
        <f>KEBDriveData3[[#This Row],[Inom '[A']]]*KEBDriveData3[[#This Row],[Imax50Hz_8kHz]]/100*$AA$3</f>
        <v>209.33333333333331</v>
      </c>
    </row>
    <row r="24" spans="1:49" hidden="1" x14ac:dyDescent="0.3">
      <c r="B24" t="s">
        <v>608</v>
      </c>
      <c r="C24">
        <v>6</v>
      </c>
      <c r="D24">
        <v>75</v>
      </c>
      <c r="E24">
        <v>104</v>
      </c>
      <c r="F24">
        <v>150</v>
      </c>
      <c r="G24">
        <v>150</v>
      </c>
      <c r="H24">
        <v>180</v>
      </c>
      <c r="I24">
        <v>4</v>
      </c>
      <c r="J24">
        <v>154</v>
      </c>
      <c r="K24">
        <v>180</v>
      </c>
      <c r="L24">
        <v>180</v>
      </c>
      <c r="M24">
        <v>121</v>
      </c>
      <c r="N24">
        <v>168</v>
      </c>
      <c r="O24">
        <v>180</v>
      </c>
      <c r="P24">
        <v>79</v>
      </c>
      <c r="Q24">
        <v>125</v>
      </c>
      <c r="R24">
        <v>180</v>
      </c>
      <c r="X24" s="53"/>
      <c r="Y24" s="53" t="s">
        <v>243</v>
      </c>
      <c r="AA24" s="1">
        <f>KEBDriveData3[[#This Row],[IOL '[%']]]/KEBDriveData3[[#This Row],[Imax '[%']]]</f>
        <v>0.83333333333333337</v>
      </c>
      <c r="AB24" s="1"/>
      <c r="AC24" s="217">
        <f>KEBDriveData3[[#This Row],[Inom '[A']]]*KEBDriveData3[[#This Row],[Imax0Hz_2kHz]]/100*$AA$3</f>
        <v>205.33333333333331</v>
      </c>
      <c r="AD24" s="3">
        <f>KEBDriveData3[[#This Row],[Inom '[A']]]*KEBDriveData3[[#This Row],[Imax6Hz_2kHz]]/100*$AA$3</f>
        <v>240</v>
      </c>
      <c r="AE24" s="220">
        <f>KEBDriveData3[[#This Row],[Inom '[A']]]*KEBDriveData3[[#This Row],[Imax50Hz_2kHz]]/100*$AA$3</f>
        <v>240</v>
      </c>
      <c r="AF24" s="3">
        <f>KEBDriveData3[[#This Row],[Inom '[A']]]*KEBDriveData3[[#This Row],[Imax0Hz_4kHz]]/100*$AA$3</f>
        <v>161.33333333333331</v>
      </c>
      <c r="AG24" s="3">
        <f>KEBDriveData3[[#This Row],[Inom '[A']]]*KEBDriveData3[[#This Row],[Imax6Hz_4kHz]]/100*$AA$3</f>
        <v>224</v>
      </c>
      <c r="AH24" s="3">
        <f>KEBDriveData3[[#This Row],[Inom '[A']]]*KEBDriveData3[[#This Row],[Imax50Hz_4kHz]]/100*$AA$3</f>
        <v>240</v>
      </c>
      <c r="AI24" s="217">
        <f>KEBDriveData3[[#This Row],[Inom '[A']]]*KEBDriveData3[[#This Row],[Imax0Hz_8kHz]]/100*$AA$3</f>
        <v>105.33333333333333</v>
      </c>
      <c r="AJ24" s="3">
        <f>KEBDriveData3[[#This Row],[Inom '[A']]]*KEBDriveData3[[#This Row],[Imax6Hz_8kHz]]/100*$AA$3</f>
        <v>166.66666666666666</v>
      </c>
      <c r="AK24" s="220">
        <f>KEBDriveData3[[#This Row],[Inom '[A']]]*KEBDriveData3[[#This Row],[Imax50Hz_8kHz]]/100*$AA$3</f>
        <v>240</v>
      </c>
    </row>
    <row r="25" spans="1:49" s="211" customFormat="1" x14ac:dyDescent="0.3">
      <c r="A25"/>
      <c r="B25" s="211" t="s">
        <v>581</v>
      </c>
      <c r="C25" s="211">
        <v>6</v>
      </c>
      <c r="D25" s="211">
        <v>90</v>
      </c>
      <c r="E25" s="211">
        <v>125</v>
      </c>
      <c r="F25" s="211">
        <v>180</v>
      </c>
      <c r="G25" s="211">
        <v>150</v>
      </c>
      <c r="H25" s="211">
        <v>180</v>
      </c>
      <c r="I25" s="211">
        <v>2</v>
      </c>
      <c r="J25" s="211">
        <v>129</v>
      </c>
      <c r="K25" s="211">
        <v>180</v>
      </c>
      <c r="L25" s="211">
        <v>180</v>
      </c>
      <c r="M25" s="211">
        <v>101</v>
      </c>
      <c r="N25" s="211">
        <v>156</v>
      </c>
      <c r="O25" s="211">
        <v>180</v>
      </c>
      <c r="P25" s="211">
        <v>66</v>
      </c>
      <c r="Q25" s="211">
        <v>104</v>
      </c>
      <c r="R25" s="211">
        <v>152</v>
      </c>
      <c r="S25" s="212"/>
      <c r="X25" s="212"/>
      <c r="Y25" s="212" t="s">
        <v>243</v>
      </c>
      <c r="AA25" s="214">
        <f>KEBDriveData3[[#This Row],[IOL '[%']]]/KEBDriveData3[[#This Row],[Imax '[%']]]</f>
        <v>0.83333333333333337</v>
      </c>
      <c r="AB25" s="214"/>
      <c r="AC25" s="218">
        <f>KEBDriveData3[[#This Row],[Inom '[A']]]*KEBDriveData3[[#This Row],[Imax0Hz_2kHz]]/100*$AA$3</f>
        <v>206.39999999999998</v>
      </c>
      <c r="AD25" s="213">
        <f>KEBDriveData3[[#This Row],[Inom '[A']]]*KEBDriveData3[[#This Row],[Imax6Hz_2kHz]]/100*$AA$3</f>
        <v>288</v>
      </c>
      <c r="AE25" s="221">
        <f>KEBDriveData3[[#This Row],[Inom '[A']]]*KEBDriveData3[[#This Row],[Imax50Hz_2kHz]]/100*$AA$3</f>
        <v>288</v>
      </c>
      <c r="AF25" s="213">
        <f>KEBDriveData3[[#This Row],[Inom '[A']]]*KEBDriveData3[[#This Row],[Imax0Hz_4kHz]]/100*$AA$3</f>
        <v>161.6</v>
      </c>
      <c r="AG25" s="213">
        <f>KEBDriveData3[[#This Row],[Inom '[A']]]*KEBDriveData3[[#This Row],[Imax6Hz_4kHz]]/100*$AA$3</f>
        <v>249.6</v>
      </c>
      <c r="AH25" s="213">
        <f>KEBDriveData3[[#This Row],[Inom '[A']]]*KEBDriveData3[[#This Row],[Imax50Hz_4kHz]]/100*$AA$3</f>
        <v>288</v>
      </c>
      <c r="AI25" s="218">
        <f>KEBDriveData3[[#This Row],[Inom '[A']]]*KEBDriveData3[[#This Row],[Imax0Hz_8kHz]]/100*$AA$3</f>
        <v>105.6</v>
      </c>
      <c r="AJ25" s="213">
        <f>KEBDriveData3[[#This Row],[Inom '[A']]]*KEBDriveData3[[#This Row],[Imax6Hz_8kHz]]/100*$AA$3</f>
        <v>166.39999999999998</v>
      </c>
      <c r="AK25" s="221">
        <f>KEBDriveData3[[#This Row],[Inom '[A']]]*KEBDriveData3[[#This Row],[Imax50Hz_8kHz]]/100*$AA$3</f>
        <v>243.20000000000002</v>
      </c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x14ac:dyDescent="0.3">
      <c r="B26" t="s">
        <v>606</v>
      </c>
      <c r="C26">
        <v>7</v>
      </c>
      <c r="D26">
        <v>110</v>
      </c>
      <c r="E26">
        <v>145</v>
      </c>
      <c r="F26">
        <v>210</v>
      </c>
      <c r="G26">
        <v>125</v>
      </c>
      <c r="H26">
        <v>150</v>
      </c>
      <c r="I26">
        <v>4</v>
      </c>
      <c r="J26">
        <v>133</v>
      </c>
      <c r="K26">
        <v>150</v>
      </c>
      <c r="L26">
        <v>150</v>
      </c>
      <c r="M26">
        <v>100</v>
      </c>
      <c r="N26">
        <v>150</v>
      </c>
      <c r="O26">
        <v>150</v>
      </c>
      <c r="P26">
        <v>55</v>
      </c>
      <c r="Q26">
        <v>91</v>
      </c>
      <c r="R26">
        <v>124</v>
      </c>
      <c r="S26" s="53"/>
      <c r="X26" s="53"/>
      <c r="Y26" s="53"/>
      <c r="AA26" s="214">
        <f>KEBDriveData3[[#This Row],[IOL '[%']]]/KEBDriveData3[[#This Row],[Imax '[%']]]</f>
        <v>0.83333333333333337</v>
      </c>
      <c r="AB26" s="214"/>
      <c r="AC26" s="230">
        <f>KEBDriveData3[[#This Row],[Inom '[A']]]*KEBDriveData3[[#This Row],[Imax0Hz_2kHz]]/100*$AA$3</f>
        <v>248.26666666666665</v>
      </c>
      <c r="AD26" s="231">
        <f>KEBDriveData3[[#This Row],[Inom '[A']]]*KEBDriveData3[[#This Row],[Imax6Hz_2kHz]]/100*$AA$3</f>
        <v>280</v>
      </c>
      <c r="AE26" s="232">
        <f>KEBDriveData3[[#This Row],[Inom '[A']]]*KEBDriveData3[[#This Row],[Imax50Hz_2kHz]]/100*$AA$3</f>
        <v>280</v>
      </c>
      <c r="AF26" s="231">
        <f>KEBDriveData3[[#This Row],[Inom '[A']]]*KEBDriveData3[[#This Row],[Imax0Hz_4kHz]]/100*$AA$3</f>
        <v>186.66666666666666</v>
      </c>
      <c r="AG26" s="231">
        <f>KEBDriveData3[[#This Row],[Inom '[A']]]*KEBDriveData3[[#This Row],[Imax6Hz_4kHz]]/100*$AA$3</f>
        <v>280</v>
      </c>
      <c r="AH26" s="231">
        <f>KEBDriveData3[[#This Row],[Inom '[A']]]*KEBDriveData3[[#This Row],[Imax50Hz_4kHz]]/100*$AA$3</f>
        <v>280</v>
      </c>
      <c r="AI26" s="230">
        <f>KEBDriveData3[[#This Row],[Inom '[A']]]*KEBDriveData3[[#This Row],[Imax0Hz_8kHz]]/100*$AA$3</f>
        <v>102.66666666666666</v>
      </c>
      <c r="AJ26" s="231">
        <f>KEBDriveData3[[#This Row],[Inom '[A']]]*KEBDriveData3[[#This Row],[Imax6Hz_8kHz]]/100*$AA$3</f>
        <v>169.86666666666665</v>
      </c>
      <c r="AK26" s="232">
        <f>KEBDriveData3[[#This Row],[Inom '[A']]]*KEBDriveData3[[#This Row],[Imax50Hz_8kHz]]/100*$AA$3</f>
        <v>231.46666666666664</v>
      </c>
    </row>
    <row r="27" spans="1:49" x14ac:dyDescent="0.3">
      <c r="B27" t="s">
        <v>607</v>
      </c>
      <c r="C27">
        <v>7</v>
      </c>
      <c r="D27">
        <v>132</v>
      </c>
      <c r="E27">
        <v>173</v>
      </c>
      <c r="F27">
        <v>250</v>
      </c>
      <c r="G27">
        <v>125</v>
      </c>
      <c r="H27">
        <v>150</v>
      </c>
      <c r="I27">
        <v>4</v>
      </c>
      <c r="J27">
        <v>100</v>
      </c>
      <c r="K27">
        <v>150</v>
      </c>
      <c r="L27">
        <v>150</v>
      </c>
      <c r="M27">
        <v>70</v>
      </c>
      <c r="N27">
        <v>112</v>
      </c>
      <c r="O27">
        <v>150</v>
      </c>
      <c r="P27">
        <v>28</v>
      </c>
      <c r="Q27">
        <v>58</v>
      </c>
      <c r="R27">
        <v>71</v>
      </c>
      <c r="S27" s="53"/>
      <c r="T27" s="53"/>
      <c r="X27" s="53"/>
      <c r="Y27" s="53"/>
      <c r="AA27" s="214">
        <f>KEBDriveData3[[#This Row],[IOL '[%']]]/KEBDriveData3[[#This Row],[Imax '[%']]]</f>
        <v>0.83333333333333337</v>
      </c>
      <c r="AB27" s="214"/>
      <c r="AC27" s="217">
        <f>KEBDriveData3[[#This Row],[Inom '[A']]]*KEBDriveData3[[#This Row],[Imax0Hz_2kHz]]/100*$AA$3</f>
        <v>222.2222222222222</v>
      </c>
      <c r="AD27" s="3">
        <f>KEBDriveData3[[#This Row],[Inom '[A']]]*KEBDriveData3[[#This Row],[Imax6Hz_2kHz]]/100*$AA$3</f>
        <v>333.33333333333331</v>
      </c>
      <c r="AE27" s="220">
        <f>KEBDriveData3[[#This Row],[Inom '[A']]]*KEBDriveData3[[#This Row],[Imax50Hz_2kHz]]/100*$AA$3</f>
        <v>333.33333333333331</v>
      </c>
      <c r="AF27" s="3">
        <f>KEBDriveData3[[#This Row],[Inom '[A']]]*KEBDriveData3[[#This Row],[Imax0Hz_4kHz]]/100*$AA$3</f>
        <v>155.55555555555554</v>
      </c>
      <c r="AG27" s="3">
        <f>KEBDriveData3[[#This Row],[Inom '[A']]]*KEBDriveData3[[#This Row],[Imax6Hz_4kHz]]/100*$AA$3</f>
        <v>248.88888888888889</v>
      </c>
      <c r="AH27" s="3">
        <f>KEBDriveData3[[#This Row],[Inom '[A']]]*KEBDriveData3[[#This Row],[Imax50Hz_4kHz]]/100*$AA$3</f>
        <v>333.33333333333331</v>
      </c>
      <c r="AI27" s="217">
        <f>KEBDriveData3[[#This Row],[Inom '[A']]]*KEBDriveData3[[#This Row],[Imax0Hz_8kHz]]/100*$AA$3</f>
        <v>62.222222222222221</v>
      </c>
      <c r="AJ27" s="3">
        <f>KEBDriveData3[[#This Row],[Inom '[A']]]*KEBDriveData3[[#This Row],[Imax6Hz_8kHz]]/100*$AA$3</f>
        <v>128.88888888888889</v>
      </c>
      <c r="AK27" s="220">
        <f>KEBDriveData3[[#This Row],[Inom '[A']]]*KEBDriveData3[[#This Row],[Imax50Hz_8kHz]]/100*$AA$3</f>
        <v>157.77777777777777</v>
      </c>
    </row>
    <row r="28" spans="1:49" x14ac:dyDescent="0.3">
      <c r="B28" t="s">
        <v>604</v>
      </c>
      <c r="C28">
        <v>7</v>
      </c>
      <c r="D28">
        <v>160</v>
      </c>
      <c r="E28">
        <v>208</v>
      </c>
      <c r="F28">
        <v>300</v>
      </c>
      <c r="G28">
        <v>125</v>
      </c>
      <c r="H28">
        <v>150</v>
      </c>
      <c r="I28">
        <v>2</v>
      </c>
      <c r="J28">
        <v>90</v>
      </c>
      <c r="K28">
        <v>150</v>
      </c>
      <c r="L28">
        <v>150</v>
      </c>
      <c r="M28">
        <v>58</v>
      </c>
      <c r="N28">
        <v>89</v>
      </c>
      <c r="O28">
        <v>107</v>
      </c>
      <c r="P28">
        <v>24</v>
      </c>
      <c r="Q28">
        <v>50</v>
      </c>
      <c r="R28">
        <v>61</v>
      </c>
      <c r="S28" s="53"/>
      <c r="X28" s="53"/>
      <c r="Y28" s="53"/>
      <c r="AA28" s="214">
        <f>KEBDriveData3[[#This Row],[IOL '[%']]]/KEBDriveData3[[#This Row],[Imax '[%']]]</f>
        <v>0.83333333333333337</v>
      </c>
      <c r="AB28" s="214"/>
      <c r="AC28" s="217">
        <f>KEBDriveData3[[#This Row],[Inom '[A']]]*KEBDriveData3[[#This Row],[Imax0Hz_2kHz]]/100*$AA$3</f>
        <v>240</v>
      </c>
      <c r="AD28" s="3">
        <f>KEBDriveData3[[#This Row],[Inom '[A']]]*KEBDriveData3[[#This Row],[Imax6Hz_2kHz]]/100*$AA$3</f>
        <v>400</v>
      </c>
      <c r="AE28" s="220">
        <f>KEBDriveData3[[#This Row],[Inom '[A']]]*KEBDriveData3[[#This Row],[Imax50Hz_2kHz]]/100*$AA$3</f>
        <v>400</v>
      </c>
      <c r="AF28" s="3">
        <f>KEBDriveData3[[#This Row],[Inom '[A']]]*KEBDriveData3[[#This Row],[Imax0Hz_4kHz]]/100*$AA$3</f>
        <v>154.66666666666666</v>
      </c>
      <c r="AG28" s="3">
        <f>KEBDriveData3[[#This Row],[Inom '[A']]]*KEBDriveData3[[#This Row],[Imax6Hz_4kHz]]/100*$AA$3</f>
        <v>237.33333333333331</v>
      </c>
      <c r="AH28" s="3">
        <f>KEBDriveData3[[#This Row],[Inom '[A']]]*KEBDriveData3[[#This Row],[Imax50Hz_4kHz]]/100*$AA$3</f>
        <v>285.33333333333331</v>
      </c>
      <c r="AI28" s="217">
        <f>KEBDriveData3[[#This Row],[Inom '[A']]]*KEBDriveData3[[#This Row],[Imax0Hz_8kHz]]/100*$AA$3</f>
        <v>64</v>
      </c>
      <c r="AJ28" s="3">
        <f>KEBDriveData3[[#This Row],[Inom '[A']]]*KEBDriveData3[[#This Row],[Imax6Hz_8kHz]]/100*$AA$3</f>
        <v>133.33333333333331</v>
      </c>
      <c r="AK28" s="220">
        <f>KEBDriveData3[[#This Row],[Inom '[A']]]*KEBDriveData3[[#This Row],[Imax50Hz_8kHz]]/100*$AA$3</f>
        <v>162.66666666666666</v>
      </c>
    </row>
    <row r="29" spans="1:49" x14ac:dyDescent="0.3">
      <c r="B29" t="s">
        <v>605</v>
      </c>
      <c r="C29">
        <v>7</v>
      </c>
      <c r="D29">
        <v>200</v>
      </c>
      <c r="E29">
        <v>256</v>
      </c>
      <c r="F29">
        <v>370</v>
      </c>
      <c r="G29">
        <v>125</v>
      </c>
      <c r="H29">
        <v>150</v>
      </c>
      <c r="I29">
        <v>2</v>
      </c>
      <c r="J29">
        <v>84</v>
      </c>
      <c r="K29">
        <v>126</v>
      </c>
      <c r="L29">
        <v>150</v>
      </c>
      <c r="M29">
        <v>60</v>
      </c>
      <c r="N29">
        <v>94</v>
      </c>
      <c r="O29">
        <v>124</v>
      </c>
      <c r="P29">
        <v>33</v>
      </c>
      <c r="Q29">
        <v>56</v>
      </c>
      <c r="R29">
        <v>78</v>
      </c>
      <c r="S29" s="53"/>
      <c r="T29" s="53"/>
      <c r="X29" s="53"/>
      <c r="Y29" s="53"/>
      <c r="AA29" s="214">
        <f>KEBDriveData3[[#This Row],[IOL '[%']]]/KEBDriveData3[[#This Row],[Imax '[%']]]</f>
        <v>0.83333333333333337</v>
      </c>
      <c r="AB29" s="214"/>
      <c r="AC29" s="218">
        <f>KEBDriveData3[[#This Row],[Inom '[A']]]*KEBDriveData3[[#This Row],[Imax0Hz_2kHz]]/100*$AA$3</f>
        <v>276.26666666666665</v>
      </c>
      <c r="AD29" s="213">
        <f>KEBDriveData3[[#This Row],[Inom '[A']]]*KEBDriveData3[[#This Row],[Imax6Hz_2kHz]]/100*$AA$3</f>
        <v>414.4</v>
      </c>
      <c r="AE29" s="221">
        <f>KEBDriveData3[[#This Row],[Inom '[A']]]*KEBDriveData3[[#This Row],[Imax50Hz_2kHz]]/100*$AA$3</f>
        <v>493.33333333333331</v>
      </c>
      <c r="AF29" s="213">
        <f>KEBDriveData3[[#This Row],[Inom '[A']]]*KEBDriveData3[[#This Row],[Imax0Hz_4kHz]]/100*$AA$3</f>
        <v>197.33333333333331</v>
      </c>
      <c r="AG29" s="213">
        <f>KEBDriveData3[[#This Row],[Inom '[A']]]*KEBDriveData3[[#This Row],[Imax6Hz_4kHz]]/100*$AA$3</f>
        <v>309.15555555555557</v>
      </c>
      <c r="AH29" s="213">
        <f>KEBDriveData3[[#This Row],[Inom '[A']]]*KEBDriveData3[[#This Row],[Imax50Hz_4kHz]]/100*$AA$3</f>
        <v>407.82222222222219</v>
      </c>
      <c r="AI29" s="218">
        <f>KEBDriveData3[[#This Row],[Inom '[A']]]*KEBDriveData3[[#This Row],[Imax0Hz_8kHz]]/100*$AA$3</f>
        <v>108.53333333333332</v>
      </c>
      <c r="AJ29" s="213">
        <f>KEBDriveData3[[#This Row],[Inom '[A']]]*KEBDriveData3[[#This Row],[Imax6Hz_8kHz]]/100*$AA$3</f>
        <v>184.17777777777775</v>
      </c>
      <c r="AK29" s="221">
        <f>KEBDriveData3[[#This Row],[Inom '[A']]]*KEBDriveData3[[#This Row],[Imax50Hz_8kHz]]/100*$AA$3</f>
        <v>256.53333333333336</v>
      </c>
    </row>
    <row r="30" spans="1:49" x14ac:dyDescent="0.3">
      <c r="B30" t="s">
        <v>609</v>
      </c>
      <c r="C30">
        <v>8</v>
      </c>
      <c r="D30">
        <v>200</v>
      </c>
      <c r="E30">
        <v>256</v>
      </c>
      <c r="F30">
        <v>370</v>
      </c>
      <c r="G30">
        <v>125</v>
      </c>
      <c r="H30">
        <v>150</v>
      </c>
      <c r="I30">
        <v>4</v>
      </c>
      <c r="J30">
        <v>122</v>
      </c>
      <c r="K30">
        <v>150</v>
      </c>
      <c r="L30">
        <v>150</v>
      </c>
      <c r="M30">
        <v>74</v>
      </c>
      <c r="N30">
        <v>110</v>
      </c>
      <c r="O30">
        <v>150</v>
      </c>
      <c r="P30">
        <v>29</v>
      </c>
      <c r="Q30">
        <v>54</v>
      </c>
      <c r="R30">
        <v>71</v>
      </c>
      <c r="S30" s="53"/>
      <c r="T30" s="53"/>
      <c r="X30" s="53"/>
      <c r="Y30" s="53"/>
      <c r="AA30" s="214">
        <f>KEBDriveData3[[#This Row],[IOL '[%']]]/KEBDriveData3[[#This Row],[Imax '[%']]]</f>
        <v>0.83333333333333337</v>
      </c>
      <c r="AB30" s="214"/>
      <c r="AC30" s="218">
        <f>KEBDriveData3[[#This Row],[Inom '[A']]]*KEBDriveData3[[#This Row],[Imax0Hz_2kHz]]/100*$AA$3</f>
        <v>401.24444444444441</v>
      </c>
      <c r="AD30" s="213">
        <f>KEBDriveData3[[#This Row],[Inom '[A']]]*KEBDriveData3[[#This Row],[Imax6Hz_2kHz]]/100*$AA$3</f>
        <v>493.33333333333331</v>
      </c>
      <c r="AE30" s="221">
        <f>KEBDriveData3[[#This Row],[Inom '[A']]]*KEBDriveData3[[#This Row],[Imax50Hz_2kHz]]/100*$AA$3</f>
        <v>493.33333333333331</v>
      </c>
      <c r="AF30" s="213">
        <f>KEBDriveData3[[#This Row],[Inom '[A']]]*KEBDriveData3[[#This Row],[Imax0Hz_4kHz]]/100*$AA$3</f>
        <v>243.37777777777777</v>
      </c>
      <c r="AG30" s="213">
        <f>KEBDriveData3[[#This Row],[Inom '[A']]]*KEBDriveData3[[#This Row],[Imax6Hz_4kHz]]/100*$AA$3</f>
        <v>361.77777777777777</v>
      </c>
      <c r="AH30" s="213">
        <f>KEBDriveData3[[#This Row],[Inom '[A']]]*KEBDriveData3[[#This Row],[Imax50Hz_4kHz]]/100*$AA$3</f>
        <v>493.33333333333331</v>
      </c>
      <c r="AI30" s="218">
        <f>KEBDriveData3[[#This Row],[Inom '[A']]]*KEBDriveData3[[#This Row],[Imax0Hz_8kHz]]/100*$AA$3</f>
        <v>95.377777777777766</v>
      </c>
      <c r="AJ30" s="213">
        <f>KEBDriveData3[[#This Row],[Inom '[A']]]*KEBDriveData3[[#This Row],[Imax6Hz_8kHz]]/100*$AA$3</f>
        <v>177.6</v>
      </c>
      <c r="AK30" s="221">
        <f>KEBDriveData3[[#This Row],[Inom '[A']]]*KEBDriveData3[[#This Row],[Imax50Hz_8kHz]]/100*$AA$3</f>
        <v>233.51111111111109</v>
      </c>
    </row>
    <row r="31" spans="1:49" x14ac:dyDescent="0.3">
      <c r="B31" t="s">
        <v>610</v>
      </c>
      <c r="C31">
        <v>8</v>
      </c>
      <c r="D31">
        <v>250</v>
      </c>
      <c r="E31">
        <v>319</v>
      </c>
      <c r="F31">
        <v>460</v>
      </c>
      <c r="G31">
        <v>125</v>
      </c>
      <c r="H31">
        <v>150</v>
      </c>
      <c r="I31">
        <v>2</v>
      </c>
      <c r="J31">
        <v>98</v>
      </c>
      <c r="K31">
        <v>150</v>
      </c>
      <c r="L31">
        <v>150</v>
      </c>
      <c r="M31">
        <v>59</v>
      </c>
      <c r="N31">
        <v>89</v>
      </c>
      <c r="O31">
        <v>122</v>
      </c>
      <c r="P31">
        <v>24</v>
      </c>
      <c r="Q31">
        <v>43</v>
      </c>
      <c r="R31">
        <v>57</v>
      </c>
      <c r="S31" s="53"/>
      <c r="T31" s="53"/>
      <c r="X31" s="53"/>
      <c r="Y31" s="53"/>
      <c r="AA31" s="214">
        <f>KEBDriveData3[[#This Row],[IOL '[%']]]/KEBDriveData3[[#This Row],[Imax '[%']]]</f>
        <v>0.83333333333333337</v>
      </c>
      <c r="AB31" s="214"/>
      <c r="AC31" s="218">
        <f>KEBDriveData3[[#This Row],[Inom '[A']]]*KEBDriveData3[[#This Row],[Imax0Hz_2kHz]]/100*$AA$3</f>
        <v>400.71111111111111</v>
      </c>
      <c r="AD31" s="213">
        <f>KEBDriveData3[[#This Row],[Inom '[A']]]*KEBDriveData3[[#This Row],[Imax6Hz_2kHz]]/100*$AA$3</f>
        <v>613.33333333333326</v>
      </c>
      <c r="AE31" s="221">
        <f>KEBDriveData3[[#This Row],[Inom '[A']]]*KEBDriveData3[[#This Row],[Imax50Hz_2kHz]]/100*$AA$3</f>
        <v>613.33333333333326</v>
      </c>
      <c r="AF31" s="213">
        <f>KEBDriveData3[[#This Row],[Inom '[A']]]*KEBDriveData3[[#This Row],[Imax0Hz_4kHz]]/100*$AA$3</f>
        <v>241.24444444444441</v>
      </c>
      <c r="AG31" s="213">
        <f>KEBDriveData3[[#This Row],[Inom '[A']]]*KEBDriveData3[[#This Row],[Imax6Hz_4kHz]]/100*$AA$3</f>
        <v>363.9111111111111</v>
      </c>
      <c r="AH31" s="213">
        <f>KEBDriveData3[[#This Row],[Inom '[A']]]*KEBDriveData3[[#This Row],[Imax50Hz_4kHz]]/100*$AA$3</f>
        <v>498.84444444444443</v>
      </c>
      <c r="AI31" s="218">
        <f>KEBDriveData3[[#This Row],[Inom '[A']]]*KEBDriveData3[[#This Row],[Imax0Hz_8kHz]]/100*$AA$3</f>
        <v>98.13333333333334</v>
      </c>
      <c r="AJ31" s="213">
        <f>KEBDriveData3[[#This Row],[Inom '[A']]]*KEBDriveData3[[#This Row],[Imax6Hz_8kHz]]/100*$AA$3</f>
        <v>175.82222222222222</v>
      </c>
      <c r="AK31" s="221">
        <f>KEBDriveData3[[#This Row],[Inom '[A']]]*KEBDriveData3[[#This Row],[Imax50Hz_8kHz]]/100*$AA$3</f>
        <v>233.06666666666663</v>
      </c>
    </row>
    <row r="32" spans="1:49" hidden="1" x14ac:dyDescent="0.3">
      <c r="B32" t="s">
        <v>611</v>
      </c>
      <c r="C32">
        <v>8</v>
      </c>
      <c r="D32">
        <v>315</v>
      </c>
      <c r="E32">
        <v>395</v>
      </c>
      <c r="F32">
        <v>570</v>
      </c>
      <c r="G32">
        <v>125</v>
      </c>
      <c r="H32">
        <v>150</v>
      </c>
      <c r="I32">
        <v>2</v>
      </c>
      <c r="S32" s="53"/>
      <c r="T32" s="53"/>
      <c r="X32" s="53"/>
      <c r="Y32" s="53"/>
      <c r="AA32" s="214">
        <f>KEBDriveData3[[#This Row],[IOL '[%']]]/KEBDriveData3[[#This Row],[Imax '[%']]]</f>
        <v>0.83333333333333337</v>
      </c>
      <c r="AB32" s="214"/>
      <c r="AC32" s="218">
        <f>KEBDriveData3[[#This Row],[Inom '[A']]]*KEBDriveData3[[#This Row],[Imax0Hz_2kHz]]/100*$AA$3</f>
        <v>0</v>
      </c>
      <c r="AD32" s="213">
        <f>KEBDriveData3[[#This Row],[Inom '[A']]]*KEBDriveData3[[#This Row],[Imax6Hz_2kHz]]/100*$AA$3</f>
        <v>0</v>
      </c>
      <c r="AE32" s="221">
        <f>KEBDriveData3[[#This Row],[Inom '[A']]]*KEBDriveData3[[#This Row],[Imax50Hz_2kHz]]/100*$AA$3</f>
        <v>0</v>
      </c>
      <c r="AF32" s="213">
        <f>KEBDriveData3[[#This Row],[Inom '[A']]]*KEBDriveData3[[#This Row],[Imax0Hz_4kHz]]/100*$AA$3</f>
        <v>0</v>
      </c>
      <c r="AG32" s="213">
        <f>KEBDriveData3[[#This Row],[Inom '[A']]]*KEBDriveData3[[#This Row],[Imax6Hz_4kHz]]/100*$AA$3</f>
        <v>0</v>
      </c>
      <c r="AH32" s="213">
        <f>KEBDriveData3[[#This Row],[Inom '[A']]]*KEBDriveData3[[#This Row],[Imax50Hz_4kHz]]/100*$AA$3</f>
        <v>0</v>
      </c>
      <c r="AI32" s="218">
        <f>KEBDriveData3[[#This Row],[Inom '[A']]]*KEBDriveData3[[#This Row],[Imax0Hz_8kHz]]/100*$AA$3</f>
        <v>0</v>
      </c>
      <c r="AJ32" s="213">
        <f>KEBDriveData3[[#This Row],[Inom '[A']]]*KEBDriveData3[[#This Row],[Imax6Hz_8kHz]]/100*$AA$3</f>
        <v>0</v>
      </c>
      <c r="AK32" s="221">
        <f>KEBDriveData3[[#This Row],[Inom '[A']]]*KEBDriveData3[[#This Row],[Imax50Hz_8kHz]]/100*$AA$3</f>
        <v>0</v>
      </c>
    </row>
  </sheetData>
  <mergeCells count="3">
    <mergeCell ref="AG3:AH3"/>
    <mergeCell ref="AC2:AK2"/>
    <mergeCell ref="AC3:AD3"/>
  </mergeCells>
  <phoneticPr fontId="53" type="noConversion"/>
  <conditionalFormatting sqref="AC5:AK32">
    <cfRule type="cellIs" dxfId="7" priority="1" operator="greaterThan">
      <formula>$AI$3</formula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0066"/>
    <outlinePr summaryRight="0"/>
  </sheetPr>
  <dimension ref="B1:DL40"/>
  <sheetViews>
    <sheetView zoomScale="85" zoomScaleNormal="85" workbookViewId="0">
      <pane xSplit="4" ySplit="4" topLeftCell="E5" activePane="bottomRight" state="frozen"/>
      <selection activeCell="J14" sqref="J14"/>
      <selection pane="topRight" activeCell="J14" sqref="J14"/>
      <selection pane="bottomLeft" activeCell="J14" sqref="J14"/>
      <selection pane="bottomRight" activeCell="DB27" sqref="DB27"/>
    </sheetView>
  </sheetViews>
  <sheetFormatPr defaultColWidth="11.44140625" defaultRowHeight="14.4" outlineLevelCol="1" x14ac:dyDescent="0.3"/>
  <cols>
    <col min="1" max="1" width="1.6640625" customWidth="1"/>
    <col min="2" max="2" width="35.109375" bestFit="1" customWidth="1"/>
    <col min="3" max="3" width="9.33203125" customWidth="1"/>
    <col min="4" max="4" width="8.6640625" customWidth="1"/>
    <col min="5" max="5" width="0.109375" customWidth="1" outlineLevel="1"/>
    <col min="6" max="12" width="8.109375" customWidth="1" outlineLevel="1"/>
    <col min="13" max="20" width="8.6640625" customWidth="1" outlineLevel="1"/>
    <col min="21" max="21" width="0.109375" customWidth="1" outlineLevel="1"/>
    <col min="22" max="28" width="8.109375" customWidth="1" outlineLevel="1"/>
    <col min="29" max="35" width="8.6640625" customWidth="1" outlineLevel="1"/>
    <col min="36" max="36" width="0.109375" customWidth="1" outlineLevel="1"/>
    <col min="37" max="43" width="8.109375" customWidth="1" outlineLevel="1"/>
    <col min="44" max="51" width="8.6640625" customWidth="1" outlineLevel="1"/>
    <col min="52" max="52" width="0.109375" customWidth="1"/>
    <col min="53" max="57" width="8.109375" customWidth="1"/>
    <col min="58" max="70" width="8.6640625" customWidth="1"/>
    <col min="71" max="76" width="8.109375" customWidth="1"/>
    <col min="77" max="83" width="8.6640625" customWidth="1"/>
    <col min="84" max="84" width="0.109375" customWidth="1"/>
    <col min="85" max="86" width="8.109375" customWidth="1"/>
    <col min="87" max="89" width="8.109375" bestFit="1" customWidth="1"/>
    <col min="90" max="91" width="8.109375" hidden="1" customWidth="1"/>
    <col min="92" max="99" width="8.6640625" customWidth="1"/>
  </cols>
  <sheetData>
    <row r="1" spans="2:116" s="109" customFormat="1" ht="15.75" customHeight="1" x14ac:dyDescent="0.3">
      <c r="B1" s="110" t="s">
        <v>464</v>
      </c>
      <c r="C1" s="110"/>
      <c r="D1" s="111"/>
      <c r="E1" s="346" t="s">
        <v>396</v>
      </c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8"/>
      <c r="Y1" s="346" t="s">
        <v>396</v>
      </c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8"/>
      <c r="AS1" s="346" t="s">
        <v>396</v>
      </c>
      <c r="AT1" s="347"/>
      <c r="AU1" s="347"/>
      <c r="AV1" s="347"/>
      <c r="AW1" s="347"/>
      <c r="AX1" s="347"/>
      <c r="AY1" s="347"/>
      <c r="AZ1" s="347"/>
      <c r="BA1" s="347"/>
      <c r="BB1" s="347"/>
      <c r="BC1" s="347"/>
      <c r="BD1" s="347"/>
      <c r="BE1" s="347"/>
      <c r="BF1" s="347"/>
      <c r="BG1" s="347"/>
      <c r="BH1" s="347"/>
      <c r="BI1" s="347"/>
      <c r="BJ1" s="347"/>
      <c r="BK1" s="347"/>
      <c r="BL1" s="348"/>
      <c r="BM1" s="334" t="s">
        <v>397</v>
      </c>
      <c r="BN1" s="335"/>
      <c r="BO1" s="335"/>
      <c r="BP1" s="335"/>
      <c r="BQ1" s="335"/>
      <c r="BR1" s="335"/>
      <c r="BS1" s="335"/>
      <c r="BT1" s="335"/>
      <c r="BU1" s="335"/>
      <c r="BV1" s="335"/>
      <c r="BW1" s="335"/>
      <c r="BX1" s="335"/>
      <c r="BY1" s="335"/>
      <c r="BZ1" s="335"/>
      <c r="CA1" s="335"/>
      <c r="CB1" s="336"/>
      <c r="CC1" s="207"/>
      <c r="CD1" s="207"/>
      <c r="CE1" s="207"/>
      <c r="CF1" s="207"/>
      <c r="CG1" s="334" t="s">
        <v>397</v>
      </c>
      <c r="CH1" s="335"/>
      <c r="CI1" s="335"/>
      <c r="CJ1" s="335"/>
      <c r="CK1" s="335"/>
      <c r="CL1" s="335"/>
      <c r="CM1" s="335"/>
      <c r="CN1" s="335"/>
      <c r="CO1" s="335"/>
      <c r="CP1" s="335"/>
      <c r="CQ1" s="335"/>
      <c r="CR1" s="335"/>
      <c r="CS1" s="335"/>
      <c r="CT1" s="335"/>
      <c r="CU1" s="335"/>
      <c r="CV1" s="336"/>
      <c r="CW1" s="334" t="s">
        <v>397</v>
      </c>
      <c r="CX1" s="335"/>
      <c r="CY1" s="335"/>
      <c r="CZ1" s="335"/>
      <c r="DA1" s="335"/>
      <c r="DB1" s="335"/>
      <c r="DC1" s="335"/>
      <c r="DD1" s="335"/>
      <c r="DE1" s="335"/>
      <c r="DF1" s="335"/>
      <c r="DG1" s="335"/>
      <c r="DH1" s="335"/>
      <c r="DI1" s="335"/>
      <c r="DJ1" s="335"/>
      <c r="DK1" s="335"/>
      <c r="DL1" s="336"/>
    </row>
    <row r="2" spans="2:116" s="109" customFormat="1" ht="15.75" customHeight="1" x14ac:dyDescent="0.3">
      <c r="B2" s="110" t="s">
        <v>465</v>
      </c>
      <c r="C2" s="110"/>
      <c r="D2" s="111"/>
      <c r="E2" s="340" t="s">
        <v>398</v>
      </c>
      <c r="F2" s="341"/>
      <c r="G2" s="341"/>
      <c r="H2" s="341"/>
      <c r="I2" s="341"/>
      <c r="J2" s="341"/>
      <c r="K2" s="341"/>
      <c r="L2" s="342"/>
      <c r="M2" s="343" t="s">
        <v>399</v>
      </c>
      <c r="N2" s="344"/>
      <c r="O2" s="344"/>
      <c r="P2" s="345"/>
      <c r="Q2" s="337" t="s">
        <v>400</v>
      </c>
      <c r="R2" s="338"/>
      <c r="S2" s="338"/>
      <c r="T2" s="338"/>
      <c r="U2" s="338"/>
      <c r="V2" s="338"/>
      <c r="W2" s="338"/>
      <c r="X2" s="339"/>
      <c r="Y2" s="340" t="s">
        <v>398</v>
      </c>
      <c r="Z2" s="341"/>
      <c r="AA2" s="341"/>
      <c r="AB2" s="341"/>
      <c r="AC2" s="341"/>
      <c r="AD2" s="341"/>
      <c r="AE2" s="341"/>
      <c r="AF2" s="342"/>
      <c r="AG2" s="343" t="s">
        <v>399</v>
      </c>
      <c r="AH2" s="344"/>
      <c r="AI2" s="344"/>
      <c r="AJ2" s="345"/>
      <c r="AK2" s="337" t="s">
        <v>400</v>
      </c>
      <c r="AL2" s="338"/>
      <c r="AM2" s="338"/>
      <c r="AN2" s="338"/>
      <c r="AO2" s="338"/>
      <c r="AP2" s="338"/>
      <c r="AQ2" s="338"/>
      <c r="AR2" s="339"/>
      <c r="AS2" s="340" t="s">
        <v>398</v>
      </c>
      <c r="AT2" s="341"/>
      <c r="AU2" s="341"/>
      <c r="AV2" s="341"/>
      <c r="AW2" s="341"/>
      <c r="AX2" s="341"/>
      <c r="AY2" s="341"/>
      <c r="AZ2" s="342"/>
      <c r="BA2" s="344"/>
      <c r="BB2" s="344"/>
      <c r="BC2" s="344"/>
      <c r="BD2" s="345"/>
      <c r="BE2" s="337" t="s">
        <v>400</v>
      </c>
      <c r="BF2" s="338"/>
      <c r="BG2" s="338"/>
      <c r="BH2" s="338"/>
      <c r="BI2" s="338"/>
      <c r="BJ2" s="338"/>
      <c r="BK2" s="338"/>
      <c r="BL2" s="339"/>
      <c r="BM2" s="340" t="s">
        <v>398</v>
      </c>
      <c r="BN2" s="341"/>
      <c r="BO2" s="341"/>
      <c r="BP2" s="341"/>
      <c r="BQ2" s="341"/>
      <c r="BR2" s="341"/>
      <c r="BS2" s="341"/>
      <c r="BT2" s="342"/>
      <c r="BU2" s="343" t="s">
        <v>399</v>
      </c>
      <c r="BV2" s="344"/>
      <c r="BW2" s="344"/>
      <c r="BX2" s="345"/>
      <c r="BY2" s="337" t="s">
        <v>400</v>
      </c>
      <c r="BZ2" s="338"/>
      <c r="CA2" s="338"/>
      <c r="CB2" s="339"/>
      <c r="CC2" s="337" t="s">
        <v>400</v>
      </c>
      <c r="CD2" s="338"/>
      <c r="CE2" s="338"/>
      <c r="CF2" s="339"/>
      <c r="CG2" s="340" t="s">
        <v>398</v>
      </c>
      <c r="CH2" s="341"/>
      <c r="CI2" s="341"/>
      <c r="CJ2" s="341"/>
      <c r="CK2" s="341"/>
      <c r="CL2" s="341"/>
      <c r="CM2" s="341"/>
      <c r="CN2" s="342"/>
      <c r="CO2" s="343" t="s">
        <v>399</v>
      </c>
      <c r="CP2" s="344"/>
      <c r="CQ2" s="344"/>
      <c r="CR2" s="345"/>
      <c r="CS2" s="337" t="s">
        <v>400</v>
      </c>
      <c r="CT2" s="338"/>
      <c r="CU2" s="338"/>
      <c r="CV2" s="339"/>
      <c r="CW2" s="340" t="s">
        <v>398</v>
      </c>
      <c r="CX2" s="341"/>
      <c r="CY2" s="341"/>
      <c r="CZ2" s="341"/>
      <c r="DA2" s="341"/>
      <c r="DB2" s="341"/>
      <c r="DC2" s="341"/>
      <c r="DD2" s="342"/>
      <c r="DE2" s="343" t="s">
        <v>399</v>
      </c>
      <c r="DF2" s="344"/>
      <c r="DG2" s="344"/>
      <c r="DH2" s="345"/>
      <c r="DI2" s="337" t="s">
        <v>400</v>
      </c>
      <c r="DJ2" s="338"/>
      <c r="DK2" s="338"/>
      <c r="DL2" s="339"/>
    </row>
    <row r="3" spans="2:116" s="109" customFormat="1" ht="15.75" customHeight="1" x14ac:dyDescent="0.3">
      <c r="B3" s="112" t="s">
        <v>466</v>
      </c>
      <c r="C3" s="112"/>
      <c r="D3" s="113"/>
      <c r="E3" s="322" t="s">
        <v>401</v>
      </c>
      <c r="F3" s="323"/>
      <c r="G3" s="323"/>
      <c r="H3" s="323"/>
      <c r="I3" s="323"/>
      <c r="J3" s="323"/>
      <c r="K3" s="323"/>
      <c r="L3" s="324"/>
      <c r="M3" s="322" t="s">
        <v>402</v>
      </c>
      <c r="N3" s="323"/>
      <c r="O3" s="323"/>
      <c r="P3" s="324"/>
      <c r="Q3" s="322" t="s">
        <v>402</v>
      </c>
      <c r="R3" s="323"/>
      <c r="S3" s="323"/>
      <c r="T3" s="323"/>
      <c r="U3" s="323"/>
      <c r="V3" s="323"/>
      <c r="W3" s="323"/>
      <c r="X3" s="324"/>
      <c r="Y3" s="325" t="s">
        <v>403</v>
      </c>
      <c r="Z3" s="326"/>
      <c r="AA3" s="326"/>
      <c r="AB3" s="326"/>
      <c r="AC3" s="326"/>
      <c r="AD3" s="326"/>
      <c r="AE3" s="326"/>
      <c r="AF3" s="327"/>
      <c r="AG3" s="325" t="s">
        <v>403</v>
      </c>
      <c r="AH3" s="326"/>
      <c r="AI3" s="326"/>
      <c r="AJ3" s="327"/>
      <c r="AK3" s="325" t="s">
        <v>403</v>
      </c>
      <c r="AL3" s="326"/>
      <c r="AM3" s="326"/>
      <c r="AN3" s="326"/>
      <c r="AO3" s="326"/>
      <c r="AP3" s="326"/>
      <c r="AQ3" s="326"/>
      <c r="AR3" s="327"/>
      <c r="AS3" s="328" t="s">
        <v>404</v>
      </c>
      <c r="AT3" s="329"/>
      <c r="AU3" s="329"/>
      <c r="AV3" s="329"/>
      <c r="AW3" s="329"/>
      <c r="AX3" s="329"/>
      <c r="AY3" s="329"/>
      <c r="AZ3" s="330"/>
      <c r="BA3" s="329"/>
      <c r="BB3" s="329"/>
      <c r="BC3" s="329"/>
      <c r="BD3" s="330"/>
      <c r="BE3" s="328" t="s">
        <v>404</v>
      </c>
      <c r="BF3" s="329"/>
      <c r="BG3" s="329"/>
      <c r="BH3" s="329"/>
      <c r="BI3" s="329"/>
      <c r="BJ3" s="329"/>
      <c r="BK3" s="329"/>
      <c r="BL3" s="330"/>
      <c r="BM3" s="322" t="s">
        <v>401</v>
      </c>
      <c r="BN3" s="323"/>
      <c r="BO3" s="323"/>
      <c r="BP3" s="323"/>
      <c r="BQ3" s="323"/>
      <c r="BR3" s="323"/>
      <c r="BS3" s="323"/>
      <c r="BT3" s="324"/>
      <c r="BU3" s="322" t="s">
        <v>402</v>
      </c>
      <c r="BV3" s="323"/>
      <c r="BW3" s="323"/>
      <c r="BX3" s="324"/>
      <c r="BY3" s="322" t="s">
        <v>402</v>
      </c>
      <c r="BZ3" s="323"/>
      <c r="CA3" s="323"/>
      <c r="CB3" s="324"/>
      <c r="CC3" s="331" t="s">
        <v>401</v>
      </c>
      <c r="CD3" s="332"/>
      <c r="CE3" s="332"/>
      <c r="CF3" s="333"/>
      <c r="CG3" s="325" t="s">
        <v>403</v>
      </c>
      <c r="CH3" s="326"/>
      <c r="CI3" s="326"/>
      <c r="CJ3" s="326"/>
      <c r="CK3" s="326"/>
      <c r="CL3" s="326"/>
      <c r="CM3" s="326"/>
      <c r="CN3" s="327"/>
      <c r="CO3" s="325" t="s">
        <v>403</v>
      </c>
      <c r="CP3" s="326"/>
      <c r="CQ3" s="326"/>
      <c r="CR3" s="327"/>
      <c r="CS3" s="325" t="s">
        <v>403</v>
      </c>
      <c r="CT3" s="326"/>
      <c r="CU3" s="326"/>
      <c r="CV3" s="327"/>
      <c r="CW3" s="328" t="s">
        <v>404</v>
      </c>
      <c r="CX3" s="329"/>
      <c r="CY3" s="329"/>
      <c r="CZ3" s="329"/>
      <c r="DA3" s="329"/>
      <c r="DB3" s="329"/>
      <c r="DC3" s="329"/>
      <c r="DD3" s="330"/>
      <c r="DE3" s="328" t="s">
        <v>404</v>
      </c>
      <c r="DF3" s="329"/>
      <c r="DG3" s="329"/>
      <c r="DH3" s="330"/>
      <c r="DI3" s="328" t="s">
        <v>613</v>
      </c>
      <c r="DJ3" s="329"/>
      <c r="DK3" s="329"/>
      <c r="DL3" s="330"/>
    </row>
    <row r="4" spans="2:116" x14ac:dyDescent="0.3">
      <c r="B4" s="349" t="s">
        <v>318</v>
      </c>
      <c r="C4" s="350"/>
      <c r="D4" s="351"/>
      <c r="E4" s="107" t="s">
        <v>319</v>
      </c>
      <c r="F4" s="20" t="s">
        <v>320</v>
      </c>
      <c r="G4" s="20" t="s">
        <v>321</v>
      </c>
      <c r="H4" s="20" t="s">
        <v>322</v>
      </c>
      <c r="I4" s="20" t="s">
        <v>323</v>
      </c>
      <c r="J4" s="20" t="s">
        <v>324</v>
      </c>
      <c r="K4" s="20" t="s">
        <v>325</v>
      </c>
      <c r="L4" s="21" t="s">
        <v>326</v>
      </c>
      <c r="M4" s="107" t="s">
        <v>343</v>
      </c>
      <c r="N4" s="20" t="s">
        <v>344</v>
      </c>
      <c r="O4" s="20" t="s">
        <v>345</v>
      </c>
      <c r="P4" s="21" t="s">
        <v>346</v>
      </c>
      <c r="Q4" s="107" t="s">
        <v>355</v>
      </c>
      <c r="R4" s="20" t="s">
        <v>355</v>
      </c>
      <c r="S4" s="20" t="s">
        <v>356</v>
      </c>
      <c r="T4" s="20" t="s">
        <v>356</v>
      </c>
      <c r="U4" s="20" t="s">
        <v>357</v>
      </c>
      <c r="V4" s="20" t="s">
        <v>357</v>
      </c>
      <c r="W4" s="20" t="s">
        <v>358</v>
      </c>
      <c r="X4" s="21" t="s">
        <v>358</v>
      </c>
      <c r="Y4" s="107" t="s">
        <v>327</v>
      </c>
      <c r="Z4" s="20" t="s">
        <v>328</v>
      </c>
      <c r="AA4" s="20" t="s">
        <v>329</v>
      </c>
      <c r="AB4" s="20" t="s">
        <v>330</v>
      </c>
      <c r="AC4" s="20" t="s">
        <v>331</v>
      </c>
      <c r="AD4" s="20" t="s">
        <v>332</v>
      </c>
      <c r="AE4" s="20" t="s">
        <v>333</v>
      </c>
      <c r="AF4" s="21" t="s">
        <v>334</v>
      </c>
      <c r="AG4" s="107" t="s">
        <v>347</v>
      </c>
      <c r="AH4" s="20" t="s">
        <v>348</v>
      </c>
      <c r="AI4" s="20" t="s">
        <v>349</v>
      </c>
      <c r="AJ4" s="21" t="s">
        <v>350</v>
      </c>
      <c r="AK4" s="107" t="s">
        <v>359</v>
      </c>
      <c r="AL4" s="107" t="s">
        <v>359</v>
      </c>
      <c r="AM4" s="20" t="s">
        <v>360</v>
      </c>
      <c r="AN4" s="20" t="s">
        <v>360</v>
      </c>
      <c r="AO4" s="20" t="s">
        <v>361</v>
      </c>
      <c r="AP4" s="20" t="s">
        <v>361</v>
      </c>
      <c r="AQ4" s="20" t="s">
        <v>362</v>
      </c>
      <c r="AR4" s="21" t="s">
        <v>362</v>
      </c>
      <c r="AS4" s="107" t="s">
        <v>335</v>
      </c>
      <c r="AT4" s="20" t="s">
        <v>336</v>
      </c>
      <c r="AU4" s="20" t="s">
        <v>337</v>
      </c>
      <c r="AV4" s="20" t="s">
        <v>338</v>
      </c>
      <c r="AW4" s="20" t="s">
        <v>339</v>
      </c>
      <c r="AX4" s="20" t="s">
        <v>340</v>
      </c>
      <c r="AY4" s="20" t="s">
        <v>341</v>
      </c>
      <c r="AZ4" s="21" t="s">
        <v>342</v>
      </c>
      <c r="BA4" s="20" t="s">
        <v>351</v>
      </c>
      <c r="BB4" s="20" t="s">
        <v>352</v>
      </c>
      <c r="BC4" s="20" t="s">
        <v>353</v>
      </c>
      <c r="BD4" s="21" t="s">
        <v>354</v>
      </c>
      <c r="BE4" s="107">
        <v>92304</v>
      </c>
      <c r="BF4" s="20">
        <v>92304</v>
      </c>
      <c r="BG4" s="20" t="s">
        <v>364</v>
      </c>
      <c r="BH4" s="20" t="s">
        <v>364</v>
      </c>
      <c r="BI4" s="20" t="s">
        <v>365</v>
      </c>
      <c r="BJ4" s="20" t="s">
        <v>365</v>
      </c>
      <c r="BK4" s="20">
        <v>98304</v>
      </c>
      <c r="BL4" s="21">
        <v>98304</v>
      </c>
      <c r="BM4" s="107" t="s">
        <v>367</v>
      </c>
      <c r="BN4" s="20" t="s">
        <v>368</v>
      </c>
      <c r="BO4" s="20" t="s">
        <v>369</v>
      </c>
      <c r="BP4" s="20" t="s">
        <v>370</v>
      </c>
      <c r="BQ4" s="20" t="s">
        <v>371</v>
      </c>
      <c r="BR4" s="20" t="s">
        <v>372</v>
      </c>
      <c r="BS4" s="20" t="s">
        <v>373</v>
      </c>
      <c r="BT4" s="21" t="s">
        <v>374</v>
      </c>
      <c r="BU4" s="107" t="s">
        <v>89</v>
      </c>
      <c r="BV4" s="20" t="s">
        <v>90</v>
      </c>
      <c r="BW4" s="20" t="s">
        <v>91</v>
      </c>
      <c r="BX4" s="21" t="s">
        <v>92</v>
      </c>
      <c r="BY4" s="107" t="s">
        <v>123</v>
      </c>
      <c r="BZ4" s="20" t="s">
        <v>124</v>
      </c>
      <c r="CA4" s="20" t="s">
        <v>125</v>
      </c>
      <c r="CB4" s="21" t="s">
        <v>126</v>
      </c>
      <c r="CC4" s="233" t="s">
        <v>601</v>
      </c>
      <c r="CD4" s="234" t="s">
        <v>614</v>
      </c>
      <c r="CE4" s="234" t="s">
        <v>602</v>
      </c>
      <c r="CF4" s="235" t="s">
        <v>603</v>
      </c>
      <c r="CG4" s="107" t="s">
        <v>375</v>
      </c>
      <c r="CH4" s="20" t="s">
        <v>376</v>
      </c>
      <c r="CI4" s="20" t="s">
        <v>377</v>
      </c>
      <c r="CJ4" s="20" t="s">
        <v>378</v>
      </c>
      <c r="CK4" s="20" t="s">
        <v>379</v>
      </c>
      <c r="CL4" s="20" t="s">
        <v>380</v>
      </c>
      <c r="CM4" s="20" t="s">
        <v>381</v>
      </c>
      <c r="CN4" s="21" t="s">
        <v>382</v>
      </c>
      <c r="CO4" s="107" t="s">
        <v>119</v>
      </c>
      <c r="CP4" s="107" t="s">
        <v>120</v>
      </c>
      <c r="CQ4" s="20" t="s">
        <v>121</v>
      </c>
      <c r="CR4" s="21" t="s">
        <v>122</v>
      </c>
      <c r="CS4" s="107" t="s">
        <v>127</v>
      </c>
      <c r="CT4" s="20" t="s">
        <v>159</v>
      </c>
      <c r="CU4" s="20" t="s">
        <v>128</v>
      </c>
      <c r="CV4" s="21" t="s">
        <v>129</v>
      </c>
      <c r="CW4" s="107" t="s">
        <v>383</v>
      </c>
      <c r="CX4" s="20" t="s">
        <v>384</v>
      </c>
      <c r="CY4" s="20" t="s">
        <v>385</v>
      </c>
      <c r="CZ4" s="20" t="s">
        <v>386</v>
      </c>
      <c r="DA4" s="20" t="s">
        <v>387</v>
      </c>
      <c r="DB4" s="20" t="s">
        <v>388</v>
      </c>
      <c r="DC4" s="20" t="s">
        <v>389</v>
      </c>
      <c r="DD4" s="21" t="s">
        <v>390</v>
      </c>
      <c r="DE4" s="107" t="s">
        <v>391</v>
      </c>
      <c r="DF4" s="20" t="s">
        <v>392</v>
      </c>
      <c r="DG4" s="20" t="s">
        <v>393</v>
      </c>
      <c r="DH4" s="21" t="s">
        <v>394</v>
      </c>
      <c r="DI4" s="107" t="s">
        <v>615</v>
      </c>
      <c r="DJ4" s="20" t="s">
        <v>616</v>
      </c>
      <c r="DK4" s="20" t="s">
        <v>617</v>
      </c>
      <c r="DL4" s="21" t="s">
        <v>618</v>
      </c>
    </row>
    <row r="5" spans="2:116" x14ac:dyDescent="0.3">
      <c r="B5" s="236" t="s">
        <v>619</v>
      </c>
      <c r="C5" s="237"/>
      <c r="D5" s="238"/>
      <c r="E5" s="239" t="s">
        <v>620</v>
      </c>
      <c r="F5" s="240" t="s">
        <v>620</v>
      </c>
      <c r="G5" s="240" t="s">
        <v>620</v>
      </c>
      <c r="H5" s="240" t="s">
        <v>620</v>
      </c>
      <c r="I5" s="240" t="s">
        <v>620</v>
      </c>
      <c r="J5" s="240" t="s">
        <v>620</v>
      </c>
      <c r="K5" s="240" t="s">
        <v>620</v>
      </c>
      <c r="L5" s="241" t="s">
        <v>620</v>
      </c>
      <c r="M5" s="239" t="s">
        <v>620</v>
      </c>
      <c r="N5" s="240" t="s">
        <v>620</v>
      </c>
      <c r="O5" s="240" t="s">
        <v>620</v>
      </c>
      <c r="P5" s="241" t="s">
        <v>620</v>
      </c>
      <c r="Q5" s="239" t="s">
        <v>620</v>
      </c>
      <c r="R5" s="240" t="s">
        <v>621</v>
      </c>
      <c r="S5" s="240" t="s">
        <v>620</v>
      </c>
      <c r="T5" s="240" t="s">
        <v>621</v>
      </c>
      <c r="U5" s="240" t="s">
        <v>620</v>
      </c>
      <c r="V5" s="240" t="s">
        <v>621</v>
      </c>
      <c r="W5" s="240" t="s">
        <v>620</v>
      </c>
      <c r="X5" s="241" t="s">
        <v>621</v>
      </c>
      <c r="Y5" s="239" t="s">
        <v>620</v>
      </c>
      <c r="Z5" s="240" t="s">
        <v>620</v>
      </c>
      <c r="AA5" s="240" t="s">
        <v>620</v>
      </c>
      <c r="AB5" s="240" t="s">
        <v>620</v>
      </c>
      <c r="AC5" s="240" t="s">
        <v>620</v>
      </c>
      <c r="AD5" s="240" t="s">
        <v>620</v>
      </c>
      <c r="AE5" s="240" t="s">
        <v>620</v>
      </c>
      <c r="AF5" s="241" t="s">
        <v>620</v>
      </c>
      <c r="AG5" s="239" t="s">
        <v>620</v>
      </c>
      <c r="AH5" s="240" t="s">
        <v>620</v>
      </c>
      <c r="AI5" s="240" t="s">
        <v>620</v>
      </c>
      <c r="AJ5" s="241" t="s">
        <v>620</v>
      </c>
      <c r="AK5" s="239" t="s">
        <v>620</v>
      </c>
      <c r="AL5" s="240" t="s">
        <v>621</v>
      </c>
      <c r="AM5" s="240" t="s">
        <v>620</v>
      </c>
      <c r="AN5" s="240" t="s">
        <v>621</v>
      </c>
      <c r="AO5" s="240" t="s">
        <v>620</v>
      </c>
      <c r="AP5" s="240" t="s">
        <v>621</v>
      </c>
      <c r="AQ5" s="240" t="s">
        <v>620</v>
      </c>
      <c r="AR5" s="241" t="s">
        <v>621</v>
      </c>
      <c r="AS5" s="239" t="s">
        <v>620</v>
      </c>
      <c r="AT5" s="240" t="s">
        <v>620</v>
      </c>
      <c r="AU5" s="240" t="s">
        <v>620</v>
      </c>
      <c r="AV5" s="240" t="s">
        <v>620</v>
      </c>
      <c r="AW5" s="240" t="s">
        <v>620</v>
      </c>
      <c r="AX5" s="240" t="s">
        <v>620</v>
      </c>
      <c r="AY5" s="240" t="s">
        <v>620</v>
      </c>
      <c r="AZ5" s="241" t="s">
        <v>620</v>
      </c>
      <c r="BA5" s="240" t="s">
        <v>620</v>
      </c>
      <c r="BB5" s="240" t="s">
        <v>620</v>
      </c>
      <c r="BC5" s="240" t="s">
        <v>620</v>
      </c>
      <c r="BD5" s="241" t="s">
        <v>620</v>
      </c>
      <c r="BE5" s="239" t="s">
        <v>620</v>
      </c>
      <c r="BF5" s="240" t="s">
        <v>621</v>
      </c>
      <c r="BG5" s="240" t="s">
        <v>620</v>
      </c>
      <c r="BH5" s="240" t="s">
        <v>621</v>
      </c>
      <c r="BI5" s="240" t="s">
        <v>620</v>
      </c>
      <c r="BJ5" s="240" t="s">
        <v>621</v>
      </c>
      <c r="BK5" s="240" t="s">
        <v>620</v>
      </c>
      <c r="BL5" s="241" t="s">
        <v>621</v>
      </c>
      <c r="BM5" s="239" t="s">
        <v>620</v>
      </c>
      <c r="BN5" s="240" t="s">
        <v>620</v>
      </c>
      <c r="BO5" s="240" t="s">
        <v>620</v>
      </c>
      <c r="BP5" s="240" t="s">
        <v>620</v>
      </c>
      <c r="BQ5" s="240" t="s">
        <v>620</v>
      </c>
      <c r="BR5" s="240" t="s">
        <v>620</v>
      </c>
      <c r="BS5" s="240" t="s">
        <v>620</v>
      </c>
      <c r="BT5" s="241" t="s">
        <v>620</v>
      </c>
      <c r="BU5" s="239" t="s">
        <v>620</v>
      </c>
      <c r="BV5" s="240" t="s">
        <v>620</v>
      </c>
      <c r="BW5" s="240" t="s">
        <v>620</v>
      </c>
      <c r="BX5" s="242" t="s">
        <v>620</v>
      </c>
      <c r="BY5" s="239" t="s">
        <v>620</v>
      </c>
      <c r="BZ5" s="240" t="s">
        <v>620</v>
      </c>
      <c r="CA5" s="240" t="s">
        <v>620</v>
      </c>
      <c r="CB5" s="241" t="s">
        <v>620</v>
      </c>
      <c r="CC5" s="229" t="s">
        <v>620</v>
      </c>
      <c r="CD5" s="229" t="s">
        <v>620</v>
      </c>
      <c r="CE5" s="229" t="s">
        <v>620</v>
      </c>
      <c r="CF5" s="229" t="s">
        <v>620</v>
      </c>
      <c r="CG5" s="239" t="s">
        <v>620</v>
      </c>
      <c r="CH5" s="240" t="s">
        <v>620</v>
      </c>
      <c r="CI5" s="240" t="s">
        <v>620</v>
      </c>
      <c r="CJ5" s="240" t="s">
        <v>620</v>
      </c>
      <c r="CK5" s="240" t="s">
        <v>620</v>
      </c>
      <c r="CL5" s="240" t="s">
        <v>620</v>
      </c>
      <c r="CM5" s="240" t="s">
        <v>620</v>
      </c>
      <c r="CN5" s="241" t="s">
        <v>620</v>
      </c>
      <c r="CO5" s="239" t="s">
        <v>620</v>
      </c>
      <c r="CP5" s="240" t="s">
        <v>620</v>
      </c>
      <c r="CQ5" s="240" t="s">
        <v>620</v>
      </c>
      <c r="CR5" s="242" t="s">
        <v>620</v>
      </c>
      <c r="CS5" s="239" t="s">
        <v>620</v>
      </c>
      <c r="CT5" s="240" t="s">
        <v>620</v>
      </c>
      <c r="CU5" s="240" t="s">
        <v>620</v>
      </c>
      <c r="CV5" s="241" t="s">
        <v>620</v>
      </c>
      <c r="CW5" s="239" t="s">
        <v>620</v>
      </c>
      <c r="CX5" s="240" t="s">
        <v>620</v>
      </c>
      <c r="CY5" s="240" t="s">
        <v>620</v>
      </c>
      <c r="CZ5" s="240" t="s">
        <v>620</v>
      </c>
      <c r="DA5" s="240" t="s">
        <v>620</v>
      </c>
      <c r="DB5" s="240" t="s">
        <v>620</v>
      </c>
      <c r="DC5" s="240" t="s">
        <v>620</v>
      </c>
      <c r="DD5" s="241" t="s">
        <v>620</v>
      </c>
      <c r="DE5" s="239" t="s">
        <v>620</v>
      </c>
      <c r="DF5" s="240" t="s">
        <v>620</v>
      </c>
      <c r="DG5" s="240" t="s">
        <v>620</v>
      </c>
      <c r="DH5" s="241" t="s">
        <v>620</v>
      </c>
      <c r="DI5" s="239" t="s">
        <v>620</v>
      </c>
      <c r="DJ5" s="240" t="s">
        <v>620</v>
      </c>
      <c r="DK5" s="240" t="s">
        <v>620</v>
      </c>
      <c r="DL5" s="241" t="s">
        <v>620</v>
      </c>
    </row>
    <row r="6" spans="2:116" ht="16.2" x14ac:dyDescent="0.3">
      <c r="B6" s="22" t="s">
        <v>130</v>
      </c>
      <c r="C6" s="23" t="s">
        <v>93</v>
      </c>
      <c r="D6" s="23" t="s">
        <v>32</v>
      </c>
      <c r="E6" s="102">
        <v>5.8</v>
      </c>
      <c r="F6" s="97">
        <v>11.6</v>
      </c>
      <c r="G6" s="97">
        <v>17.5</v>
      </c>
      <c r="H6" s="97">
        <v>22</v>
      </c>
      <c r="I6" s="97">
        <v>25.5</v>
      </c>
      <c r="J6" s="97">
        <v>30</v>
      </c>
      <c r="K6" s="97">
        <v>34.200000000000003</v>
      </c>
      <c r="L6" s="30">
        <v>38.700000000000003</v>
      </c>
      <c r="M6" s="102">
        <v>32.5</v>
      </c>
      <c r="N6" s="97">
        <v>60</v>
      </c>
      <c r="O6" s="97">
        <v>82</v>
      </c>
      <c r="P6" s="30">
        <v>102</v>
      </c>
      <c r="Q6" s="102">
        <v>100</v>
      </c>
      <c r="R6" s="97">
        <v>153</v>
      </c>
      <c r="S6" s="97">
        <v>182</v>
      </c>
      <c r="T6" s="97">
        <v>270</v>
      </c>
      <c r="U6" s="97">
        <v>270</v>
      </c>
      <c r="V6" s="97">
        <v>400</v>
      </c>
      <c r="W6" s="97">
        <v>340</v>
      </c>
      <c r="X6" s="30">
        <v>493</v>
      </c>
      <c r="Y6" s="102">
        <v>5.8</v>
      </c>
      <c r="Z6" s="97">
        <v>11.6</v>
      </c>
      <c r="AA6" s="97">
        <v>17.5</v>
      </c>
      <c r="AB6" s="97">
        <v>22</v>
      </c>
      <c r="AC6" s="97">
        <v>25.5</v>
      </c>
      <c r="AD6" s="97">
        <v>30</v>
      </c>
      <c r="AE6" s="97">
        <v>34.200000000000003</v>
      </c>
      <c r="AF6" s="30">
        <v>38.700000000000003</v>
      </c>
      <c r="AG6" s="102">
        <v>32.5</v>
      </c>
      <c r="AH6" s="97">
        <v>60</v>
      </c>
      <c r="AI6" s="97">
        <v>82</v>
      </c>
      <c r="AJ6" s="30">
        <v>102</v>
      </c>
      <c r="AK6" s="102">
        <v>100</v>
      </c>
      <c r="AL6" s="97">
        <v>151</v>
      </c>
      <c r="AM6" s="97">
        <v>182</v>
      </c>
      <c r="AN6" s="97">
        <v>270</v>
      </c>
      <c r="AO6" s="97">
        <v>270</v>
      </c>
      <c r="AP6" s="97">
        <v>400</v>
      </c>
      <c r="AQ6" s="97">
        <v>340</v>
      </c>
      <c r="AR6" s="30">
        <v>493</v>
      </c>
      <c r="AS6" s="102">
        <v>5.8</v>
      </c>
      <c r="AT6" s="97">
        <v>11.6</v>
      </c>
      <c r="AU6" s="97">
        <v>17.5</v>
      </c>
      <c r="AV6" s="97">
        <v>22</v>
      </c>
      <c r="AW6" s="97">
        <v>25.5</v>
      </c>
      <c r="AX6" s="97">
        <v>30</v>
      </c>
      <c r="AY6" s="97">
        <v>34.200000000000003</v>
      </c>
      <c r="AZ6" s="30">
        <v>38.700000000000003</v>
      </c>
      <c r="BA6" s="97">
        <v>32.5</v>
      </c>
      <c r="BB6" s="97">
        <v>60</v>
      </c>
      <c r="BC6" s="97">
        <v>82</v>
      </c>
      <c r="BD6" s="30">
        <v>102</v>
      </c>
      <c r="BE6" s="102">
        <v>100</v>
      </c>
      <c r="BF6" s="97">
        <v>151</v>
      </c>
      <c r="BG6" s="97">
        <v>182</v>
      </c>
      <c r="BH6" s="97">
        <v>270</v>
      </c>
      <c r="BI6" s="97">
        <v>270</v>
      </c>
      <c r="BJ6" s="97">
        <v>400</v>
      </c>
      <c r="BK6" s="97">
        <v>340</v>
      </c>
      <c r="BL6" s="30">
        <v>493</v>
      </c>
      <c r="BM6" s="102">
        <v>8.1199999999999992</v>
      </c>
      <c r="BN6" s="97">
        <v>15.4</v>
      </c>
      <c r="BO6" s="97">
        <v>23</v>
      </c>
      <c r="BP6" s="97">
        <v>31</v>
      </c>
      <c r="BQ6" s="97">
        <v>37</v>
      </c>
      <c r="BR6" s="97">
        <v>42</v>
      </c>
      <c r="BS6" s="97">
        <v>48</v>
      </c>
      <c r="BT6" s="30">
        <v>54</v>
      </c>
      <c r="BU6" s="102">
        <v>45</v>
      </c>
      <c r="BV6" s="97">
        <v>89</v>
      </c>
      <c r="BW6" s="97">
        <v>130</v>
      </c>
      <c r="BX6" s="24">
        <v>163</v>
      </c>
      <c r="BY6" s="102">
        <v>145</v>
      </c>
      <c r="BZ6" s="97">
        <v>310</v>
      </c>
      <c r="CA6" s="97">
        <v>440</v>
      </c>
      <c r="CB6" s="24">
        <v>580</v>
      </c>
      <c r="CC6" s="97">
        <v>310</v>
      </c>
      <c r="CD6" s="97">
        <v>440</v>
      </c>
      <c r="CE6" s="97">
        <v>470</v>
      </c>
      <c r="CF6" s="97">
        <v>520</v>
      </c>
      <c r="CG6" s="102">
        <v>8.1199999999999992</v>
      </c>
      <c r="CH6" s="97">
        <v>15.4</v>
      </c>
      <c r="CI6" s="97">
        <v>23</v>
      </c>
      <c r="CJ6" s="97">
        <v>31</v>
      </c>
      <c r="CK6" s="97">
        <v>37</v>
      </c>
      <c r="CL6" s="97">
        <v>42</v>
      </c>
      <c r="CM6" s="97">
        <v>48</v>
      </c>
      <c r="CN6" s="30">
        <v>54</v>
      </c>
      <c r="CO6" s="102">
        <v>45</v>
      </c>
      <c r="CP6" s="97">
        <v>89</v>
      </c>
      <c r="CQ6" s="97">
        <v>130</v>
      </c>
      <c r="CR6" s="24">
        <v>163</v>
      </c>
      <c r="CS6" s="102">
        <v>145</v>
      </c>
      <c r="CT6" s="97">
        <v>310</v>
      </c>
      <c r="CU6" s="97">
        <v>440</v>
      </c>
      <c r="CV6" s="24">
        <v>580</v>
      </c>
      <c r="CW6" s="102">
        <v>8.1199999999999992</v>
      </c>
      <c r="CX6" s="97">
        <v>15.4</v>
      </c>
      <c r="CY6" s="97">
        <v>23</v>
      </c>
      <c r="CZ6" s="97">
        <v>31</v>
      </c>
      <c r="DA6" s="97">
        <v>37</v>
      </c>
      <c r="DB6" s="97">
        <v>42</v>
      </c>
      <c r="DC6" s="97">
        <v>48</v>
      </c>
      <c r="DD6" s="30">
        <v>54</v>
      </c>
      <c r="DE6" s="102">
        <v>45</v>
      </c>
      <c r="DF6" s="97">
        <v>89</v>
      </c>
      <c r="DG6" s="97">
        <v>130</v>
      </c>
      <c r="DH6" s="30">
        <v>163</v>
      </c>
      <c r="DI6" s="102">
        <v>145</v>
      </c>
      <c r="DJ6" s="97">
        <v>300</v>
      </c>
      <c r="DK6" s="97">
        <v>440</v>
      </c>
      <c r="DL6" s="30">
        <v>580</v>
      </c>
    </row>
    <row r="7" spans="2:116" s="201" customFormat="1" ht="16.2" x14ac:dyDescent="0.3">
      <c r="B7" s="25" t="s">
        <v>131</v>
      </c>
      <c r="C7" s="26" t="s">
        <v>29</v>
      </c>
      <c r="D7" s="26" t="s">
        <v>30</v>
      </c>
      <c r="E7" s="41">
        <v>879.64594300514204</v>
      </c>
      <c r="F7" s="96">
        <v>1602.2122533307945</v>
      </c>
      <c r="G7" s="96">
        <v>2591.8139392115795</v>
      </c>
      <c r="H7" s="96">
        <v>3220.1324699295383</v>
      </c>
      <c r="I7" s="96">
        <v>3769.9111843077517</v>
      </c>
      <c r="J7" s="96">
        <v>4319.689898685966</v>
      </c>
      <c r="K7" s="96">
        <v>4790.9287967244345</v>
      </c>
      <c r="L7" s="27">
        <v>5262.1676947629039</v>
      </c>
      <c r="M7" s="41">
        <v>3299</v>
      </c>
      <c r="N7" s="96">
        <v>5864</v>
      </c>
      <c r="O7" s="96">
        <v>7540</v>
      </c>
      <c r="P7" s="27">
        <v>9425</v>
      </c>
      <c r="Q7" s="41">
        <v>9738.9372261283588</v>
      </c>
      <c r="R7" s="96">
        <v>14870.205226991688</v>
      </c>
      <c r="S7" s="96">
        <v>15707.963267948964</v>
      </c>
      <c r="T7" s="96">
        <v>24085.543677521746</v>
      </c>
      <c r="U7" s="96">
        <v>21467.54979953025</v>
      </c>
      <c r="V7" s="96">
        <v>33510.321638291127</v>
      </c>
      <c r="W7" s="96">
        <v>28274.333882308136</v>
      </c>
      <c r="X7" s="27">
        <v>38746.309394274111</v>
      </c>
      <c r="Y7" s="41">
        <v>1151.9173063162575</v>
      </c>
      <c r="Z7" s="96">
        <v>2094.3951023931954</v>
      </c>
      <c r="AA7" s="96">
        <v>3351.0321638291125</v>
      </c>
      <c r="AB7" s="96">
        <v>4188.7902047863909</v>
      </c>
      <c r="AC7" s="96">
        <v>4879.9405885761453</v>
      </c>
      <c r="AD7" s="96">
        <v>5361.6514621265806</v>
      </c>
      <c r="AE7" s="96">
        <v>5843.3623356770149</v>
      </c>
      <c r="AF7" s="27">
        <v>6366.9611112753137</v>
      </c>
      <c r="AG7" s="41">
        <v>6388</v>
      </c>
      <c r="AH7" s="96">
        <v>10681</v>
      </c>
      <c r="AI7" s="96">
        <v>12985</v>
      </c>
      <c r="AJ7" s="27">
        <v>15980</v>
      </c>
      <c r="AK7" s="41">
        <v>15917.402778188285</v>
      </c>
      <c r="AL7" s="96">
        <v>27227.136331111538</v>
      </c>
      <c r="AM7" s="96">
        <v>23666.664657043108</v>
      </c>
      <c r="AN7" s="96">
        <v>43982.297150257102</v>
      </c>
      <c r="AO7" s="96">
        <v>24085.543677521746</v>
      </c>
      <c r="AP7" s="96">
        <v>69115.038378975441</v>
      </c>
      <c r="AQ7" s="96">
        <v>27227.136331111538</v>
      </c>
      <c r="AR7" s="96">
        <v>71628.312501847278</v>
      </c>
      <c r="AS7" s="41">
        <v>1696.4600329384884</v>
      </c>
      <c r="AT7" s="96">
        <v>3078.7608005179977</v>
      </c>
      <c r="AU7" s="96">
        <v>4429.6456415616085</v>
      </c>
      <c r="AV7" s="96">
        <v>5183.627878423159</v>
      </c>
      <c r="AW7" s="96">
        <v>5811.9464091411173</v>
      </c>
      <c r="AX7" s="96">
        <v>6283.1853071795867</v>
      </c>
      <c r="AY7" s="96">
        <v>6691.5923521462601</v>
      </c>
      <c r="AZ7" s="27">
        <v>6974.3356909693412</v>
      </c>
      <c r="BA7" s="96">
        <v>9268</v>
      </c>
      <c r="BB7" s="96">
        <v>13823</v>
      </c>
      <c r="BC7" s="96">
        <v>16650</v>
      </c>
      <c r="BD7" s="27">
        <v>20420</v>
      </c>
      <c r="BE7" s="41">
        <v>18849.555921538758</v>
      </c>
      <c r="BF7" s="96">
        <v>29216.811678385078</v>
      </c>
      <c r="BG7" s="96">
        <v>14137.16694115407</v>
      </c>
      <c r="BH7" s="96">
        <v>47123.889803846898</v>
      </c>
      <c r="BI7" s="96">
        <v>0</v>
      </c>
      <c r="BJ7" s="96">
        <v>70685.83470577035</v>
      </c>
      <c r="BK7" s="96">
        <v>0</v>
      </c>
      <c r="BL7" s="96">
        <v>76969.020012949928</v>
      </c>
      <c r="BM7" s="41">
        <v>1165.5308744818133</v>
      </c>
      <c r="BN7" s="96">
        <v>2295.9058311734552</v>
      </c>
      <c r="BO7" s="96">
        <v>3455.7519189487725</v>
      </c>
      <c r="BP7" s="96">
        <v>4555.3093477051998</v>
      </c>
      <c r="BQ7" s="96">
        <v>5340.7075111026488</v>
      </c>
      <c r="BR7" s="96">
        <v>6126.1056745000969</v>
      </c>
      <c r="BS7" s="96">
        <v>6958.6277277013914</v>
      </c>
      <c r="BT7" s="27">
        <v>7696.9020012949932</v>
      </c>
      <c r="BU7" s="41">
        <v>4472</v>
      </c>
      <c r="BV7" s="96">
        <v>9111</v>
      </c>
      <c r="BW7" s="96">
        <v>12985</v>
      </c>
      <c r="BX7" s="27">
        <v>16127</v>
      </c>
      <c r="BY7" s="41">
        <v>14974.924982111346</v>
      </c>
      <c r="BZ7" s="96">
        <v>30368.728984701331</v>
      </c>
      <c r="CA7" s="96">
        <v>41364.303272265606</v>
      </c>
      <c r="CB7" s="27">
        <v>55501.470213419678</v>
      </c>
      <c r="CC7" s="96">
        <v>40841</v>
      </c>
      <c r="CD7" s="96">
        <v>58591</v>
      </c>
      <c r="CE7" s="96">
        <v>62831</v>
      </c>
      <c r="CF7" s="96">
        <v>72257</v>
      </c>
      <c r="CG7" s="41">
        <v>1466.0765716752367</v>
      </c>
      <c r="CH7" s="96">
        <v>2932.1531433504733</v>
      </c>
      <c r="CI7" s="96">
        <v>4502.9494701453696</v>
      </c>
      <c r="CJ7" s="96">
        <v>5864.3062867009467</v>
      </c>
      <c r="CK7" s="96">
        <v>6806.7840827778846</v>
      </c>
      <c r="CL7" s="96">
        <v>7853.9816339744821</v>
      </c>
      <c r="CM7" s="96">
        <v>8796.45943005142</v>
      </c>
      <c r="CN7" s="27">
        <v>9843.6569812480175</v>
      </c>
      <c r="CO7" s="41">
        <v>8796</v>
      </c>
      <c r="CP7" s="96">
        <v>17802</v>
      </c>
      <c r="CQ7" s="96">
        <v>24714</v>
      </c>
      <c r="CR7" s="27">
        <v>30159</v>
      </c>
      <c r="CS7" s="41">
        <v>26179.938779914941</v>
      </c>
      <c r="CT7" s="96">
        <v>54454.272662223077</v>
      </c>
      <c r="CU7" s="96">
        <v>73303.828583761831</v>
      </c>
      <c r="CV7" s="27">
        <v>98436.569812480186</v>
      </c>
      <c r="CW7" s="41">
        <v>1979.2033717615698</v>
      </c>
      <c r="CX7" s="96">
        <v>3958.4067435231395</v>
      </c>
      <c r="CY7" s="96">
        <v>6126.1056745000969</v>
      </c>
      <c r="CZ7" s="96">
        <v>7539.8223686155034</v>
      </c>
      <c r="DA7" s="96">
        <v>8953.5390627309116</v>
      </c>
      <c r="DB7" s="96">
        <v>10367.255756846318</v>
      </c>
      <c r="DC7" s="96">
        <v>11309.733552923255</v>
      </c>
      <c r="DD7" s="27">
        <v>12252.211349000194</v>
      </c>
      <c r="DE7" s="41">
        <v>13509</v>
      </c>
      <c r="DF7" s="96">
        <v>25133</v>
      </c>
      <c r="DG7" s="96">
        <v>34872</v>
      </c>
      <c r="DH7" s="27">
        <v>43040</v>
      </c>
      <c r="DI7" s="41">
        <v>34306.191777200533</v>
      </c>
      <c r="DJ7" s="96">
        <v>67439.522297060888</v>
      </c>
      <c r="DK7" s="96">
        <v>87964.594300514189</v>
      </c>
      <c r="DL7" s="27">
        <v>93828.900587215147</v>
      </c>
    </row>
    <row r="8" spans="2:116" ht="16.2" x14ac:dyDescent="0.3">
      <c r="B8" s="202" t="s">
        <v>152</v>
      </c>
      <c r="C8" s="203" t="s">
        <v>31</v>
      </c>
      <c r="D8" s="203" t="s">
        <v>32</v>
      </c>
      <c r="E8" s="204">
        <v>5.6</v>
      </c>
      <c r="F8" s="205">
        <v>10.199999999999999</v>
      </c>
      <c r="G8" s="205">
        <v>16.5</v>
      </c>
      <c r="H8" s="205">
        <v>20.5</v>
      </c>
      <c r="I8" s="205">
        <v>24</v>
      </c>
      <c r="J8" s="205">
        <v>27.5</v>
      </c>
      <c r="K8" s="205">
        <v>30.5</v>
      </c>
      <c r="L8" s="206">
        <v>33.5</v>
      </c>
      <c r="M8" s="204">
        <v>31.5</v>
      </c>
      <c r="N8" s="205">
        <v>56</v>
      </c>
      <c r="O8" s="205">
        <v>72</v>
      </c>
      <c r="P8" s="206">
        <v>90</v>
      </c>
      <c r="Q8" s="204">
        <v>93</v>
      </c>
      <c r="R8" s="205">
        <v>142</v>
      </c>
      <c r="S8" s="205">
        <v>150</v>
      </c>
      <c r="T8" s="205">
        <v>230</v>
      </c>
      <c r="U8" s="205">
        <v>205</v>
      </c>
      <c r="V8" s="205">
        <v>320</v>
      </c>
      <c r="W8" s="205">
        <v>270</v>
      </c>
      <c r="X8" s="206">
        <v>370</v>
      </c>
      <c r="Y8" s="204">
        <v>5.5</v>
      </c>
      <c r="Z8" s="205">
        <v>10</v>
      </c>
      <c r="AA8" s="205">
        <v>16</v>
      </c>
      <c r="AB8" s="205">
        <v>20</v>
      </c>
      <c r="AC8" s="205">
        <v>23.3</v>
      </c>
      <c r="AD8" s="205">
        <v>25.6</v>
      </c>
      <c r="AE8" s="205">
        <v>27.9</v>
      </c>
      <c r="AF8" s="206">
        <v>30.4</v>
      </c>
      <c r="AG8" s="204">
        <v>30.5</v>
      </c>
      <c r="AH8" s="205">
        <v>51</v>
      </c>
      <c r="AI8" s="205">
        <v>62</v>
      </c>
      <c r="AJ8" s="206">
        <v>76.3</v>
      </c>
      <c r="AK8" s="204">
        <v>76</v>
      </c>
      <c r="AL8" s="205">
        <v>130</v>
      </c>
      <c r="AM8" s="205">
        <v>113</v>
      </c>
      <c r="AN8" s="205">
        <v>210</v>
      </c>
      <c r="AO8" s="205">
        <v>115</v>
      </c>
      <c r="AP8" s="205">
        <v>330</v>
      </c>
      <c r="AQ8" s="205">
        <v>130</v>
      </c>
      <c r="AR8" s="206">
        <v>342</v>
      </c>
      <c r="AS8" s="204">
        <v>5.4</v>
      </c>
      <c r="AT8" s="205">
        <v>9.8000000000000007</v>
      </c>
      <c r="AU8" s="205">
        <v>14.1</v>
      </c>
      <c r="AV8" s="205">
        <v>16.5</v>
      </c>
      <c r="AW8" s="205">
        <v>18.5</v>
      </c>
      <c r="AX8" s="205">
        <v>20</v>
      </c>
      <c r="AY8" s="205">
        <v>21.3</v>
      </c>
      <c r="AZ8" s="206">
        <v>22.2</v>
      </c>
      <c r="BA8" s="205">
        <v>29.5</v>
      </c>
      <c r="BB8" s="205">
        <v>44</v>
      </c>
      <c r="BC8" s="205">
        <v>53</v>
      </c>
      <c r="BD8" s="206">
        <v>65</v>
      </c>
      <c r="BE8" s="204">
        <v>60</v>
      </c>
      <c r="BF8" s="205">
        <v>93</v>
      </c>
      <c r="BG8" s="205">
        <v>45</v>
      </c>
      <c r="BH8" s="205">
        <v>150</v>
      </c>
      <c r="BI8" s="205">
        <v>0</v>
      </c>
      <c r="BJ8" s="205">
        <v>225</v>
      </c>
      <c r="BK8" s="205">
        <v>0</v>
      </c>
      <c r="BL8" s="206">
        <v>245</v>
      </c>
      <c r="BM8" s="204">
        <v>7.42</v>
      </c>
      <c r="BN8" s="205">
        <v>14.616190476190477</v>
      </c>
      <c r="BO8" s="205">
        <v>22</v>
      </c>
      <c r="BP8" s="205">
        <v>29</v>
      </c>
      <c r="BQ8" s="205">
        <v>34</v>
      </c>
      <c r="BR8" s="205">
        <v>39</v>
      </c>
      <c r="BS8" s="205">
        <v>44.3</v>
      </c>
      <c r="BT8" s="206">
        <v>49</v>
      </c>
      <c r="BU8" s="204">
        <v>42.7</v>
      </c>
      <c r="BV8" s="205">
        <v>87</v>
      </c>
      <c r="BW8" s="205">
        <v>124</v>
      </c>
      <c r="BX8" s="206">
        <v>154</v>
      </c>
      <c r="BY8" s="204">
        <v>143</v>
      </c>
      <c r="BZ8" s="205">
        <v>290</v>
      </c>
      <c r="CA8" s="205">
        <v>395</v>
      </c>
      <c r="CB8" s="206">
        <v>530</v>
      </c>
      <c r="CC8" s="205">
        <v>260</v>
      </c>
      <c r="CD8" s="205">
        <v>373</v>
      </c>
      <c r="CE8" s="205">
        <v>400</v>
      </c>
      <c r="CF8" s="205">
        <v>460</v>
      </c>
      <c r="CG8" s="204">
        <v>7</v>
      </c>
      <c r="CH8" s="205">
        <v>14</v>
      </c>
      <c r="CI8" s="205">
        <v>21.5</v>
      </c>
      <c r="CJ8" s="205">
        <v>28</v>
      </c>
      <c r="CK8" s="205">
        <v>32.5</v>
      </c>
      <c r="CL8" s="205">
        <v>37.5</v>
      </c>
      <c r="CM8" s="205">
        <v>42</v>
      </c>
      <c r="CN8" s="206">
        <v>47</v>
      </c>
      <c r="CO8" s="204">
        <v>42</v>
      </c>
      <c r="CP8" s="205">
        <v>85</v>
      </c>
      <c r="CQ8" s="205">
        <v>118</v>
      </c>
      <c r="CR8" s="206">
        <v>144</v>
      </c>
      <c r="CS8" s="204">
        <v>125</v>
      </c>
      <c r="CT8" s="205">
        <v>260</v>
      </c>
      <c r="CU8" s="205">
        <v>350</v>
      </c>
      <c r="CV8" s="206">
        <v>470</v>
      </c>
      <c r="CW8" s="204">
        <v>6.3</v>
      </c>
      <c r="CX8" s="205">
        <v>12.6</v>
      </c>
      <c r="CY8" s="205">
        <v>19.5</v>
      </c>
      <c r="CZ8" s="205">
        <v>24</v>
      </c>
      <c r="DA8" s="205">
        <v>28.5</v>
      </c>
      <c r="DB8" s="205">
        <v>33</v>
      </c>
      <c r="DC8" s="205">
        <v>36</v>
      </c>
      <c r="DD8" s="206">
        <v>39</v>
      </c>
      <c r="DE8" s="204">
        <v>43</v>
      </c>
      <c r="DF8" s="205">
        <v>80</v>
      </c>
      <c r="DG8" s="205">
        <v>111</v>
      </c>
      <c r="DH8" s="206">
        <v>137</v>
      </c>
      <c r="DI8" s="204">
        <v>117</v>
      </c>
      <c r="DJ8" s="205">
        <v>230</v>
      </c>
      <c r="DK8" s="205">
        <v>300</v>
      </c>
      <c r="DL8" s="206">
        <v>320</v>
      </c>
    </row>
    <row r="9" spans="2:116" s="201" customFormat="1" x14ac:dyDescent="0.3">
      <c r="B9" s="25" t="s">
        <v>33</v>
      </c>
      <c r="C9" s="26" t="s">
        <v>94</v>
      </c>
      <c r="D9" s="26" t="s">
        <v>34</v>
      </c>
      <c r="E9" s="103">
        <v>1500</v>
      </c>
      <c r="F9" s="98">
        <v>1500</v>
      </c>
      <c r="G9" s="98">
        <v>1500</v>
      </c>
      <c r="H9" s="98">
        <v>1500</v>
      </c>
      <c r="I9" s="98">
        <v>1500</v>
      </c>
      <c r="J9" s="98">
        <v>1500</v>
      </c>
      <c r="K9" s="98">
        <v>1500</v>
      </c>
      <c r="L9" s="29">
        <v>1500</v>
      </c>
      <c r="M9" s="103">
        <v>1000</v>
      </c>
      <c r="N9" s="98">
        <v>1000</v>
      </c>
      <c r="O9" s="98">
        <v>1000</v>
      </c>
      <c r="P9" s="29">
        <v>1000</v>
      </c>
      <c r="Q9" s="103">
        <v>1000</v>
      </c>
      <c r="R9" s="98">
        <v>1000</v>
      </c>
      <c r="S9" s="98">
        <v>1000</v>
      </c>
      <c r="T9" s="98">
        <v>1000</v>
      </c>
      <c r="U9" s="98">
        <v>1000</v>
      </c>
      <c r="V9" s="98">
        <v>1000</v>
      </c>
      <c r="W9" s="98">
        <v>1000</v>
      </c>
      <c r="X9" s="29">
        <v>1000</v>
      </c>
      <c r="Y9" s="103">
        <v>2000</v>
      </c>
      <c r="Z9" s="98">
        <v>2000</v>
      </c>
      <c r="AA9" s="98">
        <v>2000</v>
      </c>
      <c r="AB9" s="98">
        <v>2000</v>
      </c>
      <c r="AC9" s="98">
        <v>2000</v>
      </c>
      <c r="AD9" s="98">
        <v>2000</v>
      </c>
      <c r="AE9" s="98">
        <v>2000</v>
      </c>
      <c r="AF9" s="29">
        <v>2000</v>
      </c>
      <c r="AG9" s="103">
        <v>2000</v>
      </c>
      <c r="AH9" s="98">
        <v>2000</v>
      </c>
      <c r="AI9" s="98">
        <v>2000</v>
      </c>
      <c r="AJ9" s="29">
        <v>2000</v>
      </c>
      <c r="AK9" s="103">
        <v>2000</v>
      </c>
      <c r="AL9" s="98">
        <v>2000</v>
      </c>
      <c r="AM9" s="98">
        <v>2000</v>
      </c>
      <c r="AN9" s="98">
        <v>2000</v>
      </c>
      <c r="AO9" s="98">
        <v>2000</v>
      </c>
      <c r="AP9" s="98">
        <v>2000</v>
      </c>
      <c r="AQ9" s="98">
        <v>2000</v>
      </c>
      <c r="AR9" s="29">
        <v>2000</v>
      </c>
      <c r="AS9" s="103">
        <v>3000</v>
      </c>
      <c r="AT9" s="98">
        <v>3000</v>
      </c>
      <c r="AU9" s="98">
        <v>3000</v>
      </c>
      <c r="AV9" s="98">
        <v>3000</v>
      </c>
      <c r="AW9" s="98">
        <v>3000</v>
      </c>
      <c r="AX9" s="98">
        <v>3000</v>
      </c>
      <c r="AY9" s="98">
        <v>3000</v>
      </c>
      <c r="AZ9" s="29">
        <v>3000</v>
      </c>
      <c r="BA9" s="98">
        <v>3000</v>
      </c>
      <c r="BB9" s="98">
        <v>3000</v>
      </c>
      <c r="BC9" s="98">
        <v>3000</v>
      </c>
      <c r="BD9" s="29">
        <v>3000</v>
      </c>
      <c r="BE9" s="103">
        <v>3000</v>
      </c>
      <c r="BF9" s="98">
        <v>3000</v>
      </c>
      <c r="BG9" s="98">
        <v>3000</v>
      </c>
      <c r="BH9" s="98">
        <v>3000</v>
      </c>
      <c r="BI9" s="98">
        <v>3000</v>
      </c>
      <c r="BJ9" s="98">
        <v>3000</v>
      </c>
      <c r="BK9" s="98">
        <v>3000</v>
      </c>
      <c r="BL9" s="29">
        <v>3000</v>
      </c>
      <c r="BM9" s="103">
        <v>1500</v>
      </c>
      <c r="BN9" s="98">
        <v>1500</v>
      </c>
      <c r="BO9" s="98">
        <v>1500</v>
      </c>
      <c r="BP9" s="98">
        <v>1500</v>
      </c>
      <c r="BQ9" s="98">
        <v>1500</v>
      </c>
      <c r="BR9" s="98">
        <v>1500</v>
      </c>
      <c r="BS9" s="98">
        <v>1500</v>
      </c>
      <c r="BT9" s="29">
        <v>1500</v>
      </c>
      <c r="BU9" s="103">
        <v>1000</v>
      </c>
      <c r="BV9" s="98">
        <v>1000</v>
      </c>
      <c r="BW9" s="98">
        <v>1000</v>
      </c>
      <c r="BX9" s="29">
        <v>1000</v>
      </c>
      <c r="BY9" s="103">
        <v>1000</v>
      </c>
      <c r="BZ9" s="98">
        <v>1000</v>
      </c>
      <c r="CA9" s="98">
        <v>1000</v>
      </c>
      <c r="CB9" s="29">
        <v>1000</v>
      </c>
      <c r="CC9" s="98">
        <v>1500</v>
      </c>
      <c r="CD9" s="98">
        <v>1500</v>
      </c>
      <c r="CE9" s="98">
        <v>1500</v>
      </c>
      <c r="CF9" s="98">
        <v>1500</v>
      </c>
      <c r="CG9" s="103">
        <v>2000</v>
      </c>
      <c r="CH9" s="98">
        <v>2000</v>
      </c>
      <c r="CI9" s="98">
        <v>2000</v>
      </c>
      <c r="CJ9" s="98">
        <v>2000</v>
      </c>
      <c r="CK9" s="98">
        <v>2000</v>
      </c>
      <c r="CL9" s="98">
        <v>2000</v>
      </c>
      <c r="CM9" s="98">
        <v>2000</v>
      </c>
      <c r="CN9" s="29">
        <v>2000</v>
      </c>
      <c r="CO9" s="103">
        <v>2000</v>
      </c>
      <c r="CP9" s="98">
        <v>2000</v>
      </c>
      <c r="CQ9" s="98">
        <v>2000</v>
      </c>
      <c r="CR9" s="29">
        <v>2000</v>
      </c>
      <c r="CS9" s="103">
        <v>2000</v>
      </c>
      <c r="CT9" s="98">
        <v>2000</v>
      </c>
      <c r="CU9" s="98">
        <v>2000</v>
      </c>
      <c r="CV9" s="29">
        <v>2000</v>
      </c>
      <c r="CW9" s="103">
        <v>3000</v>
      </c>
      <c r="CX9" s="98">
        <v>3000</v>
      </c>
      <c r="CY9" s="98">
        <v>3000</v>
      </c>
      <c r="CZ9" s="98">
        <v>3000</v>
      </c>
      <c r="DA9" s="98">
        <v>3000</v>
      </c>
      <c r="DB9" s="98">
        <v>3000</v>
      </c>
      <c r="DC9" s="98">
        <v>3000</v>
      </c>
      <c r="DD9" s="29">
        <v>3000</v>
      </c>
      <c r="DE9" s="103">
        <v>3000</v>
      </c>
      <c r="DF9" s="98">
        <v>3000</v>
      </c>
      <c r="DG9" s="98">
        <v>3000</v>
      </c>
      <c r="DH9" s="29">
        <v>3000</v>
      </c>
      <c r="DI9" s="103">
        <v>2800</v>
      </c>
      <c r="DJ9" s="98">
        <v>2800</v>
      </c>
      <c r="DK9" s="98">
        <v>2800</v>
      </c>
      <c r="DL9" s="29">
        <v>2800</v>
      </c>
    </row>
    <row r="10" spans="2:116" x14ac:dyDescent="0.3">
      <c r="B10" s="196" t="s">
        <v>95</v>
      </c>
      <c r="C10" s="197" t="s">
        <v>96</v>
      </c>
      <c r="D10" s="197" t="s">
        <v>32</v>
      </c>
      <c r="E10" s="198">
        <v>13.242009132420092</v>
      </c>
      <c r="F10" s="199">
        <v>25.892857142857142</v>
      </c>
      <c r="G10" s="199">
        <v>37.662337662337663</v>
      </c>
      <c r="H10" s="199">
        <v>48.333333333333336</v>
      </c>
      <c r="I10" s="199">
        <v>63.043478260869563</v>
      </c>
      <c r="J10" s="199">
        <v>74.358974358974365</v>
      </c>
      <c r="K10" s="199">
        <v>87.878787878787875</v>
      </c>
      <c r="L10" s="200">
        <v>100</v>
      </c>
      <c r="M10" s="198">
        <v>88</v>
      </c>
      <c r="N10" s="199">
        <v>165</v>
      </c>
      <c r="O10" s="199">
        <v>239</v>
      </c>
      <c r="P10" s="200">
        <v>290</v>
      </c>
      <c r="Q10" s="198">
        <v>168</v>
      </c>
      <c r="R10" s="199">
        <v>168</v>
      </c>
      <c r="S10" s="199">
        <v>295</v>
      </c>
      <c r="T10" s="199">
        <v>295</v>
      </c>
      <c r="U10" s="199">
        <v>440</v>
      </c>
      <c r="V10" s="199">
        <v>440</v>
      </c>
      <c r="W10" s="199">
        <v>530</v>
      </c>
      <c r="X10" s="200">
        <v>530</v>
      </c>
      <c r="Y10" s="198">
        <v>12.716763005780347</v>
      </c>
      <c r="Z10" s="199">
        <v>25.581395348837209</v>
      </c>
      <c r="AA10" s="199">
        <v>38.596491228070178</v>
      </c>
      <c r="AB10" s="199">
        <v>50</v>
      </c>
      <c r="AC10" s="199">
        <v>61.111111111111114</v>
      </c>
      <c r="AD10" s="199">
        <v>75.862068965517238</v>
      </c>
      <c r="AE10" s="199">
        <v>88</v>
      </c>
      <c r="AF10" s="200">
        <v>100</v>
      </c>
      <c r="AG10" s="198">
        <v>88</v>
      </c>
      <c r="AH10" s="199">
        <v>165</v>
      </c>
      <c r="AI10" s="199">
        <v>239</v>
      </c>
      <c r="AJ10" s="200">
        <v>290</v>
      </c>
      <c r="AK10" s="198">
        <v>168</v>
      </c>
      <c r="AL10" s="199">
        <v>168</v>
      </c>
      <c r="AM10" s="199">
        <v>295</v>
      </c>
      <c r="AN10" s="199">
        <v>295</v>
      </c>
      <c r="AO10" s="199">
        <v>440</v>
      </c>
      <c r="AP10" s="199">
        <v>440</v>
      </c>
      <c r="AQ10" s="199">
        <v>530</v>
      </c>
      <c r="AR10" s="200">
        <v>530</v>
      </c>
      <c r="AS10" s="198">
        <v>12.396694214876034</v>
      </c>
      <c r="AT10" s="199">
        <v>25.423728813559322</v>
      </c>
      <c r="AU10" s="199">
        <v>37.5</v>
      </c>
      <c r="AV10" s="199">
        <v>50</v>
      </c>
      <c r="AW10" s="199">
        <v>62.5</v>
      </c>
      <c r="AX10" s="199">
        <v>75</v>
      </c>
      <c r="AY10" s="199">
        <v>88.235294117647058</v>
      </c>
      <c r="AZ10" s="200">
        <v>100</v>
      </c>
      <c r="BA10" s="199">
        <v>88</v>
      </c>
      <c r="BB10" s="199">
        <v>165</v>
      </c>
      <c r="BC10" s="199">
        <v>239</v>
      </c>
      <c r="BD10" s="200">
        <v>290</v>
      </c>
      <c r="BE10" s="198">
        <v>168</v>
      </c>
      <c r="BF10" s="199">
        <v>168</v>
      </c>
      <c r="BG10" s="199">
        <v>295</v>
      </c>
      <c r="BH10" s="199">
        <v>295</v>
      </c>
      <c r="BI10" s="199">
        <v>440</v>
      </c>
      <c r="BJ10" s="199">
        <v>440</v>
      </c>
      <c r="BK10" s="199">
        <v>530</v>
      </c>
      <c r="BL10" s="200">
        <v>530</v>
      </c>
      <c r="BM10" s="198">
        <v>15.890410958904111</v>
      </c>
      <c r="BN10" s="199">
        <v>31.071428571428577</v>
      </c>
      <c r="BO10" s="199">
        <v>45.194805194805198</v>
      </c>
      <c r="BP10" s="199">
        <v>58.000000000000007</v>
      </c>
      <c r="BQ10" s="199">
        <v>75.652173913043484</v>
      </c>
      <c r="BR10" s="199">
        <v>89.230769230769226</v>
      </c>
      <c r="BS10" s="199">
        <v>105.45454545454545</v>
      </c>
      <c r="BT10" s="200">
        <v>120</v>
      </c>
      <c r="BU10" s="198">
        <v>100</v>
      </c>
      <c r="BV10" s="199">
        <v>218</v>
      </c>
      <c r="BW10" s="199">
        <v>300</v>
      </c>
      <c r="BX10" s="200">
        <v>400</v>
      </c>
      <c r="BY10" s="198">
        <v>304.5</v>
      </c>
      <c r="BZ10" s="199">
        <v>620</v>
      </c>
      <c r="CA10" s="199">
        <v>840</v>
      </c>
      <c r="CB10" s="200">
        <v>1100</v>
      </c>
      <c r="CC10" s="199">
        <v>520</v>
      </c>
      <c r="CD10" s="199">
        <v>840</v>
      </c>
      <c r="CE10" s="199">
        <v>816</v>
      </c>
      <c r="CF10" s="199">
        <v>880</v>
      </c>
      <c r="CG10" s="198">
        <v>15.260115606936417</v>
      </c>
      <c r="CH10" s="199">
        <v>30.697674418604652</v>
      </c>
      <c r="CI10" s="199">
        <v>46.315789473684212</v>
      </c>
      <c r="CJ10" s="199">
        <v>60</v>
      </c>
      <c r="CK10" s="199">
        <v>73.333333333333329</v>
      </c>
      <c r="CL10" s="199">
        <v>91.034482758620683</v>
      </c>
      <c r="CM10" s="199">
        <v>105.6</v>
      </c>
      <c r="CN10" s="200">
        <v>120</v>
      </c>
      <c r="CO10" s="198">
        <v>100</v>
      </c>
      <c r="CP10" s="199">
        <v>218</v>
      </c>
      <c r="CQ10" s="199">
        <v>300</v>
      </c>
      <c r="CR10" s="200">
        <v>400</v>
      </c>
      <c r="CS10" s="198">
        <v>304.5</v>
      </c>
      <c r="CT10" s="199">
        <v>620</v>
      </c>
      <c r="CU10" s="199">
        <v>840</v>
      </c>
      <c r="CV10" s="200">
        <v>950</v>
      </c>
      <c r="CW10" s="198">
        <v>14.87603305785124</v>
      </c>
      <c r="CX10" s="199">
        <v>30.508474576271187</v>
      </c>
      <c r="CY10" s="199">
        <v>45</v>
      </c>
      <c r="CZ10" s="199">
        <v>60</v>
      </c>
      <c r="DA10" s="199">
        <v>75</v>
      </c>
      <c r="DB10" s="199">
        <v>90</v>
      </c>
      <c r="DC10" s="199">
        <v>105.88235294117646</v>
      </c>
      <c r="DD10" s="200">
        <v>120</v>
      </c>
      <c r="DE10" s="198">
        <v>100</v>
      </c>
      <c r="DF10" s="199">
        <v>218</v>
      </c>
      <c r="DG10" s="199">
        <v>300</v>
      </c>
      <c r="DH10" s="200">
        <v>400</v>
      </c>
      <c r="DI10" s="198">
        <v>304.5</v>
      </c>
      <c r="DJ10" s="199">
        <v>600</v>
      </c>
      <c r="DK10" s="199">
        <v>750</v>
      </c>
      <c r="DL10" s="200">
        <v>880</v>
      </c>
    </row>
    <row r="11" spans="2:116" ht="16.2" x14ac:dyDescent="0.3">
      <c r="B11" s="25" t="s">
        <v>132</v>
      </c>
      <c r="C11" s="26" t="s">
        <v>28</v>
      </c>
      <c r="D11" s="26" t="s">
        <v>97</v>
      </c>
      <c r="E11" s="31">
        <v>1.91507053341699</v>
      </c>
      <c r="F11" s="91">
        <v>3.4103033781464229</v>
      </c>
      <c r="G11" s="91">
        <v>5.3494954951316434</v>
      </c>
      <c r="H11" s="91">
        <v>6.3971050295949228</v>
      </c>
      <c r="I11" s="91">
        <v>7.8149151581053573</v>
      </c>
      <c r="J11" s="91">
        <v>8.8015203659217232</v>
      </c>
      <c r="K11" s="91">
        <v>9.8884613697887964</v>
      </c>
      <c r="L11" s="32">
        <v>10.81428184145147</v>
      </c>
      <c r="M11" s="31">
        <v>6.7</v>
      </c>
      <c r="N11" s="91">
        <v>13.1</v>
      </c>
      <c r="O11" s="91">
        <v>15.3</v>
      </c>
      <c r="P11" s="32">
        <v>19.7</v>
      </c>
      <c r="Q11" s="31">
        <v>21.597203558007092</v>
      </c>
      <c r="R11" s="91">
        <v>32.976375325129105</v>
      </c>
      <c r="S11" s="91">
        <v>32.657061831663945</v>
      </c>
      <c r="T11" s="91">
        <v>50.074161475218048</v>
      </c>
      <c r="U11" s="91">
        <v>47.606739025714553</v>
      </c>
      <c r="V11" s="91">
        <v>74.31295847916418</v>
      </c>
      <c r="W11" s="91">
        <v>58.782711296995103</v>
      </c>
      <c r="X11" s="32">
        <v>80.554085851437733</v>
      </c>
      <c r="Y11" s="31">
        <v>2.3809893244227549</v>
      </c>
      <c r="Z11" s="91">
        <v>4.3542405192931977</v>
      </c>
      <c r="AA11" s="91">
        <v>7.0075262626285859</v>
      </c>
      <c r="AB11" s="91">
        <v>8.5105610149821604</v>
      </c>
      <c r="AC11" s="91">
        <v>9.6944746139552347</v>
      </c>
      <c r="AD11" s="91">
        <v>11.018730950891845</v>
      </c>
      <c r="AE11" s="91">
        <v>11.940073945133827</v>
      </c>
      <c r="AF11" s="32">
        <v>12.936052742772883</v>
      </c>
      <c r="AG11" s="31">
        <v>14.3</v>
      </c>
      <c r="AH11" s="91">
        <v>22.4</v>
      </c>
      <c r="AI11" s="91">
        <v>29</v>
      </c>
      <c r="AJ11" s="32">
        <v>33.5</v>
      </c>
      <c r="AK11" s="31">
        <v>33.092489322752797</v>
      </c>
      <c r="AL11" s="91">
        <v>56.605573841550843</v>
      </c>
      <c r="AM11" s="91">
        <v>49.203306493040344</v>
      </c>
      <c r="AN11" s="91">
        <v>91.439773128659041</v>
      </c>
      <c r="AO11" s="91">
        <v>44.510365755749383</v>
      </c>
      <c r="AP11" s="91">
        <v>127.72539738606343</v>
      </c>
      <c r="AQ11" s="91">
        <v>56.605573841550843</v>
      </c>
      <c r="AR11" s="32">
        <v>148.91620195238761</v>
      </c>
      <c r="AS11" s="31">
        <v>3.3423294167929938</v>
      </c>
      <c r="AT11" s="91">
        <v>6.2199218807801824</v>
      </c>
      <c r="AU11" s="91">
        <v>8.7999200894915521</v>
      </c>
      <c r="AV11" s="91">
        <v>10.297778828128413</v>
      </c>
      <c r="AW11" s="91">
        <v>11.545994443659129</v>
      </c>
      <c r="AX11" s="91">
        <v>12.482156155307168</v>
      </c>
      <c r="AY11" s="91">
        <v>13.405206358388709</v>
      </c>
      <c r="AZ11" s="32">
        <v>13.855193332390956</v>
      </c>
      <c r="BA11" s="91">
        <v>18.8</v>
      </c>
      <c r="BB11" s="91">
        <v>30.9</v>
      </c>
      <c r="BC11" s="91">
        <v>31</v>
      </c>
      <c r="BD11" s="32">
        <v>38</v>
      </c>
      <c r="BE11" s="31">
        <v>34.834199287108213</v>
      </c>
      <c r="BF11" s="91">
        <v>53.993008895017738</v>
      </c>
      <c r="BG11" s="91">
        <v>26.125649465331161</v>
      </c>
      <c r="BH11" s="91">
        <v>87.085498217770549</v>
      </c>
      <c r="BI11" s="91">
        <v>0</v>
      </c>
      <c r="BJ11" s="91">
        <v>130.62824732665581</v>
      </c>
      <c r="BK11" s="91">
        <v>0</v>
      </c>
      <c r="BL11" s="32">
        <v>142.2396470890252</v>
      </c>
      <c r="BM11" s="31">
        <v>2.5374684567775119</v>
      </c>
      <c r="BN11" s="91">
        <v>4.8868278192729377</v>
      </c>
      <c r="BO11" s="91">
        <v>7.1326606601755245</v>
      </c>
      <c r="BP11" s="91">
        <v>9.0495632125976968</v>
      </c>
      <c r="BQ11" s="91">
        <v>11.071129807315923</v>
      </c>
      <c r="BR11" s="91">
        <v>12.48215615530717</v>
      </c>
      <c r="BS11" s="91">
        <v>14.362584874807988</v>
      </c>
      <c r="BT11" s="32">
        <v>15.817904783018568</v>
      </c>
      <c r="BU11" s="31">
        <v>9.08</v>
      </c>
      <c r="BV11" s="91">
        <v>20.399999999999999</v>
      </c>
      <c r="BW11" s="91">
        <v>26.4</v>
      </c>
      <c r="BX11" s="32">
        <v>33.799999999999997</v>
      </c>
      <c r="BY11" s="31">
        <v>33.20860332037649</v>
      </c>
      <c r="BZ11" s="91">
        <v>63.136986207883631</v>
      </c>
      <c r="CA11" s="91">
        <v>91.73005812271829</v>
      </c>
      <c r="CB11" s="32">
        <v>115.38828513854594</v>
      </c>
      <c r="CC11" s="91">
        <v>89</v>
      </c>
      <c r="CD11" s="91">
        <v>124</v>
      </c>
      <c r="CE11" s="91">
        <v>132</v>
      </c>
      <c r="CF11" s="91">
        <v>132</v>
      </c>
      <c r="CG11" s="31">
        <v>3.0303500492653241</v>
      </c>
      <c r="CH11" s="91">
        <v>6.0959367270104767</v>
      </c>
      <c r="CI11" s="91">
        <v>9.4163634154071616</v>
      </c>
      <c r="CJ11" s="91">
        <v>11.914785420975026</v>
      </c>
      <c r="CK11" s="91">
        <v>13.522335834916101</v>
      </c>
      <c r="CL11" s="91">
        <v>16.140719166345477</v>
      </c>
      <c r="CM11" s="91">
        <v>17.974304863642324</v>
      </c>
      <c r="CN11" s="32">
        <v>19.999818385208076</v>
      </c>
      <c r="CO11" s="31">
        <v>19.7</v>
      </c>
      <c r="CP11" s="91">
        <v>37.299999999999997</v>
      </c>
      <c r="CQ11" s="91">
        <v>55.2</v>
      </c>
      <c r="CR11" s="32">
        <v>63.2</v>
      </c>
      <c r="CS11" s="31">
        <v>54.428436386106576</v>
      </c>
      <c r="CT11" s="91">
        <v>110.23190695459903</v>
      </c>
      <c r="CU11" s="91">
        <v>135.46633056097639</v>
      </c>
      <c r="CV11" s="32">
        <v>204.65092081176076</v>
      </c>
      <c r="CW11" s="31">
        <v>3.8993843195918263</v>
      </c>
      <c r="CX11" s="91">
        <v>7.9970424181459485</v>
      </c>
      <c r="CY11" s="91">
        <v>12.170102251424488</v>
      </c>
      <c r="CZ11" s="91">
        <v>14.9785873863686</v>
      </c>
      <c r="DA11" s="91">
        <v>17.787072521312712</v>
      </c>
      <c r="DB11" s="91">
        <v>20.595557656256826</v>
      </c>
      <c r="DC11" s="91">
        <v>22.656686802910492</v>
      </c>
      <c r="DD11" s="32">
        <v>24.340204502848977</v>
      </c>
      <c r="DE11" s="31">
        <v>27.4</v>
      </c>
      <c r="DF11" s="91">
        <v>56.1</v>
      </c>
      <c r="DG11" s="91">
        <v>64.900000000000006</v>
      </c>
      <c r="DH11" s="32">
        <v>80.099999999999994</v>
      </c>
      <c r="DI11" s="31">
        <v>67.926688609861017</v>
      </c>
      <c r="DJ11" s="91">
        <v>133.53109726724816</v>
      </c>
      <c r="DK11" s="91">
        <v>174.1709964355411</v>
      </c>
      <c r="DL11" s="32">
        <v>185.78239619791049</v>
      </c>
    </row>
    <row r="12" spans="2:116" ht="16.2" x14ac:dyDescent="0.3">
      <c r="B12" s="22" t="s">
        <v>133</v>
      </c>
      <c r="C12" s="23" t="s">
        <v>98</v>
      </c>
      <c r="D12" s="23" t="s">
        <v>97</v>
      </c>
      <c r="E12" s="104">
        <v>1.9106781698082353</v>
      </c>
      <c r="F12" s="99">
        <v>3.7360582070357462</v>
      </c>
      <c r="G12" s="99">
        <v>5.4654978995298276</v>
      </c>
      <c r="H12" s="99">
        <v>6.6132524584310906</v>
      </c>
      <c r="I12" s="99">
        <v>7.9986373607901742</v>
      </c>
      <c r="J12" s="99">
        <v>9.2493041376658631</v>
      </c>
      <c r="K12" s="99">
        <v>10.681144466509721</v>
      </c>
      <c r="L12" s="28">
        <v>12.034460978430246</v>
      </c>
      <c r="M12" s="104">
        <v>6.72</v>
      </c>
      <c r="N12" s="99">
        <v>13.6</v>
      </c>
      <c r="O12" s="99">
        <v>17</v>
      </c>
      <c r="P12" s="28">
        <v>21.7</v>
      </c>
      <c r="Q12" s="104">
        <v>21.593129382651874</v>
      </c>
      <c r="R12" s="99">
        <v>33.037487955457365</v>
      </c>
      <c r="S12" s="99">
        <v>36.843277009149759</v>
      </c>
      <c r="T12" s="99">
        <v>54.657608749837557</v>
      </c>
      <c r="U12" s="99">
        <v>58.301449333160065</v>
      </c>
      <c r="V12" s="99">
        <v>86.37251753060751</v>
      </c>
      <c r="W12" s="99">
        <v>68.828099907202855</v>
      </c>
      <c r="X12" s="28">
        <v>99.800744865444145</v>
      </c>
      <c r="Y12" s="104">
        <v>2.4187197640925064</v>
      </c>
      <c r="Z12" s="99">
        <v>4.8655641766046926</v>
      </c>
      <c r="AA12" s="99">
        <v>7.383216460768363</v>
      </c>
      <c r="AB12" s="99">
        <v>9.0180715342242159</v>
      </c>
      <c r="AC12" s="99">
        <v>10.220481072120778</v>
      </c>
      <c r="AD12" s="99">
        <v>12.438719357550644</v>
      </c>
      <c r="AE12" s="99">
        <v>14.099110695792831</v>
      </c>
      <c r="AF12" s="28">
        <v>15.863607653385325</v>
      </c>
      <c r="AG12" s="104">
        <v>14.8</v>
      </c>
      <c r="AH12" s="99">
        <v>25.6</v>
      </c>
      <c r="AI12" s="99">
        <v>37.299999999999997</v>
      </c>
      <c r="AJ12" s="28">
        <v>43.5</v>
      </c>
      <c r="AK12" s="104">
        <v>40.487117592472266</v>
      </c>
      <c r="AL12" s="99">
        <v>61.135547564633121</v>
      </c>
      <c r="AM12" s="99">
        <v>73.686554018299518</v>
      </c>
      <c r="AN12" s="99">
        <v>109.31521749967511</v>
      </c>
      <c r="AO12" s="99">
        <v>97.169082221933451</v>
      </c>
      <c r="AP12" s="99">
        <v>158.34961547278041</v>
      </c>
      <c r="AQ12" s="99">
        <v>137.65619981440571</v>
      </c>
      <c r="AR12" s="28">
        <v>199.60148973088829</v>
      </c>
      <c r="AS12" s="104">
        <v>3.4911045284477278</v>
      </c>
      <c r="AT12" s="99">
        <v>7.1597228464775426</v>
      </c>
      <c r="AU12" s="99">
        <v>10.621284251419631</v>
      </c>
      <c r="AV12" s="99">
        <v>13.352471630356106</v>
      </c>
      <c r="AW12" s="99">
        <v>15.476728480640032</v>
      </c>
      <c r="AX12" s="99">
        <v>18.207915859576509</v>
      </c>
      <c r="AY12" s="99">
        <v>20.931452853698044</v>
      </c>
      <c r="AZ12" s="28">
        <v>23.488211458853698</v>
      </c>
      <c r="BA12" s="99">
        <v>20.2</v>
      </c>
      <c r="BB12" s="99">
        <v>40.9</v>
      </c>
      <c r="BC12" s="99">
        <v>46.6</v>
      </c>
      <c r="BD12" s="28">
        <v>58</v>
      </c>
      <c r="BE12" s="104">
        <v>53.982823456629696</v>
      </c>
      <c r="BF12" s="99">
        <v>81.514063419510848</v>
      </c>
      <c r="BG12" s="99">
        <v>98.248738691066052</v>
      </c>
      <c r="BH12" s="99">
        <v>145.75362333290019</v>
      </c>
      <c r="BI12" s="99">
        <v>143</v>
      </c>
      <c r="BJ12" s="99">
        <v>215.93129382651878</v>
      </c>
      <c r="BK12" s="99">
        <v>183.54159975254098</v>
      </c>
      <c r="BL12" s="28">
        <v>266.13531964118442</v>
      </c>
      <c r="BM12" s="104">
        <v>2.6749494377315295</v>
      </c>
      <c r="BN12" s="99">
        <v>4.9599393438233195</v>
      </c>
      <c r="BO12" s="99">
        <v>7.1832258108106304</v>
      </c>
      <c r="BP12" s="99">
        <v>9.3186739186983552</v>
      </c>
      <c r="BQ12" s="99">
        <v>11.605865974479858</v>
      </c>
      <c r="BR12" s="99">
        <v>12.949025792732209</v>
      </c>
      <c r="BS12" s="99">
        <v>14.991079952996097</v>
      </c>
      <c r="BT12" s="28">
        <v>16.792271132693369</v>
      </c>
      <c r="BU12" s="104">
        <v>9.3000000000000007</v>
      </c>
      <c r="BV12" s="99">
        <v>20.2</v>
      </c>
      <c r="BW12" s="99">
        <v>26.9</v>
      </c>
      <c r="BX12" s="28">
        <v>34.700000000000003</v>
      </c>
      <c r="BY12" s="104">
        <v>31.310037604845217</v>
      </c>
      <c r="BZ12" s="99">
        <v>62.755032268332009</v>
      </c>
      <c r="CA12" s="99">
        <v>95.009769283668263</v>
      </c>
      <c r="CB12" s="28">
        <v>117.41264101816957</v>
      </c>
      <c r="CC12" s="99">
        <v>100</v>
      </c>
      <c r="CD12" s="99">
        <v>136</v>
      </c>
      <c r="CE12" s="99">
        <v>144</v>
      </c>
      <c r="CF12" s="99">
        <v>140</v>
      </c>
      <c r="CG12" s="104">
        <v>3.3862076697295089</v>
      </c>
      <c r="CH12" s="99">
        <v>6.4594558896303678</v>
      </c>
      <c r="CI12" s="99">
        <v>9.7036559198669909</v>
      </c>
      <c r="CJ12" s="99">
        <v>12.70728261640685</v>
      </c>
      <c r="CK12" s="99">
        <v>14.829717634057598</v>
      </c>
      <c r="CL12" s="99">
        <v>17.414207100570898</v>
      </c>
      <c r="CM12" s="99">
        <v>19.788225537954851</v>
      </c>
      <c r="CN12" s="28">
        <v>22.135266493095799</v>
      </c>
      <c r="CO12" s="104">
        <v>20.5</v>
      </c>
      <c r="CP12" s="99">
        <v>37.9</v>
      </c>
      <c r="CQ12" s="99">
        <v>59.1</v>
      </c>
      <c r="CR12" s="28">
        <v>69.5</v>
      </c>
      <c r="CS12" s="104">
        <v>58.706320509084783</v>
      </c>
      <c r="CT12" s="99">
        <v>127.28615035557907</v>
      </c>
      <c r="CU12" s="99">
        <v>158.34961547278041</v>
      </c>
      <c r="CV12" s="28">
        <v>239.25594773513799</v>
      </c>
      <c r="CW12" s="104">
        <v>4.8414374120926027</v>
      </c>
      <c r="CX12" s="99">
        <v>9.415478076410368</v>
      </c>
      <c r="CY12" s="99">
        <v>13.827709685810461</v>
      </c>
      <c r="CZ12" s="99">
        <v>18.63734783739671</v>
      </c>
      <c r="DA12" s="99">
        <v>22.244576451086395</v>
      </c>
      <c r="DB12" s="99">
        <v>25.250600295827802</v>
      </c>
      <c r="DC12" s="99">
        <v>29.100331673463018</v>
      </c>
      <c r="DD12" s="28">
        <v>32.465057523207172</v>
      </c>
      <c r="DE12" s="104">
        <v>27.9</v>
      </c>
      <c r="DF12" s="99">
        <v>60.7</v>
      </c>
      <c r="DG12" s="99">
        <v>73.900000000000006</v>
      </c>
      <c r="DH12" s="28">
        <v>92.7</v>
      </c>
      <c r="DI12" s="104">
        <v>78.275094012113072</v>
      </c>
      <c r="DJ12" s="99">
        <v>161.94847036988909</v>
      </c>
      <c r="DK12" s="99">
        <v>237.52442320917066</v>
      </c>
      <c r="DL12" s="28">
        <v>313.10037604845229</v>
      </c>
    </row>
    <row r="13" spans="2:116" x14ac:dyDescent="0.3">
      <c r="B13" s="25" t="s">
        <v>99</v>
      </c>
      <c r="C13" s="26" t="s">
        <v>100</v>
      </c>
      <c r="D13" s="26" t="s">
        <v>97</v>
      </c>
      <c r="E13" s="31">
        <v>4.4869154672600446</v>
      </c>
      <c r="F13" s="91">
        <v>8.577684659010643</v>
      </c>
      <c r="G13" s="91">
        <v>12.098552466703715</v>
      </c>
      <c r="H13" s="91">
        <v>14.944232828142985</v>
      </c>
      <c r="I13" s="91">
        <v>20.339976628096309</v>
      </c>
      <c r="J13" s="91">
        <v>23.580643515807477</v>
      </c>
      <c r="K13" s="91">
        <v>28.229955755642003</v>
      </c>
      <c r="L13" s="32">
        <v>31.985278347987368</v>
      </c>
      <c r="M13" s="31">
        <v>18.399999999999999</v>
      </c>
      <c r="N13" s="91">
        <v>37.9</v>
      </c>
      <c r="O13" s="91">
        <v>49.9</v>
      </c>
      <c r="P13" s="32">
        <v>62.4</v>
      </c>
      <c r="Q13" s="31">
        <v>38.329841741884685</v>
      </c>
      <c r="R13" s="91">
        <v>38.329841741884685</v>
      </c>
      <c r="S13" s="91">
        <v>63.098790813928481</v>
      </c>
      <c r="T13" s="91">
        <v>63.098790813928481</v>
      </c>
      <c r="U13" s="91">
        <v>100.38768075255514</v>
      </c>
      <c r="V13" s="91">
        <v>100.38768075255514</v>
      </c>
      <c r="W13" s="91">
        <v>113.36392925892235</v>
      </c>
      <c r="X13" s="32">
        <v>113.36392925892235</v>
      </c>
      <c r="Y13" s="31">
        <v>5.4546714119458564</v>
      </c>
      <c r="Z13" s="91">
        <v>11.036564405633282</v>
      </c>
      <c r="AA13" s="91">
        <v>16.74903669725326</v>
      </c>
      <c r="AB13" s="91">
        <v>21.081206183900765</v>
      </c>
      <c r="AC13" s="91">
        <v>25.193342698785113</v>
      </c>
      <c r="AD13" s="91">
        <v>32.352925225550443</v>
      </c>
      <c r="AE13" s="91">
        <v>37.314939585857715</v>
      </c>
      <c r="AF13" s="32">
        <v>42.162412367801529</v>
      </c>
      <c r="AG13" s="31">
        <v>40.4</v>
      </c>
      <c r="AH13" s="91">
        <v>71</v>
      </c>
      <c r="AI13" s="91">
        <v>110</v>
      </c>
      <c r="AJ13" s="32">
        <v>125</v>
      </c>
      <c r="AK13" s="31">
        <v>71.868453266033796</v>
      </c>
      <c r="AL13" s="91">
        <v>71.868453266033796</v>
      </c>
      <c r="AM13" s="91">
        <v>126.19758162785696</v>
      </c>
      <c r="AN13" s="91">
        <v>126.19758162785696</v>
      </c>
      <c r="AO13" s="91">
        <v>167.31280125425857</v>
      </c>
      <c r="AP13" s="91">
        <v>167.31280125425857</v>
      </c>
      <c r="AQ13" s="91">
        <v>226.72785851784471</v>
      </c>
      <c r="AR13" s="32">
        <v>226.72785851784471</v>
      </c>
      <c r="AS13" s="31">
        <v>7.6025386688748062</v>
      </c>
      <c r="AT13" s="91">
        <v>15.988044908215461</v>
      </c>
      <c r="AU13" s="91">
        <v>23.189326802290836</v>
      </c>
      <c r="AV13" s="91">
        <v>30.919102403054449</v>
      </c>
      <c r="AW13" s="91">
        <v>38.648878003818062</v>
      </c>
      <c r="AX13" s="91">
        <v>46.378653604581672</v>
      </c>
      <c r="AY13" s="91">
        <v>55.021635517051919</v>
      </c>
      <c r="AZ13" s="32">
        <v>61.838204806108898</v>
      </c>
      <c r="BA13" s="91">
        <v>55.1</v>
      </c>
      <c r="BB13" s="91">
        <v>114</v>
      </c>
      <c r="BC13" s="91">
        <v>137</v>
      </c>
      <c r="BD13" s="32">
        <v>166</v>
      </c>
      <c r="BE13" s="31">
        <v>95.824604354711738</v>
      </c>
      <c r="BF13" s="91">
        <v>95.824604354711738</v>
      </c>
      <c r="BG13" s="91">
        <v>168.26344217047597</v>
      </c>
      <c r="BH13" s="91">
        <v>168.26344217047597</v>
      </c>
      <c r="BI13" s="91">
        <v>250.9692018813879</v>
      </c>
      <c r="BJ13" s="91">
        <v>250.9692018813879</v>
      </c>
      <c r="BK13" s="91">
        <v>302.30381135712634</v>
      </c>
      <c r="BL13" s="32">
        <v>302.30381135712634</v>
      </c>
      <c r="BM13" s="31">
        <v>5.3842985607120539</v>
      </c>
      <c r="BN13" s="91">
        <v>10.293221590812774</v>
      </c>
      <c r="BO13" s="91">
        <v>14.51826296004446</v>
      </c>
      <c r="BP13" s="91">
        <v>17.933079393771582</v>
      </c>
      <c r="BQ13" s="91">
        <v>24.407971953715577</v>
      </c>
      <c r="BR13" s="91">
        <v>28.296772218968968</v>
      </c>
      <c r="BS13" s="91">
        <v>33.875946906770402</v>
      </c>
      <c r="BT13" s="32">
        <v>38.382334017584839</v>
      </c>
      <c r="BU13" s="31">
        <v>21.9</v>
      </c>
      <c r="BV13" s="96">
        <v>52.4</v>
      </c>
      <c r="BW13" s="96">
        <v>65.599999999999994</v>
      </c>
      <c r="BX13" s="27">
        <v>90.2</v>
      </c>
      <c r="BY13" s="31">
        <v>69.472838157165995</v>
      </c>
      <c r="BZ13" s="96">
        <v>132.61440781232426</v>
      </c>
      <c r="CA13" s="96">
        <v>191.64920870942345</v>
      </c>
      <c r="CB13" s="27">
        <v>235.28362676380112</v>
      </c>
      <c r="CC13" s="96">
        <v>177</v>
      </c>
      <c r="CD13" s="96">
        <v>274</v>
      </c>
      <c r="CE13" s="96">
        <v>265</v>
      </c>
      <c r="CF13" s="96">
        <v>251</v>
      </c>
      <c r="CG13" s="31">
        <v>6.5456056943350278</v>
      </c>
      <c r="CH13" s="91">
        <v>13.243877286759938</v>
      </c>
      <c r="CI13" s="91">
        <v>20.098844036703913</v>
      </c>
      <c r="CJ13" s="91">
        <v>25.297447420680914</v>
      </c>
      <c r="CK13" s="91">
        <v>30.232011238542132</v>
      </c>
      <c r="CL13" s="91">
        <v>38.823510270660528</v>
      </c>
      <c r="CM13" s="91">
        <v>44.777927503029261</v>
      </c>
      <c r="CN13" s="32">
        <v>50.594894841361828</v>
      </c>
      <c r="CO13" s="31">
        <v>48.1</v>
      </c>
      <c r="CP13" s="96">
        <v>98.3</v>
      </c>
      <c r="CQ13" s="96">
        <v>144</v>
      </c>
      <c r="CR13" s="27">
        <v>180</v>
      </c>
      <c r="CS13" s="31">
        <v>130.26157154468623</v>
      </c>
      <c r="CT13" s="96">
        <v>265.22881562464852</v>
      </c>
      <c r="CU13" s="96">
        <v>319.41534784903911</v>
      </c>
      <c r="CV13" s="27">
        <v>406.39899168292919</v>
      </c>
      <c r="CW13" s="31">
        <v>9.1230464026497664</v>
      </c>
      <c r="CX13" s="91">
        <v>19.185653889858553</v>
      </c>
      <c r="CY13" s="91">
        <v>27.827192162749007</v>
      </c>
      <c r="CZ13" s="91">
        <v>37.102922883665343</v>
      </c>
      <c r="DA13" s="91">
        <v>46.378653604581672</v>
      </c>
      <c r="DB13" s="91">
        <v>55.654384325498015</v>
      </c>
      <c r="DC13" s="91">
        <v>66.025962620462295</v>
      </c>
      <c r="DD13" s="32">
        <v>74.205845767330686</v>
      </c>
      <c r="DE13" s="41">
        <v>65.599999999999994</v>
      </c>
      <c r="DF13" s="96">
        <v>157</v>
      </c>
      <c r="DG13" s="96">
        <v>180</v>
      </c>
      <c r="DH13" s="27">
        <v>241</v>
      </c>
      <c r="DI13" s="41">
        <v>173.68209539291504</v>
      </c>
      <c r="DJ13" s="96">
        <v>342.23072983825625</v>
      </c>
      <c r="DK13" s="96">
        <v>427.78841229782029</v>
      </c>
      <c r="DL13" s="27">
        <v>501.93840376277581</v>
      </c>
    </row>
    <row r="14" spans="2:116" x14ac:dyDescent="0.3">
      <c r="B14" s="22" t="s">
        <v>101</v>
      </c>
      <c r="C14" s="23" t="s">
        <v>102</v>
      </c>
      <c r="D14" s="23" t="s">
        <v>103</v>
      </c>
      <c r="E14" s="33">
        <v>5.2309999999999999</v>
      </c>
      <c r="F14" s="92">
        <v>8.5220000000000002</v>
      </c>
      <c r="G14" s="92">
        <v>11.818</v>
      </c>
      <c r="H14" s="92">
        <v>15.103999999999999</v>
      </c>
      <c r="I14" s="92">
        <v>18.399999999999999</v>
      </c>
      <c r="J14" s="92">
        <v>21.686</v>
      </c>
      <c r="K14" s="92">
        <v>24.981999999999999</v>
      </c>
      <c r="L14" s="108">
        <v>28.268000000000001</v>
      </c>
      <c r="M14" s="33">
        <v>49</v>
      </c>
      <c r="N14" s="92">
        <v>89</v>
      </c>
      <c r="O14" s="92">
        <v>128</v>
      </c>
      <c r="P14" s="108">
        <v>167</v>
      </c>
      <c r="Q14" s="33">
        <v>224</v>
      </c>
      <c r="R14" s="92">
        <v>224</v>
      </c>
      <c r="S14" s="92">
        <v>401</v>
      </c>
      <c r="T14" s="92">
        <v>401</v>
      </c>
      <c r="U14" s="92">
        <v>577</v>
      </c>
      <c r="V14" s="92">
        <v>577</v>
      </c>
      <c r="W14" s="92">
        <v>753</v>
      </c>
      <c r="X14" s="108">
        <v>753</v>
      </c>
      <c r="Y14" s="33">
        <v>5.2309999999999999</v>
      </c>
      <c r="Z14" s="92">
        <v>8.5220000000000002</v>
      </c>
      <c r="AA14" s="92">
        <v>11.818</v>
      </c>
      <c r="AB14" s="92">
        <v>15.103999999999999</v>
      </c>
      <c r="AC14" s="92">
        <v>18.399999999999999</v>
      </c>
      <c r="AD14" s="92">
        <v>21.686</v>
      </c>
      <c r="AE14" s="92">
        <v>24.981999999999999</v>
      </c>
      <c r="AF14" s="108">
        <v>28.268000000000001</v>
      </c>
      <c r="AG14" s="33">
        <v>49</v>
      </c>
      <c r="AH14" s="92">
        <v>89</v>
      </c>
      <c r="AI14" s="92">
        <v>128</v>
      </c>
      <c r="AJ14" s="108">
        <v>167</v>
      </c>
      <c r="AK14" s="33">
        <v>224</v>
      </c>
      <c r="AL14" s="92">
        <v>224</v>
      </c>
      <c r="AM14" s="92">
        <v>401</v>
      </c>
      <c r="AN14" s="92">
        <v>401</v>
      </c>
      <c r="AO14" s="92">
        <v>577</v>
      </c>
      <c r="AP14" s="92">
        <v>577</v>
      </c>
      <c r="AQ14" s="92">
        <v>753</v>
      </c>
      <c r="AR14" s="108">
        <v>753</v>
      </c>
      <c r="AS14" s="33">
        <v>5.2309999999999999</v>
      </c>
      <c r="AT14" s="92">
        <v>8.5220000000000002</v>
      </c>
      <c r="AU14" s="92">
        <v>11.818</v>
      </c>
      <c r="AV14" s="92">
        <v>15.103999999999999</v>
      </c>
      <c r="AW14" s="92">
        <v>18.399999999999999</v>
      </c>
      <c r="AX14" s="92">
        <v>21.686</v>
      </c>
      <c r="AY14" s="92">
        <v>24.981999999999999</v>
      </c>
      <c r="AZ14" s="108">
        <v>28.268000000000001</v>
      </c>
      <c r="BA14" s="92">
        <v>49</v>
      </c>
      <c r="BB14" s="92">
        <v>89</v>
      </c>
      <c r="BC14" s="92">
        <v>128</v>
      </c>
      <c r="BD14" s="108">
        <v>167</v>
      </c>
      <c r="BE14" s="33">
        <v>224</v>
      </c>
      <c r="BF14" s="92">
        <v>224</v>
      </c>
      <c r="BG14" s="92">
        <v>401</v>
      </c>
      <c r="BH14" s="92">
        <v>401</v>
      </c>
      <c r="BI14" s="92">
        <v>577</v>
      </c>
      <c r="BJ14" s="92">
        <v>577</v>
      </c>
      <c r="BK14" s="92">
        <v>753</v>
      </c>
      <c r="BL14" s="108">
        <v>753</v>
      </c>
      <c r="BM14" s="33">
        <v>5.2309999999999999</v>
      </c>
      <c r="BN14" s="92">
        <v>8.5220000000000002</v>
      </c>
      <c r="BO14" s="92">
        <v>11.818</v>
      </c>
      <c r="BP14" s="92">
        <v>15.103999999999999</v>
      </c>
      <c r="BQ14" s="92">
        <v>18.399999999999999</v>
      </c>
      <c r="BR14" s="92">
        <v>21.686</v>
      </c>
      <c r="BS14" s="92">
        <v>24.981999999999999</v>
      </c>
      <c r="BT14" s="108">
        <v>28.268000000000001</v>
      </c>
      <c r="BU14" s="65">
        <v>49</v>
      </c>
      <c r="BV14" s="100">
        <v>89</v>
      </c>
      <c r="BW14" s="100">
        <v>128</v>
      </c>
      <c r="BX14" s="64">
        <v>167</v>
      </c>
      <c r="BY14" s="65">
        <v>224</v>
      </c>
      <c r="BZ14" s="100">
        <v>401</v>
      </c>
      <c r="CA14" s="100">
        <v>577</v>
      </c>
      <c r="CB14" s="64">
        <v>753</v>
      </c>
      <c r="CC14" s="100">
        <v>401</v>
      </c>
      <c r="CD14" s="100">
        <v>577</v>
      </c>
      <c r="CE14" s="100">
        <v>665</v>
      </c>
      <c r="CF14" s="100">
        <v>753</v>
      </c>
      <c r="CG14" s="33">
        <v>5.2309999999999999</v>
      </c>
      <c r="CH14" s="92">
        <v>8.5220000000000002</v>
      </c>
      <c r="CI14" s="92">
        <v>11.818</v>
      </c>
      <c r="CJ14" s="92">
        <v>15.103999999999999</v>
      </c>
      <c r="CK14" s="92">
        <v>18.399999999999999</v>
      </c>
      <c r="CL14" s="92">
        <v>21.686</v>
      </c>
      <c r="CM14" s="92">
        <v>24.981999999999999</v>
      </c>
      <c r="CN14" s="108">
        <v>28.268000000000001</v>
      </c>
      <c r="CO14" s="65">
        <v>49</v>
      </c>
      <c r="CP14" s="100">
        <v>89</v>
      </c>
      <c r="CQ14" s="100">
        <v>128</v>
      </c>
      <c r="CR14" s="64">
        <v>167</v>
      </c>
      <c r="CS14" s="65">
        <v>224</v>
      </c>
      <c r="CT14" s="100">
        <v>401</v>
      </c>
      <c r="CU14" s="100">
        <v>577</v>
      </c>
      <c r="CV14" s="64">
        <v>753</v>
      </c>
      <c r="CW14" s="33">
        <v>5.2309999999999999</v>
      </c>
      <c r="CX14" s="92">
        <v>8.5220000000000002</v>
      </c>
      <c r="CY14" s="92">
        <v>11.818</v>
      </c>
      <c r="CZ14" s="92">
        <v>15.103999999999999</v>
      </c>
      <c r="DA14" s="92">
        <v>18.399999999999999</v>
      </c>
      <c r="DB14" s="92">
        <v>21.686</v>
      </c>
      <c r="DC14" s="92">
        <v>24.981999999999999</v>
      </c>
      <c r="DD14" s="108">
        <v>28.268000000000001</v>
      </c>
      <c r="DE14" s="65">
        <v>49</v>
      </c>
      <c r="DF14" s="100">
        <v>89</v>
      </c>
      <c r="DG14" s="100">
        <v>128</v>
      </c>
      <c r="DH14" s="64">
        <v>167</v>
      </c>
      <c r="DI14" s="65">
        <v>224</v>
      </c>
      <c r="DJ14" s="100">
        <v>401</v>
      </c>
      <c r="DK14" s="100">
        <v>577</v>
      </c>
      <c r="DL14" s="64">
        <v>753</v>
      </c>
    </row>
    <row r="15" spans="2:116" ht="16.2" x14ac:dyDescent="0.3">
      <c r="B15" s="25" t="s">
        <v>134</v>
      </c>
      <c r="C15" s="26" t="s">
        <v>37</v>
      </c>
      <c r="D15" s="26" t="s">
        <v>104</v>
      </c>
      <c r="E15" s="34">
        <v>1.8971313000000001</v>
      </c>
      <c r="F15" s="93">
        <v>1.9404448000000001</v>
      </c>
      <c r="G15" s="93">
        <v>2.0010837000000001</v>
      </c>
      <c r="H15" s="93">
        <v>2.0790480000000002</v>
      </c>
      <c r="I15" s="93">
        <v>1.9924210000000002</v>
      </c>
      <c r="J15" s="93">
        <v>2.0270717999999999</v>
      </c>
      <c r="K15" s="93">
        <v>2.0010837000000001</v>
      </c>
      <c r="L15" s="35">
        <v>2.0097464</v>
      </c>
      <c r="M15" s="34">
        <v>2.99</v>
      </c>
      <c r="N15" s="93">
        <v>2.72</v>
      </c>
      <c r="O15" s="93">
        <v>2.99</v>
      </c>
      <c r="P15" s="35">
        <v>2.9</v>
      </c>
      <c r="Q15" s="34">
        <v>2.9218500000000001</v>
      </c>
      <c r="R15" s="93">
        <v>2.9218500000000001</v>
      </c>
      <c r="S15" s="93">
        <v>3.1166399999999999</v>
      </c>
      <c r="T15" s="93">
        <v>3.1166399999999999</v>
      </c>
      <c r="U15" s="93">
        <v>2.9218499999999996</v>
      </c>
      <c r="V15" s="93">
        <v>2.9218499999999996</v>
      </c>
      <c r="W15" s="93">
        <v>3.1166399999999999</v>
      </c>
      <c r="X15" s="35">
        <v>3.1166399999999999</v>
      </c>
      <c r="Y15" s="34">
        <v>1.4986471000000001</v>
      </c>
      <c r="Z15" s="93">
        <v>1.4899844000000002</v>
      </c>
      <c r="AA15" s="93">
        <v>1.4813217000000001</v>
      </c>
      <c r="AB15" s="93">
        <v>1.5246352000000001</v>
      </c>
      <c r="AC15" s="93">
        <v>1.5592860000000002</v>
      </c>
      <c r="AD15" s="93">
        <v>1.5073098</v>
      </c>
      <c r="AE15" s="93">
        <v>1.5159725000000002</v>
      </c>
      <c r="AF15" s="35">
        <v>1.5246352000000001</v>
      </c>
      <c r="AG15" s="34">
        <v>1.36</v>
      </c>
      <c r="AH15" s="93">
        <v>1.45</v>
      </c>
      <c r="AI15" s="93">
        <v>1.36</v>
      </c>
      <c r="AJ15" s="35">
        <v>1.45</v>
      </c>
      <c r="AK15" s="34">
        <v>1.5583199999999999</v>
      </c>
      <c r="AL15" s="93">
        <v>1.5583199999999999</v>
      </c>
      <c r="AM15" s="93">
        <v>1.5583199999999999</v>
      </c>
      <c r="AN15" s="93">
        <v>1.5583199999999999</v>
      </c>
      <c r="AO15" s="93">
        <v>1.7531099999999999</v>
      </c>
      <c r="AP15" s="93">
        <v>1.7531099999999999</v>
      </c>
      <c r="AQ15" s="93">
        <v>1.5583199999999999</v>
      </c>
      <c r="AR15" s="35">
        <v>1.5583199999999999</v>
      </c>
      <c r="AS15" s="34">
        <v>1.0481867</v>
      </c>
      <c r="AT15" s="93">
        <v>1.0221986000000001</v>
      </c>
      <c r="AU15" s="93">
        <v>1.0395240000000001</v>
      </c>
      <c r="AV15" s="93">
        <v>1.0395240000000001</v>
      </c>
      <c r="AW15" s="93">
        <v>1.0395240000000001</v>
      </c>
      <c r="AX15" s="93">
        <v>1.0395240000000001</v>
      </c>
      <c r="AY15" s="93">
        <v>1.0308613</v>
      </c>
      <c r="AZ15" s="35">
        <v>1.0395240000000001</v>
      </c>
      <c r="BA15" s="93">
        <v>1</v>
      </c>
      <c r="BB15" s="93">
        <v>0.91</v>
      </c>
      <c r="BC15" s="93">
        <v>1.0900000000000001</v>
      </c>
      <c r="BD15" s="35">
        <v>1.0900000000000001</v>
      </c>
      <c r="BE15" s="34">
        <v>1.1687399999999999</v>
      </c>
      <c r="BF15" s="93">
        <v>1.1687399999999999</v>
      </c>
      <c r="BG15" s="93">
        <v>1.1687399999999999</v>
      </c>
      <c r="BH15" s="93">
        <v>1.1687399999999999</v>
      </c>
      <c r="BI15" s="93">
        <v>1.1687399999999999</v>
      </c>
      <c r="BJ15" s="93">
        <v>1.1687399999999999</v>
      </c>
      <c r="BK15" s="93">
        <v>1.1687399999999999</v>
      </c>
      <c r="BL15" s="35">
        <v>1.1687399999999999</v>
      </c>
      <c r="BM15" s="34">
        <v>1.8971313000000001</v>
      </c>
      <c r="BN15" s="93">
        <v>1.9404448000000001</v>
      </c>
      <c r="BO15" s="93">
        <v>2.0010837000000001</v>
      </c>
      <c r="BP15" s="93">
        <v>2.0790480000000002</v>
      </c>
      <c r="BQ15" s="93">
        <v>1.9924210000000002</v>
      </c>
      <c r="BR15" s="93">
        <v>2.0270717999999999</v>
      </c>
      <c r="BS15" s="93">
        <v>2.0010837000000001</v>
      </c>
      <c r="BT15" s="35">
        <v>2.0097464</v>
      </c>
      <c r="BU15" s="34">
        <v>2.99</v>
      </c>
      <c r="BV15" s="93">
        <v>2.72</v>
      </c>
      <c r="BW15" s="93">
        <v>2.99</v>
      </c>
      <c r="BX15" s="35">
        <v>2.9</v>
      </c>
      <c r="BY15" s="34">
        <v>2.9218500000000001</v>
      </c>
      <c r="BZ15" s="93">
        <v>3.1166399999999999</v>
      </c>
      <c r="CA15" s="93">
        <v>2.9218499999999996</v>
      </c>
      <c r="CB15" s="35">
        <v>3.1166399999999999</v>
      </c>
      <c r="CC15" s="93">
        <v>1.95</v>
      </c>
      <c r="CD15" s="93">
        <v>2.0499999999999998</v>
      </c>
      <c r="CE15" s="93">
        <v>2.04</v>
      </c>
      <c r="CF15" s="93">
        <v>2.34</v>
      </c>
      <c r="CG15" s="34">
        <v>1.4986471000000001</v>
      </c>
      <c r="CH15" s="93">
        <v>1.4899844000000002</v>
      </c>
      <c r="CI15" s="93">
        <v>1.4813217000000001</v>
      </c>
      <c r="CJ15" s="93">
        <v>1.5246352000000001</v>
      </c>
      <c r="CK15" s="93">
        <v>1.5592860000000002</v>
      </c>
      <c r="CL15" s="93">
        <v>1.5073098</v>
      </c>
      <c r="CM15" s="93">
        <v>1.5159725000000002</v>
      </c>
      <c r="CN15" s="35">
        <v>1.5246352000000001</v>
      </c>
      <c r="CO15" s="34">
        <v>1.36</v>
      </c>
      <c r="CP15" s="93">
        <v>1.45</v>
      </c>
      <c r="CQ15" s="93">
        <v>1.36</v>
      </c>
      <c r="CR15" s="35">
        <v>1.45</v>
      </c>
      <c r="CS15" s="34">
        <v>1.5583199999999999</v>
      </c>
      <c r="CT15" s="93">
        <v>1.5583199999999999</v>
      </c>
      <c r="CU15" s="93">
        <v>1.7531099999999999</v>
      </c>
      <c r="CV15" s="35">
        <v>1.5583199999999999</v>
      </c>
      <c r="CW15" s="34">
        <v>1.0481867</v>
      </c>
      <c r="CX15" s="93">
        <v>1.0221986000000001</v>
      </c>
      <c r="CY15" s="93">
        <v>1.0395240000000001</v>
      </c>
      <c r="CZ15" s="93">
        <v>1.0395240000000001</v>
      </c>
      <c r="DA15" s="93">
        <v>1.0395240000000001</v>
      </c>
      <c r="DB15" s="93">
        <v>1.0395240000000001</v>
      </c>
      <c r="DC15" s="93">
        <v>1.0308613</v>
      </c>
      <c r="DD15" s="35">
        <v>1.0395240000000001</v>
      </c>
      <c r="DE15" s="34">
        <v>1</v>
      </c>
      <c r="DF15" s="93">
        <v>0.91</v>
      </c>
      <c r="DG15" s="93">
        <v>1.0900000000000001</v>
      </c>
      <c r="DH15" s="35">
        <v>1.0900000000000001</v>
      </c>
      <c r="DI15" s="34">
        <v>1.1687399999999999</v>
      </c>
      <c r="DJ15" s="93">
        <v>1.1687399999999999</v>
      </c>
      <c r="DK15" s="93">
        <v>1.1687399999999999</v>
      </c>
      <c r="DL15" s="35">
        <v>1.1687399999999999</v>
      </c>
    </row>
    <row r="16" spans="2:116" ht="16.2" x14ac:dyDescent="0.3">
      <c r="B16" s="22" t="s">
        <v>135</v>
      </c>
      <c r="C16" s="23" t="s">
        <v>39</v>
      </c>
      <c r="D16" s="23" t="s">
        <v>40</v>
      </c>
      <c r="E16" s="105">
        <v>3.1873499662223184</v>
      </c>
      <c r="F16" s="101">
        <v>3.2601205133963433</v>
      </c>
      <c r="G16" s="101">
        <v>3.3619992794399796</v>
      </c>
      <c r="H16" s="101">
        <v>3.4929862643532257</v>
      </c>
      <c r="I16" s="101">
        <v>3.3474451700051744</v>
      </c>
      <c r="J16" s="101">
        <v>3.4056616077443942</v>
      </c>
      <c r="K16" s="101">
        <v>3.3619992794399796</v>
      </c>
      <c r="L16" s="36">
        <v>3.3765533888747843</v>
      </c>
      <c r="M16" s="105">
        <v>5.03</v>
      </c>
      <c r="N16" s="101">
        <v>4.57</v>
      </c>
      <c r="O16" s="101">
        <v>5.03</v>
      </c>
      <c r="P16" s="36">
        <v>4.88</v>
      </c>
      <c r="Q16" s="105">
        <v>4.9089688725322702</v>
      </c>
      <c r="R16" s="101">
        <v>4.9089688725322702</v>
      </c>
      <c r="S16" s="101">
        <v>5.236233464034421</v>
      </c>
      <c r="T16" s="101">
        <v>5.236233464034421</v>
      </c>
      <c r="U16" s="101">
        <v>4.9089688725322693</v>
      </c>
      <c r="V16" s="101">
        <v>4.9089688725322693</v>
      </c>
      <c r="W16" s="101">
        <v>5.236233464034421</v>
      </c>
      <c r="X16" s="36">
        <v>5.236233464034421</v>
      </c>
      <c r="Y16" s="105">
        <v>2.517860932221283</v>
      </c>
      <c r="Z16" s="101">
        <v>2.5033068227864783</v>
      </c>
      <c r="AA16" s="101">
        <v>2.4887527133516731</v>
      </c>
      <c r="AB16" s="101">
        <v>2.5615232605256986</v>
      </c>
      <c r="AC16" s="101">
        <v>2.6197396982649188</v>
      </c>
      <c r="AD16" s="101">
        <v>2.5324150416560882</v>
      </c>
      <c r="AE16" s="101">
        <v>2.5469691510908934</v>
      </c>
      <c r="AF16" s="36">
        <v>2.5615232605256986</v>
      </c>
      <c r="AG16" s="105">
        <v>2.29</v>
      </c>
      <c r="AH16" s="101">
        <v>2.44</v>
      </c>
      <c r="AI16" s="101">
        <v>2.29</v>
      </c>
      <c r="AJ16" s="36">
        <v>2.44</v>
      </c>
      <c r="AK16" s="105">
        <v>2.6181167320172105</v>
      </c>
      <c r="AL16" s="101">
        <v>2.6181167320172105</v>
      </c>
      <c r="AM16" s="101">
        <v>2.6181167320172105</v>
      </c>
      <c r="AN16" s="101">
        <v>2.6181167320172105</v>
      </c>
      <c r="AO16" s="101">
        <v>2.9453813235193618</v>
      </c>
      <c r="AP16" s="101">
        <v>2.9453813235193618</v>
      </c>
      <c r="AQ16" s="101">
        <v>2.6181167320172105</v>
      </c>
      <c r="AR16" s="36">
        <v>2.6181167320172105</v>
      </c>
      <c r="AS16" s="105">
        <v>1.7610472416114178</v>
      </c>
      <c r="AT16" s="101">
        <v>1.7173849133070025</v>
      </c>
      <c r="AU16" s="101">
        <v>1.7464931321766128</v>
      </c>
      <c r="AV16" s="101">
        <v>1.7464931321766128</v>
      </c>
      <c r="AW16" s="101">
        <v>1.7464931321766128</v>
      </c>
      <c r="AX16" s="101">
        <v>1.7464931321766128</v>
      </c>
      <c r="AY16" s="101">
        <v>1.7319390227418074</v>
      </c>
      <c r="AZ16" s="36">
        <v>1.7464931321766128</v>
      </c>
      <c r="BA16" s="101">
        <v>1.68</v>
      </c>
      <c r="BB16" s="101">
        <v>1.52</v>
      </c>
      <c r="BC16" s="101">
        <v>1.83</v>
      </c>
      <c r="BD16" s="36">
        <v>1.83</v>
      </c>
      <c r="BE16" s="105">
        <v>1.9635875490129076</v>
      </c>
      <c r="BF16" s="101">
        <v>1.9635875490129076</v>
      </c>
      <c r="BG16" s="101">
        <v>1.9635875490129076</v>
      </c>
      <c r="BH16" s="101">
        <v>1.9635875490129076</v>
      </c>
      <c r="BI16" s="101">
        <v>1.9635875490129076</v>
      </c>
      <c r="BJ16" s="101">
        <v>1.9635875490129076</v>
      </c>
      <c r="BK16" s="101">
        <v>1.9635875490129076</v>
      </c>
      <c r="BL16" s="36">
        <v>1.9635875490129076</v>
      </c>
      <c r="BM16" s="105">
        <v>3.1873499662223184</v>
      </c>
      <c r="BN16" s="101">
        <v>3.2601205133963433</v>
      </c>
      <c r="BO16" s="101">
        <v>3.3619992794399796</v>
      </c>
      <c r="BP16" s="101">
        <v>3.4929862643532257</v>
      </c>
      <c r="BQ16" s="101">
        <v>3.3474451700051744</v>
      </c>
      <c r="BR16" s="101">
        <v>3.4056616077443942</v>
      </c>
      <c r="BS16" s="101">
        <v>3.3619992794399796</v>
      </c>
      <c r="BT16" s="36">
        <v>3.3765533888747843</v>
      </c>
      <c r="BU16" s="105">
        <v>5.03</v>
      </c>
      <c r="BV16" s="101">
        <v>4.57</v>
      </c>
      <c r="BW16" s="101">
        <v>5.03</v>
      </c>
      <c r="BX16" s="36">
        <v>4.88</v>
      </c>
      <c r="BY16" s="105">
        <v>4.9089688725322702</v>
      </c>
      <c r="BZ16" s="101">
        <v>5.236233464034421</v>
      </c>
      <c r="CA16" s="101">
        <v>4.9089688725322693</v>
      </c>
      <c r="CB16" s="36">
        <v>5.236233464034421</v>
      </c>
      <c r="CC16" s="101">
        <v>3.27</v>
      </c>
      <c r="CD16" s="101">
        <v>3.44</v>
      </c>
      <c r="CE16" s="101">
        <v>3.43</v>
      </c>
      <c r="CF16" s="101">
        <v>3.93</v>
      </c>
      <c r="CG16" s="105">
        <v>2.517860932221283</v>
      </c>
      <c r="CH16" s="101">
        <v>2.5033068227864783</v>
      </c>
      <c r="CI16" s="101">
        <v>2.4887527133516731</v>
      </c>
      <c r="CJ16" s="101">
        <v>2.5615232605256986</v>
      </c>
      <c r="CK16" s="101">
        <v>2.6197396982649188</v>
      </c>
      <c r="CL16" s="101">
        <v>2.5324150416560882</v>
      </c>
      <c r="CM16" s="101">
        <v>2.5469691510908934</v>
      </c>
      <c r="CN16" s="36">
        <v>2.5615232605256986</v>
      </c>
      <c r="CO16" s="105">
        <v>2.29</v>
      </c>
      <c r="CP16" s="101">
        <v>2.44</v>
      </c>
      <c r="CQ16" s="101">
        <v>2.29</v>
      </c>
      <c r="CR16" s="36">
        <v>2.44</v>
      </c>
      <c r="CS16" s="105">
        <v>2.6181167320172105</v>
      </c>
      <c r="CT16" s="101">
        <v>2.6181167320172105</v>
      </c>
      <c r="CU16" s="101">
        <v>2.9453813235193618</v>
      </c>
      <c r="CV16" s="36">
        <v>2.6181167320172105</v>
      </c>
      <c r="CW16" s="105">
        <v>1.7610472416114178</v>
      </c>
      <c r="CX16" s="101">
        <v>1.7173849133070025</v>
      </c>
      <c r="CY16" s="101">
        <v>1.7464931321766128</v>
      </c>
      <c r="CZ16" s="101">
        <v>1.7464931321766128</v>
      </c>
      <c r="DA16" s="101">
        <v>1.7464931321766128</v>
      </c>
      <c r="DB16" s="101">
        <v>1.7464931321766128</v>
      </c>
      <c r="DC16" s="101">
        <v>1.7319390227418074</v>
      </c>
      <c r="DD16" s="36">
        <v>1.7464931321766128</v>
      </c>
      <c r="DE16" s="105">
        <v>1.68</v>
      </c>
      <c r="DF16" s="101">
        <v>1.52</v>
      </c>
      <c r="DG16" s="101">
        <v>1.83</v>
      </c>
      <c r="DH16" s="36">
        <v>1.83</v>
      </c>
      <c r="DI16" s="105">
        <v>1.9635875490129076</v>
      </c>
      <c r="DJ16" s="101">
        <v>1.9635875490129076</v>
      </c>
      <c r="DK16" s="101">
        <v>1.9635875490129076</v>
      </c>
      <c r="DL16" s="36">
        <v>1.9635875490129076</v>
      </c>
    </row>
    <row r="17" spans="2:116" x14ac:dyDescent="0.3">
      <c r="B17" s="25" t="s">
        <v>105</v>
      </c>
      <c r="C17" s="26" t="s">
        <v>106</v>
      </c>
      <c r="D17" s="26" t="s">
        <v>107</v>
      </c>
      <c r="E17" s="34">
        <v>-0.11</v>
      </c>
      <c r="F17" s="93">
        <v>-0.11</v>
      </c>
      <c r="G17" s="93">
        <v>-0.11</v>
      </c>
      <c r="H17" s="93">
        <v>-0.11</v>
      </c>
      <c r="I17" s="93">
        <v>-0.11</v>
      </c>
      <c r="J17" s="93">
        <v>-0.11</v>
      </c>
      <c r="K17" s="93">
        <v>-0.11</v>
      </c>
      <c r="L17" s="35">
        <v>-0.11</v>
      </c>
      <c r="M17" s="34">
        <v>0.89</v>
      </c>
      <c r="N17" s="93">
        <v>2.89</v>
      </c>
      <c r="O17" s="93">
        <v>4.8899999999999997</v>
      </c>
      <c r="P17" s="35">
        <v>-0.11</v>
      </c>
      <c r="Q17" s="34">
        <v>-0.11</v>
      </c>
      <c r="R17" s="93">
        <v>-0.11</v>
      </c>
      <c r="S17" s="93">
        <v>-0.11</v>
      </c>
      <c r="T17" s="93">
        <v>-0.11</v>
      </c>
      <c r="U17" s="93">
        <v>-0.11</v>
      </c>
      <c r="V17" s="93">
        <v>-0.11</v>
      </c>
      <c r="W17" s="93">
        <v>-0.11</v>
      </c>
      <c r="X17" s="35">
        <v>-0.11</v>
      </c>
      <c r="Y17" s="34">
        <v>-0.11</v>
      </c>
      <c r="Z17" s="93">
        <v>-0.11</v>
      </c>
      <c r="AA17" s="93">
        <v>-0.11</v>
      </c>
      <c r="AB17" s="93">
        <v>-0.11</v>
      </c>
      <c r="AC17" s="93">
        <v>-0.11</v>
      </c>
      <c r="AD17" s="93">
        <v>-0.11</v>
      </c>
      <c r="AE17" s="93">
        <v>-0.11</v>
      </c>
      <c r="AF17" s="35">
        <v>-0.11</v>
      </c>
      <c r="AG17" s="34">
        <v>-0.11</v>
      </c>
      <c r="AH17" s="93">
        <v>-0.11</v>
      </c>
      <c r="AI17" s="93">
        <v>-0.11</v>
      </c>
      <c r="AJ17" s="35">
        <v>-0.11</v>
      </c>
      <c r="AK17" s="34">
        <v>-0.11</v>
      </c>
      <c r="AL17" s="93">
        <v>-0.11</v>
      </c>
      <c r="AM17" s="93">
        <v>-0.11</v>
      </c>
      <c r="AN17" s="93">
        <v>-0.11</v>
      </c>
      <c r="AO17" s="93">
        <v>-0.11</v>
      </c>
      <c r="AP17" s="93">
        <v>-0.11</v>
      </c>
      <c r="AQ17" s="93">
        <v>-0.11</v>
      </c>
      <c r="AR17" s="35">
        <v>-0.11</v>
      </c>
      <c r="AS17" s="34">
        <v>-0.11</v>
      </c>
      <c r="AT17" s="93">
        <v>-0.11</v>
      </c>
      <c r="AU17" s="93">
        <v>-0.11</v>
      </c>
      <c r="AV17" s="93">
        <v>-0.11</v>
      </c>
      <c r="AW17" s="93">
        <v>-0.11</v>
      </c>
      <c r="AX17" s="93">
        <v>-0.11</v>
      </c>
      <c r="AY17" s="93">
        <v>-0.11</v>
      </c>
      <c r="AZ17" s="35">
        <v>-0.11</v>
      </c>
      <c r="BA17" s="93">
        <v>-0.11</v>
      </c>
      <c r="BB17" s="93">
        <v>-0.11</v>
      </c>
      <c r="BC17" s="93">
        <v>-0.11</v>
      </c>
      <c r="BD17" s="35">
        <v>-0.11</v>
      </c>
      <c r="BE17" s="34">
        <v>-0.11</v>
      </c>
      <c r="BF17" s="93">
        <v>-0.11</v>
      </c>
      <c r="BG17" s="93">
        <v>-0.11</v>
      </c>
      <c r="BH17" s="93">
        <v>-0.11</v>
      </c>
      <c r="BI17" s="93">
        <v>-0.11</v>
      </c>
      <c r="BJ17" s="93">
        <v>-0.11</v>
      </c>
      <c r="BK17" s="93">
        <v>-0.11</v>
      </c>
      <c r="BL17" s="35">
        <v>-0.11</v>
      </c>
      <c r="BM17" s="34">
        <v>-0.11</v>
      </c>
      <c r="BN17" s="93">
        <v>-0.11</v>
      </c>
      <c r="BO17" s="93">
        <v>-0.11</v>
      </c>
      <c r="BP17" s="93">
        <v>-0.11</v>
      </c>
      <c r="BQ17" s="93">
        <v>-0.11</v>
      </c>
      <c r="BR17" s="93">
        <v>-0.11</v>
      </c>
      <c r="BS17" s="93">
        <v>-0.11</v>
      </c>
      <c r="BT17" s="35">
        <v>-0.11</v>
      </c>
      <c r="BU17" s="34">
        <v>-0.11</v>
      </c>
      <c r="BV17" s="93">
        <v>-0.11</v>
      </c>
      <c r="BW17" s="93">
        <v>-0.11</v>
      </c>
      <c r="BX17" s="35">
        <v>-0.11</v>
      </c>
      <c r="BY17" s="34">
        <v>-0.11</v>
      </c>
      <c r="BZ17" s="93">
        <v>-0.11</v>
      </c>
      <c r="CA17" s="93">
        <v>-0.11</v>
      </c>
      <c r="CB17" s="35">
        <v>-0.11</v>
      </c>
      <c r="CC17" s="93">
        <v>-0.11</v>
      </c>
      <c r="CD17" s="93">
        <v>-0.11</v>
      </c>
      <c r="CE17" s="93">
        <v>-0.11</v>
      </c>
      <c r="CF17" s="93">
        <v>-0.11</v>
      </c>
      <c r="CG17" s="34">
        <v>-0.11</v>
      </c>
      <c r="CH17" s="93">
        <v>-0.11</v>
      </c>
      <c r="CI17" s="93">
        <v>-0.11</v>
      </c>
      <c r="CJ17" s="93">
        <v>-0.11</v>
      </c>
      <c r="CK17" s="93">
        <v>-0.11</v>
      </c>
      <c r="CL17" s="93">
        <v>-0.11</v>
      </c>
      <c r="CM17" s="93">
        <v>-0.11</v>
      </c>
      <c r="CN17" s="35">
        <v>-0.11</v>
      </c>
      <c r="CO17" s="34">
        <v>-0.11</v>
      </c>
      <c r="CP17" s="93">
        <v>-0.11</v>
      </c>
      <c r="CQ17" s="93">
        <v>-0.11</v>
      </c>
      <c r="CR17" s="35">
        <v>-0.11</v>
      </c>
      <c r="CS17" s="34">
        <v>-0.11</v>
      </c>
      <c r="CT17" s="93">
        <v>-0.11</v>
      </c>
      <c r="CU17" s="93">
        <v>-0.11</v>
      </c>
      <c r="CV17" s="35">
        <v>-0.11</v>
      </c>
      <c r="CW17" s="34">
        <v>-0.11</v>
      </c>
      <c r="CX17" s="93">
        <v>-0.11</v>
      </c>
      <c r="CY17" s="93">
        <v>-0.11</v>
      </c>
      <c r="CZ17" s="93">
        <v>-0.11</v>
      </c>
      <c r="DA17" s="93">
        <v>-0.11</v>
      </c>
      <c r="DB17" s="93">
        <v>-0.11</v>
      </c>
      <c r="DC17" s="93">
        <v>-0.11</v>
      </c>
      <c r="DD17" s="35">
        <v>-0.11</v>
      </c>
      <c r="DE17" s="34">
        <v>-0.11</v>
      </c>
      <c r="DF17" s="93">
        <v>-0.11</v>
      </c>
      <c r="DG17" s="93">
        <v>-0.11</v>
      </c>
      <c r="DH17" s="35">
        <v>-0.11</v>
      </c>
      <c r="DI17" s="34">
        <v>-0.11</v>
      </c>
      <c r="DJ17" s="93">
        <v>-0.11</v>
      </c>
      <c r="DK17" s="93">
        <v>-0.11</v>
      </c>
      <c r="DL17" s="35">
        <v>-0.11</v>
      </c>
    </row>
    <row r="18" spans="2:116" ht="16.2" x14ac:dyDescent="0.3">
      <c r="B18" s="22" t="s">
        <v>136</v>
      </c>
      <c r="C18" s="23" t="s">
        <v>108</v>
      </c>
      <c r="D18" s="23" t="s">
        <v>38</v>
      </c>
      <c r="E18" s="37">
        <v>23.58</v>
      </c>
      <c r="F18" s="94">
        <v>8.02</v>
      </c>
      <c r="G18" s="94">
        <v>4.6349999999999998</v>
      </c>
      <c r="H18" s="94">
        <v>3.4</v>
      </c>
      <c r="I18" s="94">
        <v>2.34</v>
      </c>
      <c r="J18" s="94">
        <v>1.93</v>
      </c>
      <c r="K18" s="94">
        <v>1.59</v>
      </c>
      <c r="L18" s="38">
        <v>1.37</v>
      </c>
      <c r="M18" s="37">
        <v>4.8600000000000003</v>
      </c>
      <c r="N18" s="94">
        <v>1.34</v>
      </c>
      <c r="O18" s="94">
        <v>0.9</v>
      </c>
      <c r="P18" s="38">
        <v>0.62</v>
      </c>
      <c r="Q18" s="37">
        <v>0.63600000000000001</v>
      </c>
      <c r="R18" s="94">
        <v>0.63600000000000001</v>
      </c>
      <c r="S18" s="94">
        <v>0.25900000000000001</v>
      </c>
      <c r="T18" s="94">
        <v>0.25900000000000001</v>
      </c>
      <c r="U18" s="94">
        <v>0.155</v>
      </c>
      <c r="V18" s="94">
        <v>0.155</v>
      </c>
      <c r="W18" s="94">
        <v>0.115</v>
      </c>
      <c r="X18" s="38">
        <v>0.115</v>
      </c>
      <c r="Y18" s="37">
        <v>14.72</v>
      </c>
      <c r="Z18" s="94">
        <v>4.5999999999999996</v>
      </c>
      <c r="AA18" s="94">
        <v>2.5499999999999998</v>
      </c>
      <c r="AB18" s="94">
        <v>1.83</v>
      </c>
      <c r="AC18" s="94">
        <v>1.43</v>
      </c>
      <c r="AD18" s="94">
        <v>1.07</v>
      </c>
      <c r="AE18" s="94">
        <v>0.90500000000000003</v>
      </c>
      <c r="AF18" s="38">
        <v>0.78200000000000003</v>
      </c>
      <c r="AG18" s="37">
        <v>0.95</v>
      </c>
      <c r="AH18" s="94">
        <v>0.39</v>
      </c>
      <c r="AI18" s="94">
        <v>0.19</v>
      </c>
      <c r="AJ18" s="38">
        <v>0.16</v>
      </c>
      <c r="AK18" s="37">
        <v>0.182</v>
      </c>
      <c r="AL18" s="94">
        <v>0.182</v>
      </c>
      <c r="AM18" s="94">
        <v>6.8000000000000005E-2</v>
      </c>
      <c r="AN18" s="94">
        <v>6.8000000000000005E-2</v>
      </c>
      <c r="AO18" s="94">
        <v>4.9000000000000002E-2</v>
      </c>
      <c r="AP18" s="94">
        <v>4.9000000000000002E-2</v>
      </c>
      <c r="AQ18" s="94">
        <v>2.7E-2</v>
      </c>
      <c r="AR18" s="38">
        <v>2.7E-2</v>
      </c>
      <c r="AS18" s="37">
        <v>7.25</v>
      </c>
      <c r="AT18" s="94">
        <v>2.19</v>
      </c>
      <c r="AU18" s="94">
        <v>1.26</v>
      </c>
      <c r="AV18" s="94">
        <v>0.84899999999999998</v>
      </c>
      <c r="AW18" s="94">
        <v>0.65</v>
      </c>
      <c r="AX18" s="94">
        <v>0.51500000000000001</v>
      </c>
      <c r="AY18" s="94">
        <v>0.41899999999999998</v>
      </c>
      <c r="AZ18" s="38">
        <v>0.36099999999999999</v>
      </c>
      <c r="BA18" s="94">
        <v>0.49</v>
      </c>
      <c r="BB18" s="94">
        <v>0.15</v>
      </c>
      <c r="BC18" s="94">
        <v>0.13</v>
      </c>
      <c r="BD18" s="38">
        <v>0.09</v>
      </c>
      <c r="BE18" s="37">
        <v>0.1</v>
      </c>
      <c r="BF18" s="94">
        <v>0.1</v>
      </c>
      <c r="BG18" s="94">
        <v>3.7999999999999999E-2</v>
      </c>
      <c r="BH18" s="94">
        <v>3.7999999999999999E-2</v>
      </c>
      <c r="BI18" s="94">
        <v>2.1999999999999999E-2</v>
      </c>
      <c r="BJ18" s="94">
        <v>2.1999999999999999E-2</v>
      </c>
      <c r="BK18" s="94">
        <v>1.4999999999999999E-2</v>
      </c>
      <c r="BL18" s="38">
        <v>1.4999999999999999E-2</v>
      </c>
      <c r="BM18" s="37">
        <v>23.58</v>
      </c>
      <c r="BN18" s="94">
        <v>8.02</v>
      </c>
      <c r="BO18" s="94">
        <v>4.6349999999999998</v>
      </c>
      <c r="BP18" s="94">
        <v>3.4</v>
      </c>
      <c r="BQ18" s="94">
        <v>2.34</v>
      </c>
      <c r="BR18" s="94">
        <v>1.93</v>
      </c>
      <c r="BS18" s="94">
        <v>1.59</v>
      </c>
      <c r="BT18" s="38">
        <v>1.37</v>
      </c>
      <c r="BU18" s="37">
        <v>4.8600000000000003</v>
      </c>
      <c r="BV18" s="94">
        <v>1.34</v>
      </c>
      <c r="BW18" s="94">
        <v>0.9</v>
      </c>
      <c r="BX18" s="38">
        <v>0.62</v>
      </c>
      <c r="BY18" s="37">
        <v>0.63600000000000001</v>
      </c>
      <c r="BZ18" s="94">
        <v>0.25900000000000001</v>
      </c>
      <c r="CA18" s="94">
        <v>0.155</v>
      </c>
      <c r="CB18" s="38">
        <v>0.115</v>
      </c>
      <c r="CC18" s="94">
        <v>0.1</v>
      </c>
      <c r="CD18" s="94">
        <v>7.0000000000000007E-2</v>
      </c>
      <c r="CE18" s="94">
        <v>5.7000000000000002E-2</v>
      </c>
      <c r="CF18" s="94">
        <v>0.06</v>
      </c>
      <c r="CG18" s="37">
        <v>14.72</v>
      </c>
      <c r="CH18" s="94">
        <v>4.5999999999999996</v>
      </c>
      <c r="CI18" s="94">
        <v>2.5499999999999998</v>
      </c>
      <c r="CJ18" s="94">
        <v>1.83</v>
      </c>
      <c r="CK18" s="94">
        <v>1.43</v>
      </c>
      <c r="CL18" s="94">
        <v>1.07</v>
      </c>
      <c r="CM18" s="94">
        <v>0.90500000000000003</v>
      </c>
      <c r="CN18" s="38">
        <v>0.78200000000000003</v>
      </c>
      <c r="CO18" s="37">
        <v>0.95</v>
      </c>
      <c r="CP18" s="94">
        <v>0.39</v>
      </c>
      <c r="CQ18" s="94">
        <v>0.19</v>
      </c>
      <c r="CR18" s="38">
        <v>0.16</v>
      </c>
      <c r="CS18" s="37">
        <v>0.182</v>
      </c>
      <c r="CT18" s="94">
        <v>7.0000000000000007E-2</v>
      </c>
      <c r="CU18" s="94">
        <v>4.9000000000000002E-2</v>
      </c>
      <c r="CV18" s="38">
        <v>2.7E-2</v>
      </c>
      <c r="CW18" s="37">
        <v>7.25</v>
      </c>
      <c r="CX18" s="94">
        <v>2.19</v>
      </c>
      <c r="CY18" s="94">
        <v>1.26</v>
      </c>
      <c r="CZ18" s="94">
        <v>0.84899999999999998</v>
      </c>
      <c r="DA18" s="94">
        <v>0.65</v>
      </c>
      <c r="DB18" s="94">
        <v>0.51500000000000001</v>
      </c>
      <c r="DC18" s="94">
        <v>0.41899999999999998</v>
      </c>
      <c r="DD18" s="38">
        <v>0.36099999999999999</v>
      </c>
      <c r="DE18" s="37">
        <v>0.49</v>
      </c>
      <c r="DF18" s="94">
        <v>0.15</v>
      </c>
      <c r="DG18" s="94">
        <v>0.13</v>
      </c>
      <c r="DH18" s="38">
        <v>0.09</v>
      </c>
      <c r="DI18" s="37">
        <v>0.1</v>
      </c>
      <c r="DJ18" s="94">
        <v>3.7999999999999999E-2</v>
      </c>
      <c r="DK18" s="94">
        <v>2.1999999999999999E-2</v>
      </c>
      <c r="DL18" s="38">
        <v>1.4999999999999999E-2</v>
      </c>
    </row>
    <row r="19" spans="2:116" ht="16.2" x14ac:dyDescent="0.3">
      <c r="B19" s="25" t="s">
        <v>137</v>
      </c>
      <c r="C19" s="26" t="s">
        <v>109</v>
      </c>
      <c r="D19" s="26" t="s">
        <v>36</v>
      </c>
      <c r="E19" s="39">
        <v>88.3</v>
      </c>
      <c r="F19" s="95">
        <v>50.2</v>
      </c>
      <c r="G19" s="95">
        <v>32.299999999999997</v>
      </c>
      <c r="H19" s="95">
        <v>26.4</v>
      </c>
      <c r="I19" s="95">
        <v>18.760000000000002</v>
      </c>
      <c r="J19" s="95">
        <v>15.5</v>
      </c>
      <c r="K19" s="95">
        <v>13.3</v>
      </c>
      <c r="L19" s="40">
        <v>10.7</v>
      </c>
      <c r="M19" s="39">
        <v>47.8</v>
      </c>
      <c r="N19" s="95">
        <v>19.8</v>
      </c>
      <c r="O19" s="95">
        <v>15.9</v>
      </c>
      <c r="P19" s="40">
        <v>11.2</v>
      </c>
      <c r="Q19" s="39">
        <v>13.21</v>
      </c>
      <c r="R19" s="95">
        <v>13.21</v>
      </c>
      <c r="S19" s="95">
        <v>6.5</v>
      </c>
      <c r="T19" s="95">
        <v>6.5</v>
      </c>
      <c r="U19" s="95">
        <v>4.41</v>
      </c>
      <c r="V19" s="95">
        <v>4.41</v>
      </c>
      <c r="W19" s="95">
        <v>4.26</v>
      </c>
      <c r="X19" s="40">
        <v>4.26</v>
      </c>
      <c r="Y19" s="39">
        <v>58</v>
      </c>
      <c r="Z19" s="95">
        <v>29.3</v>
      </c>
      <c r="AA19" s="95">
        <v>18.14</v>
      </c>
      <c r="AB19" s="95">
        <v>14.2</v>
      </c>
      <c r="AC19" s="95">
        <v>10.96</v>
      </c>
      <c r="AD19" s="95">
        <v>9.3000000000000007</v>
      </c>
      <c r="AE19" s="95">
        <v>7.81</v>
      </c>
      <c r="AF19" s="40">
        <v>5.86</v>
      </c>
      <c r="AG19" s="39">
        <v>9.9</v>
      </c>
      <c r="AH19" s="95">
        <v>5.6</v>
      </c>
      <c r="AI19" s="95">
        <v>3.3</v>
      </c>
      <c r="AJ19" s="40">
        <v>2.81</v>
      </c>
      <c r="AK19" s="39">
        <v>4.4000000000000004</v>
      </c>
      <c r="AL19" s="95">
        <v>4.4000000000000004</v>
      </c>
      <c r="AM19" s="95">
        <v>2.13</v>
      </c>
      <c r="AN19" s="95">
        <v>2.13</v>
      </c>
      <c r="AO19" s="95">
        <v>1.7</v>
      </c>
      <c r="AP19" s="95">
        <v>1.7</v>
      </c>
      <c r="AQ19" s="95">
        <v>1.06</v>
      </c>
      <c r="AR19" s="40">
        <v>1.06</v>
      </c>
      <c r="AS19" s="39">
        <v>30.23</v>
      </c>
      <c r="AT19" s="95">
        <v>12.4</v>
      </c>
      <c r="AU19" s="95">
        <v>9.23</v>
      </c>
      <c r="AV19" s="95">
        <v>6.39</v>
      </c>
      <c r="AW19" s="95">
        <v>4.78</v>
      </c>
      <c r="AX19" s="95">
        <v>4.09</v>
      </c>
      <c r="AY19" s="95">
        <v>3.09</v>
      </c>
      <c r="AZ19" s="40">
        <v>2.94</v>
      </c>
      <c r="BA19" s="95">
        <v>5.3</v>
      </c>
      <c r="BB19" s="95">
        <v>2.19</v>
      </c>
      <c r="BC19" s="95">
        <v>2.11</v>
      </c>
      <c r="BD19" s="40">
        <v>1.58</v>
      </c>
      <c r="BE19" s="39">
        <v>2.4</v>
      </c>
      <c r="BF19" s="95">
        <v>2.4</v>
      </c>
      <c r="BG19" s="95">
        <v>1.2</v>
      </c>
      <c r="BH19" s="95">
        <v>1.2</v>
      </c>
      <c r="BI19" s="95">
        <v>0.8</v>
      </c>
      <c r="BJ19" s="95">
        <v>0.8</v>
      </c>
      <c r="BK19" s="95">
        <v>0.6</v>
      </c>
      <c r="BL19" s="40">
        <v>0.6</v>
      </c>
      <c r="BM19" s="39">
        <v>88.3</v>
      </c>
      <c r="BN19" s="95">
        <v>50.2</v>
      </c>
      <c r="BO19" s="95">
        <v>32.299999999999997</v>
      </c>
      <c r="BP19" s="95">
        <v>26.4</v>
      </c>
      <c r="BQ19" s="95">
        <v>18.760000000000002</v>
      </c>
      <c r="BR19" s="95">
        <v>15.5</v>
      </c>
      <c r="BS19" s="95">
        <v>13.3</v>
      </c>
      <c r="BT19" s="40">
        <v>10.7</v>
      </c>
      <c r="BU19" s="39">
        <v>47.8</v>
      </c>
      <c r="BV19" s="95">
        <v>19.8</v>
      </c>
      <c r="BW19" s="95">
        <v>15.9</v>
      </c>
      <c r="BX19" s="40">
        <v>11.2</v>
      </c>
      <c r="BY19" s="39">
        <v>13.21</v>
      </c>
      <c r="BZ19" s="95">
        <v>6.5</v>
      </c>
      <c r="CA19" s="95">
        <v>4.41</v>
      </c>
      <c r="CB19" s="40">
        <v>4.26</v>
      </c>
      <c r="CC19" s="95">
        <v>3.2</v>
      </c>
      <c r="CD19" s="243"/>
      <c r="CE19" s="95">
        <v>1.86</v>
      </c>
      <c r="CF19" s="95">
        <v>2.29</v>
      </c>
      <c r="CG19" s="39">
        <v>58</v>
      </c>
      <c r="CH19" s="95">
        <v>29.3</v>
      </c>
      <c r="CI19" s="95">
        <v>18.14</v>
      </c>
      <c r="CJ19" s="95">
        <v>14.2</v>
      </c>
      <c r="CK19" s="95">
        <v>10.96</v>
      </c>
      <c r="CL19" s="95">
        <v>9.3000000000000007</v>
      </c>
      <c r="CM19" s="95">
        <v>7.81</v>
      </c>
      <c r="CN19" s="40">
        <v>5.86</v>
      </c>
      <c r="CO19" s="39">
        <v>9.9</v>
      </c>
      <c r="CP19" s="95">
        <v>5.6</v>
      </c>
      <c r="CQ19" s="95">
        <v>3.3</v>
      </c>
      <c r="CR19" s="40">
        <v>2.81</v>
      </c>
      <c r="CS19" s="39">
        <v>4.4000000000000004</v>
      </c>
      <c r="CT19" s="95">
        <v>2.13</v>
      </c>
      <c r="CU19" s="95">
        <v>1.7</v>
      </c>
      <c r="CV19" s="40">
        <v>1.06</v>
      </c>
      <c r="CW19" s="39">
        <v>30.23</v>
      </c>
      <c r="CX19" s="95">
        <v>12.4</v>
      </c>
      <c r="CY19" s="95">
        <v>9.23</v>
      </c>
      <c r="CZ19" s="95">
        <v>6.39</v>
      </c>
      <c r="DA19" s="95">
        <v>4.78</v>
      </c>
      <c r="DB19" s="95">
        <v>4.09</v>
      </c>
      <c r="DC19" s="95">
        <v>3.09</v>
      </c>
      <c r="DD19" s="40">
        <v>2.94</v>
      </c>
      <c r="DE19" s="39">
        <v>5.3</v>
      </c>
      <c r="DF19" s="95">
        <v>2.19</v>
      </c>
      <c r="DG19" s="95">
        <v>2.11</v>
      </c>
      <c r="DH19" s="40">
        <v>1.49</v>
      </c>
      <c r="DI19" s="39">
        <v>2.4</v>
      </c>
      <c r="DJ19" s="95">
        <v>1.2</v>
      </c>
      <c r="DK19" s="95">
        <v>0.8</v>
      </c>
      <c r="DL19" s="40">
        <v>0.6</v>
      </c>
    </row>
    <row r="20" spans="2:116" ht="16.2" x14ac:dyDescent="0.3">
      <c r="B20" s="22" t="s">
        <v>138</v>
      </c>
      <c r="C20" s="23" t="s">
        <v>110</v>
      </c>
      <c r="D20" s="23" t="s">
        <v>111</v>
      </c>
      <c r="E20" s="102">
        <v>198.66712516584178</v>
      </c>
      <c r="F20" s="97">
        <v>203.20290427921719</v>
      </c>
      <c r="G20" s="97">
        <v>209.55299503794274</v>
      </c>
      <c r="H20" s="97">
        <v>217.71739744201844</v>
      </c>
      <c r="I20" s="97">
        <v>208.64583921526767</v>
      </c>
      <c r="J20" s="97">
        <v>212.27446250596796</v>
      </c>
      <c r="K20" s="97">
        <v>209.55299503794274</v>
      </c>
      <c r="L20" s="30">
        <v>210.4601508606178</v>
      </c>
      <c r="M20" s="102">
        <v>314</v>
      </c>
      <c r="N20" s="97">
        <v>285</v>
      </c>
      <c r="O20" s="97">
        <v>314</v>
      </c>
      <c r="P20" s="30">
        <v>304</v>
      </c>
      <c r="Q20" s="102">
        <v>305.97541649637787</v>
      </c>
      <c r="R20" s="97">
        <v>305.97541649637787</v>
      </c>
      <c r="S20" s="97">
        <v>326.37377759613639</v>
      </c>
      <c r="T20" s="97">
        <v>326.37377759613639</v>
      </c>
      <c r="U20" s="97">
        <v>305.97541649637782</v>
      </c>
      <c r="V20" s="97">
        <v>305.97541649637782</v>
      </c>
      <c r="W20" s="97">
        <v>326.37377759613639</v>
      </c>
      <c r="X20" s="30">
        <v>326.37377759613639</v>
      </c>
      <c r="Y20" s="102">
        <v>156.93795732278829</v>
      </c>
      <c r="Z20" s="97">
        <v>156.03080150011323</v>
      </c>
      <c r="AA20" s="97">
        <v>155.12364567743811</v>
      </c>
      <c r="AB20" s="97">
        <v>159.65942479081352</v>
      </c>
      <c r="AC20" s="97">
        <v>163.28804808151381</v>
      </c>
      <c r="AD20" s="97">
        <v>157.84511314546336</v>
      </c>
      <c r="AE20" s="97">
        <v>158.75226896813845</v>
      </c>
      <c r="AF20" s="30">
        <v>159.65942479081352</v>
      </c>
      <c r="AG20" s="102">
        <v>143</v>
      </c>
      <c r="AH20" s="97">
        <v>152</v>
      </c>
      <c r="AI20" s="97">
        <v>143</v>
      </c>
      <c r="AJ20" s="30">
        <v>152</v>
      </c>
      <c r="AK20" s="102">
        <v>163.1868887980682</v>
      </c>
      <c r="AL20" s="97">
        <v>163.1868887980682</v>
      </c>
      <c r="AM20" s="97">
        <v>163.1868887980682</v>
      </c>
      <c r="AN20" s="97">
        <v>163.1868887980682</v>
      </c>
      <c r="AO20" s="97">
        <v>183.58524989782671</v>
      </c>
      <c r="AP20" s="97">
        <v>183.58524989782671</v>
      </c>
      <c r="AQ20" s="97">
        <v>163.1868887980682</v>
      </c>
      <c r="AR20" s="30">
        <v>163.1868887980682</v>
      </c>
      <c r="AS20" s="102">
        <v>109.76585454368428</v>
      </c>
      <c r="AT20" s="97">
        <v>107.04438707565905</v>
      </c>
      <c r="AU20" s="97">
        <v>108.85869872100922</v>
      </c>
      <c r="AV20" s="97">
        <v>108.85869872100922</v>
      </c>
      <c r="AW20" s="97">
        <v>108.85869872100922</v>
      </c>
      <c r="AX20" s="97">
        <v>108.85869872100922</v>
      </c>
      <c r="AY20" s="97">
        <v>107.95154289833413</v>
      </c>
      <c r="AZ20" s="30">
        <v>108.85869872100922</v>
      </c>
      <c r="BA20" s="97">
        <v>105</v>
      </c>
      <c r="BB20" s="97">
        <v>95</v>
      </c>
      <c r="BC20" s="97">
        <v>114</v>
      </c>
      <c r="BD20" s="30">
        <v>114</v>
      </c>
      <c r="BE20" s="102">
        <v>122.39016659855113</v>
      </c>
      <c r="BF20" s="97">
        <v>122.39016659855113</v>
      </c>
      <c r="BG20" s="97">
        <v>122.39016659855113</v>
      </c>
      <c r="BH20" s="97">
        <v>122.39016659855113</v>
      </c>
      <c r="BI20" s="97">
        <v>122.39016659855113</v>
      </c>
      <c r="BJ20" s="97">
        <v>122.39016659855113</v>
      </c>
      <c r="BK20" s="97">
        <v>122.39016659855113</v>
      </c>
      <c r="BL20" s="30">
        <v>122.39016659855113</v>
      </c>
      <c r="BM20" s="102">
        <v>198.66712516584178</v>
      </c>
      <c r="BN20" s="97">
        <v>203.20290427921719</v>
      </c>
      <c r="BO20" s="97">
        <v>209.55299503794274</v>
      </c>
      <c r="BP20" s="97">
        <v>217.71739744201844</v>
      </c>
      <c r="BQ20" s="97">
        <v>208.64583921526767</v>
      </c>
      <c r="BR20" s="97">
        <v>212.27446250596796</v>
      </c>
      <c r="BS20" s="97">
        <v>209.55299503794274</v>
      </c>
      <c r="BT20" s="30">
        <v>210.4601508606178</v>
      </c>
      <c r="BU20" s="102">
        <v>314</v>
      </c>
      <c r="BV20" s="97">
        <v>285</v>
      </c>
      <c r="BW20" s="97">
        <v>314</v>
      </c>
      <c r="BX20" s="30">
        <v>304</v>
      </c>
      <c r="BY20" s="102">
        <v>305.97541649637787</v>
      </c>
      <c r="BZ20" s="97">
        <v>326.37377759613639</v>
      </c>
      <c r="CA20" s="97">
        <v>305.97541649637782</v>
      </c>
      <c r="CB20" s="30">
        <v>326.37377759613639</v>
      </c>
      <c r="CC20" s="97">
        <v>197.7</v>
      </c>
      <c r="CD20" s="244"/>
      <c r="CE20" s="97">
        <v>214</v>
      </c>
      <c r="CF20" s="97">
        <v>245</v>
      </c>
      <c r="CG20" s="102">
        <v>156.93795732278829</v>
      </c>
      <c r="CH20" s="97">
        <v>156.03080150011323</v>
      </c>
      <c r="CI20" s="97">
        <v>155.12364567743811</v>
      </c>
      <c r="CJ20" s="97">
        <v>159.65942479081352</v>
      </c>
      <c r="CK20" s="97">
        <v>163.28804808151381</v>
      </c>
      <c r="CL20" s="97">
        <v>157.84511314546336</v>
      </c>
      <c r="CM20" s="97">
        <v>158.75226896813845</v>
      </c>
      <c r="CN20" s="30">
        <v>159.65942479081352</v>
      </c>
      <c r="CO20" s="102">
        <v>143</v>
      </c>
      <c r="CP20" s="97">
        <v>152</v>
      </c>
      <c r="CQ20" s="97">
        <v>143</v>
      </c>
      <c r="CR20" s="30">
        <v>152</v>
      </c>
      <c r="CS20" s="102">
        <v>163.1868887980682</v>
      </c>
      <c r="CT20" s="97">
        <v>163.1868887980682</v>
      </c>
      <c r="CU20" s="97">
        <v>183.58524989782671</v>
      </c>
      <c r="CV20" s="30">
        <v>163.1868887980682</v>
      </c>
      <c r="CW20" s="102">
        <v>109.76585454368428</v>
      </c>
      <c r="CX20" s="97">
        <v>107.04438707565905</v>
      </c>
      <c r="CY20" s="97">
        <v>108.85869872100922</v>
      </c>
      <c r="CZ20" s="97">
        <v>108.85869872100922</v>
      </c>
      <c r="DA20" s="97">
        <v>108.85869872100922</v>
      </c>
      <c r="DB20" s="97">
        <v>108.85869872100922</v>
      </c>
      <c r="DC20" s="97">
        <v>107.95154289833413</v>
      </c>
      <c r="DD20" s="30">
        <v>108.85869872100922</v>
      </c>
      <c r="DE20" s="102">
        <v>105</v>
      </c>
      <c r="DF20" s="97">
        <v>95</v>
      </c>
      <c r="DG20" s="97">
        <v>114</v>
      </c>
      <c r="DH20" s="30">
        <v>114</v>
      </c>
      <c r="DI20" s="102">
        <v>122.39016659855113</v>
      </c>
      <c r="DJ20" s="97">
        <v>122.39016659855113</v>
      </c>
      <c r="DK20" s="97">
        <v>122.39016659855113</v>
      </c>
      <c r="DL20" s="30">
        <v>122.39016659855113</v>
      </c>
    </row>
    <row r="21" spans="2:116" x14ac:dyDescent="0.3">
      <c r="B21" s="25" t="s">
        <v>112</v>
      </c>
      <c r="C21" s="26" t="s">
        <v>113</v>
      </c>
      <c r="D21" s="26" t="s">
        <v>114</v>
      </c>
      <c r="E21" s="41">
        <v>344.93772983722153</v>
      </c>
      <c r="F21" s="96">
        <v>330.36628271233798</v>
      </c>
      <c r="G21" s="96">
        <v>336.10766409110397</v>
      </c>
      <c r="H21" s="96">
        <v>342.89377426893134</v>
      </c>
      <c r="I21" s="96">
        <v>323.44660259717216</v>
      </c>
      <c r="J21" s="96">
        <v>325.50220133890497</v>
      </c>
      <c r="K21" s="96">
        <v>319.69245269055244</v>
      </c>
      <c r="L21" s="27">
        <v>318.02960839727507</v>
      </c>
      <c r="M21" s="41">
        <v>351</v>
      </c>
      <c r="N21" s="96">
        <v>302</v>
      </c>
      <c r="O21" s="96">
        <v>321</v>
      </c>
      <c r="P21" s="27">
        <v>308</v>
      </c>
      <c r="Q21" s="41">
        <v>318.65280032706642</v>
      </c>
      <c r="R21" s="96">
        <v>348.16740295156472</v>
      </c>
      <c r="S21" s="96">
        <v>323.1925309592192</v>
      </c>
      <c r="T21" s="96">
        <v>340.5336752035189</v>
      </c>
      <c r="U21" s="96">
        <v>303.3105772118181</v>
      </c>
      <c r="V21" s="96">
        <v>321.45368712324751</v>
      </c>
      <c r="W21" s="96">
        <v>324.76871942220066</v>
      </c>
      <c r="X21" s="27">
        <v>338.58616616947768</v>
      </c>
      <c r="Y21" s="41">
        <v>349.49259165579326</v>
      </c>
      <c r="Z21" s="96">
        <v>328.07280320403862</v>
      </c>
      <c r="AA21" s="96">
        <v>323.82261441100832</v>
      </c>
      <c r="AB21" s="96">
        <v>327.97526433284963</v>
      </c>
      <c r="AC21" s="96">
        <v>329.82695715741431</v>
      </c>
      <c r="AD21" s="96">
        <v>316.87485191529447</v>
      </c>
      <c r="AE21" s="96">
        <v>315.84286998681438</v>
      </c>
      <c r="AF21" s="27">
        <v>314.20503918369161</v>
      </c>
      <c r="AG21" s="41">
        <v>300</v>
      </c>
      <c r="AH21" s="96">
        <v>307</v>
      </c>
      <c r="AI21" s="96">
        <v>281</v>
      </c>
      <c r="AJ21" s="27">
        <v>297</v>
      </c>
      <c r="AK21" s="41">
        <v>328.36046573055864</v>
      </c>
      <c r="AL21" s="96">
        <v>364.14216443335272</v>
      </c>
      <c r="AM21" s="96">
        <v>310.59307758602381</v>
      </c>
      <c r="AN21" s="96">
        <v>321.16494135210434</v>
      </c>
      <c r="AO21" s="96">
        <v>345.10767525590012</v>
      </c>
      <c r="AP21" s="96">
        <v>356.91644366417535</v>
      </c>
      <c r="AQ21" s="96">
        <v>326.37377759613639</v>
      </c>
      <c r="AR21" s="27">
        <v>315.18954737713597</v>
      </c>
      <c r="AS21" s="41">
        <v>355.96345286215876</v>
      </c>
      <c r="AT21" s="96">
        <v>326.31420594505164</v>
      </c>
      <c r="AU21" s="96">
        <v>329.3761369747146</v>
      </c>
      <c r="AV21" s="96">
        <v>322.47382755386337</v>
      </c>
      <c r="AW21" s="96">
        <v>318.61824452354568</v>
      </c>
      <c r="AX21" s="96">
        <v>316.50218575127712</v>
      </c>
      <c r="AY21" s="96">
        <v>311.34361040086441</v>
      </c>
      <c r="AZ21" s="27">
        <v>312.99587999539602</v>
      </c>
      <c r="BA21" s="96">
        <v>322</v>
      </c>
      <c r="BB21" s="96">
        <v>281</v>
      </c>
      <c r="BC21" s="96">
        <v>331</v>
      </c>
      <c r="BD21" s="27">
        <v>329</v>
      </c>
      <c r="BE21" s="41">
        <v>357.50518281397797</v>
      </c>
      <c r="BF21" s="96">
        <v>375.5627002673578</v>
      </c>
      <c r="BG21" s="96">
        <v>344.37854145901071</v>
      </c>
      <c r="BH21" s="96">
        <v>363.7564949775209</v>
      </c>
      <c r="BI21" s="96">
        <v>341.46856480995774</v>
      </c>
      <c r="BJ21" s="96">
        <v>363.25005649649313</v>
      </c>
      <c r="BK21" s="96">
        <v>341.46856480995774</v>
      </c>
      <c r="BL21" s="27">
        <v>356.39617297869984</v>
      </c>
      <c r="BM21" s="41">
        <v>371.01440670671343</v>
      </c>
      <c r="BN21" s="96">
        <v>357.33129592035436</v>
      </c>
      <c r="BO21" s="96">
        <v>355.63771926632131</v>
      </c>
      <c r="BP21" s="96">
        <v>365.30744461026688</v>
      </c>
      <c r="BQ21" s="96">
        <v>341.99774693095094</v>
      </c>
      <c r="BR21" s="96">
        <v>342.21869622855968</v>
      </c>
      <c r="BS21" s="96">
        <v>336.73507845455214</v>
      </c>
      <c r="BT21" s="27">
        <v>333.11289451157285</v>
      </c>
      <c r="BU21" s="41">
        <v>380</v>
      </c>
      <c r="BV21" s="96">
        <v>332</v>
      </c>
      <c r="BW21" s="96">
        <v>355</v>
      </c>
      <c r="BX21" s="27">
        <v>338</v>
      </c>
      <c r="BY21" s="41">
        <v>348.83484562374878</v>
      </c>
      <c r="BZ21" s="96">
        <v>356.15902407051897</v>
      </c>
      <c r="CA21" s="96">
        <v>335.73718451979482</v>
      </c>
      <c r="CB21" s="27">
        <v>366.13388852795299</v>
      </c>
      <c r="CC21" s="96">
        <v>333</v>
      </c>
      <c r="CD21" s="96">
        <v>343</v>
      </c>
      <c r="CE21" s="96">
        <v>336</v>
      </c>
      <c r="CF21" s="96">
        <v>388</v>
      </c>
      <c r="CG21" s="41">
        <v>369.24592532355865</v>
      </c>
      <c r="CH21" s="96">
        <v>349.46928170588603</v>
      </c>
      <c r="CI21" s="96">
        <v>341.23314256657278</v>
      </c>
      <c r="CJ21" s="96">
        <v>346.16179419174938</v>
      </c>
      <c r="CK21" s="96">
        <v>344.60009965520902</v>
      </c>
      <c r="CL21" s="96">
        <v>333.0502055333082</v>
      </c>
      <c r="CM21" s="96">
        <v>331.24508803697125</v>
      </c>
      <c r="CN21" s="27">
        <v>327.35456962792819</v>
      </c>
      <c r="CO21" s="41">
        <v>321</v>
      </c>
      <c r="CP21" s="96">
        <v>336</v>
      </c>
      <c r="CQ21" s="96">
        <v>308</v>
      </c>
      <c r="CR21" s="27">
        <v>322</v>
      </c>
      <c r="CS21" s="41">
        <v>360.31859957652631</v>
      </c>
      <c r="CT21" s="96">
        <v>356.33225789842618</v>
      </c>
      <c r="CU21" s="96">
        <v>387.47186503726294</v>
      </c>
      <c r="CV21" s="27">
        <v>347.92676653697617</v>
      </c>
      <c r="CW21" s="41">
        <v>364.20650192960755</v>
      </c>
      <c r="CX21" s="96">
        <v>337.80217260546596</v>
      </c>
      <c r="CY21" s="96">
        <v>344.88593956443498</v>
      </c>
      <c r="CZ21" s="96">
        <v>335.8494780543831</v>
      </c>
      <c r="DA21" s="96">
        <v>331.06656183263607</v>
      </c>
      <c r="DB21" s="96">
        <v>329.70503445066151</v>
      </c>
      <c r="DC21" s="96">
        <v>321.95462222835022</v>
      </c>
      <c r="DD21" s="27">
        <v>323.9751585217017</v>
      </c>
      <c r="DE21" s="41">
        <v>346</v>
      </c>
      <c r="DF21" s="96">
        <v>306</v>
      </c>
      <c r="DG21" s="96">
        <v>360</v>
      </c>
      <c r="DH21" s="27">
        <v>351</v>
      </c>
      <c r="DI21" s="41">
        <v>366.55531924306041</v>
      </c>
      <c r="DJ21" s="96">
        <v>363.40261862181831</v>
      </c>
      <c r="DK21" s="96">
        <v>353.00900022079696</v>
      </c>
      <c r="DL21" s="27">
        <v>341.43580147861832</v>
      </c>
    </row>
    <row r="22" spans="2:116" x14ac:dyDescent="0.3">
      <c r="B22" s="25" t="s">
        <v>115</v>
      </c>
      <c r="C22" s="26" t="s">
        <v>116</v>
      </c>
      <c r="D22" s="26" t="s">
        <v>117</v>
      </c>
      <c r="E22" s="103">
        <v>9.5</v>
      </c>
      <c r="F22" s="98">
        <v>11.9</v>
      </c>
      <c r="G22" s="98">
        <v>14.2</v>
      </c>
      <c r="H22" s="98">
        <v>16.600000000000001</v>
      </c>
      <c r="I22" s="98">
        <v>18.899999999999999</v>
      </c>
      <c r="J22" s="98">
        <v>21.3</v>
      </c>
      <c r="K22" s="98">
        <v>23.6</v>
      </c>
      <c r="L22" s="29">
        <v>26</v>
      </c>
      <c r="M22" s="103">
        <v>30</v>
      </c>
      <c r="N22" s="98">
        <v>43</v>
      </c>
      <c r="O22" s="98">
        <v>54</v>
      </c>
      <c r="P22" s="29">
        <v>68</v>
      </c>
      <c r="Q22" s="103">
        <v>75</v>
      </c>
      <c r="R22" s="98">
        <v>75</v>
      </c>
      <c r="S22" s="98">
        <v>109</v>
      </c>
      <c r="T22" s="98">
        <v>109</v>
      </c>
      <c r="U22" s="98">
        <v>143</v>
      </c>
      <c r="V22" s="98">
        <v>143</v>
      </c>
      <c r="W22" s="98">
        <v>177</v>
      </c>
      <c r="X22" s="29">
        <v>177</v>
      </c>
      <c r="Y22" s="103">
        <v>9.5</v>
      </c>
      <c r="Z22" s="98">
        <v>11.9</v>
      </c>
      <c r="AA22" s="98">
        <v>14.2</v>
      </c>
      <c r="AB22" s="98">
        <v>16.600000000000001</v>
      </c>
      <c r="AC22" s="98">
        <v>18.899999999999999</v>
      </c>
      <c r="AD22" s="98">
        <v>21.3</v>
      </c>
      <c r="AE22" s="98">
        <v>23.6</v>
      </c>
      <c r="AF22" s="29">
        <v>26</v>
      </c>
      <c r="AG22" s="103">
        <v>30</v>
      </c>
      <c r="AH22" s="98">
        <v>43</v>
      </c>
      <c r="AI22" s="98">
        <v>54</v>
      </c>
      <c r="AJ22" s="29">
        <v>68</v>
      </c>
      <c r="AK22" s="103">
        <v>75</v>
      </c>
      <c r="AL22" s="98">
        <v>75</v>
      </c>
      <c r="AM22" s="98">
        <v>109</v>
      </c>
      <c r="AN22" s="98">
        <v>109</v>
      </c>
      <c r="AO22" s="98">
        <v>143</v>
      </c>
      <c r="AP22" s="98">
        <v>143</v>
      </c>
      <c r="AQ22" s="98">
        <v>177</v>
      </c>
      <c r="AR22" s="29">
        <v>177</v>
      </c>
      <c r="AS22" s="103">
        <v>9.5</v>
      </c>
      <c r="AT22" s="98">
        <v>11.9</v>
      </c>
      <c r="AU22" s="98">
        <v>14.2</v>
      </c>
      <c r="AV22" s="98">
        <v>16.600000000000001</v>
      </c>
      <c r="AW22" s="98">
        <v>18.899999999999999</v>
      </c>
      <c r="AX22" s="98">
        <v>21.3</v>
      </c>
      <c r="AY22" s="98">
        <v>23.6</v>
      </c>
      <c r="AZ22" s="29">
        <v>26</v>
      </c>
      <c r="BA22" s="98">
        <v>30</v>
      </c>
      <c r="BB22" s="98">
        <v>43</v>
      </c>
      <c r="BC22" s="98">
        <v>54</v>
      </c>
      <c r="BD22" s="29">
        <v>68</v>
      </c>
      <c r="BE22" s="103">
        <v>75</v>
      </c>
      <c r="BF22" s="98">
        <v>75</v>
      </c>
      <c r="BG22" s="98">
        <v>109</v>
      </c>
      <c r="BH22" s="98">
        <v>109</v>
      </c>
      <c r="BI22" s="98">
        <v>143</v>
      </c>
      <c r="BJ22" s="98">
        <v>143</v>
      </c>
      <c r="BK22" s="98">
        <v>177</v>
      </c>
      <c r="BL22" s="29">
        <v>177</v>
      </c>
      <c r="BM22" s="103">
        <v>11.5</v>
      </c>
      <c r="BN22" s="98">
        <v>14</v>
      </c>
      <c r="BO22" s="98">
        <v>16.7</v>
      </c>
      <c r="BP22" s="98">
        <v>19.100000000000001</v>
      </c>
      <c r="BQ22" s="98">
        <v>21.9</v>
      </c>
      <c r="BR22" s="98">
        <v>24.3</v>
      </c>
      <c r="BS22" s="98">
        <v>27.1</v>
      </c>
      <c r="BT22" s="29">
        <v>29.5</v>
      </c>
      <c r="BU22" s="103">
        <v>37</v>
      </c>
      <c r="BV22" s="98">
        <v>49</v>
      </c>
      <c r="BW22" s="98">
        <v>64</v>
      </c>
      <c r="BX22" s="29">
        <v>78</v>
      </c>
      <c r="BY22" s="103">
        <v>89</v>
      </c>
      <c r="BZ22" s="98">
        <v>126</v>
      </c>
      <c r="CA22" s="98">
        <v>164</v>
      </c>
      <c r="CB22" s="29">
        <v>203</v>
      </c>
      <c r="CC22" s="98">
        <v>126</v>
      </c>
      <c r="CD22" s="98">
        <v>164</v>
      </c>
      <c r="CE22" s="98">
        <v>184</v>
      </c>
      <c r="CF22" s="98">
        <v>203</v>
      </c>
      <c r="CG22" s="103">
        <v>11.5</v>
      </c>
      <c r="CH22" s="98">
        <v>14</v>
      </c>
      <c r="CI22" s="98">
        <v>16.7</v>
      </c>
      <c r="CJ22" s="98">
        <v>19.100000000000001</v>
      </c>
      <c r="CK22" s="98">
        <v>21.9</v>
      </c>
      <c r="CL22" s="98">
        <v>24.3</v>
      </c>
      <c r="CM22" s="98">
        <v>27.1</v>
      </c>
      <c r="CN22" s="29">
        <v>29.5</v>
      </c>
      <c r="CO22" s="103">
        <v>37</v>
      </c>
      <c r="CP22" s="98">
        <v>49</v>
      </c>
      <c r="CQ22" s="98">
        <v>64</v>
      </c>
      <c r="CR22" s="29">
        <v>78</v>
      </c>
      <c r="CS22" s="103">
        <v>89</v>
      </c>
      <c r="CT22" s="98">
        <v>126</v>
      </c>
      <c r="CU22" s="98">
        <v>164</v>
      </c>
      <c r="CV22" s="29">
        <v>203</v>
      </c>
      <c r="CW22" s="103">
        <v>11.5</v>
      </c>
      <c r="CX22" s="98">
        <v>14</v>
      </c>
      <c r="CY22" s="98">
        <v>16.7</v>
      </c>
      <c r="CZ22" s="98">
        <v>19.100000000000001</v>
      </c>
      <c r="DA22" s="98">
        <v>21.9</v>
      </c>
      <c r="DB22" s="98">
        <v>24.3</v>
      </c>
      <c r="DC22" s="98">
        <v>27.1</v>
      </c>
      <c r="DD22" s="29">
        <v>29.5</v>
      </c>
      <c r="DE22" s="103">
        <v>37</v>
      </c>
      <c r="DF22" s="98">
        <v>49</v>
      </c>
      <c r="DG22" s="98">
        <v>64</v>
      </c>
      <c r="DH22" s="29">
        <v>78</v>
      </c>
      <c r="DI22" s="103">
        <v>89</v>
      </c>
      <c r="DJ22" s="98">
        <v>126</v>
      </c>
      <c r="DK22" s="98">
        <v>164</v>
      </c>
      <c r="DL22" s="29">
        <v>203</v>
      </c>
    </row>
    <row r="23" spans="2:116" x14ac:dyDescent="0.3">
      <c r="B23" s="42" t="s">
        <v>35</v>
      </c>
      <c r="C23" s="43" t="s">
        <v>118</v>
      </c>
      <c r="D23" s="43"/>
      <c r="E23" s="106">
        <v>4</v>
      </c>
      <c r="F23" s="44">
        <v>4</v>
      </c>
      <c r="G23" s="44">
        <v>4</v>
      </c>
      <c r="H23" s="44">
        <v>4</v>
      </c>
      <c r="I23" s="44">
        <v>4</v>
      </c>
      <c r="J23" s="44">
        <v>4</v>
      </c>
      <c r="K23" s="44">
        <v>4</v>
      </c>
      <c r="L23" s="45">
        <v>4</v>
      </c>
      <c r="M23" s="106">
        <v>4</v>
      </c>
      <c r="N23" s="44">
        <v>4</v>
      </c>
      <c r="O23" s="44">
        <v>4</v>
      </c>
      <c r="P23" s="45">
        <v>4</v>
      </c>
      <c r="Q23" s="106">
        <v>4</v>
      </c>
      <c r="R23" s="44">
        <v>4</v>
      </c>
      <c r="S23" s="44">
        <v>4</v>
      </c>
      <c r="T23" s="44">
        <v>4</v>
      </c>
      <c r="U23" s="44">
        <v>4</v>
      </c>
      <c r="V23" s="44">
        <v>4</v>
      </c>
      <c r="W23" s="44">
        <v>4</v>
      </c>
      <c r="X23" s="45">
        <v>4</v>
      </c>
      <c r="Y23" s="106">
        <v>4</v>
      </c>
      <c r="Z23" s="44">
        <v>4</v>
      </c>
      <c r="AA23" s="44">
        <v>4</v>
      </c>
      <c r="AB23" s="44">
        <v>4</v>
      </c>
      <c r="AC23" s="44">
        <v>4</v>
      </c>
      <c r="AD23" s="44">
        <v>4</v>
      </c>
      <c r="AE23" s="44">
        <v>4</v>
      </c>
      <c r="AF23" s="45">
        <v>4</v>
      </c>
      <c r="AG23" s="106">
        <v>4</v>
      </c>
      <c r="AH23" s="44">
        <v>4</v>
      </c>
      <c r="AI23" s="44">
        <v>4</v>
      </c>
      <c r="AJ23" s="45">
        <v>4</v>
      </c>
      <c r="AK23" s="106">
        <v>4</v>
      </c>
      <c r="AL23" s="44">
        <v>4</v>
      </c>
      <c r="AM23" s="44">
        <v>4</v>
      </c>
      <c r="AN23" s="44">
        <v>4</v>
      </c>
      <c r="AO23" s="44">
        <v>4</v>
      </c>
      <c r="AP23" s="44">
        <v>4</v>
      </c>
      <c r="AQ23" s="44">
        <v>4</v>
      </c>
      <c r="AR23" s="45">
        <v>4</v>
      </c>
      <c r="AS23" s="106">
        <v>4</v>
      </c>
      <c r="AT23" s="44">
        <v>4</v>
      </c>
      <c r="AU23" s="44">
        <v>4</v>
      </c>
      <c r="AV23" s="44">
        <v>4</v>
      </c>
      <c r="AW23" s="44">
        <v>4</v>
      </c>
      <c r="AX23" s="44">
        <v>4</v>
      </c>
      <c r="AY23" s="44">
        <v>4</v>
      </c>
      <c r="AZ23" s="45">
        <v>4</v>
      </c>
      <c r="BA23" s="44">
        <v>4</v>
      </c>
      <c r="BB23" s="44">
        <v>4</v>
      </c>
      <c r="BC23" s="44">
        <v>4</v>
      </c>
      <c r="BD23" s="45">
        <v>4</v>
      </c>
      <c r="BE23" s="106">
        <v>4</v>
      </c>
      <c r="BF23" s="44">
        <v>4</v>
      </c>
      <c r="BG23" s="44">
        <v>4</v>
      </c>
      <c r="BH23" s="44">
        <v>4</v>
      </c>
      <c r="BI23" s="44">
        <v>4</v>
      </c>
      <c r="BJ23" s="44">
        <v>4</v>
      </c>
      <c r="BK23" s="44">
        <v>4</v>
      </c>
      <c r="BL23" s="45">
        <v>4</v>
      </c>
      <c r="BM23" s="106">
        <v>4</v>
      </c>
      <c r="BN23" s="44">
        <v>4</v>
      </c>
      <c r="BO23" s="44">
        <v>4</v>
      </c>
      <c r="BP23" s="44">
        <v>4</v>
      </c>
      <c r="BQ23" s="44">
        <v>4</v>
      </c>
      <c r="BR23" s="44">
        <v>4</v>
      </c>
      <c r="BS23" s="44">
        <v>4</v>
      </c>
      <c r="BT23" s="45">
        <v>4</v>
      </c>
      <c r="BU23" s="106">
        <v>4</v>
      </c>
      <c r="BV23" s="44">
        <v>4</v>
      </c>
      <c r="BW23" s="44">
        <v>4</v>
      </c>
      <c r="BX23" s="45">
        <v>4</v>
      </c>
      <c r="BY23" s="106">
        <v>4</v>
      </c>
      <c r="BZ23" s="44">
        <v>4</v>
      </c>
      <c r="CA23" s="44">
        <v>4</v>
      </c>
      <c r="CB23" s="45">
        <v>4</v>
      </c>
      <c r="CC23" s="44">
        <v>4</v>
      </c>
      <c r="CD23" s="44">
        <v>4</v>
      </c>
      <c r="CE23" s="44">
        <v>4</v>
      </c>
      <c r="CF23" s="44">
        <v>4</v>
      </c>
      <c r="CG23" s="106">
        <v>4</v>
      </c>
      <c r="CH23" s="44">
        <v>4</v>
      </c>
      <c r="CI23" s="44">
        <v>4</v>
      </c>
      <c r="CJ23" s="44">
        <v>4</v>
      </c>
      <c r="CK23" s="44">
        <v>4</v>
      </c>
      <c r="CL23" s="44">
        <v>4</v>
      </c>
      <c r="CM23" s="44">
        <v>4</v>
      </c>
      <c r="CN23" s="45">
        <v>4</v>
      </c>
      <c r="CO23" s="106">
        <v>4</v>
      </c>
      <c r="CP23" s="44">
        <v>4</v>
      </c>
      <c r="CQ23" s="44">
        <v>4</v>
      </c>
      <c r="CR23" s="45">
        <v>4</v>
      </c>
      <c r="CS23" s="106">
        <v>4</v>
      </c>
      <c r="CT23" s="44">
        <v>4</v>
      </c>
      <c r="CU23" s="44">
        <v>4</v>
      </c>
      <c r="CV23" s="45">
        <v>4</v>
      </c>
      <c r="CW23" s="106">
        <v>4</v>
      </c>
      <c r="CX23" s="44">
        <v>4</v>
      </c>
      <c r="CY23" s="44">
        <v>4</v>
      </c>
      <c r="CZ23" s="44">
        <v>4</v>
      </c>
      <c r="DA23" s="44">
        <v>4</v>
      </c>
      <c r="DB23" s="44">
        <v>4</v>
      </c>
      <c r="DC23" s="44">
        <v>4</v>
      </c>
      <c r="DD23" s="45">
        <v>4</v>
      </c>
      <c r="DE23" s="106">
        <v>4</v>
      </c>
      <c r="DF23" s="44">
        <v>4</v>
      </c>
      <c r="DG23" s="44">
        <v>4</v>
      </c>
      <c r="DH23" s="45">
        <v>4</v>
      </c>
      <c r="DI23" s="106">
        <v>4</v>
      </c>
      <c r="DJ23" s="44">
        <v>4</v>
      </c>
      <c r="DK23" s="44">
        <v>4</v>
      </c>
      <c r="DL23" s="45">
        <v>4</v>
      </c>
    </row>
    <row r="24" spans="2:116" x14ac:dyDescent="0.3">
      <c r="B24" s="50" t="s">
        <v>395</v>
      </c>
    </row>
    <row r="25" spans="2:116" x14ac:dyDescent="0.3">
      <c r="CN25" s="63"/>
      <c r="CO25" s="63"/>
      <c r="CP25" s="63"/>
      <c r="CQ25" s="63"/>
      <c r="CR25" s="63"/>
      <c r="CS25" s="63"/>
      <c r="CT25" s="63"/>
      <c r="CU25" s="63"/>
    </row>
    <row r="26" spans="2:116" x14ac:dyDescent="0.3">
      <c r="B26" t="s">
        <v>156</v>
      </c>
      <c r="D26" t="s">
        <v>34</v>
      </c>
      <c r="E26" s="5">
        <f t="shared" ref="E26" si="0">E8/E20*380</f>
        <v>10.711384675363902</v>
      </c>
      <c r="F26" s="5">
        <f t="shared" ref="F26:BQ26" si="1">F9/F21*380</f>
        <v>1725.3576706443737</v>
      </c>
      <c r="G26" s="5">
        <f t="shared" si="1"/>
        <v>1695.8851609093274</v>
      </c>
      <c r="H26" s="5">
        <f t="shared" si="1"/>
        <v>1662.322394786175</v>
      </c>
      <c r="I26" s="5">
        <f t="shared" si="1"/>
        <v>1762.2692445154269</v>
      </c>
      <c r="J26" s="5">
        <f t="shared" si="1"/>
        <v>1751.1402308659963</v>
      </c>
      <c r="K26" s="5">
        <f t="shared" si="1"/>
        <v>1782.9635801622558</v>
      </c>
      <c r="L26" s="5">
        <f t="shared" si="1"/>
        <v>1792.2859537278348</v>
      </c>
      <c r="M26" s="5">
        <f t="shared" si="1"/>
        <v>1082.6210826210827</v>
      </c>
      <c r="N26" s="5">
        <f t="shared" si="1"/>
        <v>1258.2781456953642</v>
      </c>
      <c r="O26" s="5">
        <f t="shared" si="1"/>
        <v>1183.8006230529595</v>
      </c>
      <c r="P26" s="5">
        <f t="shared" si="1"/>
        <v>1233.7662337662337</v>
      </c>
      <c r="Q26" s="5">
        <f t="shared" si="1"/>
        <v>1192.5205101287879</v>
      </c>
      <c r="R26" s="5">
        <f t="shared" si="1"/>
        <v>1091.4289987476618</v>
      </c>
      <c r="S26" s="5">
        <f t="shared" si="1"/>
        <v>1175.7697458916487</v>
      </c>
      <c r="T26" s="5">
        <f t="shared" si="1"/>
        <v>1115.8955124567171</v>
      </c>
      <c r="U26" s="5">
        <f t="shared" si="1"/>
        <v>1252.8412411237</v>
      </c>
      <c r="V26" s="5">
        <f t="shared" si="1"/>
        <v>1182.1298532945602</v>
      </c>
      <c r="W26" s="5">
        <f t="shared" si="1"/>
        <v>1170.0634244457467</v>
      </c>
      <c r="X26" s="5">
        <f t="shared" si="1"/>
        <v>1122.3140162489476</v>
      </c>
      <c r="Y26" s="5">
        <f t="shared" si="1"/>
        <v>2174.5811446226749</v>
      </c>
      <c r="Z26" s="5">
        <f t="shared" si="1"/>
        <v>2316.5589850108136</v>
      </c>
      <c r="AA26" s="5">
        <f t="shared" si="1"/>
        <v>2346.9639431524643</v>
      </c>
      <c r="AB26" s="5">
        <f t="shared" si="1"/>
        <v>2317.2479227845211</v>
      </c>
      <c r="AC26" s="5">
        <f t="shared" si="1"/>
        <v>2304.2385818005769</v>
      </c>
      <c r="AD26" s="5">
        <f t="shared" si="1"/>
        <v>2398.4232115812069</v>
      </c>
      <c r="AE26" s="5">
        <f t="shared" si="1"/>
        <v>2406.2597963086141</v>
      </c>
      <c r="AF26" s="5">
        <f t="shared" si="1"/>
        <v>2418.8027091306012</v>
      </c>
      <c r="AG26" s="5">
        <f t="shared" si="1"/>
        <v>2533.3333333333335</v>
      </c>
      <c r="AH26" s="5">
        <f t="shared" si="1"/>
        <v>2475.5700325732901</v>
      </c>
      <c r="AI26" s="5">
        <f t="shared" si="1"/>
        <v>2704.626334519573</v>
      </c>
      <c r="AJ26" s="5">
        <f t="shared" si="1"/>
        <v>2558.9225589225589</v>
      </c>
      <c r="AK26" s="5">
        <f t="shared" si="1"/>
        <v>2314.5295469998205</v>
      </c>
      <c r="AL26" s="5">
        <f t="shared" si="1"/>
        <v>2087.0969479259502</v>
      </c>
      <c r="AM26" s="5">
        <f t="shared" si="1"/>
        <v>2446.9315475632443</v>
      </c>
      <c r="AN26" s="5">
        <f t="shared" si="1"/>
        <v>2366.3853121713723</v>
      </c>
      <c r="AO26" s="5">
        <f t="shared" si="1"/>
        <v>2202.2112357728756</v>
      </c>
      <c r="AP26" s="5">
        <f t="shared" si="1"/>
        <v>2129.3499178622551</v>
      </c>
      <c r="AQ26" s="5">
        <f t="shared" si="1"/>
        <v>2328.6184496735036</v>
      </c>
      <c r="AR26" s="5">
        <f t="shared" si="1"/>
        <v>2411.2474741766478</v>
      </c>
      <c r="AS26" s="5">
        <f t="shared" si="1"/>
        <v>3202.5759690600794</v>
      </c>
      <c r="AT26" s="5">
        <f t="shared" si="1"/>
        <v>3493.5653404926102</v>
      </c>
      <c r="AU26" s="5">
        <f t="shared" si="1"/>
        <v>3461.0886218740097</v>
      </c>
      <c r="AV26" s="5">
        <f t="shared" si="1"/>
        <v>3535.1706172482595</v>
      </c>
      <c r="AW26" s="5">
        <f t="shared" si="1"/>
        <v>3577.9495355161771</v>
      </c>
      <c r="AX26" s="5">
        <f t="shared" si="1"/>
        <v>3601.8708600510827</v>
      </c>
      <c r="AY26" s="5">
        <f t="shared" si="1"/>
        <v>3661.5493683400641</v>
      </c>
      <c r="AZ26" s="5">
        <f t="shared" si="1"/>
        <v>3642.2204663421408</v>
      </c>
      <c r="BA26" s="5">
        <f t="shared" si="1"/>
        <v>3540.3726708074537</v>
      </c>
      <c r="BB26" s="5">
        <f t="shared" si="1"/>
        <v>4056.9395017793595</v>
      </c>
      <c r="BC26" s="5">
        <f t="shared" si="1"/>
        <v>3444.1087613293053</v>
      </c>
      <c r="BD26" s="5">
        <f t="shared" si="1"/>
        <v>3465.0455927051676</v>
      </c>
      <c r="BE26" s="5">
        <f t="shared" si="1"/>
        <v>3188.7649600682307</v>
      </c>
      <c r="BF26" s="5">
        <f t="shared" si="1"/>
        <v>3035.4452111150813</v>
      </c>
      <c r="BG26" s="5">
        <f t="shared" si="1"/>
        <v>3310.3107852487587</v>
      </c>
      <c r="BH26" s="5">
        <f t="shared" si="1"/>
        <v>3133.9646597112956</v>
      </c>
      <c r="BI26" s="5">
        <f t="shared" si="1"/>
        <v>3338.5210748007216</v>
      </c>
      <c r="BJ26" s="5">
        <f t="shared" si="1"/>
        <v>3138.3339922784176</v>
      </c>
      <c r="BK26" s="5">
        <f t="shared" si="1"/>
        <v>3338.5210748007216</v>
      </c>
      <c r="BL26" s="5">
        <f t="shared" si="1"/>
        <v>3198.6875461430182</v>
      </c>
      <c r="BM26" s="5">
        <f t="shared" si="1"/>
        <v>1536.328481310389</v>
      </c>
      <c r="BN26" s="5">
        <f t="shared" si="1"/>
        <v>1595.1583488703084</v>
      </c>
      <c r="BO26" s="5">
        <f t="shared" si="1"/>
        <v>1602.7546267474297</v>
      </c>
      <c r="BP26" s="5">
        <f t="shared" si="1"/>
        <v>1560.3295481922416</v>
      </c>
      <c r="BQ26" s="5">
        <f t="shared" si="1"/>
        <v>1666.6776466076617</v>
      </c>
      <c r="BR26" s="5">
        <f t="shared" ref="BR26:DH26" si="2">BR9/BR21*380</f>
        <v>1665.6015766576079</v>
      </c>
      <c r="BS26" s="5">
        <f t="shared" si="2"/>
        <v>1692.7253395043329</v>
      </c>
      <c r="BT26" s="5">
        <f t="shared" si="2"/>
        <v>1711.1315995010134</v>
      </c>
      <c r="BU26" s="5">
        <f t="shared" si="2"/>
        <v>1000.0000000000001</v>
      </c>
      <c r="BV26" s="5">
        <f t="shared" si="2"/>
        <v>1144.5783132530121</v>
      </c>
      <c r="BW26" s="5">
        <f t="shared" si="2"/>
        <v>1070.4225352112676</v>
      </c>
      <c r="BX26" s="5">
        <f t="shared" si="2"/>
        <v>1124.2603550295858</v>
      </c>
      <c r="BY26" s="5">
        <f t="shared" si="2"/>
        <v>1089.3407145737549</v>
      </c>
      <c r="BZ26" s="5">
        <f t="shared" si="2"/>
        <v>1066.9391320118862</v>
      </c>
      <c r="CA26" s="5">
        <f t="shared" si="2"/>
        <v>1131.8376918645884</v>
      </c>
      <c r="CB26" s="5">
        <f t="shared" si="2"/>
        <v>1037.8716964108294</v>
      </c>
      <c r="CC26" s="5">
        <f t="shared" si="2"/>
        <v>1711.7117117117118</v>
      </c>
      <c r="CD26" s="5">
        <f t="shared" si="2"/>
        <v>1661.8075801749271</v>
      </c>
      <c r="CE26" s="5">
        <f t="shared" si="2"/>
        <v>1696.4285714285716</v>
      </c>
      <c r="CF26" s="5">
        <f t="shared" si="2"/>
        <v>1469.0721649484535</v>
      </c>
      <c r="CG26" s="5">
        <f t="shared" si="2"/>
        <v>2058.2488468465449</v>
      </c>
      <c r="CH26" s="5">
        <f t="shared" si="2"/>
        <v>2174.7261913555462</v>
      </c>
      <c r="CI26" s="5">
        <f t="shared" si="2"/>
        <v>2227.2162495227967</v>
      </c>
      <c r="CJ26" s="5">
        <f t="shared" si="2"/>
        <v>2195.5051445654722</v>
      </c>
      <c r="CK26" s="5">
        <f t="shared" si="2"/>
        <v>2205.4549628987947</v>
      </c>
      <c r="CL26" s="5">
        <f t="shared" si="2"/>
        <v>2281.9382404614453</v>
      </c>
      <c r="CM26" s="5">
        <f t="shared" si="2"/>
        <v>2294.3736449162807</v>
      </c>
      <c r="CN26" s="5">
        <f t="shared" si="2"/>
        <v>2321.6416403284593</v>
      </c>
      <c r="CO26" s="5">
        <f t="shared" si="2"/>
        <v>2367.601246105919</v>
      </c>
      <c r="CP26" s="5">
        <f t="shared" si="2"/>
        <v>2261.9047619047619</v>
      </c>
      <c r="CQ26" s="5">
        <f t="shared" si="2"/>
        <v>2467.5324675324673</v>
      </c>
      <c r="CR26" s="5">
        <f t="shared" si="2"/>
        <v>2360.2484472049691</v>
      </c>
      <c r="CS26" s="5">
        <f t="shared" si="2"/>
        <v>2109.2444322696897</v>
      </c>
      <c r="CT26" s="5">
        <f t="shared" si="2"/>
        <v>2132.8408617348387</v>
      </c>
      <c r="CU26" s="5">
        <f t="shared" si="2"/>
        <v>1961.4327350629992</v>
      </c>
      <c r="CV26" s="5">
        <f t="shared" si="2"/>
        <v>2184.3677264745033</v>
      </c>
      <c r="CW26" s="5">
        <f t="shared" si="2"/>
        <v>3130.0923897847788</v>
      </c>
      <c r="CX26" s="5">
        <f t="shared" si="2"/>
        <v>3374.7562699410355</v>
      </c>
      <c r="CY26" s="5">
        <f t="shared" si="2"/>
        <v>3305.4406376778779</v>
      </c>
      <c r="CZ26" s="5">
        <f t="shared" si="2"/>
        <v>3394.3777629316528</v>
      </c>
      <c r="DA26" s="5">
        <f t="shared" si="2"/>
        <v>3443.4163138961276</v>
      </c>
      <c r="DB26" s="5">
        <f t="shared" si="2"/>
        <v>3457.6360106220777</v>
      </c>
      <c r="DC26" s="5">
        <f t="shared" si="2"/>
        <v>3540.871667285588</v>
      </c>
      <c r="DD26" s="5">
        <f t="shared" si="2"/>
        <v>3518.788308343821</v>
      </c>
      <c r="DE26" s="5">
        <f t="shared" si="2"/>
        <v>3294.7976878612717</v>
      </c>
      <c r="DF26" s="5">
        <f t="shared" si="2"/>
        <v>3725.4901960784318</v>
      </c>
      <c r="DG26" s="5">
        <f t="shared" si="2"/>
        <v>3166.666666666667</v>
      </c>
      <c r="DH26" s="5">
        <f t="shared" si="2"/>
        <v>3247.8632478632476</v>
      </c>
      <c r="DI26" s="5">
        <f t="shared" ref="DI26:DL26" si="3">DI9/DI21*380</f>
        <v>2902.699658532219</v>
      </c>
      <c r="DJ26" s="5">
        <f t="shared" si="3"/>
        <v>2927.8820390319515</v>
      </c>
      <c r="DK26" s="5">
        <f t="shared" si="3"/>
        <v>3014.0874576413025</v>
      </c>
      <c r="DL26" s="5">
        <f t="shared" si="3"/>
        <v>3116.2520022570939</v>
      </c>
    </row>
    <row r="27" spans="2:116" ht="15.6" x14ac:dyDescent="0.35">
      <c r="B27" t="s">
        <v>158</v>
      </c>
      <c r="D27" t="s">
        <v>41</v>
      </c>
      <c r="E27" s="1">
        <f t="shared" ref="E27" si="4">E7/E10</f>
        <v>66.428435006250382</v>
      </c>
      <c r="F27" s="1">
        <f t="shared" ref="F27:AZ27" si="5">F8/F11</f>
        <v>2.9909362508223332</v>
      </c>
      <c r="G27" s="1">
        <f t="shared" si="5"/>
        <v>3.0844030086605314</v>
      </c>
      <c r="H27" s="1">
        <f t="shared" si="5"/>
        <v>3.2045745544525004</v>
      </c>
      <c r="I27" s="1">
        <f t="shared" si="5"/>
        <v>3.0710506146836458</v>
      </c>
      <c r="J27" s="1">
        <f t="shared" si="5"/>
        <v>3.1244601905911868</v>
      </c>
      <c r="K27" s="1">
        <f t="shared" si="5"/>
        <v>3.084403008660531</v>
      </c>
      <c r="L27" s="1">
        <f t="shared" si="5"/>
        <v>3.0977554026374166</v>
      </c>
      <c r="M27" s="1">
        <f t="shared" si="5"/>
        <v>4.7014925373134329</v>
      </c>
      <c r="N27" s="1">
        <f t="shared" si="5"/>
        <v>4.2748091603053435</v>
      </c>
      <c r="O27" s="1">
        <f t="shared" si="5"/>
        <v>4.7058823529411766</v>
      </c>
      <c r="P27" s="1">
        <f t="shared" si="5"/>
        <v>4.5685279187817258</v>
      </c>
      <c r="Q27" s="1">
        <f t="shared" si="5"/>
        <v>4.3061130460809389</v>
      </c>
      <c r="R27" s="1">
        <f t="shared" si="5"/>
        <v>4.3061130460809389</v>
      </c>
      <c r="S27" s="1">
        <f t="shared" si="5"/>
        <v>4.5931872491530017</v>
      </c>
      <c r="T27" s="1">
        <f t="shared" si="5"/>
        <v>4.5931872491530017</v>
      </c>
      <c r="U27" s="1">
        <f t="shared" si="5"/>
        <v>4.3061130460809389</v>
      </c>
      <c r="V27" s="1">
        <f t="shared" si="5"/>
        <v>4.3061130460809389</v>
      </c>
      <c r="W27" s="1">
        <f t="shared" si="5"/>
        <v>4.5931872491530017</v>
      </c>
      <c r="X27" s="1">
        <f t="shared" si="5"/>
        <v>4.5931872491530017</v>
      </c>
      <c r="Y27" s="1">
        <f t="shared" si="5"/>
        <v>2.3099641580011769</v>
      </c>
      <c r="Z27" s="1">
        <f t="shared" si="5"/>
        <v>2.2966117640242922</v>
      </c>
      <c r="AA27" s="1">
        <f t="shared" si="5"/>
        <v>2.2832593700474062</v>
      </c>
      <c r="AB27" s="1">
        <f t="shared" si="5"/>
        <v>2.3500213399318333</v>
      </c>
      <c r="AC27" s="1">
        <f t="shared" si="5"/>
        <v>2.4034309158393752</v>
      </c>
      <c r="AD27" s="1">
        <f t="shared" si="5"/>
        <v>2.3233165519780625</v>
      </c>
      <c r="AE27" s="1">
        <f t="shared" si="5"/>
        <v>2.3366689459549481</v>
      </c>
      <c r="AF27" s="1">
        <f t="shared" si="5"/>
        <v>2.3500213399318333</v>
      </c>
      <c r="AG27" s="1">
        <f t="shared" si="5"/>
        <v>2.1328671328671329</v>
      </c>
      <c r="AH27" s="1">
        <f t="shared" si="5"/>
        <v>2.2767857142857144</v>
      </c>
      <c r="AI27" s="1">
        <f t="shared" si="5"/>
        <v>2.1379310344827585</v>
      </c>
      <c r="AJ27" s="1">
        <f t="shared" si="5"/>
        <v>2.2776119402985073</v>
      </c>
      <c r="AK27" s="1">
        <f t="shared" si="5"/>
        <v>2.2965936245765008</v>
      </c>
      <c r="AL27" s="1">
        <f t="shared" si="5"/>
        <v>2.2965936245765004</v>
      </c>
      <c r="AM27" s="1">
        <f t="shared" si="5"/>
        <v>2.2965936245765008</v>
      </c>
      <c r="AN27" s="1">
        <f t="shared" si="5"/>
        <v>2.2965936245765008</v>
      </c>
      <c r="AO27" s="1">
        <f t="shared" si="5"/>
        <v>2.5836678276485632</v>
      </c>
      <c r="AP27" s="1">
        <f t="shared" si="5"/>
        <v>2.5836678276485632</v>
      </c>
      <c r="AQ27" s="1">
        <f t="shared" si="5"/>
        <v>2.2965936245765004</v>
      </c>
      <c r="AR27" s="1">
        <f t="shared" si="5"/>
        <v>2.2965936245765004</v>
      </c>
      <c r="AS27" s="1">
        <f t="shared" si="5"/>
        <v>1.6156396712031356</v>
      </c>
      <c r="AT27" s="1">
        <f t="shared" si="5"/>
        <v>1.5755824892724792</v>
      </c>
      <c r="AU27" s="1">
        <f t="shared" si="5"/>
        <v>1.6022872772262502</v>
      </c>
      <c r="AV27" s="1">
        <f t="shared" si="5"/>
        <v>1.6022872772262502</v>
      </c>
      <c r="AW27" s="1">
        <f t="shared" si="5"/>
        <v>1.6022872772262502</v>
      </c>
      <c r="AX27" s="1">
        <f t="shared" si="5"/>
        <v>1.6022872772262502</v>
      </c>
      <c r="AY27" s="1">
        <f t="shared" si="5"/>
        <v>1.5889348832493644</v>
      </c>
      <c r="AZ27" s="1">
        <f t="shared" si="5"/>
        <v>1.6022872772262502</v>
      </c>
      <c r="BA27" s="1">
        <f t="shared" ref="BA27:DL27" si="6">BA8/BA11</f>
        <v>1.5691489361702127</v>
      </c>
      <c r="BB27" s="1">
        <f t="shared" si="6"/>
        <v>1.4239482200647249</v>
      </c>
      <c r="BC27" s="1">
        <f t="shared" si="6"/>
        <v>1.7096774193548387</v>
      </c>
      <c r="BD27" s="1">
        <f t="shared" si="6"/>
        <v>1.7105263157894737</v>
      </c>
      <c r="BE27" s="1">
        <f t="shared" si="6"/>
        <v>1.7224452184323753</v>
      </c>
      <c r="BF27" s="1">
        <f t="shared" si="6"/>
        <v>1.7224452184323751</v>
      </c>
      <c r="BG27" s="1">
        <f t="shared" si="6"/>
        <v>1.7224452184323753</v>
      </c>
      <c r="BH27" s="1">
        <f t="shared" si="6"/>
        <v>1.7224452184323751</v>
      </c>
      <c r="BI27" s="1" t="e">
        <f t="shared" si="6"/>
        <v>#DIV/0!</v>
      </c>
      <c r="BJ27" s="1">
        <f t="shared" si="6"/>
        <v>1.7224452184323753</v>
      </c>
      <c r="BK27" s="1" t="e">
        <f t="shared" si="6"/>
        <v>#DIV/0!</v>
      </c>
      <c r="BL27" s="1">
        <f t="shared" si="6"/>
        <v>1.7224452184323755</v>
      </c>
      <c r="BM27" s="1">
        <f t="shared" si="6"/>
        <v>2.9241742809379065</v>
      </c>
      <c r="BN27" s="1">
        <f t="shared" si="6"/>
        <v>2.9909362508223327</v>
      </c>
      <c r="BO27" s="1">
        <f t="shared" si="6"/>
        <v>3.0844030086605314</v>
      </c>
      <c r="BP27" s="1">
        <f t="shared" si="6"/>
        <v>3.2045745544524999</v>
      </c>
      <c r="BQ27" s="1">
        <f t="shared" si="6"/>
        <v>3.0710506146836458</v>
      </c>
      <c r="BR27" s="1">
        <f t="shared" si="6"/>
        <v>3.1244601905911873</v>
      </c>
      <c r="BS27" s="1">
        <f t="shared" si="6"/>
        <v>3.0844030086605314</v>
      </c>
      <c r="BT27" s="1">
        <f t="shared" si="6"/>
        <v>3.0977554026374166</v>
      </c>
      <c r="BU27" s="1">
        <f t="shared" si="6"/>
        <v>4.7026431718061676</v>
      </c>
      <c r="BV27" s="1">
        <f t="shared" si="6"/>
        <v>4.2647058823529411</v>
      </c>
      <c r="BW27" s="1">
        <f t="shared" si="6"/>
        <v>4.6969696969696972</v>
      </c>
      <c r="BX27" s="1">
        <f t="shared" si="6"/>
        <v>4.5562130177514799</v>
      </c>
      <c r="BY27" s="1">
        <f t="shared" si="6"/>
        <v>4.3061130460809389</v>
      </c>
      <c r="BZ27" s="1">
        <f t="shared" si="6"/>
        <v>4.5931872491530017</v>
      </c>
      <c r="CA27" s="1">
        <f t="shared" si="6"/>
        <v>4.3061130460809389</v>
      </c>
      <c r="CB27" s="1">
        <f t="shared" si="6"/>
        <v>4.5931872491530017</v>
      </c>
      <c r="CC27" s="1">
        <f t="shared" si="6"/>
        <v>2.9213483146067416</v>
      </c>
      <c r="CD27" s="1">
        <f t="shared" si="6"/>
        <v>3.0080645161290325</v>
      </c>
      <c r="CE27" s="1">
        <f t="shared" si="6"/>
        <v>3.0303030303030303</v>
      </c>
      <c r="CF27" s="1">
        <f t="shared" si="6"/>
        <v>3.4848484848484849</v>
      </c>
      <c r="CG27" s="1">
        <f t="shared" si="6"/>
        <v>2.3099641580011769</v>
      </c>
      <c r="CH27" s="1">
        <f t="shared" si="6"/>
        <v>2.2966117640242922</v>
      </c>
      <c r="CI27" s="1">
        <f t="shared" si="6"/>
        <v>2.2832593700474062</v>
      </c>
      <c r="CJ27" s="1">
        <f t="shared" si="6"/>
        <v>2.3500213399318333</v>
      </c>
      <c r="CK27" s="1">
        <f t="shared" si="6"/>
        <v>2.4034309158393747</v>
      </c>
      <c r="CL27" s="1">
        <f t="shared" si="6"/>
        <v>2.3233165519780625</v>
      </c>
      <c r="CM27" s="1">
        <f t="shared" si="6"/>
        <v>2.3366689459549477</v>
      </c>
      <c r="CN27" s="1">
        <f t="shared" si="6"/>
        <v>2.3500213399318333</v>
      </c>
      <c r="CO27" s="1">
        <f t="shared" si="6"/>
        <v>2.1319796954314723</v>
      </c>
      <c r="CP27" s="1">
        <f t="shared" si="6"/>
        <v>2.2788203753351208</v>
      </c>
      <c r="CQ27" s="1">
        <f t="shared" si="6"/>
        <v>2.1376811594202896</v>
      </c>
      <c r="CR27" s="1">
        <f t="shared" si="6"/>
        <v>2.2784810126582276</v>
      </c>
      <c r="CS27" s="1">
        <f t="shared" si="6"/>
        <v>2.2965936245765008</v>
      </c>
      <c r="CT27" s="1">
        <f t="shared" si="6"/>
        <v>2.3586637225380271</v>
      </c>
      <c r="CU27" s="1">
        <f t="shared" si="6"/>
        <v>2.5836678276485632</v>
      </c>
      <c r="CV27" s="1">
        <f t="shared" si="6"/>
        <v>2.2965936245765004</v>
      </c>
      <c r="CW27" s="1">
        <f t="shared" si="6"/>
        <v>1.6156396712031353</v>
      </c>
      <c r="CX27" s="1">
        <f t="shared" si="6"/>
        <v>1.5755824892724792</v>
      </c>
      <c r="CY27" s="1">
        <f t="shared" si="6"/>
        <v>1.6022872772262502</v>
      </c>
      <c r="CZ27" s="1">
        <f t="shared" si="6"/>
        <v>1.6022872772262502</v>
      </c>
      <c r="DA27" s="1">
        <f t="shared" si="6"/>
        <v>1.6022872772262502</v>
      </c>
      <c r="DB27" s="1">
        <f t="shared" si="6"/>
        <v>1.6022872772262502</v>
      </c>
      <c r="DC27" s="1">
        <f t="shared" si="6"/>
        <v>1.5889348832493644</v>
      </c>
      <c r="DD27" s="1">
        <f t="shared" si="6"/>
        <v>1.6022872772262502</v>
      </c>
      <c r="DE27" s="1">
        <f t="shared" si="6"/>
        <v>1.5693430656934306</v>
      </c>
      <c r="DF27" s="1">
        <f t="shared" si="6"/>
        <v>1.4260249554367201</v>
      </c>
      <c r="DG27" s="1">
        <f t="shared" si="6"/>
        <v>1.7103235747303542</v>
      </c>
      <c r="DH27" s="1">
        <f t="shared" si="6"/>
        <v>1.7103620474406993</v>
      </c>
      <c r="DI27" s="1">
        <f t="shared" si="6"/>
        <v>1.7224452184323753</v>
      </c>
      <c r="DJ27" s="1">
        <f t="shared" si="6"/>
        <v>1.7224452184323753</v>
      </c>
      <c r="DK27" s="1">
        <f t="shared" si="6"/>
        <v>1.7224452184323751</v>
      </c>
      <c r="DL27" s="1">
        <f t="shared" si="6"/>
        <v>1.7224452184323753</v>
      </c>
    </row>
    <row r="28" spans="2:116" ht="6" customHeight="1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</row>
    <row r="29" spans="2:116" x14ac:dyDescent="0.3">
      <c r="B29" s="47" t="s">
        <v>600</v>
      </c>
    </row>
    <row r="30" spans="2:116" x14ac:dyDescent="0.3">
      <c r="B30" s="12" t="s">
        <v>139</v>
      </c>
      <c r="C30" s="48">
        <v>2000</v>
      </c>
      <c r="D30" s="12" t="s">
        <v>34</v>
      </c>
      <c r="E30" s="3" t="e">
        <f t="shared" ref="E30" si="7">IF(FALSE,"--",E$5+(E$7-E$5)/(E$8-100)*($C30-100))</f>
        <v>#VALUE!</v>
      </c>
      <c r="F30" s="3">
        <f t="shared" ref="F30:BN30" si="8">IF(FALSE,"--",F$6+(F$8-F$6)/(F$9-100)*($C30-100))</f>
        <v>9.6999999999999993</v>
      </c>
      <c r="G30" s="3">
        <f t="shared" si="8"/>
        <v>16.142857142857142</v>
      </c>
      <c r="H30" s="3">
        <f t="shared" si="8"/>
        <v>19.964285714285715</v>
      </c>
      <c r="I30" s="3">
        <f t="shared" si="8"/>
        <v>23.464285714285715</v>
      </c>
      <c r="J30" s="3">
        <f t="shared" si="8"/>
        <v>26.607142857142858</v>
      </c>
      <c r="K30" s="3">
        <f t="shared" si="8"/>
        <v>29.178571428571427</v>
      </c>
      <c r="L30" s="3">
        <f t="shared" si="8"/>
        <v>31.642857142857142</v>
      </c>
      <c r="M30" s="3">
        <f t="shared" si="8"/>
        <v>30.388888888888889</v>
      </c>
      <c r="N30" s="3">
        <f t="shared" si="8"/>
        <v>51.555555555555557</v>
      </c>
      <c r="O30" s="3">
        <f t="shared" si="8"/>
        <v>60.888888888888886</v>
      </c>
      <c r="P30" s="3">
        <f t="shared" si="8"/>
        <v>76.666666666666657</v>
      </c>
      <c r="Q30" s="3">
        <f t="shared" si="8"/>
        <v>85.222222222222229</v>
      </c>
      <c r="R30" s="3">
        <f t="shared" si="8"/>
        <v>129.77777777777777</v>
      </c>
      <c r="S30" s="3">
        <f t="shared" si="8"/>
        <v>114.44444444444444</v>
      </c>
      <c r="T30" s="3">
        <f t="shared" si="8"/>
        <v>185.55555555555554</v>
      </c>
      <c r="U30" s="3">
        <f t="shared" si="8"/>
        <v>132.7777777777778</v>
      </c>
      <c r="V30" s="3">
        <f t="shared" si="8"/>
        <v>231.11111111111111</v>
      </c>
      <c r="W30" s="3">
        <f t="shared" si="8"/>
        <v>192.22222222222223</v>
      </c>
      <c r="X30" s="3">
        <f t="shared" si="8"/>
        <v>233.33333333333337</v>
      </c>
      <c r="Y30" s="3">
        <f t="shared" si="8"/>
        <v>5.5</v>
      </c>
      <c r="Z30" s="3">
        <f t="shared" si="8"/>
        <v>10</v>
      </c>
      <c r="AA30" s="3">
        <f t="shared" si="8"/>
        <v>16</v>
      </c>
      <c r="AB30" s="3">
        <f t="shared" si="8"/>
        <v>20</v>
      </c>
      <c r="AC30" s="3">
        <f t="shared" si="8"/>
        <v>23.3</v>
      </c>
      <c r="AD30" s="3">
        <f t="shared" si="8"/>
        <v>25.6</v>
      </c>
      <c r="AE30" s="3">
        <f t="shared" si="8"/>
        <v>27.9</v>
      </c>
      <c r="AF30" s="3">
        <f t="shared" si="8"/>
        <v>30.4</v>
      </c>
      <c r="AG30" s="3">
        <f t="shared" si="8"/>
        <v>30.5</v>
      </c>
      <c r="AH30" s="3">
        <f t="shared" si="8"/>
        <v>51</v>
      </c>
      <c r="AI30" s="3">
        <f t="shared" si="8"/>
        <v>62</v>
      </c>
      <c r="AJ30" s="3">
        <f t="shared" si="8"/>
        <v>76.3</v>
      </c>
      <c r="AK30" s="3">
        <f t="shared" si="8"/>
        <v>76</v>
      </c>
      <c r="AL30" s="3">
        <f t="shared" si="8"/>
        <v>130</v>
      </c>
      <c r="AM30" s="3">
        <f t="shared" si="8"/>
        <v>113</v>
      </c>
      <c r="AN30" s="3">
        <f t="shared" si="8"/>
        <v>210</v>
      </c>
      <c r="AO30" s="3">
        <f t="shared" si="8"/>
        <v>115</v>
      </c>
      <c r="AP30" s="3">
        <f t="shared" si="8"/>
        <v>330</v>
      </c>
      <c r="AQ30" s="3">
        <f t="shared" si="8"/>
        <v>130</v>
      </c>
      <c r="AR30" s="3">
        <f t="shared" si="8"/>
        <v>342</v>
      </c>
      <c r="AS30" s="3">
        <f t="shared" si="8"/>
        <v>5.5379310344827584</v>
      </c>
      <c r="AT30" s="3">
        <f t="shared" si="8"/>
        <v>10.420689655172414</v>
      </c>
      <c r="AU30" s="3">
        <f t="shared" si="8"/>
        <v>15.272413793103448</v>
      </c>
      <c r="AV30" s="3">
        <f t="shared" si="8"/>
        <v>18.396551724137932</v>
      </c>
      <c r="AW30" s="3">
        <f t="shared" si="8"/>
        <v>20.913793103448278</v>
      </c>
      <c r="AX30" s="3">
        <f t="shared" si="8"/>
        <v>23.448275862068964</v>
      </c>
      <c r="AY30" s="3">
        <f t="shared" si="8"/>
        <v>25.748275862068965</v>
      </c>
      <c r="AZ30" s="3">
        <f t="shared" si="8"/>
        <v>27.889655172413796</v>
      </c>
      <c r="BA30" s="3">
        <f t="shared" si="8"/>
        <v>30.53448275862069</v>
      </c>
      <c r="BB30" s="3">
        <f t="shared" si="8"/>
        <v>49.517241379310349</v>
      </c>
      <c r="BC30" s="3">
        <f t="shared" si="8"/>
        <v>63</v>
      </c>
      <c r="BD30" s="3">
        <f t="shared" si="8"/>
        <v>77.758620689655174</v>
      </c>
      <c r="BE30" s="3">
        <f t="shared" si="8"/>
        <v>73.793103448275858</v>
      </c>
      <c r="BF30" s="3">
        <f t="shared" si="8"/>
        <v>113</v>
      </c>
      <c r="BG30" s="3">
        <f t="shared" si="8"/>
        <v>92.241379310344826</v>
      </c>
      <c r="BH30" s="3">
        <f t="shared" si="8"/>
        <v>191.37931034482759</v>
      </c>
      <c r="BI30" s="3">
        <f t="shared" si="8"/>
        <v>93.103448275862064</v>
      </c>
      <c r="BJ30" s="3">
        <f t="shared" si="8"/>
        <v>285.34482758620686</v>
      </c>
      <c r="BK30" s="3">
        <f t="shared" si="8"/>
        <v>117.24137931034483</v>
      </c>
      <c r="BL30" s="3">
        <f t="shared" si="8"/>
        <v>330.51724137931035</v>
      </c>
      <c r="BM30" s="3">
        <f t="shared" si="8"/>
        <v>7.17</v>
      </c>
      <c r="BN30" s="3">
        <f t="shared" si="8"/>
        <v>14.336258503401361</v>
      </c>
      <c r="BO30" s="3">
        <f t="shared" ref="BO30:DL30" si="9">IF(FALSE,"--",BO$6+(BO$8-BO$6)/(BO$9-100)*($C30-100))</f>
        <v>21.642857142857142</v>
      </c>
      <c r="BP30" s="3">
        <f t="shared" si="9"/>
        <v>28.285714285714285</v>
      </c>
      <c r="BQ30" s="3">
        <f t="shared" si="9"/>
        <v>32.928571428571431</v>
      </c>
      <c r="BR30" s="3">
        <f t="shared" si="9"/>
        <v>37.928571428571431</v>
      </c>
      <c r="BS30" s="3">
        <f t="shared" si="9"/>
        <v>42.978571428571428</v>
      </c>
      <c r="BT30" s="3">
        <f t="shared" si="9"/>
        <v>47.214285714285715</v>
      </c>
      <c r="BU30" s="3">
        <f t="shared" si="9"/>
        <v>40.144444444444453</v>
      </c>
      <c r="BV30" s="3">
        <f t="shared" si="9"/>
        <v>84.777777777777771</v>
      </c>
      <c r="BW30" s="3">
        <f t="shared" si="9"/>
        <v>117.33333333333333</v>
      </c>
      <c r="BX30" s="3">
        <f t="shared" si="9"/>
        <v>144</v>
      </c>
      <c r="BY30" s="3">
        <f t="shared" si="9"/>
        <v>140.77777777777777</v>
      </c>
      <c r="BZ30" s="3">
        <f t="shared" si="9"/>
        <v>267.77777777777777</v>
      </c>
      <c r="CA30" s="3">
        <f t="shared" si="9"/>
        <v>345</v>
      </c>
      <c r="CB30" s="3">
        <f t="shared" si="9"/>
        <v>474.44444444444446</v>
      </c>
      <c r="CC30" s="3">
        <f t="shared" si="9"/>
        <v>242.14285714285717</v>
      </c>
      <c r="CD30" s="3">
        <f t="shared" si="9"/>
        <v>349.07142857142856</v>
      </c>
      <c r="CE30" s="3">
        <f t="shared" si="9"/>
        <v>375</v>
      </c>
      <c r="CF30" s="3">
        <f t="shared" si="9"/>
        <v>438.57142857142856</v>
      </c>
      <c r="CG30" s="3">
        <f t="shared" si="9"/>
        <v>7</v>
      </c>
      <c r="CH30" s="3">
        <f t="shared" si="9"/>
        <v>14</v>
      </c>
      <c r="CI30" s="3">
        <f t="shared" si="9"/>
        <v>21.5</v>
      </c>
      <c r="CJ30" s="3">
        <f t="shared" si="9"/>
        <v>28</v>
      </c>
      <c r="CK30" s="3">
        <f t="shared" si="9"/>
        <v>32.5</v>
      </c>
      <c r="CL30" s="3">
        <f t="shared" si="9"/>
        <v>37.5</v>
      </c>
      <c r="CM30" s="3">
        <f t="shared" si="9"/>
        <v>42</v>
      </c>
      <c r="CN30" s="3">
        <f t="shared" si="9"/>
        <v>47</v>
      </c>
      <c r="CO30" s="3">
        <f t="shared" si="9"/>
        <v>42</v>
      </c>
      <c r="CP30" s="3">
        <f t="shared" si="9"/>
        <v>85</v>
      </c>
      <c r="CQ30" s="3">
        <f t="shared" si="9"/>
        <v>118</v>
      </c>
      <c r="CR30" s="3">
        <f t="shared" si="9"/>
        <v>144</v>
      </c>
      <c r="CS30" s="3">
        <f t="shared" si="9"/>
        <v>125</v>
      </c>
      <c r="CT30" s="3">
        <f t="shared" si="9"/>
        <v>260</v>
      </c>
      <c r="CU30" s="3">
        <f t="shared" si="9"/>
        <v>350</v>
      </c>
      <c r="CV30" s="3">
        <f t="shared" si="9"/>
        <v>470</v>
      </c>
      <c r="CW30" s="3">
        <f t="shared" si="9"/>
        <v>6.9275862068965512</v>
      </c>
      <c r="CX30" s="3">
        <f t="shared" si="9"/>
        <v>13.565517241379311</v>
      </c>
      <c r="CY30" s="3">
        <f t="shared" si="9"/>
        <v>20.706896551724139</v>
      </c>
      <c r="CZ30" s="3">
        <f t="shared" si="9"/>
        <v>26.413793103448278</v>
      </c>
      <c r="DA30" s="3">
        <f t="shared" si="9"/>
        <v>31.431034482758619</v>
      </c>
      <c r="DB30" s="3">
        <f t="shared" si="9"/>
        <v>36.103448275862071</v>
      </c>
      <c r="DC30" s="3">
        <f t="shared" si="9"/>
        <v>40.137931034482762</v>
      </c>
      <c r="DD30" s="3">
        <f t="shared" si="9"/>
        <v>44.172413793103445</v>
      </c>
      <c r="DE30" s="3">
        <f t="shared" si="9"/>
        <v>43.689655172413794</v>
      </c>
      <c r="DF30" s="3">
        <f t="shared" si="9"/>
        <v>83.103448275862064</v>
      </c>
      <c r="DG30" s="3">
        <f t="shared" si="9"/>
        <v>117.55172413793103</v>
      </c>
      <c r="DH30" s="3">
        <f t="shared" si="9"/>
        <v>145.9655172413793</v>
      </c>
      <c r="DI30" s="3">
        <f t="shared" si="9"/>
        <v>125.2962962962963</v>
      </c>
      <c r="DJ30" s="3">
        <f t="shared" si="9"/>
        <v>250.74074074074073</v>
      </c>
      <c r="DK30" s="3">
        <f t="shared" si="9"/>
        <v>341.48148148148147</v>
      </c>
      <c r="DL30" s="3">
        <f t="shared" si="9"/>
        <v>397.03703703703707</v>
      </c>
    </row>
    <row r="31" spans="2:116" x14ac:dyDescent="0.3">
      <c r="B31" s="12" t="s">
        <v>140</v>
      </c>
      <c r="C31" s="48">
        <v>355</v>
      </c>
      <c r="D31" s="12" t="s">
        <v>32</v>
      </c>
      <c r="E31" s="46" t="str">
        <f t="shared" ref="E31:F31" si="10">IFERROR(E30/$C$31-1,"--")</f>
        <v>--</v>
      </c>
      <c r="F31" s="46">
        <f t="shared" si="10"/>
        <v>-0.97267605633802812</v>
      </c>
      <c r="G31" s="46">
        <f t="shared" ref="G31:BO31" si="11">IFERROR(G30/$C$31-1,"--")</f>
        <v>-0.95452716297786722</v>
      </c>
      <c r="H31" s="46">
        <f t="shared" si="11"/>
        <v>-0.94376257545271625</v>
      </c>
      <c r="I31" s="46">
        <f t="shared" si="11"/>
        <v>-0.93390342052313879</v>
      </c>
      <c r="J31" s="46">
        <f t="shared" si="11"/>
        <v>-0.92505030181086523</v>
      </c>
      <c r="K31" s="46">
        <f t="shared" si="11"/>
        <v>-0.91780684104627763</v>
      </c>
      <c r="L31" s="46">
        <f t="shared" si="11"/>
        <v>-0.91086519114688125</v>
      </c>
      <c r="M31" s="46">
        <f t="shared" si="11"/>
        <v>-0.91439749608763687</v>
      </c>
      <c r="N31" s="46">
        <f t="shared" si="11"/>
        <v>-0.85477308294209697</v>
      </c>
      <c r="O31" s="46">
        <f t="shared" si="11"/>
        <v>-0.82848200312989051</v>
      </c>
      <c r="P31" s="46">
        <f t="shared" si="11"/>
        <v>-0.784037558685446</v>
      </c>
      <c r="Q31" s="46">
        <f t="shared" si="11"/>
        <v>-0.75993740219092332</v>
      </c>
      <c r="R31" s="46">
        <f t="shared" si="11"/>
        <v>-0.6344287949921753</v>
      </c>
      <c r="S31" s="46">
        <f t="shared" si="11"/>
        <v>-0.67762128325508608</v>
      </c>
      <c r="T31" s="46">
        <f t="shared" si="11"/>
        <v>-0.47730829420970267</v>
      </c>
      <c r="U31" s="46">
        <f t="shared" si="11"/>
        <v>-0.62597809076682309</v>
      </c>
      <c r="V31" s="46">
        <f t="shared" si="11"/>
        <v>-0.34898278560250395</v>
      </c>
      <c r="W31" s="46">
        <f t="shared" si="11"/>
        <v>-0.45852895148669792</v>
      </c>
      <c r="X31" s="46">
        <f t="shared" si="11"/>
        <v>-0.34272300469483552</v>
      </c>
      <c r="Y31" s="46">
        <f t="shared" si="11"/>
        <v>-0.98450704225352115</v>
      </c>
      <c r="Z31" s="46">
        <f t="shared" si="11"/>
        <v>-0.971830985915493</v>
      </c>
      <c r="AA31" s="46">
        <f t="shared" si="11"/>
        <v>-0.95492957746478868</v>
      </c>
      <c r="AB31" s="46">
        <f t="shared" si="11"/>
        <v>-0.94366197183098588</v>
      </c>
      <c r="AC31" s="46">
        <f t="shared" si="11"/>
        <v>-0.93436619718309855</v>
      </c>
      <c r="AD31" s="46">
        <f t="shared" si="11"/>
        <v>-0.92788732394366202</v>
      </c>
      <c r="AE31" s="46">
        <f t="shared" si="11"/>
        <v>-0.92140845070422539</v>
      </c>
      <c r="AF31" s="46">
        <f t="shared" si="11"/>
        <v>-0.91436619718309864</v>
      </c>
      <c r="AG31" s="46">
        <f t="shared" si="11"/>
        <v>-0.91408450704225352</v>
      </c>
      <c r="AH31" s="46">
        <f t="shared" si="11"/>
        <v>-0.85633802816901405</v>
      </c>
      <c r="AI31" s="46">
        <f t="shared" si="11"/>
        <v>-0.82535211267605635</v>
      </c>
      <c r="AJ31" s="46">
        <f t="shared" si="11"/>
        <v>-0.78507042253521131</v>
      </c>
      <c r="AK31" s="46">
        <f t="shared" si="11"/>
        <v>-0.78591549295774654</v>
      </c>
      <c r="AL31" s="46">
        <f t="shared" si="11"/>
        <v>-0.63380281690140849</v>
      </c>
      <c r="AM31" s="46">
        <f t="shared" si="11"/>
        <v>-0.6816901408450704</v>
      </c>
      <c r="AN31" s="46">
        <f t="shared" si="11"/>
        <v>-0.40845070422535212</v>
      </c>
      <c r="AO31" s="46">
        <f t="shared" si="11"/>
        <v>-0.676056338028169</v>
      </c>
      <c r="AP31" s="46">
        <f t="shared" si="11"/>
        <v>-7.0422535211267623E-2</v>
      </c>
      <c r="AQ31" s="46">
        <f t="shared" si="11"/>
        <v>-0.63380281690140849</v>
      </c>
      <c r="AR31" s="46">
        <f t="shared" si="11"/>
        <v>-3.6619718309859106E-2</v>
      </c>
      <c r="AS31" s="46">
        <f t="shared" si="11"/>
        <v>-0.98440019426906267</v>
      </c>
      <c r="AT31" s="46">
        <f t="shared" si="11"/>
        <v>-0.9706459446333171</v>
      </c>
      <c r="AU31" s="46">
        <f t="shared" si="11"/>
        <v>-0.95697911607576491</v>
      </c>
      <c r="AV31" s="46">
        <f t="shared" si="11"/>
        <v>-0.94817872753763965</v>
      </c>
      <c r="AW31" s="46">
        <f t="shared" si="11"/>
        <v>-0.94108790675084997</v>
      </c>
      <c r="AX31" s="46">
        <f t="shared" si="11"/>
        <v>-0.93394851869839735</v>
      </c>
      <c r="AY31" s="46">
        <f t="shared" si="11"/>
        <v>-0.9274696454589606</v>
      </c>
      <c r="AZ31" s="46">
        <f t="shared" si="11"/>
        <v>-0.92143759106362311</v>
      </c>
      <c r="BA31" s="46">
        <f t="shared" si="11"/>
        <v>-0.91398737251092765</v>
      </c>
      <c r="BB31" s="46">
        <f t="shared" si="11"/>
        <v>-0.86051481301602717</v>
      </c>
      <c r="BC31" s="46">
        <f t="shared" si="11"/>
        <v>-0.82253521126760565</v>
      </c>
      <c r="BD31" s="46">
        <f t="shared" si="11"/>
        <v>-0.78096163186012624</v>
      </c>
      <c r="BE31" s="46">
        <f t="shared" si="11"/>
        <v>-0.79213210296260317</v>
      </c>
      <c r="BF31" s="46">
        <f t="shared" si="11"/>
        <v>-0.6816901408450704</v>
      </c>
      <c r="BG31" s="46">
        <f t="shared" si="11"/>
        <v>-0.74016512870325402</v>
      </c>
      <c r="BH31" s="46">
        <f t="shared" si="11"/>
        <v>-0.46090335114133074</v>
      </c>
      <c r="BI31" s="46">
        <f t="shared" si="11"/>
        <v>-0.7377367654201068</v>
      </c>
      <c r="BJ31" s="46">
        <f t="shared" si="11"/>
        <v>-0.19621175327829055</v>
      </c>
      <c r="BK31" s="46">
        <f t="shared" si="11"/>
        <v>-0.66974259349198639</v>
      </c>
      <c r="BL31" s="46">
        <f t="shared" si="11"/>
        <v>-6.8965517241379337E-2</v>
      </c>
      <c r="BM31" s="46">
        <f t="shared" si="11"/>
        <v>-0.97980281690140847</v>
      </c>
      <c r="BN31" s="46">
        <f t="shared" si="11"/>
        <v>-0.95961617322985537</v>
      </c>
      <c r="BO31" s="46">
        <f t="shared" si="11"/>
        <v>-0.93903420523138836</v>
      </c>
      <c r="BP31" s="46">
        <f t="shared" ref="BP31:DL31" si="12">IFERROR(BP30/$C$31-1,"--")</f>
        <v>-0.92032193158953723</v>
      </c>
      <c r="BQ31" s="46">
        <f t="shared" si="12"/>
        <v>-0.90724346076458751</v>
      </c>
      <c r="BR31" s="46">
        <f t="shared" si="12"/>
        <v>-0.893158953722334</v>
      </c>
      <c r="BS31" s="46">
        <f t="shared" si="12"/>
        <v>-0.87893360160965794</v>
      </c>
      <c r="BT31" s="46">
        <f t="shared" si="12"/>
        <v>-0.86700201207243466</v>
      </c>
      <c r="BU31" s="46">
        <f t="shared" si="12"/>
        <v>-0.88691705790297337</v>
      </c>
      <c r="BV31" s="46">
        <f t="shared" si="12"/>
        <v>-0.76118935837245694</v>
      </c>
      <c r="BW31" s="46">
        <f t="shared" si="12"/>
        <v>-0.66948356807511744</v>
      </c>
      <c r="BX31" s="46">
        <f t="shared" si="12"/>
        <v>-0.59436619718309858</v>
      </c>
      <c r="BY31" s="46">
        <f t="shared" si="12"/>
        <v>-0.60344287949921749</v>
      </c>
      <c r="BZ31" s="46">
        <f t="shared" si="12"/>
        <v>-0.24569640062597808</v>
      </c>
      <c r="CA31" s="46">
        <f t="shared" si="12"/>
        <v>-2.8169014084507005E-2</v>
      </c>
      <c r="CB31" s="46">
        <f t="shared" si="12"/>
        <v>0.33646322378716742</v>
      </c>
      <c r="CC31" s="46">
        <f t="shared" si="12"/>
        <v>-0.31790744466800802</v>
      </c>
      <c r="CD31" s="46">
        <f t="shared" si="12"/>
        <v>-1.670020120724347E-2</v>
      </c>
      <c r="CE31" s="46">
        <f t="shared" si="12"/>
        <v>5.6338028169014009E-2</v>
      </c>
      <c r="CF31" s="46">
        <f t="shared" si="12"/>
        <v>0.23541247484909444</v>
      </c>
      <c r="CG31" s="46">
        <f t="shared" si="12"/>
        <v>-0.9802816901408451</v>
      </c>
      <c r="CH31" s="46">
        <f t="shared" si="12"/>
        <v>-0.96056338028169019</v>
      </c>
      <c r="CI31" s="46">
        <f t="shared" si="12"/>
        <v>-0.93943661971830983</v>
      </c>
      <c r="CJ31" s="46">
        <f t="shared" si="12"/>
        <v>-0.92112676056338028</v>
      </c>
      <c r="CK31" s="46">
        <f t="shared" si="12"/>
        <v>-0.90845070422535212</v>
      </c>
      <c r="CL31" s="46">
        <f t="shared" si="12"/>
        <v>-0.89436619718309862</v>
      </c>
      <c r="CM31" s="46">
        <f t="shared" si="12"/>
        <v>-0.88169014084507047</v>
      </c>
      <c r="CN31" s="46">
        <f t="shared" si="12"/>
        <v>-0.86760563380281686</v>
      </c>
      <c r="CO31" s="46">
        <f t="shared" si="12"/>
        <v>-0.88169014084507047</v>
      </c>
      <c r="CP31" s="46">
        <f t="shared" si="12"/>
        <v>-0.76056338028169013</v>
      </c>
      <c r="CQ31" s="46">
        <f t="shared" si="12"/>
        <v>-0.6676056338028169</v>
      </c>
      <c r="CR31" s="46">
        <f t="shared" si="12"/>
        <v>-0.59436619718309858</v>
      </c>
      <c r="CS31" s="46">
        <f t="shared" si="12"/>
        <v>-0.647887323943662</v>
      </c>
      <c r="CT31" s="46">
        <f t="shared" si="12"/>
        <v>-0.26760563380281688</v>
      </c>
      <c r="CU31" s="46">
        <f t="shared" si="12"/>
        <v>-1.4084507042253502E-2</v>
      </c>
      <c r="CV31" s="46">
        <f t="shared" si="12"/>
        <v>0.323943661971831</v>
      </c>
      <c r="CW31" s="46">
        <f t="shared" si="12"/>
        <v>-0.98048567265662945</v>
      </c>
      <c r="CX31" s="46">
        <f t="shared" si="12"/>
        <v>-0.9617872753763963</v>
      </c>
      <c r="CY31" s="46">
        <f t="shared" si="12"/>
        <v>-0.94167071393880519</v>
      </c>
      <c r="CZ31" s="46">
        <f t="shared" si="12"/>
        <v>-0.925594949004371</v>
      </c>
      <c r="DA31" s="46">
        <f t="shared" si="12"/>
        <v>-0.91146187469645457</v>
      </c>
      <c r="DB31" s="46">
        <f t="shared" si="12"/>
        <v>-0.89830014570179695</v>
      </c>
      <c r="DC31" s="46">
        <f t="shared" si="12"/>
        <v>-0.88693540553666828</v>
      </c>
      <c r="DD31" s="46">
        <f t="shared" si="12"/>
        <v>-0.8755706653715396</v>
      </c>
      <c r="DE31" s="46">
        <f t="shared" si="12"/>
        <v>-0.87693054881010202</v>
      </c>
      <c r="DF31" s="46">
        <f t="shared" si="12"/>
        <v>-0.76590577950461391</v>
      </c>
      <c r="DG31" s="46">
        <f t="shared" si="12"/>
        <v>-0.66886838271005344</v>
      </c>
      <c r="DH31" s="46">
        <f t="shared" si="12"/>
        <v>-0.58882952889752316</v>
      </c>
      <c r="DI31" s="46">
        <f t="shared" si="12"/>
        <v>-0.64705268648930625</v>
      </c>
      <c r="DJ31" s="46">
        <f t="shared" si="12"/>
        <v>-0.29368805425143452</v>
      </c>
      <c r="DK31" s="46">
        <f t="shared" si="12"/>
        <v>-3.8080333854981774E-2</v>
      </c>
      <c r="DL31" s="46">
        <f t="shared" si="12"/>
        <v>0.11841418883672405</v>
      </c>
    </row>
    <row r="32" spans="2:116" x14ac:dyDescent="0.3">
      <c r="B32" s="12" t="s">
        <v>141</v>
      </c>
      <c r="C32" s="48">
        <v>775.8</v>
      </c>
      <c r="D32" s="12" t="s">
        <v>32</v>
      </c>
      <c r="E32" s="49" t="str">
        <f t="shared" ref="E32" si="13">IF($C$32&lt;E9,"OK","NOT-OK")</f>
        <v>OK</v>
      </c>
      <c r="F32" s="151" t="str">
        <f t="shared" ref="F32:BN32" si="14">IF($C$32&lt;F10,"OK","NOT-OK")</f>
        <v>NOT-OK</v>
      </c>
      <c r="G32" s="151" t="str">
        <f t="shared" si="14"/>
        <v>NOT-OK</v>
      </c>
      <c r="H32" s="151" t="str">
        <f t="shared" si="14"/>
        <v>NOT-OK</v>
      </c>
      <c r="I32" s="151" t="str">
        <f t="shared" si="14"/>
        <v>NOT-OK</v>
      </c>
      <c r="J32" s="151" t="str">
        <f t="shared" si="14"/>
        <v>NOT-OK</v>
      </c>
      <c r="K32" s="151" t="str">
        <f t="shared" si="14"/>
        <v>NOT-OK</v>
      </c>
      <c r="L32" s="151" t="str">
        <f t="shared" si="14"/>
        <v>NOT-OK</v>
      </c>
      <c r="M32" s="151" t="str">
        <f t="shared" si="14"/>
        <v>NOT-OK</v>
      </c>
      <c r="N32" s="151" t="str">
        <f t="shared" si="14"/>
        <v>NOT-OK</v>
      </c>
      <c r="O32" s="151" t="str">
        <f t="shared" si="14"/>
        <v>NOT-OK</v>
      </c>
      <c r="P32" s="151" t="str">
        <f t="shared" si="14"/>
        <v>NOT-OK</v>
      </c>
      <c r="Q32" s="151" t="str">
        <f t="shared" si="14"/>
        <v>NOT-OK</v>
      </c>
      <c r="R32" s="151" t="str">
        <f t="shared" si="14"/>
        <v>NOT-OK</v>
      </c>
      <c r="S32" s="151" t="str">
        <f t="shared" si="14"/>
        <v>NOT-OK</v>
      </c>
      <c r="T32" s="151" t="str">
        <f t="shared" si="14"/>
        <v>NOT-OK</v>
      </c>
      <c r="U32" s="151" t="str">
        <f t="shared" si="14"/>
        <v>NOT-OK</v>
      </c>
      <c r="V32" s="151" t="str">
        <f t="shared" si="14"/>
        <v>NOT-OK</v>
      </c>
      <c r="W32" s="151" t="str">
        <f t="shared" si="14"/>
        <v>NOT-OK</v>
      </c>
      <c r="X32" s="151" t="str">
        <f t="shared" si="14"/>
        <v>NOT-OK</v>
      </c>
      <c r="Y32" s="151" t="str">
        <f t="shared" si="14"/>
        <v>NOT-OK</v>
      </c>
      <c r="Z32" s="151" t="str">
        <f t="shared" si="14"/>
        <v>NOT-OK</v>
      </c>
      <c r="AA32" s="151" t="str">
        <f t="shared" si="14"/>
        <v>NOT-OK</v>
      </c>
      <c r="AB32" s="151" t="str">
        <f t="shared" si="14"/>
        <v>NOT-OK</v>
      </c>
      <c r="AC32" s="151" t="str">
        <f t="shared" si="14"/>
        <v>NOT-OK</v>
      </c>
      <c r="AD32" s="151" t="str">
        <f t="shared" si="14"/>
        <v>NOT-OK</v>
      </c>
      <c r="AE32" s="151" t="str">
        <f t="shared" si="14"/>
        <v>NOT-OK</v>
      </c>
      <c r="AF32" s="151" t="str">
        <f t="shared" si="14"/>
        <v>NOT-OK</v>
      </c>
      <c r="AG32" s="151" t="str">
        <f t="shared" si="14"/>
        <v>NOT-OK</v>
      </c>
      <c r="AH32" s="151" t="str">
        <f t="shared" si="14"/>
        <v>NOT-OK</v>
      </c>
      <c r="AI32" s="151" t="str">
        <f t="shared" si="14"/>
        <v>NOT-OK</v>
      </c>
      <c r="AJ32" s="151" t="str">
        <f t="shared" si="14"/>
        <v>NOT-OK</v>
      </c>
      <c r="AK32" s="151" t="str">
        <f t="shared" si="14"/>
        <v>NOT-OK</v>
      </c>
      <c r="AL32" s="151" t="str">
        <f t="shared" si="14"/>
        <v>NOT-OK</v>
      </c>
      <c r="AM32" s="151" t="str">
        <f t="shared" si="14"/>
        <v>NOT-OK</v>
      </c>
      <c r="AN32" s="151" t="str">
        <f t="shared" si="14"/>
        <v>NOT-OK</v>
      </c>
      <c r="AO32" s="151" t="str">
        <f t="shared" si="14"/>
        <v>NOT-OK</v>
      </c>
      <c r="AP32" s="151" t="str">
        <f t="shared" si="14"/>
        <v>NOT-OK</v>
      </c>
      <c r="AQ32" s="151" t="str">
        <f t="shared" si="14"/>
        <v>NOT-OK</v>
      </c>
      <c r="AR32" s="151" t="str">
        <f t="shared" si="14"/>
        <v>NOT-OK</v>
      </c>
      <c r="AS32" s="151" t="str">
        <f t="shared" si="14"/>
        <v>NOT-OK</v>
      </c>
      <c r="AT32" s="151" t="str">
        <f t="shared" si="14"/>
        <v>NOT-OK</v>
      </c>
      <c r="AU32" s="151" t="str">
        <f t="shared" si="14"/>
        <v>NOT-OK</v>
      </c>
      <c r="AV32" s="151" t="str">
        <f t="shared" si="14"/>
        <v>NOT-OK</v>
      </c>
      <c r="AW32" s="151" t="str">
        <f t="shared" si="14"/>
        <v>NOT-OK</v>
      </c>
      <c r="AX32" s="151" t="str">
        <f t="shared" si="14"/>
        <v>NOT-OK</v>
      </c>
      <c r="AY32" s="151" t="str">
        <f t="shared" si="14"/>
        <v>NOT-OK</v>
      </c>
      <c r="AZ32" s="151" t="str">
        <f t="shared" si="14"/>
        <v>NOT-OK</v>
      </c>
      <c r="BA32" s="151" t="str">
        <f t="shared" si="14"/>
        <v>NOT-OK</v>
      </c>
      <c r="BB32" s="151" t="str">
        <f t="shared" si="14"/>
        <v>NOT-OK</v>
      </c>
      <c r="BC32" s="151" t="str">
        <f t="shared" si="14"/>
        <v>NOT-OK</v>
      </c>
      <c r="BD32" s="151" t="str">
        <f t="shared" si="14"/>
        <v>NOT-OK</v>
      </c>
      <c r="BE32" s="151" t="str">
        <f t="shared" si="14"/>
        <v>NOT-OK</v>
      </c>
      <c r="BF32" s="151" t="str">
        <f t="shared" si="14"/>
        <v>NOT-OK</v>
      </c>
      <c r="BG32" s="151" t="str">
        <f t="shared" si="14"/>
        <v>NOT-OK</v>
      </c>
      <c r="BH32" s="151" t="str">
        <f t="shared" si="14"/>
        <v>NOT-OK</v>
      </c>
      <c r="BI32" s="151" t="str">
        <f t="shared" si="14"/>
        <v>NOT-OK</v>
      </c>
      <c r="BJ32" s="151" t="str">
        <f t="shared" si="14"/>
        <v>NOT-OK</v>
      </c>
      <c r="BK32" s="151" t="str">
        <f t="shared" si="14"/>
        <v>NOT-OK</v>
      </c>
      <c r="BL32" s="151" t="str">
        <f t="shared" si="14"/>
        <v>NOT-OK</v>
      </c>
      <c r="BM32" s="151" t="str">
        <f t="shared" si="14"/>
        <v>NOT-OK</v>
      </c>
      <c r="BN32" s="151" t="str">
        <f t="shared" si="14"/>
        <v>NOT-OK</v>
      </c>
      <c r="BO32" s="151" t="str">
        <f t="shared" ref="BO32:DL32" si="15">IF($C$32&lt;BO10,"OK","NOT-OK")</f>
        <v>NOT-OK</v>
      </c>
      <c r="BP32" s="151" t="str">
        <f t="shared" si="15"/>
        <v>NOT-OK</v>
      </c>
      <c r="BQ32" s="151" t="str">
        <f t="shared" si="15"/>
        <v>NOT-OK</v>
      </c>
      <c r="BR32" s="151" t="str">
        <f t="shared" si="15"/>
        <v>NOT-OK</v>
      </c>
      <c r="BS32" s="151" t="str">
        <f t="shared" si="15"/>
        <v>NOT-OK</v>
      </c>
      <c r="BT32" s="151" t="str">
        <f t="shared" si="15"/>
        <v>NOT-OK</v>
      </c>
      <c r="BU32" s="151" t="str">
        <f t="shared" si="15"/>
        <v>NOT-OK</v>
      </c>
      <c r="BV32" s="151" t="str">
        <f t="shared" si="15"/>
        <v>NOT-OK</v>
      </c>
      <c r="BW32" s="151" t="str">
        <f t="shared" si="15"/>
        <v>NOT-OK</v>
      </c>
      <c r="BX32" s="151" t="str">
        <f t="shared" si="15"/>
        <v>NOT-OK</v>
      </c>
      <c r="BY32" s="151" t="str">
        <f t="shared" si="15"/>
        <v>NOT-OK</v>
      </c>
      <c r="BZ32" s="151" t="str">
        <f t="shared" si="15"/>
        <v>NOT-OK</v>
      </c>
      <c r="CA32" s="151" t="str">
        <f t="shared" si="15"/>
        <v>OK</v>
      </c>
      <c r="CB32" s="151" t="str">
        <f t="shared" si="15"/>
        <v>OK</v>
      </c>
      <c r="CC32" s="151" t="str">
        <f t="shared" si="15"/>
        <v>NOT-OK</v>
      </c>
      <c r="CD32" s="151" t="str">
        <f t="shared" si="15"/>
        <v>OK</v>
      </c>
      <c r="CE32" s="151" t="str">
        <f t="shared" si="15"/>
        <v>OK</v>
      </c>
      <c r="CF32" s="151" t="str">
        <f t="shared" si="15"/>
        <v>OK</v>
      </c>
      <c r="CG32" s="151" t="str">
        <f t="shared" si="15"/>
        <v>NOT-OK</v>
      </c>
      <c r="CH32" s="151" t="str">
        <f t="shared" si="15"/>
        <v>NOT-OK</v>
      </c>
      <c r="CI32" s="151" t="str">
        <f t="shared" si="15"/>
        <v>NOT-OK</v>
      </c>
      <c r="CJ32" s="151" t="str">
        <f t="shared" si="15"/>
        <v>NOT-OK</v>
      </c>
      <c r="CK32" s="151" t="str">
        <f t="shared" si="15"/>
        <v>NOT-OK</v>
      </c>
      <c r="CL32" s="151" t="str">
        <f t="shared" si="15"/>
        <v>NOT-OK</v>
      </c>
      <c r="CM32" s="151" t="str">
        <f t="shared" si="15"/>
        <v>NOT-OK</v>
      </c>
      <c r="CN32" s="151" t="str">
        <f t="shared" si="15"/>
        <v>NOT-OK</v>
      </c>
      <c r="CO32" s="151" t="str">
        <f t="shared" si="15"/>
        <v>NOT-OK</v>
      </c>
      <c r="CP32" s="151" t="str">
        <f t="shared" si="15"/>
        <v>NOT-OK</v>
      </c>
      <c r="CQ32" s="151" t="str">
        <f t="shared" si="15"/>
        <v>NOT-OK</v>
      </c>
      <c r="CR32" s="151" t="str">
        <f t="shared" si="15"/>
        <v>NOT-OK</v>
      </c>
      <c r="CS32" s="151" t="str">
        <f t="shared" si="15"/>
        <v>NOT-OK</v>
      </c>
      <c r="CT32" s="151" t="str">
        <f t="shared" si="15"/>
        <v>NOT-OK</v>
      </c>
      <c r="CU32" s="151" t="str">
        <f t="shared" si="15"/>
        <v>OK</v>
      </c>
      <c r="CV32" s="151" t="str">
        <f t="shared" si="15"/>
        <v>OK</v>
      </c>
      <c r="CW32" s="151" t="str">
        <f t="shared" si="15"/>
        <v>NOT-OK</v>
      </c>
      <c r="CX32" s="151" t="str">
        <f t="shared" si="15"/>
        <v>NOT-OK</v>
      </c>
      <c r="CY32" s="151" t="str">
        <f t="shared" si="15"/>
        <v>NOT-OK</v>
      </c>
      <c r="CZ32" s="151" t="str">
        <f t="shared" si="15"/>
        <v>NOT-OK</v>
      </c>
      <c r="DA32" s="151" t="str">
        <f t="shared" si="15"/>
        <v>NOT-OK</v>
      </c>
      <c r="DB32" s="151" t="str">
        <f t="shared" si="15"/>
        <v>NOT-OK</v>
      </c>
      <c r="DC32" s="151" t="str">
        <f t="shared" si="15"/>
        <v>NOT-OK</v>
      </c>
      <c r="DD32" s="151" t="str">
        <f t="shared" si="15"/>
        <v>NOT-OK</v>
      </c>
      <c r="DE32" s="151" t="str">
        <f t="shared" si="15"/>
        <v>NOT-OK</v>
      </c>
      <c r="DF32" s="151" t="str">
        <f t="shared" si="15"/>
        <v>NOT-OK</v>
      </c>
      <c r="DG32" s="151" t="str">
        <f t="shared" si="15"/>
        <v>NOT-OK</v>
      </c>
      <c r="DH32" s="151" t="str">
        <f t="shared" si="15"/>
        <v>NOT-OK</v>
      </c>
      <c r="DI32" s="151" t="str">
        <f t="shared" si="15"/>
        <v>NOT-OK</v>
      </c>
      <c r="DJ32" s="151" t="str">
        <f t="shared" si="15"/>
        <v>NOT-OK</v>
      </c>
      <c r="DK32" s="151" t="str">
        <f t="shared" si="15"/>
        <v>NOT-OK</v>
      </c>
      <c r="DL32" s="151" t="str">
        <f t="shared" si="15"/>
        <v>OK</v>
      </c>
    </row>
    <row r="33" spans="2:116" x14ac:dyDescent="0.3">
      <c r="B33" s="12" t="s">
        <v>142</v>
      </c>
      <c r="C33" s="48">
        <v>2250</v>
      </c>
      <c r="D33" s="12" t="s">
        <v>34</v>
      </c>
      <c r="E33" s="5" t="str">
        <f t="shared" ref="E33:F33" si="16">IF($C$30&gt;E26,"--",$C$33-E26)</f>
        <v>--</v>
      </c>
      <c r="F33" s="5" t="str">
        <f t="shared" si="16"/>
        <v>--</v>
      </c>
      <c r="G33" s="5" t="str">
        <f t="shared" ref="G33:BO33" si="17">IF($C$30&gt;G26,"--",$C$33-G26)</f>
        <v>--</v>
      </c>
      <c r="H33" s="5" t="str">
        <f t="shared" si="17"/>
        <v>--</v>
      </c>
      <c r="I33" s="5" t="str">
        <f t="shared" si="17"/>
        <v>--</v>
      </c>
      <c r="J33" s="5" t="str">
        <f t="shared" si="17"/>
        <v>--</v>
      </c>
      <c r="K33" s="5" t="str">
        <f t="shared" si="17"/>
        <v>--</v>
      </c>
      <c r="L33" s="5" t="str">
        <f t="shared" si="17"/>
        <v>--</v>
      </c>
      <c r="M33" s="5" t="str">
        <f t="shared" si="17"/>
        <v>--</v>
      </c>
      <c r="N33" s="5" t="str">
        <f t="shared" si="17"/>
        <v>--</v>
      </c>
      <c r="O33" s="5" t="str">
        <f t="shared" si="17"/>
        <v>--</v>
      </c>
      <c r="P33" s="5" t="str">
        <f t="shared" si="17"/>
        <v>--</v>
      </c>
      <c r="Q33" s="5" t="str">
        <f t="shared" si="17"/>
        <v>--</v>
      </c>
      <c r="R33" s="5" t="str">
        <f t="shared" si="17"/>
        <v>--</v>
      </c>
      <c r="S33" s="5" t="str">
        <f t="shared" si="17"/>
        <v>--</v>
      </c>
      <c r="T33" s="5" t="str">
        <f t="shared" si="17"/>
        <v>--</v>
      </c>
      <c r="U33" s="5" t="str">
        <f t="shared" si="17"/>
        <v>--</v>
      </c>
      <c r="V33" s="5" t="str">
        <f t="shared" si="17"/>
        <v>--</v>
      </c>
      <c r="W33" s="5" t="str">
        <f t="shared" si="17"/>
        <v>--</v>
      </c>
      <c r="X33" s="5" t="str">
        <f t="shared" si="17"/>
        <v>--</v>
      </c>
      <c r="Y33" s="5">
        <f t="shared" si="17"/>
        <v>75.418855377325144</v>
      </c>
      <c r="Z33" s="5">
        <f t="shared" si="17"/>
        <v>-66.558985010813558</v>
      </c>
      <c r="AA33" s="5">
        <f t="shared" si="17"/>
        <v>-96.963943152464253</v>
      </c>
      <c r="AB33" s="5">
        <f t="shared" si="17"/>
        <v>-67.247922784521052</v>
      </c>
      <c r="AC33" s="5">
        <f t="shared" si="17"/>
        <v>-54.238581800576867</v>
      </c>
      <c r="AD33" s="5">
        <f t="shared" si="17"/>
        <v>-148.42321158120694</v>
      </c>
      <c r="AE33" s="5">
        <f t="shared" si="17"/>
        <v>-156.25979630861411</v>
      </c>
      <c r="AF33" s="5">
        <f t="shared" si="17"/>
        <v>-168.80270913060122</v>
      </c>
      <c r="AG33" s="5">
        <f t="shared" si="17"/>
        <v>-283.33333333333348</v>
      </c>
      <c r="AH33" s="5">
        <f t="shared" si="17"/>
        <v>-225.57003257329006</v>
      </c>
      <c r="AI33" s="5">
        <f t="shared" si="17"/>
        <v>-454.62633451957299</v>
      </c>
      <c r="AJ33" s="5">
        <f t="shared" si="17"/>
        <v>-308.92255892255889</v>
      </c>
      <c r="AK33" s="5">
        <f t="shared" si="17"/>
        <v>-64.529546999820468</v>
      </c>
      <c r="AL33" s="5">
        <f t="shared" si="17"/>
        <v>162.90305207404981</v>
      </c>
      <c r="AM33" s="5">
        <f t="shared" si="17"/>
        <v>-196.93154756324429</v>
      </c>
      <c r="AN33" s="5">
        <f t="shared" si="17"/>
        <v>-116.38531217137233</v>
      </c>
      <c r="AO33" s="5">
        <f t="shared" si="17"/>
        <v>47.788764227124375</v>
      </c>
      <c r="AP33" s="5">
        <f t="shared" si="17"/>
        <v>120.6500821377449</v>
      </c>
      <c r="AQ33" s="5">
        <f t="shared" si="17"/>
        <v>-78.618449673503619</v>
      </c>
      <c r="AR33" s="5">
        <f t="shared" si="17"/>
        <v>-161.24747417664776</v>
      </c>
      <c r="AS33" s="5">
        <f t="shared" si="17"/>
        <v>-952.57596906007939</v>
      </c>
      <c r="AT33" s="5">
        <f t="shared" si="17"/>
        <v>-1243.5653404926102</v>
      </c>
      <c r="AU33" s="5">
        <f t="shared" si="17"/>
        <v>-1211.0886218740097</v>
      </c>
      <c r="AV33" s="5">
        <f t="shared" si="17"/>
        <v>-1285.1706172482595</v>
      </c>
      <c r="AW33" s="5">
        <f t="shared" si="17"/>
        <v>-1327.9495355161771</v>
      </c>
      <c r="AX33" s="5">
        <f t="shared" si="17"/>
        <v>-1351.8708600510827</v>
      </c>
      <c r="AY33" s="5">
        <f t="shared" si="17"/>
        <v>-1411.5493683400641</v>
      </c>
      <c r="AZ33" s="5">
        <f t="shared" si="17"/>
        <v>-1392.2204663421408</v>
      </c>
      <c r="BA33" s="5">
        <f t="shared" si="17"/>
        <v>-1290.3726708074537</v>
      </c>
      <c r="BB33" s="5">
        <f t="shared" si="17"/>
        <v>-1806.9395017793595</v>
      </c>
      <c r="BC33" s="5">
        <f t="shared" si="17"/>
        <v>-1194.1087613293053</v>
      </c>
      <c r="BD33" s="5">
        <f t="shared" si="17"/>
        <v>-1215.0455927051676</v>
      </c>
      <c r="BE33" s="5">
        <f t="shared" si="17"/>
        <v>-938.76496006823072</v>
      </c>
      <c r="BF33" s="5">
        <f t="shared" si="17"/>
        <v>-785.44521111508129</v>
      </c>
      <c r="BG33" s="5">
        <f t="shared" si="17"/>
        <v>-1060.3107852487587</v>
      </c>
      <c r="BH33" s="5">
        <f t="shared" si="17"/>
        <v>-883.96465971129555</v>
      </c>
      <c r="BI33" s="5">
        <f t="shared" si="17"/>
        <v>-1088.5210748007216</v>
      </c>
      <c r="BJ33" s="5">
        <f t="shared" si="17"/>
        <v>-888.33399227841755</v>
      </c>
      <c r="BK33" s="5">
        <f t="shared" si="17"/>
        <v>-1088.5210748007216</v>
      </c>
      <c r="BL33" s="5">
        <f t="shared" si="17"/>
        <v>-948.68754614301815</v>
      </c>
      <c r="BM33" s="5" t="str">
        <f t="shared" si="17"/>
        <v>--</v>
      </c>
      <c r="BN33" s="5" t="str">
        <f t="shared" si="17"/>
        <v>--</v>
      </c>
      <c r="BO33" s="5" t="str">
        <f t="shared" si="17"/>
        <v>--</v>
      </c>
      <c r="BP33" s="5" t="str">
        <f t="shared" ref="BP33:DL33" si="18">IF($C$30&gt;BP26,"--",$C$33-BP26)</f>
        <v>--</v>
      </c>
      <c r="BQ33" s="5" t="str">
        <f t="shared" si="18"/>
        <v>--</v>
      </c>
      <c r="BR33" s="5" t="str">
        <f t="shared" si="18"/>
        <v>--</v>
      </c>
      <c r="BS33" s="5" t="str">
        <f t="shared" si="18"/>
        <v>--</v>
      </c>
      <c r="BT33" s="5" t="str">
        <f t="shared" si="18"/>
        <v>--</v>
      </c>
      <c r="BU33" s="5" t="str">
        <f t="shared" si="18"/>
        <v>--</v>
      </c>
      <c r="BV33" s="5" t="str">
        <f t="shared" si="18"/>
        <v>--</v>
      </c>
      <c r="BW33" s="5" t="str">
        <f t="shared" si="18"/>
        <v>--</v>
      </c>
      <c r="BX33" s="5" t="str">
        <f t="shared" si="18"/>
        <v>--</v>
      </c>
      <c r="BY33" s="5" t="str">
        <f t="shared" si="18"/>
        <v>--</v>
      </c>
      <c r="BZ33" s="5" t="str">
        <f t="shared" si="18"/>
        <v>--</v>
      </c>
      <c r="CA33" s="5" t="str">
        <f t="shared" si="18"/>
        <v>--</v>
      </c>
      <c r="CB33" s="5" t="str">
        <f t="shared" si="18"/>
        <v>--</v>
      </c>
      <c r="CC33" s="5" t="str">
        <f t="shared" si="18"/>
        <v>--</v>
      </c>
      <c r="CD33" s="5" t="str">
        <f t="shared" si="18"/>
        <v>--</v>
      </c>
      <c r="CE33" s="5" t="str">
        <f t="shared" si="18"/>
        <v>--</v>
      </c>
      <c r="CF33" s="5" t="str">
        <f t="shared" si="18"/>
        <v>--</v>
      </c>
      <c r="CG33" s="5">
        <f t="shared" si="18"/>
        <v>191.75115315345511</v>
      </c>
      <c r="CH33" s="5">
        <f t="shared" si="18"/>
        <v>75.273808644453766</v>
      </c>
      <c r="CI33" s="5">
        <f t="shared" si="18"/>
        <v>22.783750477203284</v>
      </c>
      <c r="CJ33" s="5">
        <f t="shared" si="18"/>
        <v>54.494855434527835</v>
      </c>
      <c r="CK33" s="5">
        <f t="shared" si="18"/>
        <v>44.545037101205253</v>
      </c>
      <c r="CL33" s="5">
        <f t="shared" si="18"/>
        <v>-31.938240461445275</v>
      </c>
      <c r="CM33" s="5">
        <f t="shared" si="18"/>
        <v>-44.373644916280682</v>
      </c>
      <c r="CN33" s="5">
        <f t="shared" si="18"/>
        <v>-71.641640328459289</v>
      </c>
      <c r="CO33" s="5">
        <f t="shared" si="18"/>
        <v>-117.60124610591902</v>
      </c>
      <c r="CP33" s="5">
        <f t="shared" si="18"/>
        <v>-11.904761904761926</v>
      </c>
      <c r="CQ33" s="5">
        <f t="shared" si="18"/>
        <v>-217.53246753246731</v>
      </c>
      <c r="CR33" s="5">
        <f t="shared" si="18"/>
        <v>-110.24844720496912</v>
      </c>
      <c r="CS33" s="5">
        <f t="shared" si="18"/>
        <v>140.7555677303103</v>
      </c>
      <c r="CT33" s="5">
        <f t="shared" si="18"/>
        <v>117.15913826516135</v>
      </c>
      <c r="CU33" s="5" t="str">
        <f t="shared" si="18"/>
        <v>--</v>
      </c>
      <c r="CV33" s="5">
        <f t="shared" si="18"/>
        <v>65.632273525496657</v>
      </c>
      <c r="CW33" s="5">
        <f t="shared" si="18"/>
        <v>-880.09238978477879</v>
      </c>
      <c r="CX33" s="5">
        <f t="shared" si="18"/>
        <v>-1124.7562699410355</v>
      </c>
      <c r="CY33" s="5">
        <f t="shared" si="18"/>
        <v>-1055.4406376778779</v>
      </c>
      <c r="CZ33" s="5">
        <f t="shared" si="18"/>
        <v>-1144.3777629316528</v>
      </c>
      <c r="DA33" s="5">
        <f t="shared" si="18"/>
        <v>-1193.4163138961276</v>
      </c>
      <c r="DB33" s="5">
        <f t="shared" si="18"/>
        <v>-1207.6360106220777</v>
      </c>
      <c r="DC33" s="5">
        <f t="shared" si="18"/>
        <v>-1290.871667285588</v>
      </c>
      <c r="DD33" s="5">
        <f t="shared" si="18"/>
        <v>-1268.788308343821</v>
      </c>
      <c r="DE33" s="5">
        <f t="shared" si="18"/>
        <v>-1044.7976878612717</v>
      </c>
      <c r="DF33" s="5">
        <f t="shared" si="18"/>
        <v>-1475.4901960784318</v>
      </c>
      <c r="DG33" s="5">
        <f t="shared" si="18"/>
        <v>-916.66666666666697</v>
      </c>
      <c r="DH33" s="5">
        <f t="shared" si="18"/>
        <v>-997.86324786324758</v>
      </c>
      <c r="DI33" s="5">
        <f t="shared" si="18"/>
        <v>-652.69965853221902</v>
      </c>
      <c r="DJ33" s="5">
        <f t="shared" si="18"/>
        <v>-677.88203903195154</v>
      </c>
      <c r="DK33" s="5">
        <f t="shared" si="18"/>
        <v>-764.08745764130254</v>
      </c>
      <c r="DL33" s="5">
        <f t="shared" si="18"/>
        <v>-866.25200225709386</v>
      </c>
    </row>
    <row r="34" spans="2:116" ht="4.5" customHeight="1" x14ac:dyDescent="0.3">
      <c r="B34" s="12"/>
      <c r="C34" s="6"/>
      <c r="D34" s="12"/>
    </row>
    <row r="35" spans="2:116" x14ac:dyDescent="0.3">
      <c r="B35" s="12" t="s">
        <v>155</v>
      </c>
      <c r="C35" s="48">
        <f>InjectionMoldingMachine!E47</f>
        <v>0</v>
      </c>
      <c r="D35" s="12" t="s">
        <v>34</v>
      </c>
      <c r="E35" s="3" t="e">
        <f t="shared" ref="E35" si="19">IF($C35&gt;(E$26*1.5),"--",E$5+(E$7-E$5)/(E$8-100)*($C35-100))</f>
        <v>#VALUE!</v>
      </c>
      <c r="F35" s="3">
        <f t="shared" ref="F35:BN35" si="20">IF($C35&gt;(F$26*1.5),"--",F$6+(F$8-F$6)/(F$9-100)*($C35-100))</f>
        <v>11.7</v>
      </c>
      <c r="G35" s="3">
        <f t="shared" si="20"/>
        <v>17.571428571428573</v>
      </c>
      <c r="H35" s="3">
        <f t="shared" si="20"/>
        <v>22.107142857142858</v>
      </c>
      <c r="I35" s="3">
        <f t="shared" si="20"/>
        <v>25.607142857142858</v>
      </c>
      <c r="J35" s="3">
        <f t="shared" si="20"/>
        <v>30.178571428571427</v>
      </c>
      <c r="K35" s="3">
        <f t="shared" si="20"/>
        <v>34.464285714285715</v>
      </c>
      <c r="L35" s="3">
        <f t="shared" si="20"/>
        <v>39.071428571428577</v>
      </c>
      <c r="M35" s="3">
        <f t="shared" si="20"/>
        <v>32.611111111111114</v>
      </c>
      <c r="N35" s="3">
        <f t="shared" si="20"/>
        <v>60.444444444444443</v>
      </c>
      <c r="O35" s="3">
        <f t="shared" si="20"/>
        <v>83.111111111111114</v>
      </c>
      <c r="P35" s="3">
        <f t="shared" si="20"/>
        <v>103.33333333333333</v>
      </c>
      <c r="Q35" s="3">
        <f t="shared" si="20"/>
        <v>100.77777777777777</v>
      </c>
      <c r="R35" s="3">
        <f t="shared" si="20"/>
        <v>154.22222222222223</v>
      </c>
      <c r="S35" s="3">
        <f t="shared" si="20"/>
        <v>185.55555555555554</v>
      </c>
      <c r="T35" s="3">
        <f t="shared" si="20"/>
        <v>274.44444444444446</v>
      </c>
      <c r="U35" s="3">
        <f t="shared" si="20"/>
        <v>277.22222222222223</v>
      </c>
      <c r="V35" s="3">
        <f t="shared" si="20"/>
        <v>408.88888888888891</v>
      </c>
      <c r="W35" s="3">
        <f t="shared" si="20"/>
        <v>347.77777777777777</v>
      </c>
      <c r="X35" s="3">
        <f t="shared" si="20"/>
        <v>506.66666666666669</v>
      </c>
      <c r="Y35" s="3">
        <f t="shared" si="20"/>
        <v>5.8157894736842106</v>
      </c>
      <c r="Z35" s="3">
        <f t="shared" si="20"/>
        <v>11.684210526315789</v>
      </c>
      <c r="AA35" s="3">
        <f t="shared" si="20"/>
        <v>17.578947368421051</v>
      </c>
      <c r="AB35" s="3">
        <f t="shared" si="20"/>
        <v>22.105263157894736</v>
      </c>
      <c r="AC35" s="3">
        <f t="shared" si="20"/>
        <v>25.61578947368421</v>
      </c>
      <c r="AD35" s="3">
        <f t="shared" si="20"/>
        <v>30.231578947368423</v>
      </c>
      <c r="AE35" s="3">
        <f t="shared" si="20"/>
        <v>34.531578947368423</v>
      </c>
      <c r="AF35" s="3">
        <f t="shared" si="20"/>
        <v>39.136842105263163</v>
      </c>
      <c r="AG35" s="3">
        <f t="shared" si="20"/>
        <v>32.60526315789474</v>
      </c>
      <c r="AH35" s="3">
        <f t="shared" si="20"/>
        <v>60.473684210526315</v>
      </c>
      <c r="AI35" s="3">
        <f t="shared" si="20"/>
        <v>83.05263157894737</v>
      </c>
      <c r="AJ35" s="3">
        <f t="shared" si="20"/>
        <v>103.35263157894737</v>
      </c>
      <c r="AK35" s="3">
        <f t="shared" si="20"/>
        <v>101.26315789473684</v>
      </c>
      <c r="AL35" s="3">
        <f t="shared" si="20"/>
        <v>152.10526315789474</v>
      </c>
      <c r="AM35" s="3">
        <f t="shared" si="20"/>
        <v>185.63157894736841</v>
      </c>
      <c r="AN35" s="3">
        <f t="shared" si="20"/>
        <v>273.15789473684208</v>
      </c>
      <c r="AO35" s="3">
        <f t="shared" si="20"/>
        <v>278.15789473684208</v>
      </c>
      <c r="AP35" s="3">
        <f t="shared" si="20"/>
        <v>403.68421052631578</v>
      </c>
      <c r="AQ35" s="3">
        <f t="shared" si="20"/>
        <v>351.05263157894734</v>
      </c>
      <c r="AR35" s="3">
        <f t="shared" si="20"/>
        <v>500.94736842105266</v>
      </c>
      <c r="AS35" s="3">
        <f t="shared" si="20"/>
        <v>5.8137931034482753</v>
      </c>
      <c r="AT35" s="3">
        <f t="shared" si="20"/>
        <v>11.662068965517241</v>
      </c>
      <c r="AU35" s="3">
        <f t="shared" si="20"/>
        <v>17.617241379310343</v>
      </c>
      <c r="AV35" s="3">
        <f t="shared" si="20"/>
        <v>22.189655172413794</v>
      </c>
      <c r="AW35" s="3">
        <f t="shared" si="20"/>
        <v>25.741379310344829</v>
      </c>
      <c r="AX35" s="3">
        <f t="shared" si="20"/>
        <v>30.344827586206897</v>
      </c>
      <c r="AY35" s="3">
        <f t="shared" si="20"/>
        <v>34.644827586206901</v>
      </c>
      <c r="AZ35" s="3">
        <f t="shared" si="20"/>
        <v>39.268965517241384</v>
      </c>
      <c r="BA35" s="3">
        <f t="shared" si="20"/>
        <v>32.603448275862071</v>
      </c>
      <c r="BB35" s="3">
        <f t="shared" si="20"/>
        <v>60.551724137931032</v>
      </c>
      <c r="BC35" s="3">
        <f t="shared" si="20"/>
        <v>83</v>
      </c>
      <c r="BD35" s="3">
        <f t="shared" si="20"/>
        <v>103.27586206896552</v>
      </c>
      <c r="BE35" s="3">
        <f t="shared" si="20"/>
        <v>101.37931034482759</v>
      </c>
      <c r="BF35" s="3">
        <f t="shared" si="20"/>
        <v>153</v>
      </c>
      <c r="BG35" s="3">
        <f t="shared" si="20"/>
        <v>186.72413793103448</v>
      </c>
      <c r="BH35" s="3">
        <f t="shared" si="20"/>
        <v>274.13793103448273</v>
      </c>
      <c r="BI35" s="3">
        <f t="shared" si="20"/>
        <v>279.31034482758622</v>
      </c>
      <c r="BJ35" s="3">
        <f t="shared" si="20"/>
        <v>406.0344827586207</v>
      </c>
      <c r="BK35" s="3">
        <f t="shared" si="20"/>
        <v>351.72413793103448</v>
      </c>
      <c r="BL35" s="3">
        <f t="shared" si="20"/>
        <v>501.55172413793105</v>
      </c>
      <c r="BM35" s="3">
        <f t="shared" si="20"/>
        <v>8.17</v>
      </c>
      <c r="BN35" s="3">
        <f t="shared" si="20"/>
        <v>15.455986394557824</v>
      </c>
      <c r="BO35" s="3">
        <f t="shared" ref="BO35:DL35" si="21">IF($C35&gt;(BO$26*1.5),"--",BO$6+(BO$8-BO$6)/(BO$9-100)*($C35-100))</f>
        <v>23.071428571428573</v>
      </c>
      <c r="BP35" s="3">
        <f t="shared" si="21"/>
        <v>31.142857142857142</v>
      </c>
      <c r="BQ35" s="3">
        <f t="shared" si="21"/>
        <v>37.214285714285715</v>
      </c>
      <c r="BR35" s="3">
        <f t="shared" si="21"/>
        <v>42.214285714285715</v>
      </c>
      <c r="BS35" s="3">
        <f t="shared" si="21"/>
        <v>48.264285714285712</v>
      </c>
      <c r="BT35" s="3">
        <f t="shared" si="21"/>
        <v>54.357142857142854</v>
      </c>
      <c r="BU35" s="3">
        <f t="shared" si="21"/>
        <v>45.255555555555553</v>
      </c>
      <c r="BV35" s="3">
        <f t="shared" si="21"/>
        <v>89.222222222222229</v>
      </c>
      <c r="BW35" s="3">
        <f t="shared" si="21"/>
        <v>130.66666666666666</v>
      </c>
      <c r="BX35" s="3">
        <f t="shared" si="21"/>
        <v>164</v>
      </c>
      <c r="BY35" s="3">
        <f t="shared" si="21"/>
        <v>145.22222222222223</v>
      </c>
      <c r="BZ35" s="3">
        <f t="shared" si="21"/>
        <v>312.22222222222223</v>
      </c>
      <c r="CA35" s="3">
        <f t="shared" si="21"/>
        <v>445</v>
      </c>
      <c r="CB35" s="3">
        <f t="shared" si="21"/>
        <v>585.55555555555554</v>
      </c>
      <c r="CC35" s="3">
        <f t="shared" si="21"/>
        <v>313.57142857142856</v>
      </c>
      <c r="CD35" s="3">
        <f t="shared" si="21"/>
        <v>444.78571428571428</v>
      </c>
      <c r="CE35" s="3">
        <f t="shared" si="21"/>
        <v>475</v>
      </c>
      <c r="CF35" s="3">
        <f t="shared" si="21"/>
        <v>524.28571428571433</v>
      </c>
      <c r="CG35" s="3">
        <f t="shared" si="21"/>
        <v>8.178947368421051</v>
      </c>
      <c r="CH35" s="3">
        <f t="shared" si="21"/>
        <v>15.473684210526317</v>
      </c>
      <c r="CI35" s="3">
        <f t="shared" si="21"/>
        <v>23.078947368421051</v>
      </c>
      <c r="CJ35" s="3">
        <f t="shared" si="21"/>
        <v>31.157894736842106</v>
      </c>
      <c r="CK35" s="3">
        <f t="shared" si="21"/>
        <v>37.236842105263158</v>
      </c>
      <c r="CL35" s="3">
        <f t="shared" si="21"/>
        <v>42.236842105263158</v>
      </c>
      <c r="CM35" s="3">
        <f t="shared" si="21"/>
        <v>48.315789473684212</v>
      </c>
      <c r="CN35" s="3">
        <f t="shared" si="21"/>
        <v>54.368421052631582</v>
      </c>
      <c r="CO35" s="3">
        <f t="shared" si="21"/>
        <v>45.157894736842103</v>
      </c>
      <c r="CP35" s="3">
        <f t="shared" si="21"/>
        <v>89.21052631578948</v>
      </c>
      <c r="CQ35" s="3">
        <f t="shared" si="21"/>
        <v>130.63157894736841</v>
      </c>
      <c r="CR35" s="3">
        <f t="shared" si="21"/>
        <v>164</v>
      </c>
      <c r="CS35" s="3">
        <f t="shared" si="21"/>
        <v>146.05263157894737</v>
      </c>
      <c r="CT35" s="3">
        <f t="shared" si="21"/>
        <v>312.63157894736844</v>
      </c>
      <c r="CU35" s="3">
        <f t="shared" si="21"/>
        <v>444.73684210526318</v>
      </c>
      <c r="CV35" s="3">
        <f t="shared" si="21"/>
        <v>585.78947368421052</v>
      </c>
      <c r="CW35" s="3">
        <f t="shared" si="21"/>
        <v>8.1827586206896541</v>
      </c>
      <c r="CX35" s="3">
        <f t="shared" si="21"/>
        <v>15.496551724137932</v>
      </c>
      <c r="CY35" s="3">
        <f t="shared" si="21"/>
        <v>23.120689655172413</v>
      </c>
      <c r="CZ35" s="3">
        <f t="shared" si="21"/>
        <v>31.241379310344829</v>
      </c>
      <c r="DA35" s="3">
        <f t="shared" si="21"/>
        <v>37.293103448275865</v>
      </c>
      <c r="DB35" s="3">
        <f t="shared" si="21"/>
        <v>42.310344827586206</v>
      </c>
      <c r="DC35" s="3">
        <f t="shared" si="21"/>
        <v>48.413793103448278</v>
      </c>
      <c r="DD35" s="3">
        <f t="shared" si="21"/>
        <v>54.517241379310342</v>
      </c>
      <c r="DE35" s="3">
        <f t="shared" si="21"/>
        <v>45.068965517241381</v>
      </c>
      <c r="DF35" s="3">
        <f t="shared" si="21"/>
        <v>89.310344827586206</v>
      </c>
      <c r="DG35" s="3">
        <f t="shared" si="21"/>
        <v>130.65517241379311</v>
      </c>
      <c r="DH35" s="3">
        <f t="shared" si="21"/>
        <v>163.89655172413794</v>
      </c>
      <c r="DI35" s="3">
        <f t="shared" si="21"/>
        <v>146.03703703703704</v>
      </c>
      <c r="DJ35" s="3">
        <f t="shared" si="21"/>
        <v>302.59259259259261</v>
      </c>
      <c r="DK35" s="3">
        <f t="shared" si="21"/>
        <v>445.18518518518516</v>
      </c>
      <c r="DL35" s="3">
        <f t="shared" si="21"/>
        <v>589.62962962962968</v>
      </c>
    </row>
    <row r="36" spans="2:116" x14ac:dyDescent="0.3">
      <c r="B36" s="12" t="s">
        <v>151</v>
      </c>
      <c r="C36" s="48">
        <f>InjectionMoldingMachine!E48</f>
        <v>7.1295485984720948</v>
      </c>
      <c r="D36" s="12" t="s">
        <v>32</v>
      </c>
      <c r="E36" s="46" t="str">
        <f t="shared" ref="E36:F36" si="22">IFERROR(E35/$C36-1,"--")</f>
        <v>--</v>
      </c>
      <c r="F36" s="46">
        <f t="shared" si="22"/>
        <v>0.64105761233009617</v>
      </c>
      <c r="G36" s="46">
        <f t="shared" ref="G36:BO36" si="23">IFERROR(G35/$C36-1,"--")</f>
        <v>1.464592018517727</v>
      </c>
      <c r="H36" s="46">
        <f t="shared" si="23"/>
        <v>2.1007773566310428</v>
      </c>
      <c r="I36" s="46">
        <f t="shared" si="23"/>
        <v>2.5916920269861996</v>
      </c>
      <c r="J36" s="46">
        <f t="shared" si="23"/>
        <v>3.2328866984704865</v>
      </c>
      <c r="K36" s="46">
        <f t="shared" si="23"/>
        <v>3.8340067029870051</v>
      </c>
      <c r="L36" s="46">
        <f t="shared" si="23"/>
        <v>4.4802107078422635</v>
      </c>
      <c r="M36" s="46">
        <f t="shared" si="23"/>
        <v>3.5740779602932884</v>
      </c>
      <c r="N36" s="46">
        <f t="shared" si="23"/>
        <v>7.4780184340700124</v>
      </c>
      <c r="O36" s="46">
        <f t="shared" si="23"/>
        <v>10.657275346846268</v>
      </c>
      <c r="P36" s="46">
        <f t="shared" si="23"/>
        <v>13.493671220009396</v>
      </c>
      <c r="Q36" s="46">
        <f t="shared" si="23"/>
        <v>13.135225587686584</v>
      </c>
      <c r="R36" s="46">
        <f t="shared" si="23"/>
        <v>20.631414681046284</v>
      </c>
      <c r="S36" s="46">
        <f t="shared" si="23"/>
        <v>25.026269825178161</v>
      </c>
      <c r="T36" s="46">
        <f t="shared" si="23"/>
        <v>37.493943992928187</v>
      </c>
      <c r="U36" s="46">
        <f t="shared" si="23"/>
        <v>37.883558810670372</v>
      </c>
      <c r="V36" s="46">
        <f t="shared" si="23"/>
        <v>56.351301171650093</v>
      </c>
      <c r="W36" s="46">
        <f t="shared" si="23"/>
        <v>47.779775181321952</v>
      </c>
      <c r="X36" s="46">
        <f t="shared" si="23"/>
        <v>70.065742756175112</v>
      </c>
      <c r="Y36" s="46">
        <f t="shared" si="23"/>
        <v>-0.18426960790609248</v>
      </c>
      <c r="Z36" s="46">
        <f t="shared" si="23"/>
        <v>0.63884295968187743</v>
      </c>
      <c r="AA36" s="46">
        <f t="shared" si="23"/>
        <v>1.4656466150168788</v>
      </c>
      <c r="AB36" s="46">
        <f t="shared" si="23"/>
        <v>2.1005137075062548</v>
      </c>
      <c r="AC36" s="46">
        <f t="shared" si="23"/>
        <v>2.5929048129602239</v>
      </c>
      <c r="AD36" s="46">
        <f t="shared" si="23"/>
        <v>3.2403216037895071</v>
      </c>
      <c r="AE36" s="46">
        <f t="shared" si="23"/>
        <v>3.8434453416544141</v>
      </c>
      <c r="AF36" s="46">
        <f t="shared" si="23"/>
        <v>4.4893856973848845</v>
      </c>
      <c r="AG36" s="46">
        <f t="shared" si="23"/>
        <v>3.5732577185717265</v>
      </c>
      <c r="AH36" s="46">
        <f t="shared" si="23"/>
        <v>7.4821196426778247</v>
      </c>
      <c r="AI36" s="46">
        <f t="shared" si="23"/>
        <v>10.649072929630643</v>
      </c>
      <c r="AJ36" s="46">
        <f t="shared" si="23"/>
        <v>13.496378017690553</v>
      </c>
      <c r="AK36" s="46">
        <f t="shared" si="23"/>
        <v>13.20330565057627</v>
      </c>
      <c r="AL36" s="46">
        <f t="shared" si="23"/>
        <v>20.334487177840657</v>
      </c>
      <c r="AM36" s="46">
        <f t="shared" si="23"/>
        <v>25.036932967558474</v>
      </c>
      <c r="AN36" s="46">
        <f t="shared" si="23"/>
        <v>37.313490814184433</v>
      </c>
      <c r="AO36" s="46">
        <f t="shared" si="23"/>
        <v>38.014797486120372</v>
      </c>
      <c r="AP36" s="46">
        <f t="shared" si="23"/>
        <v>55.621286039459463</v>
      </c>
      <c r="AQ36" s="46">
        <f t="shared" si="23"/>
        <v>48.239110545396947</v>
      </c>
      <c r="AR36" s="46">
        <f t="shared" si="23"/>
        <v>69.263546352486983</v>
      </c>
      <c r="AS36" s="46">
        <f t="shared" si="23"/>
        <v>-0.18454962145931564</v>
      </c>
      <c r="AT36" s="46">
        <f t="shared" si="23"/>
        <v>0.63573735481885807</v>
      </c>
      <c r="AU36" s="46">
        <f t="shared" si="23"/>
        <v>1.4710177840832483</v>
      </c>
      <c r="AV36" s="46">
        <f t="shared" si="23"/>
        <v>2.1123506440743207</v>
      </c>
      <c r="AW36" s="46">
        <f t="shared" si="23"/>
        <v>2.6105202110357117</v>
      </c>
      <c r="AX36" s="46">
        <f t="shared" si="23"/>
        <v>3.2562060089905236</v>
      </c>
      <c r="AY36" s="46">
        <f t="shared" si="23"/>
        <v>3.8593297468554315</v>
      </c>
      <c r="AZ36" s="46">
        <f t="shared" si="23"/>
        <v>4.5079175034527372</v>
      </c>
      <c r="BA36" s="46">
        <f t="shared" si="23"/>
        <v>3.5730031607960688</v>
      </c>
      <c r="BB36" s="46">
        <f t="shared" si="23"/>
        <v>7.4930656270310898</v>
      </c>
      <c r="BC36" s="46">
        <f t="shared" si="23"/>
        <v>10.641690754136579</v>
      </c>
      <c r="BD36" s="46">
        <f t="shared" si="23"/>
        <v>13.485610223780249</v>
      </c>
      <c r="BE36" s="46">
        <f t="shared" si="23"/>
        <v>13.219597348218342</v>
      </c>
      <c r="BF36" s="46">
        <f t="shared" si="23"/>
        <v>20.459984161239721</v>
      </c>
      <c r="BG36" s="46">
        <f t="shared" si="23"/>
        <v>25.190176748504189</v>
      </c>
      <c r="BH36" s="46">
        <f t="shared" si="23"/>
        <v>37.450952013039384</v>
      </c>
      <c r="BI36" s="46">
        <f t="shared" si="23"/>
        <v>38.176441673662779</v>
      </c>
      <c r="BJ36" s="46">
        <f t="shared" si="23"/>
        <v>55.950938358935701</v>
      </c>
      <c r="BK36" s="46">
        <f t="shared" si="23"/>
        <v>48.333296922390161</v>
      </c>
      <c r="BL36" s="46">
        <f t="shared" si="23"/>
        <v>69.348314091780878</v>
      </c>
      <c r="BM36" s="46">
        <f t="shared" si="23"/>
        <v>0.14593510194332371</v>
      </c>
      <c r="BN36" s="46">
        <f t="shared" si="23"/>
        <v>1.1678772759708989</v>
      </c>
      <c r="BO36" s="46">
        <f t="shared" si="23"/>
        <v>2.2360293576472596</v>
      </c>
      <c r="BP36" s="46">
        <f t="shared" ref="BP36:DL36" si="24">IFERROR(BP35/$C36-1,"--")</f>
        <v>3.3681386994867033</v>
      </c>
      <c r="BQ36" s="46">
        <f t="shared" si="24"/>
        <v>4.2197253725517712</v>
      </c>
      <c r="BR36" s="46">
        <f t="shared" si="24"/>
        <v>4.9210320444877098</v>
      </c>
      <c r="BS36" s="46">
        <f t="shared" si="24"/>
        <v>5.769613117530195</v>
      </c>
      <c r="BT36" s="46">
        <f t="shared" si="24"/>
        <v>6.6242053906178464</v>
      </c>
      <c r="BU36" s="46">
        <f t="shared" si="24"/>
        <v>5.3476046106557282</v>
      </c>
      <c r="BV36" s="46">
        <f t="shared" si="24"/>
        <v>11.514427945879083</v>
      </c>
      <c r="BW36" s="46">
        <f t="shared" si="24"/>
        <v>17.327481026592526</v>
      </c>
      <c r="BX36" s="46">
        <f t="shared" si="24"/>
        <v>22.002858839498785</v>
      </c>
      <c r="BY36" s="46">
        <f t="shared" si="24"/>
        <v>19.369062671561593</v>
      </c>
      <c r="BZ36" s="46">
        <f t="shared" si="24"/>
        <v>42.792705514221943</v>
      </c>
      <c r="CA36" s="46">
        <f t="shared" si="24"/>
        <v>61.416293802298533</v>
      </c>
      <c r="CB36" s="46">
        <f t="shared" si="24"/>
        <v>81.130803580053254</v>
      </c>
      <c r="CC36" s="46">
        <f t="shared" si="24"/>
        <v>42.981946997125291</v>
      </c>
      <c r="CD36" s="46">
        <f t="shared" si="24"/>
        <v>61.386237802072706</v>
      </c>
      <c r="CE36" s="46">
        <f t="shared" si="24"/>
        <v>65.624133833914158</v>
      </c>
      <c r="CF36" s="46">
        <f t="shared" si="24"/>
        <v>72.537013885854137</v>
      </c>
      <c r="CG36" s="46">
        <f t="shared" si="24"/>
        <v>0.14719007177731402</v>
      </c>
      <c r="CH36" s="46">
        <f t="shared" si="24"/>
        <v>1.1703595952543786</v>
      </c>
      <c r="CI36" s="46">
        <f t="shared" si="24"/>
        <v>2.2370839541464109</v>
      </c>
      <c r="CJ36" s="46">
        <f t="shared" si="24"/>
        <v>3.3702478924850068</v>
      </c>
      <c r="CK36" s="46">
        <f t="shared" si="24"/>
        <v>4.2228891620492268</v>
      </c>
      <c r="CL36" s="46">
        <f t="shared" si="24"/>
        <v>4.9241958339851655</v>
      </c>
      <c r="CM36" s="46">
        <f t="shared" si="24"/>
        <v>5.7768371035493855</v>
      </c>
      <c r="CN36" s="46">
        <f t="shared" si="24"/>
        <v>6.6257872853665747</v>
      </c>
      <c r="CO36" s="46">
        <f t="shared" si="24"/>
        <v>5.3339065739056339</v>
      </c>
      <c r="CP36" s="46">
        <f t="shared" si="24"/>
        <v>11.512787462435957</v>
      </c>
      <c r="CQ36" s="46">
        <f t="shared" si="24"/>
        <v>17.322559576263153</v>
      </c>
      <c r="CR36" s="46">
        <f t="shared" si="24"/>
        <v>22.002858839498785</v>
      </c>
      <c r="CS36" s="46">
        <f t="shared" si="24"/>
        <v>19.48553699602347</v>
      </c>
      <c r="CT36" s="46">
        <f t="shared" si="24"/>
        <v>42.850122434731318</v>
      </c>
      <c r="CU36" s="46">
        <f t="shared" si="24"/>
        <v>61.379382924828221</v>
      </c>
      <c r="CV36" s="46">
        <f t="shared" si="24"/>
        <v>81.163613248915752</v>
      </c>
      <c r="CW36" s="46">
        <f t="shared" si="24"/>
        <v>0.14772464310619449</v>
      </c>
      <c r="CX36" s="46">
        <f t="shared" si="24"/>
        <v>1.1735670232276609</v>
      </c>
      <c r="CY36" s="46">
        <f t="shared" si="24"/>
        <v>2.2429387829865295</v>
      </c>
      <c r="CZ36" s="46">
        <f t="shared" si="24"/>
        <v>3.3819575501652439</v>
      </c>
      <c r="DA36" s="46">
        <f t="shared" si="24"/>
        <v>4.2307804530946047</v>
      </c>
      <c r="DB36" s="46">
        <f t="shared" si="24"/>
        <v>4.9345054238992869</v>
      </c>
      <c r="DC36" s="46">
        <f t="shared" si="24"/>
        <v>5.7905832234348811</v>
      </c>
      <c r="DD36" s="46">
        <f t="shared" si="24"/>
        <v>6.6466610229704743</v>
      </c>
      <c r="DE36" s="46">
        <f t="shared" si="24"/>
        <v>5.3214332428984257</v>
      </c>
      <c r="DF36" s="46">
        <f t="shared" si="24"/>
        <v>11.526788140097109</v>
      </c>
      <c r="DG36" s="46">
        <f t="shared" si="24"/>
        <v>17.325868827346699</v>
      </c>
      <c r="DH36" s="46">
        <f t="shared" si="24"/>
        <v>21.988349046286316</v>
      </c>
      <c r="DI36" s="46">
        <f t="shared" si="24"/>
        <v>19.483349684765969</v>
      </c>
      <c r="DJ36" s="46">
        <f t="shared" si="24"/>
        <v>41.442040812715689</v>
      </c>
      <c r="DK36" s="46">
        <f t="shared" si="24"/>
        <v>61.442268123481341</v>
      </c>
      <c r="DL36" s="46">
        <f t="shared" si="24"/>
        <v>81.702238646075131</v>
      </c>
    </row>
    <row r="37" spans="2:116" x14ac:dyDescent="0.3">
      <c r="B37" s="12" t="s">
        <v>154</v>
      </c>
      <c r="C37" s="48">
        <f>InjectionMoldingMachine!E49</f>
        <v>0</v>
      </c>
      <c r="D37" s="12" t="s">
        <v>34</v>
      </c>
      <c r="E37" s="3" t="e">
        <f t="shared" ref="E37" si="25">IF($C37&gt;(E$26*1.5),"--",E$5+(E$7-E$5)/(E$8-100)*($C37-100))</f>
        <v>#VALUE!</v>
      </c>
      <c r="F37" s="3">
        <f t="shared" ref="F37:BN37" si="26">IF($C37&gt;(F$26*1.5),"--",F$6+(F$8-F$6)/(F$9-100)*($C37-100))</f>
        <v>11.7</v>
      </c>
      <c r="G37" s="3">
        <f t="shared" si="26"/>
        <v>17.571428571428573</v>
      </c>
      <c r="H37" s="3">
        <f t="shared" si="26"/>
        <v>22.107142857142858</v>
      </c>
      <c r="I37" s="3">
        <f t="shared" si="26"/>
        <v>25.607142857142858</v>
      </c>
      <c r="J37" s="3">
        <f t="shared" si="26"/>
        <v>30.178571428571427</v>
      </c>
      <c r="K37" s="3">
        <f t="shared" si="26"/>
        <v>34.464285714285715</v>
      </c>
      <c r="L37" s="3">
        <f t="shared" si="26"/>
        <v>39.071428571428577</v>
      </c>
      <c r="M37" s="3">
        <f t="shared" si="26"/>
        <v>32.611111111111114</v>
      </c>
      <c r="N37" s="3">
        <f t="shared" si="26"/>
        <v>60.444444444444443</v>
      </c>
      <c r="O37" s="3">
        <f t="shared" si="26"/>
        <v>83.111111111111114</v>
      </c>
      <c r="P37" s="3">
        <f t="shared" si="26"/>
        <v>103.33333333333333</v>
      </c>
      <c r="Q37" s="3">
        <f t="shared" si="26"/>
        <v>100.77777777777777</v>
      </c>
      <c r="R37" s="3">
        <f t="shared" si="26"/>
        <v>154.22222222222223</v>
      </c>
      <c r="S37" s="3">
        <f t="shared" si="26"/>
        <v>185.55555555555554</v>
      </c>
      <c r="T37" s="3">
        <f t="shared" si="26"/>
        <v>274.44444444444446</v>
      </c>
      <c r="U37" s="3">
        <f t="shared" si="26"/>
        <v>277.22222222222223</v>
      </c>
      <c r="V37" s="3">
        <f t="shared" si="26"/>
        <v>408.88888888888891</v>
      </c>
      <c r="W37" s="3">
        <f t="shared" si="26"/>
        <v>347.77777777777777</v>
      </c>
      <c r="X37" s="3">
        <f t="shared" si="26"/>
        <v>506.66666666666669</v>
      </c>
      <c r="Y37" s="3">
        <f t="shared" si="26"/>
        <v>5.8157894736842106</v>
      </c>
      <c r="Z37" s="3">
        <f t="shared" si="26"/>
        <v>11.684210526315789</v>
      </c>
      <c r="AA37" s="3">
        <f t="shared" si="26"/>
        <v>17.578947368421051</v>
      </c>
      <c r="AB37" s="3">
        <f t="shared" si="26"/>
        <v>22.105263157894736</v>
      </c>
      <c r="AC37" s="3">
        <f t="shared" si="26"/>
        <v>25.61578947368421</v>
      </c>
      <c r="AD37" s="3">
        <f t="shared" si="26"/>
        <v>30.231578947368423</v>
      </c>
      <c r="AE37" s="3">
        <f t="shared" si="26"/>
        <v>34.531578947368423</v>
      </c>
      <c r="AF37" s="3">
        <f t="shared" si="26"/>
        <v>39.136842105263163</v>
      </c>
      <c r="AG37" s="3">
        <f t="shared" si="26"/>
        <v>32.60526315789474</v>
      </c>
      <c r="AH37" s="3">
        <f t="shared" si="26"/>
        <v>60.473684210526315</v>
      </c>
      <c r="AI37" s="3">
        <f t="shared" si="26"/>
        <v>83.05263157894737</v>
      </c>
      <c r="AJ37" s="3">
        <f t="shared" si="26"/>
        <v>103.35263157894737</v>
      </c>
      <c r="AK37" s="3">
        <f t="shared" si="26"/>
        <v>101.26315789473684</v>
      </c>
      <c r="AL37" s="3">
        <f t="shared" si="26"/>
        <v>152.10526315789474</v>
      </c>
      <c r="AM37" s="3">
        <f t="shared" si="26"/>
        <v>185.63157894736841</v>
      </c>
      <c r="AN37" s="3">
        <f t="shared" si="26"/>
        <v>273.15789473684208</v>
      </c>
      <c r="AO37" s="3">
        <f t="shared" si="26"/>
        <v>278.15789473684208</v>
      </c>
      <c r="AP37" s="3">
        <f t="shared" si="26"/>
        <v>403.68421052631578</v>
      </c>
      <c r="AQ37" s="3">
        <f t="shared" si="26"/>
        <v>351.05263157894734</v>
      </c>
      <c r="AR37" s="3">
        <f t="shared" si="26"/>
        <v>500.94736842105266</v>
      </c>
      <c r="AS37" s="3">
        <f t="shared" si="26"/>
        <v>5.8137931034482753</v>
      </c>
      <c r="AT37" s="3">
        <f t="shared" si="26"/>
        <v>11.662068965517241</v>
      </c>
      <c r="AU37" s="3">
        <f t="shared" si="26"/>
        <v>17.617241379310343</v>
      </c>
      <c r="AV37" s="3">
        <f t="shared" si="26"/>
        <v>22.189655172413794</v>
      </c>
      <c r="AW37" s="3">
        <f t="shared" si="26"/>
        <v>25.741379310344829</v>
      </c>
      <c r="AX37" s="3">
        <f t="shared" si="26"/>
        <v>30.344827586206897</v>
      </c>
      <c r="AY37" s="3">
        <f t="shared" si="26"/>
        <v>34.644827586206901</v>
      </c>
      <c r="AZ37" s="3">
        <f t="shared" si="26"/>
        <v>39.268965517241384</v>
      </c>
      <c r="BA37" s="3">
        <f t="shared" si="26"/>
        <v>32.603448275862071</v>
      </c>
      <c r="BB37" s="3">
        <f t="shared" si="26"/>
        <v>60.551724137931032</v>
      </c>
      <c r="BC37" s="3">
        <f t="shared" si="26"/>
        <v>83</v>
      </c>
      <c r="BD37" s="3">
        <f t="shared" si="26"/>
        <v>103.27586206896552</v>
      </c>
      <c r="BE37" s="3">
        <f t="shared" si="26"/>
        <v>101.37931034482759</v>
      </c>
      <c r="BF37" s="3">
        <f t="shared" si="26"/>
        <v>153</v>
      </c>
      <c r="BG37" s="3">
        <f t="shared" si="26"/>
        <v>186.72413793103448</v>
      </c>
      <c r="BH37" s="3">
        <f t="shared" si="26"/>
        <v>274.13793103448273</v>
      </c>
      <c r="BI37" s="3">
        <f t="shared" si="26"/>
        <v>279.31034482758622</v>
      </c>
      <c r="BJ37" s="3">
        <f t="shared" si="26"/>
        <v>406.0344827586207</v>
      </c>
      <c r="BK37" s="3">
        <f t="shared" si="26"/>
        <v>351.72413793103448</v>
      </c>
      <c r="BL37" s="3">
        <f t="shared" si="26"/>
        <v>501.55172413793105</v>
      </c>
      <c r="BM37" s="3">
        <f t="shared" si="26"/>
        <v>8.17</v>
      </c>
      <c r="BN37" s="3">
        <f t="shared" si="26"/>
        <v>15.455986394557824</v>
      </c>
      <c r="BO37" s="3">
        <f t="shared" ref="BO37:DL37" si="27">IF($C37&gt;(BO$26*1.5),"--",BO$6+(BO$8-BO$6)/(BO$9-100)*($C37-100))</f>
        <v>23.071428571428573</v>
      </c>
      <c r="BP37" s="3">
        <f t="shared" si="27"/>
        <v>31.142857142857142</v>
      </c>
      <c r="BQ37" s="3">
        <f t="shared" si="27"/>
        <v>37.214285714285715</v>
      </c>
      <c r="BR37" s="3">
        <f t="shared" si="27"/>
        <v>42.214285714285715</v>
      </c>
      <c r="BS37" s="3">
        <f t="shared" si="27"/>
        <v>48.264285714285712</v>
      </c>
      <c r="BT37" s="3">
        <f t="shared" si="27"/>
        <v>54.357142857142854</v>
      </c>
      <c r="BU37" s="3">
        <f t="shared" si="27"/>
        <v>45.255555555555553</v>
      </c>
      <c r="BV37" s="3">
        <f t="shared" si="27"/>
        <v>89.222222222222229</v>
      </c>
      <c r="BW37" s="3">
        <f t="shared" si="27"/>
        <v>130.66666666666666</v>
      </c>
      <c r="BX37" s="3">
        <f t="shared" si="27"/>
        <v>164</v>
      </c>
      <c r="BY37" s="3">
        <f t="shared" si="27"/>
        <v>145.22222222222223</v>
      </c>
      <c r="BZ37" s="3">
        <f t="shared" si="27"/>
        <v>312.22222222222223</v>
      </c>
      <c r="CA37" s="3">
        <f t="shared" si="27"/>
        <v>445</v>
      </c>
      <c r="CB37" s="3">
        <f t="shared" si="27"/>
        <v>585.55555555555554</v>
      </c>
      <c r="CC37" s="3">
        <f t="shared" si="27"/>
        <v>313.57142857142856</v>
      </c>
      <c r="CD37" s="3">
        <f t="shared" si="27"/>
        <v>444.78571428571428</v>
      </c>
      <c r="CE37" s="3">
        <f t="shared" si="27"/>
        <v>475</v>
      </c>
      <c r="CF37" s="3">
        <f t="shared" si="27"/>
        <v>524.28571428571433</v>
      </c>
      <c r="CG37" s="3">
        <f t="shared" si="27"/>
        <v>8.178947368421051</v>
      </c>
      <c r="CH37" s="3">
        <f t="shared" si="27"/>
        <v>15.473684210526317</v>
      </c>
      <c r="CI37" s="3">
        <f t="shared" si="27"/>
        <v>23.078947368421051</v>
      </c>
      <c r="CJ37" s="3">
        <f t="shared" si="27"/>
        <v>31.157894736842106</v>
      </c>
      <c r="CK37" s="3">
        <f t="shared" si="27"/>
        <v>37.236842105263158</v>
      </c>
      <c r="CL37" s="3">
        <f t="shared" si="27"/>
        <v>42.236842105263158</v>
      </c>
      <c r="CM37" s="3">
        <f t="shared" si="27"/>
        <v>48.315789473684212</v>
      </c>
      <c r="CN37" s="3">
        <f t="shared" si="27"/>
        <v>54.368421052631582</v>
      </c>
      <c r="CO37" s="3">
        <f t="shared" si="27"/>
        <v>45.157894736842103</v>
      </c>
      <c r="CP37" s="3">
        <f t="shared" si="27"/>
        <v>89.21052631578948</v>
      </c>
      <c r="CQ37" s="3">
        <f t="shared" si="27"/>
        <v>130.63157894736841</v>
      </c>
      <c r="CR37" s="3">
        <f t="shared" si="27"/>
        <v>164</v>
      </c>
      <c r="CS37" s="3">
        <f t="shared" si="27"/>
        <v>146.05263157894737</v>
      </c>
      <c r="CT37" s="3">
        <f t="shared" si="27"/>
        <v>312.63157894736844</v>
      </c>
      <c r="CU37" s="3">
        <f t="shared" si="27"/>
        <v>444.73684210526318</v>
      </c>
      <c r="CV37" s="3">
        <f t="shared" si="27"/>
        <v>585.78947368421052</v>
      </c>
      <c r="CW37" s="3">
        <f t="shared" si="27"/>
        <v>8.1827586206896541</v>
      </c>
      <c r="CX37" s="3">
        <f t="shared" si="27"/>
        <v>15.496551724137932</v>
      </c>
      <c r="CY37" s="3">
        <f t="shared" si="27"/>
        <v>23.120689655172413</v>
      </c>
      <c r="CZ37" s="3">
        <f t="shared" si="27"/>
        <v>31.241379310344829</v>
      </c>
      <c r="DA37" s="3">
        <f t="shared" si="27"/>
        <v>37.293103448275865</v>
      </c>
      <c r="DB37" s="3">
        <f t="shared" si="27"/>
        <v>42.310344827586206</v>
      </c>
      <c r="DC37" s="3">
        <f t="shared" si="27"/>
        <v>48.413793103448278</v>
      </c>
      <c r="DD37" s="3">
        <f t="shared" si="27"/>
        <v>54.517241379310342</v>
      </c>
      <c r="DE37" s="3">
        <f t="shared" si="27"/>
        <v>45.068965517241381</v>
      </c>
      <c r="DF37" s="3">
        <f t="shared" si="27"/>
        <v>89.310344827586206</v>
      </c>
      <c r="DG37" s="3">
        <f t="shared" si="27"/>
        <v>130.65517241379311</v>
      </c>
      <c r="DH37" s="3">
        <f t="shared" si="27"/>
        <v>163.89655172413794</v>
      </c>
      <c r="DI37" s="3">
        <f t="shared" si="27"/>
        <v>146.03703703703704</v>
      </c>
      <c r="DJ37" s="3">
        <f t="shared" si="27"/>
        <v>302.59259259259261</v>
      </c>
      <c r="DK37" s="3">
        <f t="shared" si="27"/>
        <v>445.18518518518516</v>
      </c>
      <c r="DL37" s="3">
        <f t="shared" si="27"/>
        <v>589.62962962962968</v>
      </c>
    </row>
    <row r="38" spans="2:116" x14ac:dyDescent="0.3">
      <c r="B38" s="12" t="s">
        <v>149</v>
      </c>
      <c r="C38" s="48">
        <f>InjectionMoldingMachine!E50</f>
        <v>7.0720264826611965</v>
      </c>
      <c r="D38" s="12" t="s">
        <v>32</v>
      </c>
      <c r="E38" s="46" t="str">
        <f t="shared" ref="E38:F38" si="28">IFERROR(E37/$C38-1,"--")</f>
        <v>--</v>
      </c>
      <c r="F38" s="46">
        <f t="shared" si="28"/>
        <v>0.6544055694199411</v>
      </c>
      <c r="G38" s="46">
        <f t="shared" ref="G38:BO38" si="29">IFERROR(G37/$C38-1,"--")</f>
        <v>1.4846384009603515</v>
      </c>
      <c r="H38" s="46">
        <f t="shared" si="29"/>
        <v>2.1259983134033686</v>
      </c>
      <c r="I38" s="46">
        <f t="shared" si="29"/>
        <v>2.6209059623751458</v>
      </c>
      <c r="J38" s="46">
        <f t="shared" si="29"/>
        <v>3.2673159528688958</v>
      </c>
      <c r="K38" s="46">
        <f t="shared" si="29"/>
        <v>3.8733253189567867</v>
      </c>
      <c r="L38" s="46">
        <f t="shared" si="29"/>
        <v>4.5247853875012689</v>
      </c>
      <c r="M38" s="46">
        <f t="shared" si="29"/>
        <v>3.6112823801021152</v>
      </c>
      <c r="N38" s="46">
        <f t="shared" si="29"/>
        <v>7.5469765409729153</v>
      </c>
      <c r="O38" s="46">
        <f t="shared" si="29"/>
        <v>10.752092743837759</v>
      </c>
      <c r="P38" s="46">
        <f t="shared" si="29"/>
        <v>13.611559160119137</v>
      </c>
      <c r="Q38" s="46">
        <f t="shared" si="29"/>
        <v>13.250198019600061</v>
      </c>
      <c r="R38" s="46">
        <f t="shared" si="29"/>
        <v>20.807359262629426</v>
      </c>
      <c r="S38" s="46">
        <f t="shared" si="29"/>
        <v>25.237961072472</v>
      </c>
      <c r="T38" s="46">
        <f t="shared" si="29"/>
        <v>37.807044220961586</v>
      </c>
      <c r="U38" s="46">
        <f t="shared" si="29"/>
        <v>38.199828069351881</v>
      </c>
      <c r="V38" s="46">
        <f t="shared" si="29"/>
        <v>56.817782483052078</v>
      </c>
      <c r="W38" s="46">
        <f t="shared" si="29"/>
        <v>48.176537818465484</v>
      </c>
      <c r="X38" s="46">
        <f t="shared" si="29"/>
        <v>70.64377394639061</v>
      </c>
      <c r="Y38" s="46">
        <f t="shared" si="29"/>
        <v>-0.17763465847546789</v>
      </c>
      <c r="Z38" s="46">
        <f t="shared" si="29"/>
        <v>0.65217290333435418</v>
      </c>
      <c r="AA38" s="46">
        <f t="shared" si="29"/>
        <v>1.485701575286821</v>
      </c>
      <c r="AB38" s="46">
        <f t="shared" si="29"/>
        <v>2.1257325198217512</v>
      </c>
      <c r="AC38" s="46">
        <f t="shared" si="29"/>
        <v>2.6221286128505863</v>
      </c>
      <c r="AD38" s="46">
        <f t="shared" si="29"/>
        <v>3.2748113318705094</v>
      </c>
      <c r="AE38" s="46">
        <f t="shared" si="29"/>
        <v>3.8828407291786933</v>
      </c>
      <c r="AF38" s="46">
        <f t="shared" si="29"/>
        <v>4.5340350041415585</v>
      </c>
      <c r="AG38" s="46">
        <f t="shared" si="29"/>
        <v>3.6104554667370836</v>
      </c>
      <c r="AH38" s="46">
        <f t="shared" si="29"/>
        <v>7.5511111077980768</v>
      </c>
      <c r="AI38" s="46">
        <f t="shared" si="29"/>
        <v>10.743823610187436</v>
      </c>
      <c r="AJ38" s="46">
        <f t="shared" si="29"/>
        <v>13.614287974223744</v>
      </c>
      <c r="AK38" s="46">
        <f t="shared" si="29"/>
        <v>13.318831828897736</v>
      </c>
      <c r="AL38" s="46">
        <f t="shared" si="29"/>
        <v>20.508016624487762</v>
      </c>
      <c r="AM38" s="46">
        <f t="shared" si="29"/>
        <v>25.248710946217418</v>
      </c>
      <c r="AN38" s="46">
        <f t="shared" si="29"/>
        <v>37.625123280654492</v>
      </c>
      <c r="AO38" s="46">
        <f t="shared" si="29"/>
        <v>38.332134207757029</v>
      </c>
      <c r="AP38" s="46">
        <f t="shared" si="29"/>
        <v>56.081829588173406</v>
      </c>
      <c r="AQ38" s="46">
        <f t="shared" si="29"/>
        <v>48.639609302883521</v>
      </c>
      <c r="AR38" s="46">
        <f t="shared" si="29"/>
        <v>69.835052675389122</v>
      </c>
      <c r="AS38" s="46">
        <f t="shared" si="29"/>
        <v>-0.17791694958973758</v>
      </c>
      <c r="AT38" s="46">
        <f t="shared" si="29"/>
        <v>0.64904203824881823</v>
      </c>
      <c r="AU38" s="46">
        <f t="shared" si="29"/>
        <v>1.4911164321150836</v>
      </c>
      <c r="AV38" s="46">
        <f t="shared" si="29"/>
        <v>2.1376657351067849</v>
      </c>
      <c r="AW38" s="46">
        <f t="shared" si="29"/>
        <v>2.6398872902210022</v>
      </c>
      <c r="AX38" s="46">
        <f t="shared" si="29"/>
        <v>3.2908249368981677</v>
      </c>
      <c r="AY38" s="46">
        <f t="shared" si="29"/>
        <v>3.8988543342063515</v>
      </c>
      <c r="AZ38" s="46">
        <f t="shared" si="29"/>
        <v>4.5527175433404929</v>
      </c>
      <c r="BA38" s="46">
        <f t="shared" si="29"/>
        <v>3.6101988384513835</v>
      </c>
      <c r="BB38" s="46">
        <f t="shared" si="29"/>
        <v>7.56214612408316</v>
      </c>
      <c r="BC38" s="46">
        <f t="shared" si="29"/>
        <v>10.736381389902146</v>
      </c>
      <c r="BD38" s="46">
        <f t="shared" si="29"/>
        <v>13.603432597738649</v>
      </c>
      <c r="BE38" s="46">
        <f t="shared" si="29"/>
        <v>13.335256039182514</v>
      </c>
      <c r="BF38" s="46">
        <f t="shared" si="29"/>
        <v>20.63453436933769</v>
      </c>
      <c r="BG38" s="46">
        <f t="shared" si="29"/>
        <v>25.403201174208608</v>
      </c>
      <c r="BH38" s="46">
        <f t="shared" si="29"/>
        <v>37.763702554932301</v>
      </c>
      <c r="BI38" s="46">
        <f t="shared" si="29"/>
        <v>38.495093169176315</v>
      </c>
      <c r="BJ38" s="46">
        <f t="shared" si="29"/>
        <v>56.414163218154457</v>
      </c>
      <c r="BK38" s="46">
        <f t="shared" si="29"/>
        <v>48.734561768592393</v>
      </c>
      <c r="BL38" s="46">
        <f t="shared" si="29"/>
        <v>69.9205098945271</v>
      </c>
      <c r="BM38" s="46">
        <f t="shared" si="29"/>
        <v>0.15525585488554849</v>
      </c>
      <c r="BN38" s="46">
        <f t="shared" si="29"/>
        <v>1.185510254020111</v>
      </c>
      <c r="BO38" s="46">
        <f t="shared" si="29"/>
        <v>2.262350420773144</v>
      </c>
      <c r="BP38" s="46">
        <f t="shared" ref="BP38:DL38" si="30">IFERROR(BP37/$C38-1,"--")</f>
        <v>3.4036680602386706</v>
      </c>
      <c r="BQ38" s="46">
        <f t="shared" si="30"/>
        <v>4.2621813288631829</v>
      </c>
      <c r="BR38" s="46">
        <f t="shared" si="30"/>
        <v>4.969192255965722</v>
      </c>
      <c r="BS38" s="46">
        <f t="shared" si="30"/>
        <v>5.8246754777597936</v>
      </c>
      <c r="BT38" s="46">
        <f t="shared" si="30"/>
        <v>6.6862187932147439</v>
      </c>
      <c r="BU38" s="46">
        <f t="shared" si="30"/>
        <v>5.3992344579747575</v>
      </c>
      <c r="BV38" s="46">
        <f t="shared" si="30"/>
        <v>11.616217210296417</v>
      </c>
      <c r="BW38" s="46">
        <f t="shared" si="30"/>
        <v>17.476552228279683</v>
      </c>
      <c r="BX38" s="46">
        <f t="shared" si="30"/>
        <v>22.189958408963278</v>
      </c>
      <c r="BY38" s="46">
        <f t="shared" si="30"/>
        <v>19.534739593844854</v>
      </c>
      <c r="BZ38" s="46">
        <f t="shared" si="30"/>
        <v>43.148904559069656</v>
      </c>
      <c r="CA38" s="46">
        <f t="shared" si="30"/>
        <v>61.923972512125964</v>
      </c>
      <c r="CB38" s="46">
        <f t="shared" si="30"/>
        <v>81.798835240675118</v>
      </c>
      <c r="CC38" s="46">
        <f t="shared" si="30"/>
        <v>43.339685285430654</v>
      </c>
      <c r="CD38" s="46">
        <f t="shared" si="30"/>
        <v>61.893672043821567</v>
      </c>
      <c r="CE38" s="46">
        <f t="shared" si="30"/>
        <v>66.166038074741195</v>
      </c>
      <c r="CF38" s="46">
        <f t="shared" si="30"/>
        <v>73.135145784751941</v>
      </c>
      <c r="CG38" s="46">
        <f t="shared" si="30"/>
        <v>0.15652103233404757</v>
      </c>
      <c r="CH38" s="46">
        <f t="shared" si="30"/>
        <v>1.1880127638752258</v>
      </c>
      <c r="CI38" s="46">
        <f t="shared" si="30"/>
        <v>2.2634135950996139</v>
      </c>
      <c r="CJ38" s="46">
        <f t="shared" si="30"/>
        <v>3.4057944088916114</v>
      </c>
      <c r="CK38" s="46">
        <f t="shared" si="30"/>
        <v>4.2653708518425928</v>
      </c>
      <c r="CL38" s="46">
        <f t="shared" si="30"/>
        <v>4.9723817789451319</v>
      </c>
      <c r="CM38" s="46">
        <f t="shared" si="30"/>
        <v>5.8319582218961132</v>
      </c>
      <c r="CN38" s="46">
        <f t="shared" si="30"/>
        <v>6.6878135547044497</v>
      </c>
      <c r="CO38" s="46">
        <f t="shared" si="30"/>
        <v>5.3854250047787193</v>
      </c>
      <c r="CP38" s="46">
        <f t="shared" si="30"/>
        <v>11.614563383566354</v>
      </c>
      <c r="CQ38" s="46">
        <f t="shared" si="30"/>
        <v>17.47159074808949</v>
      </c>
      <c r="CR38" s="46">
        <f t="shared" si="30"/>
        <v>22.189958408963278</v>
      </c>
      <c r="CS38" s="46">
        <f t="shared" si="30"/>
        <v>19.652161291679427</v>
      </c>
      <c r="CT38" s="46">
        <f t="shared" si="30"/>
        <v>43.206788494621911</v>
      </c>
      <c r="CU38" s="46">
        <f t="shared" si="30"/>
        <v>61.886761410699521</v>
      </c>
      <c r="CV38" s="46">
        <f t="shared" si="30"/>
        <v>81.831911775276396</v>
      </c>
      <c r="CW38" s="46">
        <f t="shared" si="30"/>
        <v>0.15705995173401699</v>
      </c>
      <c r="CX38" s="46">
        <f t="shared" si="30"/>
        <v>1.1912462802750414</v>
      </c>
      <c r="CY38" s="46">
        <f t="shared" si="30"/>
        <v>2.2693160456707058</v>
      </c>
      <c r="CZ38" s="46">
        <f t="shared" si="30"/>
        <v>3.4175993100337951</v>
      </c>
      <c r="DA38" s="46">
        <f t="shared" si="30"/>
        <v>4.273326328699282</v>
      </c>
      <c r="DB38" s="46">
        <f t="shared" si="30"/>
        <v>4.9827752245159669</v>
      </c>
      <c r="DC38" s="46">
        <f t="shared" si="30"/>
        <v>5.8458161493238947</v>
      </c>
      <c r="DD38" s="46">
        <f t="shared" si="30"/>
        <v>6.7088570741318208</v>
      </c>
      <c r="DE38" s="46">
        <f t="shared" si="30"/>
        <v>5.3728502187794369</v>
      </c>
      <c r="DF38" s="46">
        <f t="shared" si="30"/>
        <v>11.628677939279834</v>
      </c>
      <c r="DG38" s="46">
        <f t="shared" si="30"/>
        <v>17.474926915803586</v>
      </c>
      <c r="DH38" s="46">
        <f t="shared" si="30"/>
        <v>22.175330596678396</v>
      </c>
      <c r="DI38" s="46">
        <f t="shared" si="30"/>
        <v>19.649956189372674</v>
      </c>
      <c r="DJ38" s="46">
        <f t="shared" si="30"/>
        <v>41.787253884649949</v>
      </c>
      <c r="DK38" s="46">
        <f t="shared" si="30"/>
        <v>61.950158102018648</v>
      </c>
      <c r="DL38" s="46">
        <f t="shared" si="30"/>
        <v>82.374918218314221</v>
      </c>
    </row>
    <row r="39" spans="2:116" x14ac:dyDescent="0.3">
      <c r="B39" s="12" t="s">
        <v>153</v>
      </c>
      <c r="C39" s="48">
        <f>InjectionMoldingMachine!E51</f>
        <v>0</v>
      </c>
      <c r="D39" s="12" t="s">
        <v>34</v>
      </c>
      <c r="E39" s="3" t="e">
        <f t="shared" ref="E39" si="31">IF($C39&gt;(E$26*1.5),"--",E$5+(E$7-E$5)/(E$8-100)*($C39-100))</f>
        <v>#VALUE!</v>
      </c>
      <c r="F39" s="3">
        <f t="shared" ref="F39:BN39" si="32">IF($C39&gt;(F$26*1.5),"--",F$6+(F$8-F$6)/(F$9-100)*($C39-100))</f>
        <v>11.7</v>
      </c>
      <c r="G39" s="3">
        <f t="shared" si="32"/>
        <v>17.571428571428573</v>
      </c>
      <c r="H39" s="3">
        <f t="shared" si="32"/>
        <v>22.107142857142858</v>
      </c>
      <c r="I39" s="3">
        <f t="shared" si="32"/>
        <v>25.607142857142858</v>
      </c>
      <c r="J39" s="3">
        <f t="shared" si="32"/>
        <v>30.178571428571427</v>
      </c>
      <c r="K39" s="3">
        <f t="shared" si="32"/>
        <v>34.464285714285715</v>
      </c>
      <c r="L39" s="3">
        <f t="shared" si="32"/>
        <v>39.071428571428577</v>
      </c>
      <c r="M39" s="3">
        <f t="shared" si="32"/>
        <v>32.611111111111114</v>
      </c>
      <c r="N39" s="3">
        <f t="shared" si="32"/>
        <v>60.444444444444443</v>
      </c>
      <c r="O39" s="3">
        <f t="shared" si="32"/>
        <v>83.111111111111114</v>
      </c>
      <c r="P39" s="3">
        <f t="shared" si="32"/>
        <v>103.33333333333333</v>
      </c>
      <c r="Q39" s="3">
        <f t="shared" si="32"/>
        <v>100.77777777777777</v>
      </c>
      <c r="R39" s="3">
        <f t="shared" si="32"/>
        <v>154.22222222222223</v>
      </c>
      <c r="S39" s="3">
        <f t="shared" si="32"/>
        <v>185.55555555555554</v>
      </c>
      <c r="T39" s="3">
        <f t="shared" si="32"/>
        <v>274.44444444444446</v>
      </c>
      <c r="U39" s="3">
        <f t="shared" si="32"/>
        <v>277.22222222222223</v>
      </c>
      <c r="V39" s="3">
        <f t="shared" si="32"/>
        <v>408.88888888888891</v>
      </c>
      <c r="W39" s="3">
        <f t="shared" si="32"/>
        <v>347.77777777777777</v>
      </c>
      <c r="X39" s="3">
        <f t="shared" si="32"/>
        <v>506.66666666666669</v>
      </c>
      <c r="Y39" s="3">
        <f t="shared" si="32"/>
        <v>5.8157894736842106</v>
      </c>
      <c r="Z39" s="3">
        <f t="shared" si="32"/>
        <v>11.684210526315789</v>
      </c>
      <c r="AA39" s="3">
        <f t="shared" si="32"/>
        <v>17.578947368421051</v>
      </c>
      <c r="AB39" s="3">
        <f t="shared" si="32"/>
        <v>22.105263157894736</v>
      </c>
      <c r="AC39" s="3">
        <f t="shared" si="32"/>
        <v>25.61578947368421</v>
      </c>
      <c r="AD39" s="3">
        <f t="shared" si="32"/>
        <v>30.231578947368423</v>
      </c>
      <c r="AE39" s="3">
        <f t="shared" si="32"/>
        <v>34.531578947368423</v>
      </c>
      <c r="AF39" s="3">
        <f t="shared" si="32"/>
        <v>39.136842105263163</v>
      </c>
      <c r="AG39" s="3">
        <f t="shared" si="32"/>
        <v>32.60526315789474</v>
      </c>
      <c r="AH39" s="3">
        <f t="shared" si="32"/>
        <v>60.473684210526315</v>
      </c>
      <c r="AI39" s="3">
        <f t="shared" si="32"/>
        <v>83.05263157894737</v>
      </c>
      <c r="AJ39" s="3">
        <f t="shared" si="32"/>
        <v>103.35263157894737</v>
      </c>
      <c r="AK39" s="3">
        <f t="shared" si="32"/>
        <v>101.26315789473684</v>
      </c>
      <c r="AL39" s="3">
        <f t="shared" si="32"/>
        <v>152.10526315789474</v>
      </c>
      <c r="AM39" s="3">
        <f t="shared" si="32"/>
        <v>185.63157894736841</v>
      </c>
      <c r="AN39" s="3">
        <f t="shared" si="32"/>
        <v>273.15789473684208</v>
      </c>
      <c r="AO39" s="3">
        <f t="shared" si="32"/>
        <v>278.15789473684208</v>
      </c>
      <c r="AP39" s="3">
        <f t="shared" si="32"/>
        <v>403.68421052631578</v>
      </c>
      <c r="AQ39" s="3">
        <f t="shared" si="32"/>
        <v>351.05263157894734</v>
      </c>
      <c r="AR39" s="3">
        <f t="shared" si="32"/>
        <v>500.94736842105266</v>
      </c>
      <c r="AS39" s="3">
        <f t="shared" si="32"/>
        <v>5.8137931034482753</v>
      </c>
      <c r="AT39" s="3">
        <f t="shared" si="32"/>
        <v>11.662068965517241</v>
      </c>
      <c r="AU39" s="3">
        <f t="shared" si="32"/>
        <v>17.617241379310343</v>
      </c>
      <c r="AV39" s="3">
        <f t="shared" si="32"/>
        <v>22.189655172413794</v>
      </c>
      <c r="AW39" s="3">
        <f t="shared" si="32"/>
        <v>25.741379310344829</v>
      </c>
      <c r="AX39" s="3">
        <f t="shared" si="32"/>
        <v>30.344827586206897</v>
      </c>
      <c r="AY39" s="3">
        <f t="shared" si="32"/>
        <v>34.644827586206901</v>
      </c>
      <c r="AZ39" s="3">
        <f t="shared" si="32"/>
        <v>39.268965517241384</v>
      </c>
      <c r="BA39" s="3">
        <f t="shared" si="32"/>
        <v>32.603448275862071</v>
      </c>
      <c r="BB39" s="3">
        <f t="shared" si="32"/>
        <v>60.551724137931032</v>
      </c>
      <c r="BC39" s="3">
        <f t="shared" si="32"/>
        <v>83</v>
      </c>
      <c r="BD39" s="3">
        <f t="shared" si="32"/>
        <v>103.27586206896552</v>
      </c>
      <c r="BE39" s="3">
        <f t="shared" si="32"/>
        <v>101.37931034482759</v>
      </c>
      <c r="BF39" s="3">
        <f t="shared" si="32"/>
        <v>153</v>
      </c>
      <c r="BG39" s="3">
        <f t="shared" si="32"/>
        <v>186.72413793103448</v>
      </c>
      <c r="BH39" s="3">
        <f t="shared" si="32"/>
        <v>274.13793103448273</v>
      </c>
      <c r="BI39" s="3">
        <f t="shared" si="32"/>
        <v>279.31034482758622</v>
      </c>
      <c r="BJ39" s="3">
        <f t="shared" si="32"/>
        <v>406.0344827586207</v>
      </c>
      <c r="BK39" s="3">
        <f t="shared" si="32"/>
        <v>351.72413793103448</v>
      </c>
      <c r="BL39" s="3">
        <f t="shared" si="32"/>
        <v>501.55172413793105</v>
      </c>
      <c r="BM39" s="3">
        <f t="shared" si="32"/>
        <v>8.17</v>
      </c>
      <c r="BN39" s="3">
        <f t="shared" si="32"/>
        <v>15.455986394557824</v>
      </c>
      <c r="BO39" s="3">
        <f t="shared" ref="BO39:DL39" si="33">IF($C39&gt;(BO$26*1.5),"--",BO$6+(BO$8-BO$6)/(BO$9-100)*($C39-100))</f>
        <v>23.071428571428573</v>
      </c>
      <c r="BP39" s="3">
        <f t="shared" si="33"/>
        <v>31.142857142857142</v>
      </c>
      <c r="BQ39" s="3">
        <f t="shared" si="33"/>
        <v>37.214285714285715</v>
      </c>
      <c r="BR39" s="3">
        <f t="shared" si="33"/>
        <v>42.214285714285715</v>
      </c>
      <c r="BS39" s="3">
        <f t="shared" si="33"/>
        <v>48.264285714285712</v>
      </c>
      <c r="BT39" s="3">
        <f t="shared" si="33"/>
        <v>54.357142857142854</v>
      </c>
      <c r="BU39" s="3">
        <f t="shared" si="33"/>
        <v>45.255555555555553</v>
      </c>
      <c r="BV39" s="3">
        <f t="shared" si="33"/>
        <v>89.222222222222229</v>
      </c>
      <c r="BW39" s="3">
        <f t="shared" si="33"/>
        <v>130.66666666666666</v>
      </c>
      <c r="BX39" s="3">
        <f t="shared" si="33"/>
        <v>164</v>
      </c>
      <c r="BY39" s="3">
        <f t="shared" si="33"/>
        <v>145.22222222222223</v>
      </c>
      <c r="BZ39" s="3">
        <f t="shared" si="33"/>
        <v>312.22222222222223</v>
      </c>
      <c r="CA39" s="3">
        <f t="shared" si="33"/>
        <v>445</v>
      </c>
      <c r="CB39" s="3">
        <f t="shared" si="33"/>
        <v>585.55555555555554</v>
      </c>
      <c r="CC39" s="3">
        <f t="shared" si="33"/>
        <v>313.57142857142856</v>
      </c>
      <c r="CD39" s="3">
        <f t="shared" si="33"/>
        <v>444.78571428571428</v>
      </c>
      <c r="CE39" s="3">
        <f t="shared" si="33"/>
        <v>475</v>
      </c>
      <c r="CF39" s="3">
        <f t="shared" si="33"/>
        <v>524.28571428571433</v>
      </c>
      <c r="CG39" s="3">
        <f t="shared" si="33"/>
        <v>8.178947368421051</v>
      </c>
      <c r="CH39" s="3">
        <f t="shared" si="33"/>
        <v>15.473684210526317</v>
      </c>
      <c r="CI39" s="3">
        <f t="shared" si="33"/>
        <v>23.078947368421051</v>
      </c>
      <c r="CJ39" s="3">
        <f t="shared" si="33"/>
        <v>31.157894736842106</v>
      </c>
      <c r="CK39" s="3">
        <f t="shared" si="33"/>
        <v>37.236842105263158</v>
      </c>
      <c r="CL39" s="3">
        <f t="shared" si="33"/>
        <v>42.236842105263158</v>
      </c>
      <c r="CM39" s="3">
        <f t="shared" si="33"/>
        <v>48.315789473684212</v>
      </c>
      <c r="CN39" s="3">
        <f t="shared" si="33"/>
        <v>54.368421052631582</v>
      </c>
      <c r="CO39" s="3">
        <f t="shared" si="33"/>
        <v>45.157894736842103</v>
      </c>
      <c r="CP39" s="3">
        <f t="shared" si="33"/>
        <v>89.21052631578948</v>
      </c>
      <c r="CQ39" s="3">
        <f t="shared" si="33"/>
        <v>130.63157894736841</v>
      </c>
      <c r="CR39" s="3">
        <f t="shared" si="33"/>
        <v>164</v>
      </c>
      <c r="CS39" s="3">
        <f t="shared" si="33"/>
        <v>146.05263157894737</v>
      </c>
      <c r="CT39" s="3">
        <f t="shared" si="33"/>
        <v>312.63157894736844</v>
      </c>
      <c r="CU39" s="3">
        <f t="shared" si="33"/>
        <v>444.73684210526318</v>
      </c>
      <c r="CV39" s="3">
        <f t="shared" si="33"/>
        <v>585.78947368421052</v>
      </c>
      <c r="CW39" s="3">
        <f t="shared" si="33"/>
        <v>8.1827586206896541</v>
      </c>
      <c r="CX39" s="3">
        <f t="shared" si="33"/>
        <v>15.496551724137932</v>
      </c>
      <c r="CY39" s="3">
        <f t="shared" si="33"/>
        <v>23.120689655172413</v>
      </c>
      <c r="CZ39" s="3">
        <f t="shared" si="33"/>
        <v>31.241379310344829</v>
      </c>
      <c r="DA39" s="3">
        <f t="shared" si="33"/>
        <v>37.293103448275865</v>
      </c>
      <c r="DB39" s="3">
        <f t="shared" si="33"/>
        <v>42.310344827586206</v>
      </c>
      <c r="DC39" s="3">
        <f t="shared" si="33"/>
        <v>48.413793103448278</v>
      </c>
      <c r="DD39" s="3">
        <f t="shared" si="33"/>
        <v>54.517241379310342</v>
      </c>
      <c r="DE39" s="3">
        <f t="shared" si="33"/>
        <v>45.068965517241381</v>
      </c>
      <c r="DF39" s="3">
        <f t="shared" si="33"/>
        <v>89.310344827586206</v>
      </c>
      <c r="DG39" s="3">
        <f t="shared" si="33"/>
        <v>130.65517241379311</v>
      </c>
      <c r="DH39" s="3">
        <f t="shared" si="33"/>
        <v>163.89655172413794</v>
      </c>
      <c r="DI39" s="3">
        <f t="shared" si="33"/>
        <v>146.03703703703704</v>
      </c>
      <c r="DJ39" s="3">
        <f t="shared" si="33"/>
        <v>302.59259259259261</v>
      </c>
      <c r="DK39" s="3">
        <f t="shared" si="33"/>
        <v>445.18518518518516</v>
      </c>
      <c r="DL39" s="3">
        <f t="shared" si="33"/>
        <v>589.62962962962968</v>
      </c>
    </row>
    <row r="40" spans="2:116" x14ac:dyDescent="0.3">
      <c r="B40" s="12" t="s">
        <v>150</v>
      </c>
      <c r="C40" s="48">
        <f>InjectionMoldingMachine!E52</f>
        <v>0</v>
      </c>
      <c r="D40" s="12" t="s">
        <v>32</v>
      </c>
      <c r="E40" s="46" t="str">
        <f t="shared" ref="E40:F40" si="34">IFERROR(E39/$C40-1,"--")</f>
        <v>--</v>
      </c>
      <c r="F40" s="46" t="str">
        <f t="shared" si="34"/>
        <v>--</v>
      </c>
      <c r="G40" s="46" t="str">
        <f t="shared" ref="G40:BO40" si="35">IFERROR(G39/$C40-1,"--")</f>
        <v>--</v>
      </c>
      <c r="H40" s="46" t="str">
        <f t="shared" si="35"/>
        <v>--</v>
      </c>
      <c r="I40" s="46" t="str">
        <f t="shared" si="35"/>
        <v>--</v>
      </c>
      <c r="J40" s="46" t="str">
        <f t="shared" si="35"/>
        <v>--</v>
      </c>
      <c r="K40" s="46" t="str">
        <f t="shared" si="35"/>
        <v>--</v>
      </c>
      <c r="L40" s="46" t="str">
        <f t="shared" si="35"/>
        <v>--</v>
      </c>
      <c r="M40" s="46" t="str">
        <f t="shared" si="35"/>
        <v>--</v>
      </c>
      <c r="N40" s="46" t="str">
        <f t="shared" si="35"/>
        <v>--</v>
      </c>
      <c r="O40" s="46" t="str">
        <f t="shared" si="35"/>
        <v>--</v>
      </c>
      <c r="P40" s="46" t="str">
        <f t="shared" si="35"/>
        <v>--</v>
      </c>
      <c r="Q40" s="46" t="str">
        <f t="shared" si="35"/>
        <v>--</v>
      </c>
      <c r="R40" s="46" t="str">
        <f t="shared" si="35"/>
        <v>--</v>
      </c>
      <c r="S40" s="46" t="str">
        <f t="shared" si="35"/>
        <v>--</v>
      </c>
      <c r="T40" s="46" t="str">
        <f t="shared" si="35"/>
        <v>--</v>
      </c>
      <c r="U40" s="46" t="str">
        <f t="shared" si="35"/>
        <v>--</v>
      </c>
      <c r="V40" s="46" t="str">
        <f t="shared" si="35"/>
        <v>--</v>
      </c>
      <c r="W40" s="46" t="str">
        <f t="shared" si="35"/>
        <v>--</v>
      </c>
      <c r="X40" s="46" t="str">
        <f t="shared" si="35"/>
        <v>--</v>
      </c>
      <c r="Y40" s="46" t="str">
        <f t="shared" si="35"/>
        <v>--</v>
      </c>
      <c r="Z40" s="46" t="str">
        <f t="shared" si="35"/>
        <v>--</v>
      </c>
      <c r="AA40" s="46" t="str">
        <f t="shared" si="35"/>
        <v>--</v>
      </c>
      <c r="AB40" s="46" t="str">
        <f t="shared" si="35"/>
        <v>--</v>
      </c>
      <c r="AC40" s="46" t="str">
        <f t="shared" si="35"/>
        <v>--</v>
      </c>
      <c r="AD40" s="46" t="str">
        <f t="shared" si="35"/>
        <v>--</v>
      </c>
      <c r="AE40" s="46" t="str">
        <f t="shared" si="35"/>
        <v>--</v>
      </c>
      <c r="AF40" s="46" t="str">
        <f t="shared" si="35"/>
        <v>--</v>
      </c>
      <c r="AG40" s="46" t="str">
        <f t="shared" si="35"/>
        <v>--</v>
      </c>
      <c r="AH40" s="46" t="str">
        <f t="shared" si="35"/>
        <v>--</v>
      </c>
      <c r="AI40" s="46" t="str">
        <f t="shared" si="35"/>
        <v>--</v>
      </c>
      <c r="AJ40" s="46" t="str">
        <f t="shared" si="35"/>
        <v>--</v>
      </c>
      <c r="AK40" s="46" t="str">
        <f t="shared" si="35"/>
        <v>--</v>
      </c>
      <c r="AL40" s="46" t="str">
        <f t="shared" si="35"/>
        <v>--</v>
      </c>
      <c r="AM40" s="46" t="str">
        <f t="shared" si="35"/>
        <v>--</v>
      </c>
      <c r="AN40" s="46" t="str">
        <f t="shared" si="35"/>
        <v>--</v>
      </c>
      <c r="AO40" s="46" t="str">
        <f t="shared" si="35"/>
        <v>--</v>
      </c>
      <c r="AP40" s="46" t="str">
        <f t="shared" si="35"/>
        <v>--</v>
      </c>
      <c r="AQ40" s="46" t="str">
        <f t="shared" si="35"/>
        <v>--</v>
      </c>
      <c r="AR40" s="46" t="str">
        <f t="shared" si="35"/>
        <v>--</v>
      </c>
      <c r="AS40" s="46" t="str">
        <f t="shared" si="35"/>
        <v>--</v>
      </c>
      <c r="AT40" s="46" t="str">
        <f t="shared" si="35"/>
        <v>--</v>
      </c>
      <c r="AU40" s="46" t="str">
        <f t="shared" si="35"/>
        <v>--</v>
      </c>
      <c r="AV40" s="46" t="str">
        <f t="shared" si="35"/>
        <v>--</v>
      </c>
      <c r="AW40" s="46" t="str">
        <f t="shared" si="35"/>
        <v>--</v>
      </c>
      <c r="AX40" s="46" t="str">
        <f t="shared" si="35"/>
        <v>--</v>
      </c>
      <c r="AY40" s="46" t="str">
        <f t="shared" si="35"/>
        <v>--</v>
      </c>
      <c r="AZ40" s="46" t="str">
        <f t="shared" si="35"/>
        <v>--</v>
      </c>
      <c r="BA40" s="46" t="str">
        <f t="shared" si="35"/>
        <v>--</v>
      </c>
      <c r="BB40" s="46" t="str">
        <f t="shared" si="35"/>
        <v>--</v>
      </c>
      <c r="BC40" s="46" t="str">
        <f t="shared" si="35"/>
        <v>--</v>
      </c>
      <c r="BD40" s="46" t="str">
        <f t="shared" si="35"/>
        <v>--</v>
      </c>
      <c r="BE40" s="46" t="str">
        <f t="shared" si="35"/>
        <v>--</v>
      </c>
      <c r="BF40" s="46" t="str">
        <f t="shared" si="35"/>
        <v>--</v>
      </c>
      <c r="BG40" s="46" t="str">
        <f t="shared" si="35"/>
        <v>--</v>
      </c>
      <c r="BH40" s="46" t="str">
        <f t="shared" si="35"/>
        <v>--</v>
      </c>
      <c r="BI40" s="46" t="str">
        <f t="shared" si="35"/>
        <v>--</v>
      </c>
      <c r="BJ40" s="46" t="str">
        <f t="shared" si="35"/>
        <v>--</v>
      </c>
      <c r="BK40" s="46" t="str">
        <f t="shared" si="35"/>
        <v>--</v>
      </c>
      <c r="BL40" s="46" t="str">
        <f t="shared" si="35"/>
        <v>--</v>
      </c>
      <c r="BM40" s="46" t="str">
        <f t="shared" si="35"/>
        <v>--</v>
      </c>
      <c r="BN40" s="46" t="str">
        <f t="shared" si="35"/>
        <v>--</v>
      </c>
      <c r="BO40" s="46" t="str">
        <f t="shared" si="35"/>
        <v>--</v>
      </c>
      <c r="BP40" s="46" t="str">
        <f t="shared" ref="BP40:DL40" si="36">IFERROR(BP39/$C40-1,"--")</f>
        <v>--</v>
      </c>
      <c r="BQ40" s="46" t="str">
        <f t="shared" si="36"/>
        <v>--</v>
      </c>
      <c r="BR40" s="46" t="str">
        <f t="shared" si="36"/>
        <v>--</v>
      </c>
      <c r="BS40" s="46" t="str">
        <f t="shared" si="36"/>
        <v>--</v>
      </c>
      <c r="BT40" s="46" t="str">
        <f t="shared" si="36"/>
        <v>--</v>
      </c>
      <c r="BU40" s="46" t="str">
        <f t="shared" si="36"/>
        <v>--</v>
      </c>
      <c r="BV40" s="46" t="str">
        <f t="shared" si="36"/>
        <v>--</v>
      </c>
      <c r="BW40" s="46" t="str">
        <f t="shared" si="36"/>
        <v>--</v>
      </c>
      <c r="BX40" s="46" t="str">
        <f t="shared" si="36"/>
        <v>--</v>
      </c>
      <c r="BY40" s="46" t="str">
        <f t="shared" si="36"/>
        <v>--</v>
      </c>
      <c r="BZ40" s="46" t="str">
        <f t="shared" si="36"/>
        <v>--</v>
      </c>
      <c r="CA40" s="46" t="str">
        <f t="shared" si="36"/>
        <v>--</v>
      </c>
      <c r="CB40" s="46" t="str">
        <f t="shared" si="36"/>
        <v>--</v>
      </c>
      <c r="CC40" s="46" t="str">
        <f t="shared" si="36"/>
        <v>--</v>
      </c>
      <c r="CD40" s="46" t="str">
        <f t="shared" si="36"/>
        <v>--</v>
      </c>
      <c r="CE40" s="46" t="str">
        <f t="shared" si="36"/>
        <v>--</v>
      </c>
      <c r="CF40" s="46" t="str">
        <f t="shared" si="36"/>
        <v>--</v>
      </c>
      <c r="CG40" s="46" t="str">
        <f t="shared" si="36"/>
        <v>--</v>
      </c>
      <c r="CH40" s="46" t="str">
        <f t="shared" si="36"/>
        <v>--</v>
      </c>
      <c r="CI40" s="46" t="str">
        <f t="shared" si="36"/>
        <v>--</v>
      </c>
      <c r="CJ40" s="46" t="str">
        <f t="shared" si="36"/>
        <v>--</v>
      </c>
      <c r="CK40" s="46" t="str">
        <f t="shared" si="36"/>
        <v>--</v>
      </c>
      <c r="CL40" s="46" t="str">
        <f t="shared" si="36"/>
        <v>--</v>
      </c>
      <c r="CM40" s="46" t="str">
        <f t="shared" si="36"/>
        <v>--</v>
      </c>
      <c r="CN40" s="46" t="str">
        <f t="shared" si="36"/>
        <v>--</v>
      </c>
      <c r="CO40" s="46" t="str">
        <f t="shared" si="36"/>
        <v>--</v>
      </c>
      <c r="CP40" s="46" t="str">
        <f t="shared" si="36"/>
        <v>--</v>
      </c>
      <c r="CQ40" s="46" t="str">
        <f t="shared" si="36"/>
        <v>--</v>
      </c>
      <c r="CR40" s="46" t="str">
        <f t="shared" si="36"/>
        <v>--</v>
      </c>
      <c r="CS40" s="46" t="str">
        <f t="shared" si="36"/>
        <v>--</v>
      </c>
      <c r="CT40" s="46" t="str">
        <f t="shared" si="36"/>
        <v>--</v>
      </c>
      <c r="CU40" s="46" t="str">
        <f t="shared" si="36"/>
        <v>--</v>
      </c>
      <c r="CV40" s="46" t="str">
        <f t="shared" si="36"/>
        <v>--</v>
      </c>
      <c r="CW40" s="46" t="str">
        <f t="shared" si="36"/>
        <v>--</v>
      </c>
      <c r="CX40" s="46" t="str">
        <f t="shared" si="36"/>
        <v>--</v>
      </c>
      <c r="CY40" s="46" t="str">
        <f t="shared" si="36"/>
        <v>--</v>
      </c>
      <c r="CZ40" s="46" t="str">
        <f t="shared" si="36"/>
        <v>--</v>
      </c>
      <c r="DA40" s="46" t="str">
        <f t="shared" si="36"/>
        <v>--</v>
      </c>
      <c r="DB40" s="46" t="str">
        <f t="shared" si="36"/>
        <v>--</v>
      </c>
      <c r="DC40" s="46" t="str">
        <f t="shared" si="36"/>
        <v>--</v>
      </c>
      <c r="DD40" s="46" t="str">
        <f t="shared" si="36"/>
        <v>--</v>
      </c>
      <c r="DE40" s="46" t="str">
        <f t="shared" si="36"/>
        <v>--</v>
      </c>
      <c r="DF40" s="46" t="str">
        <f t="shared" si="36"/>
        <v>--</v>
      </c>
      <c r="DG40" s="46" t="str">
        <f t="shared" si="36"/>
        <v>--</v>
      </c>
      <c r="DH40" s="46" t="str">
        <f t="shared" si="36"/>
        <v>--</v>
      </c>
      <c r="DI40" s="46" t="str">
        <f t="shared" si="36"/>
        <v>--</v>
      </c>
      <c r="DJ40" s="46" t="str">
        <f t="shared" si="36"/>
        <v>--</v>
      </c>
      <c r="DK40" s="46" t="str">
        <f t="shared" si="36"/>
        <v>--</v>
      </c>
      <c r="DL40" s="46" t="str">
        <f t="shared" si="36"/>
        <v>--</v>
      </c>
    </row>
  </sheetData>
  <mergeCells count="45">
    <mergeCell ref="B4:D4"/>
    <mergeCell ref="E3:L3"/>
    <mergeCell ref="M3:P3"/>
    <mergeCell ref="E2:L2"/>
    <mergeCell ref="M2:P2"/>
    <mergeCell ref="E1:X1"/>
    <mergeCell ref="Y1:AR1"/>
    <mergeCell ref="AS1:BL1"/>
    <mergeCell ref="BM1:CB1"/>
    <mergeCell ref="CG1:CV1"/>
    <mergeCell ref="BA2:BD2"/>
    <mergeCell ref="BE2:BL2"/>
    <mergeCell ref="BM2:BT2"/>
    <mergeCell ref="BU2:BX2"/>
    <mergeCell ref="BY2:CB2"/>
    <mergeCell ref="Q2:X2"/>
    <mergeCell ref="Y2:AF2"/>
    <mergeCell ref="AG2:AJ2"/>
    <mergeCell ref="AK2:AR2"/>
    <mergeCell ref="AS2:AZ2"/>
    <mergeCell ref="CC3:CF3"/>
    <mergeCell ref="CG3:CN3"/>
    <mergeCell ref="CO3:CR3"/>
    <mergeCell ref="CS3:CV3"/>
    <mergeCell ref="CW1:DL1"/>
    <mergeCell ref="CC2:CF2"/>
    <mergeCell ref="CG2:CN2"/>
    <mergeCell ref="CO2:CR2"/>
    <mergeCell ref="CS2:CV2"/>
    <mergeCell ref="CW2:DD2"/>
    <mergeCell ref="CW3:DD3"/>
    <mergeCell ref="DE3:DH3"/>
    <mergeCell ref="DI3:DL3"/>
    <mergeCell ref="DE2:DH2"/>
    <mergeCell ref="DI2:DL2"/>
    <mergeCell ref="BA3:BD3"/>
    <mergeCell ref="BE3:BL3"/>
    <mergeCell ref="BM3:BT3"/>
    <mergeCell ref="BU3:BX3"/>
    <mergeCell ref="BY3:CB3"/>
    <mergeCell ref="Q3:X3"/>
    <mergeCell ref="Y3:AF3"/>
    <mergeCell ref="AG3:AJ3"/>
    <mergeCell ref="AK3:AR3"/>
    <mergeCell ref="AS3:AZ3"/>
  </mergeCells>
  <conditionalFormatting sqref="E30:DL30 E35:DL35 E37:DL37 E39:DL39">
    <cfRule type="expression" dxfId="6" priority="4">
      <formula>$C30&gt;E$26</formula>
    </cfRule>
  </conditionalFormatting>
  <conditionalFormatting sqref="E31:DL31 E38:DL38 E40:DL40 E36:DL36">
    <cfRule type="colorScale" priority="10">
      <colorScale>
        <cfvo type="num" val="-0.1"/>
        <cfvo type="num" val="0"/>
        <color theme="5" tint="0.79998168889431442"/>
        <color rgb="FF00B050"/>
      </colorScale>
    </cfRule>
  </conditionalFormatting>
  <conditionalFormatting sqref="E32:DL32">
    <cfRule type="beginsWith" dxfId="5" priority="9" operator="beginsWith" text="OK">
      <formula>LEFT(E32,LEN("OK"))="OK"</formula>
    </cfRule>
  </conditionalFormatting>
  <pageMargins left="0.25" right="0.25" top="0.75" bottom="0.75" header="0.3" footer="0.3"/>
  <pageSetup paperSize="9" scale="57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CFF"/>
  </sheetPr>
  <dimension ref="A1:B68"/>
  <sheetViews>
    <sheetView workbookViewId="0">
      <selection activeCell="H36" sqref="H36"/>
    </sheetView>
  </sheetViews>
  <sheetFormatPr defaultColWidth="11.44140625" defaultRowHeight="14.4" x14ac:dyDescent="0.3"/>
  <cols>
    <col min="1" max="1" width="13.33203125" bestFit="1" customWidth="1"/>
  </cols>
  <sheetData>
    <row r="1" spans="1:2" x14ac:dyDescent="0.3">
      <c r="A1" s="352" t="s">
        <v>267</v>
      </c>
      <c r="B1" s="352"/>
    </row>
    <row r="2" spans="1:2" x14ac:dyDescent="0.3">
      <c r="A2" t="s">
        <v>265</v>
      </c>
      <c r="B2" t="s">
        <v>266</v>
      </c>
    </row>
    <row r="3" spans="1:2" x14ac:dyDescent="0.3">
      <c r="A3">
        <v>115</v>
      </c>
      <c r="B3">
        <v>300</v>
      </c>
    </row>
    <row r="4" spans="1:2" x14ac:dyDescent="0.3">
      <c r="A4">
        <v>116</v>
      </c>
      <c r="B4">
        <v>274</v>
      </c>
    </row>
    <row r="5" spans="1:2" x14ac:dyDescent="0.3">
      <c r="A5">
        <v>117</v>
      </c>
      <c r="B5">
        <v>252</v>
      </c>
    </row>
    <row r="6" spans="1:2" x14ac:dyDescent="0.3">
      <c r="A6">
        <v>118</v>
      </c>
      <c r="B6">
        <v>232</v>
      </c>
    </row>
    <row r="7" spans="1:2" x14ac:dyDescent="0.3">
      <c r="A7">
        <v>119</v>
      </c>
      <c r="B7">
        <v>215</v>
      </c>
    </row>
    <row r="8" spans="1:2" x14ac:dyDescent="0.3">
      <c r="A8">
        <v>120</v>
      </c>
      <c r="B8">
        <v>200</v>
      </c>
    </row>
    <row r="9" spans="1:2" x14ac:dyDescent="0.3">
      <c r="A9">
        <v>121</v>
      </c>
      <c r="B9">
        <v>186</v>
      </c>
    </row>
    <row r="10" spans="1:2" x14ac:dyDescent="0.3">
      <c r="A10">
        <v>122</v>
      </c>
      <c r="B10">
        <v>175</v>
      </c>
    </row>
    <row r="11" spans="1:2" x14ac:dyDescent="0.3">
      <c r="A11">
        <v>123</v>
      </c>
      <c r="B11">
        <v>165</v>
      </c>
    </row>
    <row r="12" spans="1:2" x14ac:dyDescent="0.3">
      <c r="A12">
        <v>124</v>
      </c>
      <c r="B12">
        <v>156</v>
      </c>
    </row>
    <row r="13" spans="1:2" x14ac:dyDescent="0.3">
      <c r="A13">
        <v>125</v>
      </c>
      <c r="B13">
        <v>147</v>
      </c>
    </row>
    <row r="14" spans="1:2" x14ac:dyDescent="0.3">
      <c r="A14">
        <v>126</v>
      </c>
      <c r="B14">
        <v>140</v>
      </c>
    </row>
    <row r="15" spans="1:2" x14ac:dyDescent="0.3">
      <c r="A15">
        <v>127</v>
      </c>
      <c r="B15">
        <v>133</v>
      </c>
    </row>
    <row r="16" spans="1:2" x14ac:dyDescent="0.3">
      <c r="A16">
        <v>128</v>
      </c>
      <c r="B16">
        <v>126</v>
      </c>
    </row>
    <row r="17" spans="1:2" x14ac:dyDescent="0.3">
      <c r="A17">
        <v>129</v>
      </c>
      <c r="B17">
        <v>120</v>
      </c>
    </row>
    <row r="18" spans="1:2" x14ac:dyDescent="0.3">
      <c r="A18">
        <v>130</v>
      </c>
      <c r="B18">
        <v>115</v>
      </c>
    </row>
    <row r="19" spans="1:2" x14ac:dyDescent="0.3">
      <c r="A19">
        <v>131</v>
      </c>
      <c r="B19">
        <v>110</v>
      </c>
    </row>
    <row r="20" spans="1:2" x14ac:dyDescent="0.3">
      <c r="A20">
        <v>132</v>
      </c>
      <c r="B20">
        <v>106</v>
      </c>
    </row>
    <row r="21" spans="1:2" x14ac:dyDescent="0.3">
      <c r="A21">
        <v>133</v>
      </c>
      <c r="B21">
        <v>102</v>
      </c>
    </row>
    <row r="22" spans="1:2" x14ac:dyDescent="0.3">
      <c r="A22">
        <v>134</v>
      </c>
      <c r="B22">
        <v>98</v>
      </c>
    </row>
    <row r="23" spans="1:2" x14ac:dyDescent="0.3">
      <c r="A23">
        <v>135</v>
      </c>
      <c r="B23">
        <v>94</v>
      </c>
    </row>
    <row r="24" spans="1:2" x14ac:dyDescent="0.3">
      <c r="A24">
        <v>136</v>
      </c>
      <c r="B24">
        <v>91</v>
      </c>
    </row>
    <row r="25" spans="1:2" x14ac:dyDescent="0.3">
      <c r="A25">
        <v>137</v>
      </c>
      <c r="B25">
        <v>88</v>
      </c>
    </row>
    <row r="26" spans="1:2" x14ac:dyDescent="0.3">
      <c r="A26">
        <v>138</v>
      </c>
      <c r="B26">
        <v>85</v>
      </c>
    </row>
    <row r="27" spans="1:2" x14ac:dyDescent="0.3">
      <c r="A27">
        <v>139</v>
      </c>
      <c r="B27">
        <v>82</v>
      </c>
    </row>
    <row r="28" spans="1:2" x14ac:dyDescent="0.3">
      <c r="A28">
        <v>140</v>
      </c>
      <c r="B28">
        <v>80</v>
      </c>
    </row>
    <row r="29" spans="1:2" x14ac:dyDescent="0.3">
      <c r="A29">
        <v>141</v>
      </c>
      <c r="B29">
        <v>77</v>
      </c>
    </row>
    <row r="30" spans="1:2" x14ac:dyDescent="0.3">
      <c r="A30">
        <v>142</v>
      </c>
      <c r="B30">
        <v>75</v>
      </c>
    </row>
    <row r="31" spans="1:2" x14ac:dyDescent="0.3">
      <c r="A31">
        <v>143</v>
      </c>
      <c r="B31">
        <v>72</v>
      </c>
    </row>
    <row r="32" spans="1:2" x14ac:dyDescent="0.3">
      <c r="A32">
        <v>144</v>
      </c>
      <c r="B32">
        <v>70</v>
      </c>
    </row>
    <row r="33" spans="1:2" x14ac:dyDescent="0.3">
      <c r="A33">
        <v>145</v>
      </c>
      <c r="B33">
        <v>68</v>
      </c>
    </row>
    <row r="34" spans="1:2" x14ac:dyDescent="0.3">
      <c r="A34">
        <v>146</v>
      </c>
      <c r="B34">
        <v>66</v>
      </c>
    </row>
    <row r="35" spans="1:2" x14ac:dyDescent="0.3">
      <c r="A35">
        <v>147</v>
      </c>
      <c r="B35">
        <v>64</v>
      </c>
    </row>
    <row r="36" spans="1:2" x14ac:dyDescent="0.3">
      <c r="A36">
        <v>148</v>
      </c>
      <c r="B36">
        <v>62.5</v>
      </c>
    </row>
    <row r="37" spans="1:2" x14ac:dyDescent="0.3">
      <c r="A37">
        <v>149</v>
      </c>
      <c r="B37">
        <v>61</v>
      </c>
    </row>
    <row r="38" spans="1:2" x14ac:dyDescent="0.3">
      <c r="A38">
        <v>150</v>
      </c>
      <c r="B38">
        <v>60</v>
      </c>
    </row>
    <row r="39" spans="1:2" x14ac:dyDescent="0.3">
      <c r="A39">
        <v>151</v>
      </c>
      <c r="B39">
        <v>58</v>
      </c>
    </row>
    <row r="40" spans="1:2" x14ac:dyDescent="0.3">
      <c r="A40">
        <v>152</v>
      </c>
      <c r="B40">
        <v>56</v>
      </c>
    </row>
    <row r="41" spans="1:2" x14ac:dyDescent="0.3">
      <c r="A41">
        <v>153</v>
      </c>
      <c r="B41">
        <v>51</v>
      </c>
    </row>
    <row r="42" spans="1:2" x14ac:dyDescent="0.3">
      <c r="A42">
        <v>154</v>
      </c>
      <c r="B42">
        <v>43</v>
      </c>
    </row>
    <row r="43" spans="1:2" x14ac:dyDescent="0.3">
      <c r="A43">
        <v>155</v>
      </c>
      <c r="B43">
        <v>35</v>
      </c>
    </row>
    <row r="44" spans="1:2" x14ac:dyDescent="0.3">
      <c r="A44">
        <v>156</v>
      </c>
      <c r="B44">
        <v>30</v>
      </c>
    </row>
    <row r="45" spans="1:2" x14ac:dyDescent="0.3">
      <c r="A45">
        <v>157</v>
      </c>
      <c r="B45">
        <v>24</v>
      </c>
    </row>
    <row r="46" spans="1:2" x14ac:dyDescent="0.3">
      <c r="A46">
        <v>158</v>
      </c>
      <c r="B46">
        <v>20</v>
      </c>
    </row>
    <row r="47" spans="1:2" x14ac:dyDescent="0.3">
      <c r="A47">
        <v>159</v>
      </c>
      <c r="B47">
        <v>16</v>
      </c>
    </row>
    <row r="48" spans="1:2" x14ac:dyDescent="0.3">
      <c r="A48">
        <v>160</v>
      </c>
      <c r="B48">
        <v>13</v>
      </c>
    </row>
    <row r="49" spans="1:2" x14ac:dyDescent="0.3">
      <c r="A49">
        <v>161</v>
      </c>
      <c r="B49">
        <v>10</v>
      </c>
    </row>
    <row r="50" spans="1:2" x14ac:dyDescent="0.3">
      <c r="A50">
        <v>162</v>
      </c>
      <c r="B50">
        <v>8.5</v>
      </c>
    </row>
    <row r="51" spans="1:2" x14ac:dyDescent="0.3">
      <c r="A51">
        <v>163</v>
      </c>
      <c r="B51">
        <v>7.5</v>
      </c>
    </row>
    <row r="52" spans="1:2" x14ac:dyDescent="0.3">
      <c r="A52">
        <v>164</v>
      </c>
      <c r="B52">
        <v>6</v>
      </c>
    </row>
    <row r="53" spans="1:2" x14ac:dyDescent="0.3">
      <c r="A53">
        <v>165</v>
      </c>
      <c r="B53">
        <v>5</v>
      </c>
    </row>
    <row r="54" spans="1:2" x14ac:dyDescent="0.3">
      <c r="A54">
        <v>166</v>
      </c>
      <c r="B54">
        <v>4.5</v>
      </c>
    </row>
    <row r="55" spans="1:2" x14ac:dyDescent="0.3">
      <c r="A55">
        <v>167</v>
      </c>
      <c r="B55">
        <v>4.25</v>
      </c>
    </row>
    <row r="56" spans="1:2" x14ac:dyDescent="0.3">
      <c r="A56">
        <v>168</v>
      </c>
      <c r="B56">
        <v>4</v>
      </c>
    </row>
    <row r="57" spans="1:2" x14ac:dyDescent="0.3">
      <c r="A57">
        <v>169</v>
      </c>
      <c r="B57">
        <v>3.5</v>
      </c>
    </row>
    <row r="58" spans="1:2" x14ac:dyDescent="0.3">
      <c r="A58">
        <v>170</v>
      </c>
      <c r="B58">
        <v>3.25</v>
      </c>
    </row>
    <row r="59" spans="1:2" x14ac:dyDescent="0.3">
      <c r="A59">
        <v>171</v>
      </c>
      <c r="B59">
        <v>3</v>
      </c>
    </row>
    <row r="60" spans="1:2" x14ac:dyDescent="0.3">
      <c r="A60">
        <v>172</v>
      </c>
      <c r="B60">
        <v>2.75</v>
      </c>
    </row>
    <row r="61" spans="1:2" x14ac:dyDescent="0.3">
      <c r="A61">
        <v>173</v>
      </c>
      <c r="B61">
        <v>2.5</v>
      </c>
    </row>
    <row r="62" spans="1:2" x14ac:dyDescent="0.3">
      <c r="A62">
        <v>174</v>
      </c>
      <c r="B62">
        <v>2.25</v>
      </c>
    </row>
    <row r="63" spans="1:2" x14ac:dyDescent="0.3">
      <c r="A63">
        <v>175</v>
      </c>
      <c r="B63">
        <v>2</v>
      </c>
    </row>
    <row r="64" spans="1:2" x14ac:dyDescent="0.3">
      <c r="A64">
        <v>176</v>
      </c>
      <c r="B64">
        <v>1.5</v>
      </c>
    </row>
    <row r="65" spans="1:2" x14ac:dyDescent="0.3">
      <c r="A65">
        <v>177</v>
      </c>
      <c r="B65">
        <v>1.25</v>
      </c>
    </row>
    <row r="66" spans="1:2" x14ac:dyDescent="0.3">
      <c r="A66">
        <v>178</v>
      </c>
      <c r="B66">
        <v>1</v>
      </c>
    </row>
    <row r="67" spans="1:2" x14ac:dyDescent="0.3">
      <c r="A67">
        <v>179</v>
      </c>
      <c r="B67">
        <v>0.5</v>
      </c>
    </row>
    <row r="68" spans="1:2" x14ac:dyDescent="0.3">
      <c r="A68">
        <v>180</v>
      </c>
      <c r="B68">
        <v>0</v>
      </c>
    </row>
  </sheetData>
  <mergeCells count="1">
    <mergeCell ref="A1:B1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9"/>
  </sheetPr>
  <dimension ref="A1:O55"/>
  <sheetViews>
    <sheetView workbookViewId="0">
      <pane xSplit="1" ySplit="1" topLeftCell="B2" activePane="bottomRight" state="frozen"/>
      <selection activeCell="J14" sqref="J14"/>
      <selection pane="topRight" activeCell="J14" sqref="J14"/>
      <selection pane="bottomLeft" activeCell="J14" sqref="J14"/>
      <selection pane="bottomRight" activeCell="L2" sqref="L2"/>
    </sheetView>
  </sheetViews>
  <sheetFormatPr defaultColWidth="11.44140625" defaultRowHeight="14.4" x14ac:dyDescent="0.3"/>
  <cols>
    <col min="1" max="1" width="13.33203125" style="124" customWidth="1"/>
    <col min="2" max="2" width="14.5546875" style="124" customWidth="1"/>
    <col min="3" max="3" width="18.6640625" style="124" bestFit="1" customWidth="1"/>
    <col min="4" max="4" width="13.88671875" style="124" bestFit="1" customWidth="1"/>
    <col min="5" max="5" width="23.6640625" style="124" bestFit="1" customWidth="1"/>
    <col min="6" max="6" width="13.44140625" style="124" bestFit="1" customWidth="1"/>
    <col min="7" max="7" width="18.44140625" style="124" bestFit="1" customWidth="1"/>
    <col min="8" max="8" width="18.6640625" style="124" bestFit="1" customWidth="1"/>
    <col min="9" max="9" width="11.109375" style="124" bestFit="1" customWidth="1"/>
    <col min="10" max="10" width="7.44140625" style="124" bestFit="1" customWidth="1"/>
    <col min="11" max="11" width="4.5546875" style="124" bestFit="1" customWidth="1"/>
    <col min="12" max="12" width="8.77734375" style="124" customWidth="1"/>
    <col min="13" max="13" width="7.44140625" style="124" bestFit="1" customWidth="1"/>
  </cols>
  <sheetData>
    <row r="1" spans="1:14" s="124" customFormat="1" ht="30" x14ac:dyDescent="0.3">
      <c r="A1" s="135" t="s">
        <v>475</v>
      </c>
      <c r="B1" s="135" t="s">
        <v>474</v>
      </c>
      <c r="C1" s="135" t="s">
        <v>530</v>
      </c>
      <c r="D1" s="135" t="s">
        <v>531</v>
      </c>
      <c r="E1" s="135" t="s">
        <v>532</v>
      </c>
      <c r="F1" s="135" t="s">
        <v>533</v>
      </c>
      <c r="G1" s="135" t="s">
        <v>534</v>
      </c>
      <c r="H1" s="135" t="s">
        <v>535</v>
      </c>
      <c r="I1" s="135" t="s">
        <v>536</v>
      </c>
      <c r="J1" s="135" t="s">
        <v>537</v>
      </c>
      <c r="K1" s="136" t="s">
        <v>538</v>
      </c>
      <c r="L1" s="136" t="s">
        <v>539</v>
      </c>
      <c r="M1" s="136" t="s">
        <v>540</v>
      </c>
      <c r="N1" s="136" t="s">
        <v>543</v>
      </c>
    </row>
    <row r="2" spans="1:14" x14ac:dyDescent="0.3">
      <c r="A2" s="124" t="s">
        <v>476</v>
      </c>
      <c r="B2" s="125">
        <v>4</v>
      </c>
      <c r="C2" s="126">
        <v>4.2</v>
      </c>
      <c r="D2" s="124">
        <v>330</v>
      </c>
      <c r="E2" s="124">
        <v>350</v>
      </c>
      <c r="F2" s="124">
        <v>400</v>
      </c>
      <c r="G2" s="124">
        <v>400</v>
      </c>
      <c r="H2" s="124">
        <v>3600</v>
      </c>
      <c r="I2" s="124">
        <v>4200</v>
      </c>
      <c r="J2" s="126">
        <v>4.9000000000000004</v>
      </c>
      <c r="K2" s="127">
        <v>0.88</v>
      </c>
      <c r="L2" s="127">
        <v>0.85</v>
      </c>
      <c r="M2" s="124">
        <v>53</v>
      </c>
      <c r="N2" s="126">
        <f>HydraulicPumps[[#This Row],[Weight 
'[kg']]]/2</f>
        <v>2.4500000000000002</v>
      </c>
    </row>
    <row r="3" spans="1:14" x14ac:dyDescent="0.3">
      <c r="A3" s="124" t="s">
        <v>477</v>
      </c>
      <c r="B3" s="125">
        <v>5</v>
      </c>
      <c r="C3" s="126">
        <v>5.4</v>
      </c>
      <c r="D3" s="124">
        <v>330</v>
      </c>
      <c r="E3" s="124">
        <v>350</v>
      </c>
      <c r="F3" s="124">
        <v>400</v>
      </c>
      <c r="G3" s="124">
        <v>400</v>
      </c>
      <c r="H3" s="124">
        <v>3600</v>
      </c>
      <c r="I3" s="124">
        <v>4200</v>
      </c>
      <c r="J3" s="126">
        <v>4.9000000000000004</v>
      </c>
      <c r="K3" s="127">
        <v>0.91</v>
      </c>
      <c r="L3" s="127">
        <v>0.9</v>
      </c>
      <c r="M3" s="124">
        <v>54</v>
      </c>
      <c r="N3" s="126">
        <f>HydraulicPumps[[#This Row],[Weight 
'[kg']]]/2</f>
        <v>2.4500000000000002</v>
      </c>
    </row>
    <row r="4" spans="1:14" x14ac:dyDescent="0.3">
      <c r="A4" s="124" t="s">
        <v>478</v>
      </c>
      <c r="B4" s="125">
        <v>6</v>
      </c>
      <c r="C4" s="126">
        <v>6.4</v>
      </c>
      <c r="D4" s="124">
        <v>330</v>
      </c>
      <c r="E4" s="124">
        <v>350</v>
      </c>
      <c r="F4" s="124">
        <v>400</v>
      </c>
      <c r="G4" s="124">
        <v>400</v>
      </c>
      <c r="H4" s="124">
        <v>3600</v>
      </c>
      <c r="I4" s="124">
        <v>4200</v>
      </c>
      <c r="J4" s="126">
        <v>5</v>
      </c>
      <c r="K4" s="127">
        <v>0.92</v>
      </c>
      <c r="L4" s="127">
        <v>0.9</v>
      </c>
      <c r="M4" s="124">
        <v>55</v>
      </c>
      <c r="N4" s="126">
        <f>HydraulicPumps[[#This Row],[Weight 
'[kg']]]/2</f>
        <v>2.5</v>
      </c>
    </row>
    <row r="5" spans="1:14" x14ac:dyDescent="0.3">
      <c r="A5" s="124" t="s">
        <v>479</v>
      </c>
      <c r="B5" s="125">
        <v>8</v>
      </c>
      <c r="C5" s="126">
        <v>7.9</v>
      </c>
      <c r="D5" s="124">
        <v>330</v>
      </c>
      <c r="E5" s="124">
        <v>350</v>
      </c>
      <c r="F5" s="124">
        <v>400</v>
      </c>
      <c r="G5" s="124">
        <v>400</v>
      </c>
      <c r="H5" s="124">
        <v>3400</v>
      </c>
      <c r="I5" s="124">
        <v>4000</v>
      </c>
      <c r="J5" s="126">
        <v>5.2</v>
      </c>
      <c r="K5" s="127">
        <v>0.93</v>
      </c>
      <c r="L5" s="127">
        <v>0.91</v>
      </c>
      <c r="M5" s="124">
        <v>57</v>
      </c>
      <c r="N5" s="126">
        <f>HydraulicPumps[[#This Row],[Weight 
'[kg']]]/2</f>
        <v>2.6</v>
      </c>
    </row>
    <row r="6" spans="1:14" x14ac:dyDescent="0.3">
      <c r="A6" s="124" t="s">
        <v>480</v>
      </c>
      <c r="B6" s="125">
        <v>11</v>
      </c>
      <c r="C6" s="126">
        <v>10.9</v>
      </c>
      <c r="D6" s="124">
        <v>330</v>
      </c>
      <c r="E6" s="124">
        <v>350</v>
      </c>
      <c r="F6" s="124">
        <v>400</v>
      </c>
      <c r="G6" s="124">
        <v>400</v>
      </c>
      <c r="H6" s="124">
        <v>3200</v>
      </c>
      <c r="I6" s="124">
        <v>4000</v>
      </c>
      <c r="J6" s="126">
        <v>5.4</v>
      </c>
      <c r="K6" s="127">
        <v>0.93</v>
      </c>
      <c r="L6" s="127">
        <v>0.92</v>
      </c>
      <c r="M6" s="124">
        <v>58</v>
      </c>
      <c r="N6" s="126">
        <f>HydraulicPumps[[#This Row],[Weight 
'[kg']]]/2</f>
        <v>2.7</v>
      </c>
    </row>
    <row r="7" spans="1:14" x14ac:dyDescent="0.3">
      <c r="A7" s="124" t="s">
        <v>481</v>
      </c>
      <c r="B7" s="128">
        <v>13</v>
      </c>
      <c r="C7" s="126">
        <v>13.3</v>
      </c>
      <c r="D7" s="124">
        <v>330</v>
      </c>
      <c r="E7" s="124">
        <v>350</v>
      </c>
      <c r="F7" s="124">
        <v>400</v>
      </c>
      <c r="G7" s="124">
        <v>400</v>
      </c>
      <c r="H7" s="124">
        <v>3200</v>
      </c>
      <c r="I7" s="124">
        <v>4000</v>
      </c>
      <c r="J7" s="126">
        <v>5.5</v>
      </c>
      <c r="K7" s="127">
        <v>0.94</v>
      </c>
      <c r="L7" s="127">
        <v>0.92</v>
      </c>
      <c r="M7" s="124">
        <v>59</v>
      </c>
      <c r="N7" s="126">
        <f>HydraulicPumps[[#This Row],[Weight 
'[kg']]]/2</f>
        <v>2.75</v>
      </c>
    </row>
    <row r="8" spans="1:14" x14ac:dyDescent="0.3">
      <c r="A8" s="124" t="s">
        <v>482</v>
      </c>
      <c r="B8" s="128">
        <v>16</v>
      </c>
      <c r="C8" s="126">
        <v>15.8</v>
      </c>
      <c r="D8" s="124">
        <v>330</v>
      </c>
      <c r="E8" s="124">
        <v>350</v>
      </c>
      <c r="F8" s="124">
        <v>400</v>
      </c>
      <c r="G8" s="124">
        <v>400</v>
      </c>
      <c r="H8" s="124">
        <v>3000</v>
      </c>
      <c r="I8" s="124">
        <v>4000</v>
      </c>
      <c r="J8" s="126">
        <v>5.7</v>
      </c>
      <c r="K8" s="127">
        <v>0.95</v>
      </c>
      <c r="L8" s="127">
        <v>0.93</v>
      </c>
      <c r="M8" s="124">
        <v>60</v>
      </c>
      <c r="N8" s="126">
        <f>HydraulicPumps[[#This Row],[Weight 
'[kg']]]/2</f>
        <v>2.85</v>
      </c>
    </row>
    <row r="9" spans="1:14" x14ac:dyDescent="0.3">
      <c r="A9" s="124" t="s">
        <v>483</v>
      </c>
      <c r="B9" s="128">
        <v>19</v>
      </c>
      <c r="C9" s="126">
        <v>19.3</v>
      </c>
      <c r="D9" s="124">
        <v>300</v>
      </c>
      <c r="E9" s="124">
        <v>300</v>
      </c>
      <c r="F9" s="124">
        <v>325</v>
      </c>
      <c r="G9" s="124">
        <v>400</v>
      </c>
      <c r="H9" s="124">
        <v>2500</v>
      </c>
      <c r="I9" s="124">
        <v>3000</v>
      </c>
      <c r="J9" s="126">
        <v>7.4</v>
      </c>
      <c r="K9" s="127">
        <v>0.95</v>
      </c>
      <c r="L9" s="127">
        <v>0.93</v>
      </c>
      <c r="M9" s="124">
        <v>61</v>
      </c>
      <c r="N9" s="126">
        <f>HydraulicPumps[[#This Row],[Weight 
'[kg']]]/2</f>
        <v>3.7</v>
      </c>
    </row>
    <row r="10" spans="1:14" x14ac:dyDescent="0.3">
      <c r="A10" s="124" t="s">
        <v>484</v>
      </c>
      <c r="B10" s="128">
        <v>22</v>
      </c>
      <c r="C10" s="126">
        <v>22.2</v>
      </c>
      <c r="D10" s="124">
        <v>250</v>
      </c>
      <c r="E10" s="124">
        <v>300</v>
      </c>
      <c r="F10" s="124">
        <v>325</v>
      </c>
      <c r="G10" s="124">
        <v>400</v>
      </c>
      <c r="H10" s="124">
        <v>2500</v>
      </c>
      <c r="I10" s="124">
        <v>3000</v>
      </c>
      <c r="J10" s="126">
        <v>7.8</v>
      </c>
      <c r="K10" s="127">
        <v>0.95</v>
      </c>
      <c r="L10" s="127">
        <v>0.93</v>
      </c>
      <c r="M10" s="124">
        <v>62</v>
      </c>
      <c r="N10" s="126">
        <f>HydraulicPumps[[#This Row],[Weight 
'[kg']]]/2</f>
        <v>3.9</v>
      </c>
    </row>
    <row r="11" spans="1:14" x14ac:dyDescent="0.3">
      <c r="A11" s="129" t="s">
        <v>485</v>
      </c>
      <c r="B11" s="130">
        <v>25</v>
      </c>
      <c r="C11" s="131">
        <v>25.2</v>
      </c>
      <c r="D11" s="129">
        <v>250</v>
      </c>
      <c r="E11" s="129">
        <v>280</v>
      </c>
      <c r="F11" s="129">
        <v>300</v>
      </c>
      <c r="G11" s="129">
        <v>400</v>
      </c>
      <c r="H11" s="129">
        <v>2300</v>
      </c>
      <c r="I11" s="129">
        <v>3000</v>
      </c>
      <c r="J11" s="131">
        <v>8</v>
      </c>
      <c r="K11" s="132">
        <v>0.95</v>
      </c>
      <c r="L11" s="132">
        <v>0.93</v>
      </c>
      <c r="M11" s="129">
        <v>63</v>
      </c>
      <c r="N11" s="126">
        <f>HydraulicPumps[[#This Row],[Weight 
'[kg']]]/2</f>
        <v>4</v>
      </c>
    </row>
    <row r="12" spans="1:14" x14ac:dyDescent="0.3">
      <c r="A12" s="124" t="s">
        <v>487</v>
      </c>
      <c r="B12" s="128">
        <v>14</v>
      </c>
      <c r="C12" s="126">
        <v>14.6</v>
      </c>
      <c r="D12" s="124">
        <v>330</v>
      </c>
      <c r="E12" s="124">
        <v>350</v>
      </c>
      <c r="F12" s="124">
        <v>400</v>
      </c>
      <c r="G12" s="124">
        <v>400</v>
      </c>
      <c r="H12" s="124">
        <v>3600</v>
      </c>
      <c r="I12" s="124">
        <v>4000</v>
      </c>
      <c r="J12" s="126">
        <v>9.4</v>
      </c>
      <c r="K12" s="127">
        <v>0.91</v>
      </c>
      <c r="L12" s="127">
        <v>0.9</v>
      </c>
      <c r="M12" s="124">
        <v>60</v>
      </c>
      <c r="N12" s="126">
        <f>HydraulicPumps[[#This Row],[Weight 
'[kg']]]/2</f>
        <v>4.7</v>
      </c>
    </row>
    <row r="13" spans="1:14" x14ac:dyDescent="0.3">
      <c r="A13" s="124" t="s">
        <v>488</v>
      </c>
      <c r="B13" s="128">
        <v>16</v>
      </c>
      <c r="C13" s="126">
        <v>16</v>
      </c>
      <c r="D13" s="124">
        <v>330</v>
      </c>
      <c r="E13" s="124">
        <v>350</v>
      </c>
      <c r="F13" s="124">
        <v>400</v>
      </c>
      <c r="G13" s="124">
        <v>400</v>
      </c>
      <c r="H13" s="124">
        <v>3600</v>
      </c>
      <c r="I13" s="124">
        <v>4000</v>
      </c>
      <c r="J13" s="126">
        <v>10.1</v>
      </c>
      <c r="K13" s="127">
        <v>0.92</v>
      </c>
      <c r="L13" s="127">
        <v>0.9</v>
      </c>
      <c r="M13" s="124">
        <v>61</v>
      </c>
      <c r="N13" s="126">
        <f>HydraulicPumps[[#This Row],[Weight 
'[kg']]]/2</f>
        <v>5.05</v>
      </c>
    </row>
    <row r="14" spans="1:14" x14ac:dyDescent="0.3">
      <c r="A14" s="124" t="s">
        <v>489</v>
      </c>
      <c r="B14" s="128">
        <v>20</v>
      </c>
      <c r="C14" s="126">
        <v>20</v>
      </c>
      <c r="D14" s="124">
        <v>330</v>
      </c>
      <c r="E14" s="124">
        <v>350</v>
      </c>
      <c r="F14" s="124">
        <v>400</v>
      </c>
      <c r="G14" s="124">
        <v>400</v>
      </c>
      <c r="H14" s="124">
        <v>3400</v>
      </c>
      <c r="I14" s="124">
        <v>3400</v>
      </c>
      <c r="J14" s="126">
        <v>10.5</v>
      </c>
      <c r="K14" s="127">
        <v>0.93</v>
      </c>
      <c r="L14" s="127">
        <v>0.91</v>
      </c>
      <c r="M14" s="124">
        <v>62</v>
      </c>
      <c r="N14" s="126">
        <f>HydraulicPumps[[#This Row],[Weight 
'[kg']]]/2</f>
        <v>5.25</v>
      </c>
    </row>
    <row r="15" spans="1:14" x14ac:dyDescent="0.3">
      <c r="A15" s="124" t="s">
        <v>490</v>
      </c>
      <c r="B15" s="128">
        <v>25</v>
      </c>
      <c r="C15" s="126">
        <v>24.8</v>
      </c>
      <c r="D15" s="124">
        <v>330</v>
      </c>
      <c r="E15" s="124">
        <v>350</v>
      </c>
      <c r="F15" s="124">
        <v>400</v>
      </c>
      <c r="G15" s="124">
        <v>400</v>
      </c>
      <c r="H15" s="124">
        <v>3200</v>
      </c>
      <c r="I15" s="124">
        <v>3200</v>
      </c>
      <c r="J15" s="126">
        <v>11.2</v>
      </c>
      <c r="K15" s="127">
        <v>0.93</v>
      </c>
      <c r="L15" s="127">
        <v>0.92</v>
      </c>
      <c r="M15" s="124">
        <v>63</v>
      </c>
      <c r="N15" s="126">
        <f>HydraulicPumps[[#This Row],[Weight 
'[kg']]]/2</f>
        <v>5.6</v>
      </c>
    </row>
    <row r="16" spans="1:14" x14ac:dyDescent="0.3">
      <c r="A16" s="124" t="s">
        <v>491</v>
      </c>
      <c r="B16" s="128">
        <v>32</v>
      </c>
      <c r="C16" s="126">
        <v>32.1</v>
      </c>
      <c r="D16" s="124">
        <v>330</v>
      </c>
      <c r="E16" s="124">
        <v>350</v>
      </c>
      <c r="F16" s="124">
        <v>400</v>
      </c>
      <c r="G16" s="124">
        <v>400</v>
      </c>
      <c r="H16" s="124">
        <v>3000</v>
      </c>
      <c r="I16" s="124">
        <v>3000</v>
      </c>
      <c r="J16" s="126">
        <v>12</v>
      </c>
      <c r="K16" s="127">
        <v>0.94</v>
      </c>
      <c r="L16" s="127">
        <v>0.92</v>
      </c>
      <c r="M16" s="124">
        <v>64</v>
      </c>
      <c r="N16" s="126">
        <f>HydraulicPumps[[#This Row],[Weight 
'[kg']]]/2</f>
        <v>6</v>
      </c>
    </row>
    <row r="17" spans="1:14" x14ac:dyDescent="0.3">
      <c r="A17" s="124" t="s">
        <v>492</v>
      </c>
      <c r="B17" s="128">
        <v>40</v>
      </c>
      <c r="C17" s="126">
        <v>40.1</v>
      </c>
      <c r="D17" s="124">
        <v>280</v>
      </c>
      <c r="E17" s="124">
        <v>300</v>
      </c>
      <c r="F17" s="124">
        <v>325</v>
      </c>
      <c r="G17" s="124">
        <v>400</v>
      </c>
      <c r="H17" s="124">
        <v>2500</v>
      </c>
      <c r="I17" s="124">
        <v>2500</v>
      </c>
      <c r="J17" s="126">
        <v>15</v>
      </c>
      <c r="K17" s="127">
        <v>0.95</v>
      </c>
      <c r="L17" s="127">
        <v>0.93</v>
      </c>
      <c r="M17" s="124">
        <v>65</v>
      </c>
      <c r="N17" s="126">
        <f>HydraulicPumps[[#This Row],[Weight 
'[kg']]]/2</f>
        <v>7.5</v>
      </c>
    </row>
    <row r="18" spans="1:14" x14ac:dyDescent="0.3">
      <c r="A18" s="124" t="s">
        <v>493</v>
      </c>
      <c r="B18" s="128">
        <v>50</v>
      </c>
      <c r="C18" s="126">
        <v>50.3</v>
      </c>
      <c r="D18" s="124">
        <v>280</v>
      </c>
      <c r="E18" s="124">
        <v>300</v>
      </c>
      <c r="F18" s="124">
        <v>325</v>
      </c>
      <c r="G18" s="124">
        <v>400</v>
      </c>
      <c r="H18" s="124">
        <v>1800</v>
      </c>
      <c r="I18" s="124">
        <v>1800</v>
      </c>
      <c r="J18" s="126">
        <v>17</v>
      </c>
      <c r="K18" s="127">
        <v>0.95</v>
      </c>
      <c r="L18" s="127">
        <v>0.93</v>
      </c>
      <c r="M18" s="124">
        <v>66</v>
      </c>
      <c r="N18" s="126">
        <f>HydraulicPumps[[#This Row],[Weight 
'[kg']]]/2</f>
        <v>8.5</v>
      </c>
    </row>
    <row r="19" spans="1:14" x14ac:dyDescent="0.3">
      <c r="A19" s="129" t="s">
        <v>494</v>
      </c>
      <c r="B19" s="130">
        <v>64</v>
      </c>
      <c r="C19" s="131">
        <v>64.599999999999994</v>
      </c>
      <c r="D19" s="129">
        <v>280</v>
      </c>
      <c r="E19" s="129">
        <v>300</v>
      </c>
      <c r="F19" s="129">
        <v>325</v>
      </c>
      <c r="G19" s="129">
        <v>400</v>
      </c>
      <c r="H19" s="129">
        <v>1800</v>
      </c>
      <c r="I19" s="129">
        <v>1800</v>
      </c>
      <c r="J19" s="131">
        <v>18</v>
      </c>
      <c r="K19" s="132">
        <v>0.95</v>
      </c>
      <c r="L19" s="132">
        <v>0.93</v>
      </c>
      <c r="M19" s="129">
        <v>66</v>
      </c>
      <c r="N19" s="126">
        <f>HydraulicPumps[[#This Row],[Weight 
'[kg']]]/2</f>
        <v>9</v>
      </c>
    </row>
    <row r="20" spans="1:14" x14ac:dyDescent="0.3">
      <c r="A20" s="124" t="s">
        <v>495</v>
      </c>
      <c r="B20" s="128">
        <v>64</v>
      </c>
      <c r="C20" s="126">
        <v>65.3</v>
      </c>
      <c r="D20" s="124">
        <v>280</v>
      </c>
      <c r="E20" s="124">
        <v>290</v>
      </c>
      <c r="F20" s="124">
        <v>300</v>
      </c>
      <c r="G20" s="124">
        <v>100</v>
      </c>
      <c r="H20" s="124">
        <v>2800</v>
      </c>
      <c r="I20" s="124">
        <v>3000</v>
      </c>
      <c r="J20" s="126">
        <v>15.3</v>
      </c>
      <c r="K20" s="127">
        <v>0.94</v>
      </c>
      <c r="L20" s="127">
        <v>0.92</v>
      </c>
      <c r="M20" s="124">
        <v>69</v>
      </c>
      <c r="N20" s="126">
        <f>HydraulicPumps[[#This Row],[Weight 
'[kg']]]/2</f>
        <v>7.65</v>
      </c>
    </row>
    <row r="21" spans="1:14" x14ac:dyDescent="0.3">
      <c r="A21" s="124" t="s">
        <v>496</v>
      </c>
      <c r="B21" s="128">
        <v>80</v>
      </c>
      <c r="C21" s="126">
        <v>80.400000000000006</v>
      </c>
      <c r="D21" s="124">
        <v>280</v>
      </c>
      <c r="E21" s="124">
        <v>290</v>
      </c>
      <c r="F21" s="124">
        <v>300</v>
      </c>
      <c r="G21" s="124">
        <v>100</v>
      </c>
      <c r="H21" s="124">
        <v>2800</v>
      </c>
      <c r="I21" s="124">
        <v>3000</v>
      </c>
      <c r="J21" s="126">
        <v>17.5</v>
      </c>
      <c r="K21" s="127">
        <v>0.95</v>
      </c>
      <c r="L21" s="127">
        <v>0.93</v>
      </c>
      <c r="M21" s="124">
        <v>70</v>
      </c>
      <c r="N21" s="126">
        <f>HydraulicPumps[[#This Row],[Weight 
'[kg']]]/2</f>
        <v>8.75</v>
      </c>
    </row>
    <row r="22" spans="1:14" x14ac:dyDescent="0.3">
      <c r="A22" s="129" t="s">
        <v>497</v>
      </c>
      <c r="B22" s="130">
        <v>100</v>
      </c>
      <c r="C22" s="131">
        <v>100.5</v>
      </c>
      <c r="D22" s="129">
        <v>280</v>
      </c>
      <c r="E22" s="129">
        <v>290</v>
      </c>
      <c r="F22" s="129">
        <v>300</v>
      </c>
      <c r="G22" s="129">
        <v>100</v>
      </c>
      <c r="H22" s="129">
        <v>2500</v>
      </c>
      <c r="I22" s="129">
        <v>3000</v>
      </c>
      <c r="J22" s="131">
        <v>18.7</v>
      </c>
      <c r="K22" s="132">
        <v>0.95</v>
      </c>
      <c r="L22" s="132">
        <v>0.93</v>
      </c>
      <c r="M22" s="129">
        <v>71</v>
      </c>
      <c r="N22" s="126">
        <f>HydraulicPumps[[#This Row],[Weight 
'[kg']]]/2</f>
        <v>9.35</v>
      </c>
    </row>
    <row r="23" spans="1:14" x14ac:dyDescent="0.3">
      <c r="A23" s="124" t="s">
        <v>499</v>
      </c>
      <c r="B23" s="128">
        <v>40</v>
      </c>
      <c r="C23" s="126">
        <v>40.799999999999997</v>
      </c>
      <c r="D23" s="124">
        <v>330</v>
      </c>
      <c r="E23" s="124">
        <v>340</v>
      </c>
      <c r="F23" s="124">
        <v>350</v>
      </c>
      <c r="G23" s="124">
        <v>400</v>
      </c>
      <c r="H23" s="124">
        <v>2200</v>
      </c>
      <c r="I23" s="124">
        <v>2400</v>
      </c>
      <c r="J23" s="126">
        <v>31</v>
      </c>
      <c r="K23" s="127">
        <v>0.93</v>
      </c>
      <c r="L23" s="127">
        <v>0.89</v>
      </c>
      <c r="M23" s="124">
        <v>72</v>
      </c>
      <c r="N23" s="126">
        <f>HydraulicPumps[[#This Row],[Weight 
'[kg']]]/2</f>
        <v>15.5</v>
      </c>
    </row>
    <row r="24" spans="1:14" x14ac:dyDescent="0.3">
      <c r="A24" s="124" t="s">
        <v>500</v>
      </c>
      <c r="B24" s="128">
        <v>50</v>
      </c>
      <c r="C24" s="126">
        <v>50.6</v>
      </c>
      <c r="D24" s="124">
        <v>330</v>
      </c>
      <c r="E24" s="124">
        <v>340</v>
      </c>
      <c r="F24" s="124">
        <v>350</v>
      </c>
      <c r="G24" s="124">
        <v>400</v>
      </c>
      <c r="H24" s="124">
        <v>2200</v>
      </c>
      <c r="I24" s="124">
        <v>2400</v>
      </c>
      <c r="J24" s="126">
        <v>32</v>
      </c>
      <c r="K24" s="127">
        <v>0.93</v>
      </c>
      <c r="L24" s="127">
        <v>0.89</v>
      </c>
      <c r="M24" s="124">
        <v>73</v>
      </c>
      <c r="N24" s="126">
        <f>HydraulicPumps[[#This Row],[Weight 
'[kg']]]/2</f>
        <v>16</v>
      </c>
    </row>
    <row r="25" spans="1:14" x14ac:dyDescent="0.3">
      <c r="A25" s="124" t="s">
        <v>501</v>
      </c>
      <c r="B25" s="128">
        <v>64</v>
      </c>
      <c r="C25" s="126">
        <v>65.3</v>
      </c>
      <c r="D25" s="124">
        <v>315</v>
      </c>
      <c r="E25" s="124">
        <v>330</v>
      </c>
      <c r="F25" s="124">
        <v>340</v>
      </c>
      <c r="G25" s="124">
        <v>400</v>
      </c>
      <c r="H25" s="124">
        <v>2200</v>
      </c>
      <c r="I25" s="124">
        <v>2400</v>
      </c>
      <c r="J25" s="126">
        <v>34</v>
      </c>
      <c r="K25" s="127">
        <v>0.94</v>
      </c>
      <c r="L25" s="127">
        <v>0.89</v>
      </c>
      <c r="M25" s="124">
        <v>74</v>
      </c>
      <c r="N25" s="126">
        <f>HydraulicPumps[[#This Row],[Weight 
'[kg']]]/2</f>
        <v>17</v>
      </c>
    </row>
    <row r="26" spans="1:14" x14ac:dyDescent="0.3">
      <c r="A26" s="124" t="s">
        <v>502</v>
      </c>
      <c r="B26" s="128">
        <v>80</v>
      </c>
      <c r="C26" s="126">
        <v>80</v>
      </c>
      <c r="D26" s="124">
        <v>300</v>
      </c>
      <c r="E26" s="124">
        <v>330</v>
      </c>
      <c r="F26" s="124">
        <v>340</v>
      </c>
      <c r="G26" s="124">
        <v>400</v>
      </c>
      <c r="H26" s="124">
        <v>2000</v>
      </c>
      <c r="I26" s="124">
        <v>2200</v>
      </c>
      <c r="J26" s="126">
        <v>36</v>
      </c>
      <c r="K26" s="127">
        <v>0.94</v>
      </c>
      <c r="L26" s="127">
        <v>0.9</v>
      </c>
      <c r="M26" s="124">
        <v>75</v>
      </c>
      <c r="N26" s="126">
        <f>HydraulicPumps[[#This Row],[Weight 
'[kg']]]/2</f>
        <v>18</v>
      </c>
    </row>
    <row r="27" spans="1:14" x14ac:dyDescent="0.3">
      <c r="A27" s="124" t="s">
        <v>498</v>
      </c>
      <c r="B27" s="128">
        <v>100</v>
      </c>
      <c r="C27" s="126">
        <v>101.2</v>
      </c>
      <c r="D27" s="124">
        <v>300</v>
      </c>
      <c r="E27" s="124">
        <v>330</v>
      </c>
      <c r="F27" s="124">
        <v>340</v>
      </c>
      <c r="G27" s="124">
        <v>400</v>
      </c>
      <c r="H27" s="124">
        <v>2000</v>
      </c>
      <c r="I27" s="124">
        <v>2200</v>
      </c>
      <c r="J27" s="126">
        <v>39</v>
      </c>
      <c r="K27" s="127">
        <v>0.95</v>
      </c>
      <c r="L27" s="127">
        <v>0.9</v>
      </c>
      <c r="M27" s="124">
        <v>76</v>
      </c>
      <c r="N27" s="126">
        <f>HydraulicPumps[[#This Row],[Weight 
'[kg']]]/2</f>
        <v>19.5</v>
      </c>
    </row>
    <row r="28" spans="1:14" x14ac:dyDescent="0.3">
      <c r="A28" s="124" t="s">
        <v>503</v>
      </c>
      <c r="B28" s="128">
        <v>125</v>
      </c>
      <c r="C28" s="126">
        <v>125.7</v>
      </c>
      <c r="D28" s="124">
        <v>250</v>
      </c>
      <c r="E28" s="124">
        <v>280</v>
      </c>
      <c r="F28" s="124">
        <v>300</v>
      </c>
      <c r="G28" s="124">
        <v>400</v>
      </c>
      <c r="H28" s="124">
        <v>2000</v>
      </c>
      <c r="I28" s="124">
        <v>2200</v>
      </c>
      <c r="J28" s="126">
        <v>42</v>
      </c>
      <c r="K28" s="127">
        <v>0.92200000000000004</v>
      </c>
      <c r="L28" s="127">
        <v>0.9</v>
      </c>
      <c r="M28" s="124">
        <v>76</v>
      </c>
      <c r="N28" s="126">
        <f>HydraulicPumps[[#This Row],[Weight 
'[kg']]]/2</f>
        <v>21</v>
      </c>
    </row>
    <row r="29" spans="1:14" x14ac:dyDescent="0.3">
      <c r="A29" s="124" t="s">
        <v>504</v>
      </c>
      <c r="B29" s="128">
        <v>160</v>
      </c>
      <c r="C29" s="126">
        <v>160.1</v>
      </c>
      <c r="D29" s="124">
        <v>250</v>
      </c>
      <c r="E29" s="124">
        <v>280</v>
      </c>
      <c r="F29" s="124">
        <v>300</v>
      </c>
      <c r="G29" s="124">
        <v>400</v>
      </c>
      <c r="H29" s="124">
        <v>1800</v>
      </c>
      <c r="I29" s="124">
        <v>2000</v>
      </c>
      <c r="J29" s="126">
        <v>46</v>
      </c>
      <c r="K29" s="127">
        <v>0.96</v>
      </c>
      <c r="L29" s="127">
        <v>0.91</v>
      </c>
      <c r="M29" s="124">
        <v>77</v>
      </c>
      <c r="N29" s="126">
        <f>HydraulicPumps[[#This Row],[Weight 
'[kg']]]/2</f>
        <v>23</v>
      </c>
    </row>
    <row r="30" spans="1:14" x14ac:dyDescent="0.3">
      <c r="A30" s="124" t="s">
        <v>505</v>
      </c>
      <c r="B30" s="128">
        <v>200</v>
      </c>
      <c r="C30" s="126">
        <v>200.9</v>
      </c>
      <c r="D30" s="124">
        <v>160</v>
      </c>
      <c r="E30" s="124">
        <v>170</v>
      </c>
      <c r="F30" s="124">
        <v>180</v>
      </c>
      <c r="G30" s="124">
        <v>400</v>
      </c>
      <c r="H30" s="124">
        <v>1800</v>
      </c>
      <c r="I30" s="124">
        <v>2000</v>
      </c>
      <c r="J30" s="126">
        <v>51</v>
      </c>
      <c r="K30" s="127">
        <v>0.96</v>
      </c>
      <c r="L30" s="127">
        <v>0.91</v>
      </c>
      <c r="M30" s="124">
        <v>77</v>
      </c>
      <c r="N30" s="126">
        <f>HydraulicPumps[[#This Row],[Weight 
'[kg']]]/2</f>
        <v>25.5</v>
      </c>
    </row>
    <row r="31" spans="1:14" x14ac:dyDescent="0.3">
      <c r="A31" s="129" t="s">
        <v>506</v>
      </c>
      <c r="B31" s="130">
        <v>250</v>
      </c>
      <c r="C31" s="131">
        <v>249.9</v>
      </c>
      <c r="D31" s="129">
        <v>140</v>
      </c>
      <c r="E31" s="129">
        <v>150</v>
      </c>
      <c r="F31" s="129">
        <v>160</v>
      </c>
      <c r="G31" s="129">
        <v>400</v>
      </c>
      <c r="H31" s="129">
        <v>1800</v>
      </c>
      <c r="I31" s="129">
        <v>2000</v>
      </c>
      <c r="J31" s="131">
        <v>58</v>
      </c>
      <c r="K31" s="132">
        <v>0.96</v>
      </c>
      <c r="L31" s="132">
        <v>0.91</v>
      </c>
      <c r="M31" s="129">
        <v>78</v>
      </c>
      <c r="N31" s="126">
        <f>HydraulicPumps[[#This Row],[Weight 
'[kg']]]/2</f>
        <v>29</v>
      </c>
    </row>
    <row r="32" spans="1:14" x14ac:dyDescent="0.3">
      <c r="A32" s="124" t="s">
        <v>507</v>
      </c>
      <c r="B32" s="125">
        <v>4</v>
      </c>
      <c r="C32" s="126">
        <v>5.4</v>
      </c>
      <c r="D32" s="124">
        <v>250</v>
      </c>
      <c r="E32" s="124">
        <v>320</v>
      </c>
      <c r="F32" s="124">
        <v>350</v>
      </c>
      <c r="G32" s="124">
        <v>200</v>
      </c>
      <c r="H32" s="124">
        <v>4000</v>
      </c>
      <c r="I32" s="124">
        <v>4200</v>
      </c>
      <c r="J32" s="126">
        <v>2.9</v>
      </c>
      <c r="K32" s="127">
        <v>0.91</v>
      </c>
      <c r="L32" s="127">
        <v>0.9</v>
      </c>
      <c r="M32" s="124">
        <v>55</v>
      </c>
      <c r="N32" s="126">
        <f>HydraulicPumps[[#This Row],[Weight 
'[kg']]]/2</f>
        <v>1.45</v>
      </c>
    </row>
    <row r="33" spans="1:14" x14ac:dyDescent="0.3">
      <c r="A33" s="124" t="s">
        <v>508</v>
      </c>
      <c r="B33" s="125">
        <v>6</v>
      </c>
      <c r="C33" s="126">
        <v>6.4</v>
      </c>
      <c r="D33" s="124">
        <v>250</v>
      </c>
      <c r="E33" s="124">
        <v>320</v>
      </c>
      <c r="F33" s="124">
        <v>350</v>
      </c>
      <c r="G33" s="124">
        <v>200</v>
      </c>
      <c r="H33" s="124">
        <v>4000</v>
      </c>
      <c r="I33" s="124">
        <v>4200</v>
      </c>
      <c r="J33" s="126">
        <v>3</v>
      </c>
      <c r="K33" s="127">
        <v>0.92</v>
      </c>
      <c r="L33" s="127">
        <v>0.9</v>
      </c>
      <c r="M33" s="124">
        <v>56</v>
      </c>
      <c r="N33" s="126">
        <f>HydraulicPumps[[#This Row],[Weight 
'[kg']]]/2</f>
        <v>1.5</v>
      </c>
    </row>
    <row r="34" spans="1:14" x14ac:dyDescent="0.3">
      <c r="A34" s="124" t="s">
        <v>509</v>
      </c>
      <c r="B34" s="125">
        <v>8</v>
      </c>
      <c r="C34" s="126">
        <v>7.9</v>
      </c>
      <c r="D34" s="124">
        <v>250</v>
      </c>
      <c r="E34" s="124">
        <v>320</v>
      </c>
      <c r="F34" s="124">
        <v>350</v>
      </c>
      <c r="G34" s="124">
        <v>200</v>
      </c>
      <c r="H34" s="124">
        <v>4000</v>
      </c>
      <c r="I34" s="124">
        <v>4200</v>
      </c>
      <c r="J34" s="126">
        <v>3.1</v>
      </c>
      <c r="K34" s="127">
        <v>0.93</v>
      </c>
      <c r="L34" s="127">
        <v>0.91</v>
      </c>
      <c r="M34" s="124">
        <v>58</v>
      </c>
      <c r="N34" s="126">
        <f>HydraulicPumps[[#This Row],[Weight 
'[kg']]]/2</f>
        <v>1.55</v>
      </c>
    </row>
    <row r="35" spans="1:14" x14ac:dyDescent="0.3">
      <c r="A35" s="124" t="s">
        <v>510</v>
      </c>
      <c r="B35" s="125">
        <v>11</v>
      </c>
      <c r="C35" s="126">
        <v>10.9</v>
      </c>
      <c r="D35" s="124">
        <v>250</v>
      </c>
      <c r="E35" s="124">
        <v>320</v>
      </c>
      <c r="F35" s="124">
        <v>350</v>
      </c>
      <c r="G35" s="124">
        <v>200</v>
      </c>
      <c r="H35" s="124">
        <v>3600</v>
      </c>
      <c r="I35" s="124">
        <v>4000</v>
      </c>
      <c r="J35" s="126">
        <v>3.3</v>
      </c>
      <c r="K35" s="127">
        <v>0.93</v>
      </c>
      <c r="L35" s="127">
        <v>0.92</v>
      </c>
      <c r="M35" s="124">
        <v>59</v>
      </c>
      <c r="N35" s="126">
        <f>HydraulicPumps[[#This Row],[Weight 
'[kg']]]/2</f>
        <v>1.65</v>
      </c>
    </row>
    <row r="36" spans="1:14" x14ac:dyDescent="0.3">
      <c r="A36" s="124" t="s">
        <v>511</v>
      </c>
      <c r="B36" s="128">
        <v>13</v>
      </c>
      <c r="C36" s="126">
        <v>13.3</v>
      </c>
      <c r="D36" s="124">
        <v>250</v>
      </c>
      <c r="E36" s="124">
        <v>320</v>
      </c>
      <c r="F36" s="124">
        <v>350</v>
      </c>
      <c r="G36" s="124">
        <v>200</v>
      </c>
      <c r="H36" s="124">
        <v>3600</v>
      </c>
      <c r="I36" s="124">
        <v>4000</v>
      </c>
      <c r="J36" s="126">
        <v>3.5</v>
      </c>
      <c r="K36" s="127">
        <v>0.94</v>
      </c>
      <c r="L36" s="127">
        <v>0.92</v>
      </c>
      <c r="M36" s="124">
        <v>60</v>
      </c>
      <c r="N36" s="126">
        <f>HydraulicPumps[[#This Row],[Weight 
'[kg']]]/2</f>
        <v>1.75</v>
      </c>
    </row>
    <row r="37" spans="1:14" x14ac:dyDescent="0.3">
      <c r="A37" s="124" t="s">
        <v>512</v>
      </c>
      <c r="B37" s="128">
        <v>16</v>
      </c>
      <c r="C37" s="126">
        <v>15.8</v>
      </c>
      <c r="D37" s="124">
        <v>250</v>
      </c>
      <c r="E37" s="124">
        <v>320</v>
      </c>
      <c r="F37" s="124">
        <v>350</v>
      </c>
      <c r="G37" s="124">
        <v>200</v>
      </c>
      <c r="H37" s="124">
        <v>3600</v>
      </c>
      <c r="I37" s="124">
        <v>4000</v>
      </c>
      <c r="J37" s="126">
        <v>3.6</v>
      </c>
      <c r="K37" s="127">
        <v>0.95</v>
      </c>
      <c r="L37" s="127">
        <v>0.93</v>
      </c>
      <c r="M37" s="124">
        <v>61</v>
      </c>
      <c r="N37" s="126">
        <f>HydraulicPumps[[#This Row],[Weight 
'[kg']]]/2</f>
        <v>1.8</v>
      </c>
    </row>
    <row r="38" spans="1:14" x14ac:dyDescent="0.3">
      <c r="A38" s="124" t="s">
        <v>513</v>
      </c>
      <c r="B38" s="128">
        <v>19</v>
      </c>
      <c r="C38" s="126">
        <v>19.3</v>
      </c>
      <c r="D38" s="124">
        <v>250</v>
      </c>
      <c r="E38" s="124">
        <v>300</v>
      </c>
      <c r="F38" s="124">
        <v>325</v>
      </c>
      <c r="G38" s="124">
        <v>100</v>
      </c>
      <c r="H38" s="124">
        <v>3000</v>
      </c>
      <c r="I38" s="124">
        <v>3600</v>
      </c>
      <c r="J38" s="126">
        <v>3.8</v>
      </c>
      <c r="K38" s="127">
        <v>0.95</v>
      </c>
      <c r="L38" s="127">
        <v>0.93</v>
      </c>
      <c r="M38" s="124">
        <v>62</v>
      </c>
      <c r="N38" s="126">
        <f>HydraulicPumps[[#This Row],[Weight 
'[kg']]]/2</f>
        <v>1.9</v>
      </c>
    </row>
    <row r="39" spans="1:14" x14ac:dyDescent="0.3">
      <c r="A39" s="124" t="s">
        <v>514</v>
      </c>
      <c r="B39" s="128">
        <v>22</v>
      </c>
      <c r="C39" s="126">
        <v>22.2</v>
      </c>
      <c r="D39" s="124">
        <v>250</v>
      </c>
      <c r="E39" s="124">
        <v>300</v>
      </c>
      <c r="F39" s="124">
        <v>325</v>
      </c>
      <c r="G39" s="124">
        <v>100</v>
      </c>
      <c r="H39" s="124">
        <v>3000</v>
      </c>
      <c r="I39" s="124">
        <v>3600</v>
      </c>
      <c r="J39" s="126">
        <v>4</v>
      </c>
      <c r="K39" s="127">
        <v>0.95</v>
      </c>
      <c r="L39" s="127">
        <v>0.93</v>
      </c>
      <c r="M39" s="124">
        <v>63</v>
      </c>
      <c r="N39" s="126">
        <f>HydraulicPumps[[#This Row],[Weight 
'[kg']]]/2</f>
        <v>2</v>
      </c>
    </row>
    <row r="40" spans="1:14" x14ac:dyDescent="0.3">
      <c r="A40" s="129" t="s">
        <v>515</v>
      </c>
      <c r="B40" s="130">
        <v>25</v>
      </c>
      <c r="C40" s="131">
        <v>25.2</v>
      </c>
      <c r="D40" s="129">
        <v>250</v>
      </c>
      <c r="E40" s="129">
        <v>280</v>
      </c>
      <c r="F40" s="129">
        <v>300</v>
      </c>
      <c r="G40" s="129">
        <v>100</v>
      </c>
      <c r="H40" s="129">
        <v>3000</v>
      </c>
      <c r="I40" s="129">
        <v>3600</v>
      </c>
      <c r="J40" s="131">
        <v>4.2</v>
      </c>
      <c r="K40" s="132">
        <v>0.95</v>
      </c>
      <c r="L40" s="132">
        <v>0.93</v>
      </c>
      <c r="M40" s="129">
        <v>64</v>
      </c>
      <c r="N40" s="126">
        <f>HydraulicPumps[[#This Row],[Weight 
'[kg']]]/2</f>
        <v>2.1</v>
      </c>
    </row>
    <row r="41" spans="1:14" x14ac:dyDescent="0.3">
      <c r="A41" s="124" t="s">
        <v>516</v>
      </c>
      <c r="B41" s="128">
        <v>20</v>
      </c>
      <c r="C41" s="126">
        <v>20</v>
      </c>
      <c r="D41" s="124">
        <v>250</v>
      </c>
      <c r="E41" s="124">
        <v>320</v>
      </c>
      <c r="F41" s="124">
        <v>350</v>
      </c>
      <c r="G41" s="124">
        <v>200</v>
      </c>
      <c r="H41" s="124">
        <v>3400</v>
      </c>
      <c r="I41" s="124">
        <v>3900</v>
      </c>
      <c r="J41" s="126">
        <v>8.3000000000000007</v>
      </c>
      <c r="K41" s="127">
        <v>0.93</v>
      </c>
      <c r="L41" s="127">
        <v>0.91</v>
      </c>
      <c r="M41" s="124">
        <v>62</v>
      </c>
      <c r="N41" s="126">
        <f>HydraulicPumps[[#This Row],[Weight 
'[kg']]]/2</f>
        <v>4.1500000000000004</v>
      </c>
    </row>
    <row r="42" spans="1:14" x14ac:dyDescent="0.3">
      <c r="A42" s="124" t="s">
        <v>517</v>
      </c>
      <c r="B42" s="128">
        <v>25</v>
      </c>
      <c r="C42" s="126">
        <v>24.8</v>
      </c>
      <c r="D42" s="124">
        <v>250</v>
      </c>
      <c r="E42" s="124">
        <v>320</v>
      </c>
      <c r="F42" s="124">
        <v>350</v>
      </c>
      <c r="G42" s="124">
        <v>200</v>
      </c>
      <c r="H42" s="124">
        <v>3200</v>
      </c>
      <c r="I42" s="124">
        <v>3800</v>
      </c>
      <c r="J42" s="126">
        <v>8.6</v>
      </c>
      <c r="K42" s="127">
        <v>0.93</v>
      </c>
      <c r="L42" s="127">
        <v>0.92</v>
      </c>
      <c r="M42" s="124">
        <v>63</v>
      </c>
      <c r="N42" s="126">
        <f>HydraulicPumps[[#This Row],[Weight 
'[kg']]]/2</f>
        <v>4.3</v>
      </c>
    </row>
    <row r="43" spans="1:14" x14ac:dyDescent="0.3">
      <c r="A43" s="124" t="s">
        <v>518</v>
      </c>
      <c r="B43" s="128">
        <v>32</v>
      </c>
      <c r="C43" s="126">
        <v>32.1</v>
      </c>
      <c r="D43" s="124">
        <v>250</v>
      </c>
      <c r="E43" s="124">
        <v>320</v>
      </c>
      <c r="F43" s="124">
        <v>350</v>
      </c>
      <c r="G43" s="124">
        <v>200</v>
      </c>
      <c r="H43" s="124">
        <v>3000</v>
      </c>
      <c r="I43" s="124">
        <v>3700</v>
      </c>
      <c r="J43" s="126">
        <v>9.1999999999999993</v>
      </c>
      <c r="K43" s="127">
        <v>0.94</v>
      </c>
      <c r="L43" s="127">
        <v>0.92</v>
      </c>
      <c r="M43" s="124">
        <v>64</v>
      </c>
      <c r="N43" s="126">
        <f>HydraulicPumps[[#This Row],[Weight 
'[kg']]]/2</f>
        <v>4.5999999999999996</v>
      </c>
    </row>
    <row r="44" spans="1:14" x14ac:dyDescent="0.3">
      <c r="A44" s="124" t="s">
        <v>519</v>
      </c>
      <c r="B44" s="128">
        <v>40</v>
      </c>
      <c r="C44" s="126">
        <v>40.1</v>
      </c>
      <c r="D44" s="124">
        <v>250</v>
      </c>
      <c r="E44" s="124">
        <v>300</v>
      </c>
      <c r="F44" s="124">
        <v>325</v>
      </c>
      <c r="G44" s="124">
        <v>100</v>
      </c>
      <c r="H44" s="124">
        <v>2500</v>
      </c>
      <c r="I44" s="124">
        <v>2500</v>
      </c>
      <c r="J44" s="126">
        <v>9.8000000000000007</v>
      </c>
      <c r="K44" s="127">
        <v>0.95</v>
      </c>
      <c r="L44" s="127">
        <v>0.93</v>
      </c>
      <c r="M44" s="124">
        <v>65</v>
      </c>
      <c r="N44" s="126">
        <f>HydraulicPumps[[#This Row],[Weight 
'[kg']]]/2</f>
        <v>4.9000000000000004</v>
      </c>
    </row>
    <row r="45" spans="1:14" x14ac:dyDescent="0.3">
      <c r="A45" s="124" t="s">
        <v>520</v>
      </c>
      <c r="B45" s="128">
        <v>50</v>
      </c>
      <c r="C45" s="126">
        <v>50.3</v>
      </c>
      <c r="D45" s="124">
        <v>250</v>
      </c>
      <c r="E45" s="124">
        <v>280</v>
      </c>
      <c r="F45" s="124">
        <v>300</v>
      </c>
      <c r="G45" s="124">
        <v>100</v>
      </c>
      <c r="H45" s="124">
        <v>1800</v>
      </c>
      <c r="I45" s="124">
        <v>1800</v>
      </c>
      <c r="J45" s="126">
        <v>10.5</v>
      </c>
      <c r="K45" s="127">
        <v>0.95</v>
      </c>
      <c r="L45" s="124">
        <v>0.93</v>
      </c>
      <c r="M45" s="124">
        <v>66</v>
      </c>
      <c r="N45" s="126">
        <f>HydraulicPumps[[#This Row],[Weight 
'[kg']]]/2</f>
        <v>5.25</v>
      </c>
    </row>
    <row r="46" spans="1:14" x14ac:dyDescent="0.3">
      <c r="A46" s="124" t="s">
        <v>521</v>
      </c>
      <c r="B46" s="128">
        <v>63</v>
      </c>
      <c r="C46" s="126">
        <v>63.1</v>
      </c>
      <c r="D46" s="124">
        <v>180</v>
      </c>
      <c r="E46" s="124">
        <v>210</v>
      </c>
      <c r="F46" s="124">
        <v>210</v>
      </c>
      <c r="G46" s="133">
        <v>100</v>
      </c>
      <c r="H46" s="133">
        <v>1800</v>
      </c>
      <c r="I46" s="133">
        <v>1800</v>
      </c>
      <c r="J46" s="126">
        <v>5.4</v>
      </c>
      <c r="K46" s="127">
        <v>0.94</v>
      </c>
      <c r="L46" s="127">
        <v>0.92</v>
      </c>
      <c r="M46" s="124">
        <v>62</v>
      </c>
      <c r="N46" s="126">
        <f>HydraulicPumps[[#This Row],[Weight 
'[kg']]]/2</f>
        <v>2.7</v>
      </c>
    </row>
    <row r="47" spans="1:14" x14ac:dyDescent="0.3">
      <c r="A47" s="129" t="s">
        <v>522</v>
      </c>
      <c r="B47" s="130">
        <v>64</v>
      </c>
      <c r="C47" s="131">
        <v>64.400000000000006</v>
      </c>
      <c r="D47" s="129">
        <v>250</v>
      </c>
      <c r="E47" s="129">
        <v>280</v>
      </c>
      <c r="F47" s="129">
        <v>300</v>
      </c>
      <c r="G47" s="129">
        <v>100</v>
      </c>
      <c r="H47" s="129">
        <v>1800</v>
      </c>
      <c r="I47" s="129">
        <v>1800</v>
      </c>
      <c r="J47" s="131">
        <v>11.5</v>
      </c>
      <c r="K47" s="132">
        <v>0.95</v>
      </c>
      <c r="L47" s="132">
        <v>0.93</v>
      </c>
      <c r="M47" s="129">
        <v>68</v>
      </c>
      <c r="N47" s="126">
        <f>HydraulicPumps[[#This Row],[Weight 
'[kg']]]/2</f>
        <v>5.75</v>
      </c>
    </row>
    <row r="48" spans="1:14" x14ac:dyDescent="0.3">
      <c r="A48" s="124" t="s">
        <v>523</v>
      </c>
      <c r="B48" s="128">
        <v>64</v>
      </c>
      <c r="C48" s="126">
        <v>65.3</v>
      </c>
      <c r="D48" s="124">
        <v>250</v>
      </c>
      <c r="E48" s="124">
        <v>270</v>
      </c>
      <c r="F48" s="124">
        <v>280</v>
      </c>
      <c r="G48" s="124">
        <v>100</v>
      </c>
      <c r="H48" s="124">
        <v>2800</v>
      </c>
      <c r="I48" s="124">
        <v>3000</v>
      </c>
      <c r="J48" s="126">
        <v>11.5</v>
      </c>
      <c r="K48" s="127">
        <v>0.94</v>
      </c>
      <c r="L48" s="127">
        <v>0.92</v>
      </c>
      <c r="M48" s="124">
        <v>69</v>
      </c>
      <c r="N48" s="126">
        <f>HydraulicPumps[[#This Row],[Weight 
'[kg']]]/2</f>
        <v>5.75</v>
      </c>
    </row>
    <row r="49" spans="1:15" x14ac:dyDescent="0.3">
      <c r="A49" s="124" t="s">
        <v>524</v>
      </c>
      <c r="B49" s="128">
        <v>80</v>
      </c>
      <c r="C49" s="126">
        <v>80.400000000000006</v>
      </c>
      <c r="D49" s="124">
        <v>250</v>
      </c>
      <c r="E49" s="124">
        <v>270</v>
      </c>
      <c r="F49" s="124">
        <v>280</v>
      </c>
      <c r="G49" s="124">
        <v>100</v>
      </c>
      <c r="H49" s="124">
        <v>2800</v>
      </c>
      <c r="I49" s="124">
        <v>3000</v>
      </c>
      <c r="J49" s="126">
        <v>13</v>
      </c>
      <c r="K49" s="127">
        <v>0.95</v>
      </c>
      <c r="L49" s="127">
        <v>0.93</v>
      </c>
      <c r="M49" s="124">
        <v>70</v>
      </c>
      <c r="N49" s="126">
        <f>HydraulicPumps[[#This Row],[Weight 
'[kg']]]/2</f>
        <v>6.5</v>
      </c>
    </row>
    <row r="50" spans="1:15" x14ac:dyDescent="0.3">
      <c r="A50" s="129" t="s">
        <v>525</v>
      </c>
      <c r="B50" s="130">
        <v>100</v>
      </c>
      <c r="C50" s="131">
        <v>100.5</v>
      </c>
      <c r="D50" s="129">
        <v>250</v>
      </c>
      <c r="E50" s="129">
        <v>270</v>
      </c>
      <c r="F50" s="129">
        <v>280</v>
      </c>
      <c r="G50" s="129">
        <v>100</v>
      </c>
      <c r="H50" s="129">
        <v>2500</v>
      </c>
      <c r="I50" s="129">
        <v>3000</v>
      </c>
      <c r="J50" s="131">
        <v>13.5</v>
      </c>
      <c r="K50" s="132">
        <v>0.95</v>
      </c>
      <c r="L50" s="132">
        <v>0.93</v>
      </c>
      <c r="M50" s="129">
        <v>71</v>
      </c>
      <c r="N50" s="126">
        <f>HydraulicPumps[[#This Row],[Weight 
'[kg']]]/2</f>
        <v>6.75</v>
      </c>
    </row>
    <row r="51" spans="1:15" x14ac:dyDescent="0.3">
      <c r="A51" s="124" t="s">
        <v>526</v>
      </c>
      <c r="B51" s="128">
        <v>125</v>
      </c>
      <c r="C51" s="126">
        <v>125.7</v>
      </c>
      <c r="D51" s="124">
        <v>250</v>
      </c>
      <c r="E51" s="124">
        <v>280</v>
      </c>
      <c r="F51" s="124">
        <v>300</v>
      </c>
      <c r="G51" s="124">
        <v>400</v>
      </c>
      <c r="H51" s="124">
        <v>2500</v>
      </c>
      <c r="I51" s="124">
        <v>2800</v>
      </c>
      <c r="J51" s="126">
        <v>27.5</v>
      </c>
      <c r="K51" s="127">
        <v>0.94</v>
      </c>
      <c r="L51" s="127">
        <v>0.9</v>
      </c>
      <c r="M51" s="124">
        <v>76</v>
      </c>
      <c r="N51" s="126">
        <f>HydraulicPumps[[#This Row],[Weight 
'[kg']]]/2</f>
        <v>13.75</v>
      </c>
    </row>
    <row r="52" spans="1:15" x14ac:dyDescent="0.3">
      <c r="A52" s="124" t="s">
        <v>527</v>
      </c>
      <c r="B52" s="128">
        <v>160</v>
      </c>
      <c r="C52" s="126">
        <v>160.1</v>
      </c>
      <c r="D52" s="124">
        <v>250</v>
      </c>
      <c r="E52" s="124">
        <v>280</v>
      </c>
      <c r="F52" s="124">
        <v>300</v>
      </c>
      <c r="G52" s="124">
        <v>400</v>
      </c>
      <c r="H52" s="124">
        <v>2000</v>
      </c>
      <c r="I52" s="124">
        <v>2200</v>
      </c>
      <c r="J52" s="126">
        <v>30</v>
      </c>
      <c r="K52" s="127">
        <v>0.94</v>
      </c>
      <c r="L52" s="134">
        <v>0.9</v>
      </c>
      <c r="M52" s="124">
        <v>77</v>
      </c>
      <c r="N52" s="126">
        <f>HydraulicPumps[[#This Row],[Weight 
'[kg']]]/2</f>
        <v>15</v>
      </c>
    </row>
    <row r="53" spans="1:15" x14ac:dyDescent="0.3">
      <c r="A53" s="124" t="s">
        <v>528</v>
      </c>
      <c r="B53" s="128">
        <v>200</v>
      </c>
      <c r="C53" s="126">
        <v>200.9</v>
      </c>
      <c r="D53" s="124">
        <v>160</v>
      </c>
      <c r="E53" s="124">
        <v>170</v>
      </c>
      <c r="F53" s="124">
        <v>180</v>
      </c>
      <c r="G53" s="124">
        <v>400</v>
      </c>
      <c r="H53" s="124">
        <v>2000</v>
      </c>
      <c r="I53" s="124">
        <v>2200</v>
      </c>
      <c r="J53" s="126">
        <v>43</v>
      </c>
      <c r="K53" s="127">
        <v>0.93</v>
      </c>
      <c r="L53" s="127">
        <v>0.91</v>
      </c>
      <c r="M53" s="124">
        <v>77</v>
      </c>
      <c r="N53" s="126">
        <f>HydraulicPumps[[#This Row],[Weight 
'[kg']]]/2</f>
        <v>21.5</v>
      </c>
    </row>
    <row r="54" spans="1:15" x14ac:dyDescent="0.3">
      <c r="A54" s="124" t="s">
        <v>529</v>
      </c>
      <c r="B54" s="128">
        <v>250</v>
      </c>
      <c r="C54" s="126">
        <v>249.9</v>
      </c>
      <c r="D54" s="124">
        <v>140</v>
      </c>
      <c r="E54" s="124">
        <v>150</v>
      </c>
      <c r="F54" s="124">
        <v>160</v>
      </c>
      <c r="G54" s="124">
        <v>400</v>
      </c>
      <c r="H54" s="124">
        <v>2000</v>
      </c>
      <c r="I54" s="124">
        <v>2200</v>
      </c>
      <c r="J54" s="126">
        <v>54</v>
      </c>
      <c r="K54" s="127">
        <v>0.93</v>
      </c>
      <c r="L54" s="134">
        <v>0.91</v>
      </c>
      <c r="M54" s="124">
        <v>78</v>
      </c>
      <c r="N54" s="126">
        <f>HydraulicPumps[[#This Row],[Weight 
'[kg']]]/2</f>
        <v>27</v>
      </c>
      <c r="O54" t="s">
        <v>541</v>
      </c>
    </row>
    <row r="55" spans="1:15" x14ac:dyDescent="0.3">
      <c r="B55" s="128"/>
      <c r="C55" s="126"/>
      <c r="J55" s="126"/>
      <c r="K55" s="127"/>
      <c r="L55" s="127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1" tint="0.499984740745262"/>
  </sheetPr>
  <dimension ref="A1:V114"/>
  <sheetViews>
    <sheetView tabSelected="1" topLeftCell="H1" workbookViewId="0">
      <selection activeCell="M8" sqref="M8"/>
    </sheetView>
  </sheetViews>
  <sheetFormatPr defaultColWidth="11.44140625" defaultRowHeight="14.4" x14ac:dyDescent="0.3"/>
  <cols>
    <col min="1" max="1" width="19.109375" customWidth="1"/>
    <col min="2" max="2" width="18.44140625" customWidth="1"/>
    <col min="5" max="5" width="17" customWidth="1"/>
    <col min="12" max="12" width="19.5546875" customWidth="1"/>
    <col min="13" max="13" width="14.77734375" customWidth="1"/>
  </cols>
  <sheetData>
    <row r="1" spans="1:22" x14ac:dyDescent="0.3">
      <c r="A1" t="s">
        <v>196</v>
      </c>
      <c r="B1" t="s">
        <v>179</v>
      </c>
      <c r="G1" t="s">
        <v>696</v>
      </c>
    </row>
    <row r="2" spans="1:22" x14ac:dyDescent="0.3">
      <c r="A2" s="53" t="s">
        <v>56</v>
      </c>
      <c r="B2" s="53" t="s">
        <v>56</v>
      </c>
      <c r="E2" t="s">
        <v>697</v>
      </c>
      <c r="F2" t="s">
        <v>698</v>
      </c>
      <c r="J2" s="53" t="s">
        <v>343</v>
      </c>
      <c r="K2" s="53" t="s">
        <v>347</v>
      </c>
    </row>
    <row r="3" spans="1:22" x14ac:dyDescent="0.3">
      <c r="A3" s="353" t="s">
        <v>623</v>
      </c>
      <c r="B3" s="353" t="s">
        <v>319</v>
      </c>
      <c r="E3" t="s">
        <v>623</v>
      </c>
      <c r="F3" t="s">
        <v>319</v>
      </c>
      <c r="G3" s="53" t="s">
        <v>319</v>
      </c>
      <c r="H3" t="str">
        <f t="shared" ref="H3:H18" si="0">IF($F3=$G3,"Yes","No")</f>
        <v>Yes</v>
      </c>
      <c r="J3" s="53" t="s">
        <v>344</v>
      </c>
      <c r="K3" s="53" t="s">
        <v>348</v>
      </c>
    </row>
    <row r="4" spans="1:22" x14ac:dyDescent="0.3">
      <c r="A4" t="s">
        <v>429</v>
      </c>
      <c r="B4" s="53" t="s">
        <v>320</v>
      </c>
      <c r="E4" t="s">
        <v>429</v>
      </c>
      <c r="F4" s="53" t="s">
        <v>320</v>
      </c>
      <c r="G4" s="53" t="s">
        <v>320</v>
      </c>
      <c r="H4" t="str">
        <f t="shared" si="0"/>
        <v>Yes</v>
      </c>
      <c r="J4" s="53" t="s">
        <v>345</v>
      </c>
      <c r="K4" s="53" t="s">
        <v>349</v>
      </c>
    </row>
    <row r="5" spans="1:22" x14ac:dyDescent="0.3">
      <c r="A5" t="s">
        <v>624</v>
      </c>
      <c r="B5" t="s">
        <v>321</v>
      </c>
      <c r="E5" t="s">
        <v>624</v>
      </c>
      <c r="F5" t="s">
        <v>321</v>
      </c>
      <c r="G5" s="53" t="s">
        <v>321</v>
      </c>
      <c r="H5" t="str">
        <f t="shared" si="0"/>
        <v>Yes</v>
      </c>
      <c r="J5" s="53" t="s">
        <v>346</v>
      </c>
      <c r="K5" s="53" t="s">
        <v>350</v>
      </c>
    </row>
    <row r="6" spans="1:22" x14ac:dyDescent="0.3">
      <c r="A6" t="s">
        <v>430</v>
      </c>
      <c r="B6" s="53" t="s">
        <v>322</v>
      </c>
      <c r="E6" t="s">
        <v>430</v>
      </c>
      <c r="F6" s="53" t="s">
        <v>322</v>
      </c>
      <c r="G6" s="53" t="s">
        <v>322</v>
      </c>
      <c r="H6" t="str">
        <f t="shared" si="0"/>
        <v>Yes</v>
      </c>
      <c r="J6" s="53" t="s">
        <v>355</v>
      </c>
      <c r="K6" s="53" t="s">
        <v>359</v>
      </c>
    </row>
    <row r="7" spans="1:22" x14ac:dyDescent="0.3">
      <c r="A7" t="s">
        <v>625</v>
      </c>
      <c r="B7" t="s">
        <v>323</v>
      </c>
      <c r="E7" t="s">
        <v>625</v>
      </c>
      <c r="F7" t="s">
        <v>323</v>
      </c>
      <c r="G7" s="53" t="s">
        <v>323</v>
      </c>
      <c r="H7" t="str">
        <f t="shared" si="0"/>
        <v>Yes</v>
      </c>
      <c r="J7" s="53" t="s">
        <v>355</v>
      </c>
      <c r="K7" s="53" t="s">
        <v>359</v>
      </c>
      <c r="L7" t="s">
        <v>725</v>
      </c>
      <c r="M7" s="355" t="s">
        <v>729</v>
      </c>
    </row>
    <row r="8" spans="1:22" x14ac:dyDescent="0.3">
      <c r="A8" t="s">
        <v>431</v>
      </c>
      <c r="B8" s="53" t="s">
        <v>324</v>
      </c>
      <c r="E8" t="s">
        <v>431</v>
      </c>
      <c r="F8" s="53" t="s">
        <v>324</v>
      </c>
      <c r="G8" s="53" t="s">
        <v>324</v>
      </c>
      <c r="H8" t="str">
        <f t="shared" si="0"/>
        <v>Yes</v>
      </c>
      <c r="J8" s="53" t="s">
        <v>356</v>
      </c>
      <c r="K8" s="53" t="s">
        <v>360</v>
      </c>
      <c r="M8" t="str">
        <f>IF(LEFT(M7,1)="0","CS", IF(LEFT(M7,1)="V","CF",""))</f>
        <v>CS</v>
      </c>
      <c r="N8" t="s">
        <v>718</v>
      </c>
      <c r="O8" t="s">
        <v>719</v>
      </c>
      <c r="P8" t="s">
        <v>720</v>
      </c>
    </row>
    <row r="9" spans="1:22" x14ac:dyDescent="0.3">
      <c r="A9" t="s">
        <v>626</v>
      </c>
      <c r="B9" t="s">
        <v>325</v>
      </c>
      <c r="E9" t="s">
        <v>626</v>
      </c>
      <c r="F9" t="s">
        <v>325</v>
      </c>
      <c r="G9" s="53" t="s">
        <v>325</v>
      </c>
      <c r="H9" t="str">
        <f t="shared" si="0"/>
        <v>Yes</v>
      </c>
      <c r="J9" s="53" t="s">
        <v>356</v>
      </c>
      <c r="K9" s="53" t="s">
        <v>360</v>
      </c>
      <c r="M9" t="str">
        <f>IF(MID(SUBSTITUTE(M7,"'","",1),2,1)="7","SE",
 IF(MID(SUBSTITUTE(M7,"'","",1),2,1)="8","SF",
 IF(MID(SUBSTITUTE(M7,"'","",1),2,1)="9","SG","")))</f>
        <v>SE</v>
      </c>
      <c r="N9" t="s">
        <v>704</v>
      </c>
      <c r="O9" t="s">
        <v>715</v>
      </c>
      <c r="P9" t="s">
        <v>716</v>
      </c>
      <c r="Q9" t="s">
        <v>717</v>
      </c>
    </row>
    <row r="10" spans="1:22" x14ac:dyDescent="0.3">
      <c r="A10" t="s">
        <v>432</v>
      </c>
      <c r="B10" s="53" t="s">
        <v>326</v>
      </c>
      <c r="E10" t="s">
        <v>432</v>
      </c>
      <c r="F10" s="53" t="s">
        <v>326</v>
      </c>
      <c r="G10" s="53" t="s">
        <v>326</v>
      </c>
      <c r="H10" t="str">
        <f t="shared" si="0"/>
        <v>Yes</v>
      </c>
      <c r="J10" s="53" t="s">
        <v>357</v>
      </c>
      <c r="K10" s="53" t="s">
        <v>361</v>
      </c>
      <c r="M10" t="str">
        <f>IF(MID(SUBSTITUTE(M7,"'","",1),3,1)="1","L1",
 IF(MID(SUBSTITUTE(M7,"'","",1),3,1)="2","L2",
 IF(MID(SUBSTITUTE(M7,"'","",1),3,1)="3","L3",
 IF(MID(SUBSTITUTE(M7,"'","",1),3,1)="4","L4",
 IF(MID(SUBSTITUTE(M7,"'","",1),3,1)="5","L5",
 IF(MID(SUBSTITUTE(M7,"'","",1),3,1)="6","L6",
 IF(MID(SUBSTITUTE(M7,"'","",1),3,1)="7","L7",
 IF(MID(SUBSTITUTE(M7,"'","",1),3,1)="8","L8",""))))))))</f>
        <v>L1</v>
      </c>
      <c r="N10" t="s">
        <v>721</v>
      </c>
      <c r="O10" t="s">
        <v>705</v>
      </c>
      <c r="P10" t="s">
        <v>706</v>
      </c>
      <c r="Q10" t="s">
        <v>707</v>
      </c>
      <c r="R10" t="s">
        <v>708</v>
      </c>
      <c r="S10" t="s">
        <v>709</v>
      </c>
      <c r="T10" t="s">
        <v>710</v>
      </c>
      <c r="U10" t="s">
        <v>711</v>
      </c>
      <c r="V10" t="s">
        <v>712</v>
      </c>
    </row>
    <row r="11" spans="1:22" x14ac:dyDescent="0.3">
      <c r="A11" t="s">
        <v>627</v>
      </c>
      <c r="B11" t="s">
        <v>327</v>
      </c>
      <c r="E11" t="s">
        <v>627</v>
      </c>
      <c r="F11" t="s">
        <v>327</v>
      </c>
      <c r="G11" s="53" t="s">
        <v>327</v>
      </c>
      <c r="H11" t="str">
        <f>IF($F11=$G11,"Yes","No")</f>
        <v>Yes</v>
      </c>
      <c r="J11" s="53" t="s">
        <v>357</v>
      </c>
      <c r="K11" s="53" t="s">
        <v>361</v>
      </c>
      <c r="M11" t="str">
        <f>IF(MID(SUBSTITUTE(M7,"'","",1),4,2)="10","SP10",
IF(MID(SUBSTITUTE(M7,"'","",1),4,2)="15","SP15",
IF(MID(SUBSTITUTE(M7,"'","",1),4,2)="20","SP20",IF(MID(SUBSTITUTE(M7,"'","",1),4,2)="28","SP28",
IF(MID(SUBSTITUTE(M7,"'","",1),4,2)="30","SP30","")))))</f>
        <v>SP10</v>
      </c>
      <c r="N11" t="s">
        <v>699</v>
      </c>
      <c r="O11" t="s">
        <v>700</v>
      </c>
      <c r="P11" t="s">
        <v>701</v>
      </c>
      <c r="Q11" t="s">
        <v>702</v>
      </c>
      <c r="R11" t="s">
        <v>722</v>
      </c>
      <c r="S11" t="s">
        <v>703</v>
      </c>
    </row>
    <row r="12" spans="1:22" x14ac:dyDescent="0.3">
      <c r="A12" t="s">
        <v>433</v>
      </c>
      <c r="B12" s="53" t="s">
        <v>328</v>
      </c>
      <c r="E12" t="s">
        <v>433</v>
      </c>
      <c r="F12" s="53" t="s">
        <v>328</v>
      </c>
      <c r="G12" s="53" t="s">
        <v>328</v>
      </c>
      <c r="H12" t="str">
        <f t="shared" si="0"/>
        <v>Yes</v>
      </c>
      <c r="J12" s="53" t="s">
        <v>358</v>
      </c>
      <c r="K12" s="53" t="s">
        <v>362</v>
      </c>
      <c r="M12" t="str">
        <f>IF(MID(SUBSTITUTE(M7,"'","",1),6,1)="4","V4","")</f>
        <v>V4</v>
      </c>
      <c r="N12" t="s">
        <v>713</v>
      </c>
      <c r="O12" t="s">
        <v>714</v>
      </c>
    </row>
    <row r="13" spans="1:22" x14ac:dyDescent="0.3">
      <c r="A13" t="s">
        <v>628</v>
      </c>
      <c r="B13" t="s">
        <v>329</v>
      </c>
      <c r="E13" t="s">
        <v>628</v>
      </c>
      <c r="F13" t="s">
        <v>329</v>
      </c>
      <c r="G13" s="53" t="s">
        <v>329</v>
      </c>
      <c r="H13" t="str">
        <f t="shared" si="0"/>
        <v>Yes</v>
      </c>
      <c r="J13" s="53" t="s">
        <v>358</v>
      </c>
      <c r="K13" s="53" t="s">
        <v>362</v>
      </c>
      <c r="L13" t="s">
        <v>724</v>
      </c>
      <c r="M13" t="str">
        <f>IF(OR(M8="", M9="", M10="", M11="", M12=""), "NOT VALID", _xlfn.TEXTJOIN(" ", TRUE, M12, M9, M10, M8, M11))</f>
        <v>V4 SE L1 CS SP10</v>
      </c>
    </row>
    <row r="14" spans="1:22" x14ac:dyDescent="0.3">
      <c r="A14" t="s">
        <v>434</v>
      </c>
      <c r="B14" s="53" t="s">
        <v>330</v>
      </c>
      <c r="E14" t="s">
        <v>434</v>
      </c>
      <c r="F14" s="53" t="s">
        <v>330</v>
      </c>
      <c r="G14" s="53" t="s">
        <v>330</v>
      </c>
      <c r="H14" t="str">
        <f t="shared" si="0"/>
        <v>Yes</v>
      </c>
      <c r="L14" t="s">
        <v>723</v>
      </c>
      <c r="M14" t="str">
        <f>"CMSM4"&amp; MID(M10,2,1) &amp; MID(M9,2,1) &amp; "-xxxx"</f>
        <v>CMSM41E-xxxx</v>
      </c>
    </row>
    <row r="15" spans="1:22" x14ac:dyDescent="0.3">
      <c r="A15" t="s">
        <v>629</v>
      </c>
      <c r="B15" t="s">
        <v>331</v>
      </c>
      <c r="E15" t="s">
        <v>629</v>
      </c>
      <c r="F15" t="s">
        <v>331</v>
      </c>
      <c r="G15" s="53" t="s">
        <v>331</v>
      </c>
      <c r="H15" t="str">
        <f t="shared" si="0"/>
        <v>Yes</v>
      </c>
      <c r="L15" t="s">
        <v>726</v>
      </c>
      <c r="M15" t="s">
        <v>727</v>
      </c>
    </row>
    <row r="16" spans="1:22" x14ac:dyDescent="0.3">
      <c r="A16" t="s">
        <v>435</v>
      </c>
      <c r="B16" s="53" t="s">
        <v>332</v>
      </c>
      <c r="E16" t="s">
        <v>435</v>
      </c>
      <c r="F16" s="53" t="s">
        <v>332</v>
      </c>
      <c r="G16" s="53" t="s">
        <v>332</v>
      </c>
      <c r="H16" t="str">
        <f t="shared" si="0"/>
        <v>Yes</v>
      </c>
      <c r="L16" t="s">
        <v>728</v>
      </c>
      <c r="M16" t="str">
        <f>M13</f>
        <v>V4 SE L1 CS SP10</v>
      </c>
    </row>
    <row r="17" spans="1:8" x14ac:dyDescent="0.3">
      <c r="A17" t="s">
        <v>630</v>
      </c>
      <c r="B17" t="s">
        <v>333</v>
      </c>
      <c r="E17" t="s">
        <v>630</v>
      </c>
      <c r="F17" t="s">
        <v>333</v>
      </c>
      <c r="G17" s="53" t="s">
        <v>333</v>
      </c>
      <c r="H17" t="str">
        <f t="shared" si="0"/>
        <v>Yes</v>
      </c>
    </row>
    <row r="18" spans="1:8" x14ac:dyDescent="0.3">
      <c r="A18" t="s">
        <v>436</v>
      </c>
      <c r="B18" s="53" t="s">
        <v>334</v>
      </c>
      <c r="E18" t="s">
        <v>436</v>
      </c>
      <c r="F18" s="53" t="s">
        <v>334</v>
      </c>
      <c r="G18" s="53" t="s">
        <v>334</v>
      </c>
      <c r="H18" t="str">
        <f t="shared" si="0"/>
        <v>Yes</v>
      </c>
    </row>
    <row r="19" spans="1:8" x14ac:dyDescent="0.3">
      <c r="A19" t="s">
        <v>631</v>
      </c>
      <c r="B19" t="s">
        <v>335</v>
      </c>
      <c r="E19" t="s">
        <v>631</v>
      </c>
      <c r="F19" t="s">
        <v>335</v>
      </c>
      <c r="G19" s="53" t="s">
        <v>335</v>
      </c>
      <c r="H19" t="str">
        <f>IF($F19=$G19,"Yes","No")</f>
        <v>Yes</v>
      </c>
    </row>
    <row r="20" spans="1:8" x14ac:dyDescent="0.3">
      <c r="A20" t="s">
        <v>437</v>
      </c>
      <c r="B20" s="53" t="s">
        <v>336</v>
      </c>
      <c r="E20" t="s">
        <v>437</v>
      </c>
      <c r="F20" s="53" t="s">
        <v>336</v>
      </c>
      <c r="G20" s="53" t="s">
        <v>336</v>
      </c>
      <c r="H20" t="str">
        <f t="shared" ref="H20:H83" si="1">IF($F20=$G20,"Yes","No")</f>
        <v>Yes</v>
      </c>
    </row>
    <row r="21" spans="1:8" x14ac:dyDescent="0.3">
      <c r="A21" t="s">
        <v>632</v>
      </c>
      <c r="B21" t="s">
        <v>337</v>
      </c>
      <c r="E21" t="s">
        <v>632</v>
      </c>
      <c r="F21" t="s">
        <v>337</v>
      </c>
      <c r="G21" s="53" t="s">
        <v>337</v>
      </c>
      <c r="H21" t="str">
        <f t="shared" si="1"/>
        <v>Yes</v>
      </c>
    </row>
    <row r="22" spans="1:8" x14ac:dyDescent="0.3">
      <c r="A22" t="s">
        <v>438</v>
      </c>
      <c r="B22" s="53" t="s">
        <v>338</v>
      </c>
      <c r="E22" t="s">
        <v>438</v>
      </c>
      <c r="F22" s="53" t="s">
        <v>338</v>
      </c>
      <c r="G22" s="53" t="s">
        <v>338</v>
      </c>
      <c r="H22" t="str">
        <f t="shared" si="1"/>
        <v>Yes</v>
      </c>
    </row>
    <row r="23" spans="1:8" x14ac:dyDescent="0.3">
      <c r="A23" t="s">
        <v>633</v>
      </c>
      <c r="B23" t="s">
        <v>339</v>
      </c>
      <c r="E23" t="s">
        <v>633</v>
      </c>
      <c r="F23" t="s">
        <v>339</v>
      </c>
      <c r="G23" s="53" t="s">
        <v>339</v>
      </c>
      <c r="H23" t="str">
        <f t="shared" si="1"/>
        <v>Yes</v>
      </c>
    </row>
    <row r="24" spans="1:8" x14ac:dyDescent="0.3">
      <c r="A24" t="s">
        <v>439</v>
      </c>
      <c r="B24" s="53" t="s">
        <v>340</v>
      </c>
      <c r="E24" t="s">
        <v>439</v>
      </c>
      <c r="F24" s="53" t="s">
        <v>340</v>
      </c>
      <c r="G24" s="53" t="s">
        <v>340</v>
      </c>
      <c r="H24" t="str">
        <f t="shared" si="1"/>
        <v>Yes</v>
      </c>
    </row>
    <row r="25" spans="1:8" x14ac:dyDescent="0.3">
      <c r="A25" t="s">
        <v>634</v>
      </c>
      <c r="B25" t="s">
        <v>341</v>
      </c>
      <c r="E25" t="s">
        <v>634</v>
      </c>
      <c r="F25" t="s">
        <v>341</v>
      </c>
      <c r="G25" s="53" t="s">
        <v>341</v>
      </c>
      <c r="H25" t="str">
        <f t="shared" si="1"/>
        <v>Yes</v>
      </c>
    </row>
    <row r="26" spans="1:8" x14ac:dyDescent="0.3">
      <c r="A26" t="s">
        <v>440</v>
      </c>
      <c r="B26" s="53" t="s">
        <v>342</v>
      </c>
      <c r="E26" t="s">
        <v>440</v>
      </c>
      <c r="F26" s="53" t="s">
        <v>342</v>
      </c>
      <c r="G26" s="53" t="s">
        <v>342</v>
      </c>
      <c r="H26" t="str">
        <f t="shared" si="1"/>
        <v>Yes</v>
      </c>
    </row>
    <row r="27" spans="1:8" x14ac:dyDescent="0.3">
      <c r="A27" s="353" t="s">
        <v>441</v>
      </c>
      <c r="B27" s="354" t="s">
        <v>343</v>
      </c>
      <c r="E27" t="s">
        <v>441</v>
      </c>
      <c r="F27" s="53" t="s">
        <v>343</v>
      </c>
      <c r="G27" s="53" t="s">
        <v>351</v>
      </c>
      <c r="H27" t="str">
        <f t="shared" si="1"/>
        <v>No</v>
      </c>
    </row>
    <row r="28" spans="1:8" x14ac:dyDescent="0.3">
      <c r="A28" t="s">
        <v>442</v>
      </c>
      <c r="B28" s="53" t="s">
        <v>344</v>
      </c>
      <c r="E28" t="s">
        <v>442</v>
      </c>
      <c r="F28" s="53" t="s">
        <v>344</v>
      </c>
      <c r="G28" s="53" t="s">
        <v>352</v>
      </c>
      <c r="H28" t="str">
        <f t="shared" si="1"/>
        <v>No</v>
      </c>
    </row>
    <row r="29" spans="1:8" x14ac:dyDescent="0.3">
      <c r="A29" t="s">
        <v>443</v>
      </c>
      <c r="B29" s="53" t="s">
        <v>345</v>
      </c>
      <c r="E29" t="s">
        <v>443</v>
      </c>
      <c r="F29" s="53" t="s">
        <v>345</v>
      </c>
      <c r="G29" s="53" t="s">
        <v>353</v>
      </c>
      <c r="H29" t="str">
        <f t="shared" si="1"/>
        <v>No</v>
      </c>
    </row>
    <row r="30" spans="1:8" x14ac:dyDescent="0.3">
      <c r="A30" t="s">
        <v>444</v>
      </c>
      <c r="B30" s="53" t="s">
        <v>346</v>
      </c>
      <c r="E30" t="s">
        <v>444</v>
      </c>
      <c r="F30" s="53" t="s">
        <v>346</v>
      </c>
      <c r="G30" s="53" t="s">
        <v>354</v>
      </c>
      <c r="H30" t="str">
        <f t="shared" si="1"/>
        <v>No</v>
      </c>
    </row>
    <row r="31" spans="1:8" x14ac:dyDescent="0.3">
      <c r="A31" t="s">
        <v>445</v>
      </c>
      <c r="B31" s="53" t="s">
        <v>347</v>
      </c>
      <c r="E31" t="s">
        <v>445</v>
      </c>
      <c r="F31" s="53" t="s">
        <v>347</v>
      </c>
      <c r="G31" s="53" t="s">
        <v>363</v>
      </c>
      <c r="H31" t="str">
        <f t="shared" si="1"/>
        <v>No</v>
      </c>
    </row>
    <row r="32" spans="1:8" x14ac:dyDescent="0.3">
      <c r="A32" t="s">
        <v>446</v>
      </c>
      <c r="B32" s="53" t="s">
        <v>348</v>
      </c>
      <c r="E32" t="s">
        <v>446</v>
      </c>
      <c r="F32" s="53" t="s">
        <v>348</v>
      </c>
      <c r="G32" s="53" t="s">
        <v>363</v>
      </c>
      <c r="H32" t="str">
        <f t="shared" si="1"/>
        <v>No</v>
      </c>
    </row>
    <row r="33" spans="1:8" x14ac:dyDescent="0.3">
      <c r="A33" t="s">
        <v>447</v>
      </c>
      <c r="B33" s="53" t="s">
        <v>349</v>
      </c>
      <c r="E33" t="s">
        <v>447</v>
      </c>
      <c r="F33" s="53" t="s">
        <v>349</v>
      </c>
      <c r="G33" s="53" t="s">
        <v>364</v>
      </c>
      <c r="H33" t="str">
        <f t="shared" si="1"/>
        <v>No</v>
      </c>
    </row>
    <row r="34" spans="1:8" x14ac:dyDescent="0.3">
      <c r="A34" t="s">
        <v>448</v>
      </c>
      <c r="B34" s="53" t="s">
        <v>350</v>
      </c>
      <c r="E34" t="s">
        <v>448</v>
      </c>
      <c r="F34" s="53" t="s">
        <v>350</v>
      </c>
      <c r="G34" s="53" t="s">
        <v>364</v>
      </c>
      <c r="H34" t="str">
        <f t="shared" si="1"/>
        <v>No</v>
      </c>
    </row>
    <row r="35" spans="1:8" x14ac:dyDescent="0.3">
      <c r="A35" t="s">
        <v>449</v>
      </c>
      <c r="B35" s="53" t="s">
        <v>351</v>
      </c>
      <c r="E35" t="s">
        <v>449</v>
      </c>
      <c r="F35" s="53" t="s">
        <v>351</v>
      </c>
      <c r="G35" s="53" t="s">
        <v>365</v>
      </c>
      <c r="H35" t="str">
        <f t="shared" si="1"/>
        <v>No</v>
      </c>
    </row>
    <row r="36" spans="1:8" x14ac:dyDescent="0.3">
      <c r="A36" t="s">
        <v>450</v>
      </c>
      <c r="B36" s="53" t="s">
        <v>352</v>
      </c>
      <c r="E36" t="s">
        <v>450</v>
      </c>
      <c r="F36" s="53" t="s">
        <v>352</v>
      </c>
      <c r="G36" s="53" t="s">
        <v>365</v>
      </c>
      <c r="H36" t="str">
        <f t="shared" si="1"/>
        <v>No</v>
      </c>
    </row>
    <row r="37" spans="1:8" x14ac:dyDescent="0.3">
      <c r="A37" t="s">
        <v>451</v>
      </c>
      <c r="B37" s="53" t="s">
        <v>353</v>
      </c>
      <c r="E37" t="s">
        <v>451</v>
      </c>
      <c r="F37" s="53" t="s">
        <v>353</v>
      </c>
      <c r="G37" s="53" t="s">
        <v>366</v>
      </c>
      <c r="H37" t="str">
        <f t="shared" si="1"/>
        <v>No</v>
      </c>
    </row>
    <row r="38" spans="1:8" x14ac:dyDescent="0.3">
      <c r="A38" t="s">
        <v>452</v>
      </c>
      <c r="B38" s="53" t="s">
        <v>354</v>
      </c>
      <c r="E38" t="s">
        <v>452</v>
      </c>
      <c r="F38" s="53" t="s">
        <v>354</v>
      </c>
      <c r="G38" s="53" t="s">
        <v>366</v>
      </c>
      <c r="H38" t="str">
        <f t="shared" si="1"/>
        <v>No</v>
      </c>
    </row>
    <row r="39" spans="1:8" x14ac:dyDescent="0.3">
      <c r="A39" t="s">
        <v>453</v>
      </c>
      <c r="B39" s="53" t="s">
        <v>355</v>
      </c>
      <c r="E39" t="s">
        <v>453</v>
      </c>
      <c r="F39" s="53" t="s">
        <v>355</v>
      </c>
      <c r="G39" t="s">
        <v>367</v>
      </c>
      <c r="H39" t="str">
        <f t="shared" si="1"/>
        <v>No</v>
      </c>
    </row>
    <row r="40" spans="1:8" x14ac:dyDescent="0.3">
      <c r="A40" t="s">
        <v>454</v>
      </c>
      <c r="B40" s="53" t="s">
        <v>356</v>
      </c>
      <c r="E40" t="s">
        <v>454</v>
      </c>
      <c r="F40" s="53" t="s">
        <v>356</v>
      </c>
      <c r="G40" t="s">
        <v>368</v>
      </c>
      <c r="H40" t="str">
        <f t="shared" si="1"/>
        <v>No</v>
      </c>
    </row>
    <row r="41" spans="1:8" x14ac:dyDescent="0.3">
      <c r="A41" t="s">
        <v>455</v>
      </c>
      <c r="B41" s="53" t="s">
        <v>357</v>
      </c>
      <c r="E41" t="s">
        <v>455</v>
      </c>
      <c r="F41" s="53" t="s">
        <v>357</v>
      </c>
      <c r="G41" t="s">
        <v>369</v>
      </c>
      <c r="H41" t="str">
        <f t="shared" si="1"/>
        <v>No</v>
      </c>
    </row>
    <row r="42" spans="1:8" x14ac:dyDescent="0.3">
      <c r="A42" t="s">
        <v>456</v>
      </c>
      <c r="B42" s="53" t="s">
        <v>358</v>
      </c>
      <c r="E42" t="s">
        <v>456</v>
      </c>
      <c r="F42" s="53" t="s">
        <v>358</v>
      </c>
      <c r="G42" t="s">
        <v>370</v>
      </c>
      <c r="H42" t="str">
        <f t="shared" si="1"/>
        <v>No</v>
      </c>
    </row>
    <row r="43" spans="1:8" x14ac:dyDescent="0.3">
      <c r="A43" t="s">
        <v>457</v>
      </c>
      <c r="B43" s="53" t="s">
        <v>359</v>
      </c>
      <c r="E43" t="s">
        <v>457</v>
      </c>
      <c r="F43" s="53" t="s">
        <v>359</v>
      </c>
      <c r="G43" t="s">
        <v>371</v>
      </c>
      <c r="H43" t="str">
        <f t="shared" si="1"/>
        <v>No</v>
      </c>
    </row>
    <row r="44" spans="1:8" x14ac:dyDescent="0.3">
      <c r="A44" t="s">
        <v>458</v>
      </c>
      <c r="B44" s="53" t="s">
        <v>360</v>
      </c>
      <c r="E44" t="s">
        <v>458</v>
      </c>
      <c r="F44" s="53" t="s">
        <v>360</v>
      </c>
      <c r="G44" t="s">
        <v>372</v>
      </c>
      <c r="H44" t="str">
        <f t="shared" si="1"/>
        <v>No</v>
      </c>
    </row>
    <row r="45" spans="1:8" x14ac:dyDescent="0.3">
      <c r="A45" t="s">
        <v>459</v>
      </c>
      <c r="B45" s="53" t="s">
        <v>361</v>
      </c>
      <c r="E45" t="s">
        <v>459</v>
      </c>
      <c r="F45" s="53" t="s">
        <v>361</v>
      </c>
      <c r="G45" t="s">
        <v>373</v>
      </c>
      <c r="H45" t="str">
        <f t="shared" si="1"/>
        <v>No</v>
      </c>
    </row>
    <row r="46" spans="1:8" x14ac:dyDescent="0.3">
      <c r="A46" t="s">
        <v>467</v>
      </c>
      <c r="B46" s="53" t="s">
        <v>362</v>
      </c>
      <c r="E46" t="s">
        <v>467</v>
      </c>
      <c r="F46" s="53" t="s">
        <v>362</v>
      </c>
      <c r="G46" t="s">
        <v>374</v>
      </c>
      <c r="H46" t="str">
        <f t="shared" si="1"/>
        <v>No</v>
      </c>
    </row>
    <row r="47" spans="1:8" x14ac:dyDescent="0.3">
      <c r="A47" t="s">
        <v>460</v>
      </c>
      <c r="B47" s="53" t="s">
        <v>363</v>
      </c>
      <c r="E47" t="s">
        <v>460</v>
      </c>
      <c r="F47" s="53" t="s">
        <v>363</v>
      </c>
      <c r="G47" t="s">
        <v>89</v>
      </c>
      <c r="H47" t="str">
        <f t="shared" si="1"/>
        <v>No</v>
      </c>
    </row>
    <row r="48" spans="1:8" x14ac:dyDescent="0.3">
      <c r="A48" t="s">
        <v>461</v>
      </c>
      <c r="B48" s="53" t="s">
        <v>364</v>
      </c>
      <c r="E48" t="s">
        <v>461</v>
      </c>
      <c r="F48" s="53" t="s">
        <v>364</v>
      </c>
      <c r="G48" t="s">
        <v>90</v>
      </c>
      <c r="H48" t="str">
        <f t="shared" si="1"/>
        <v>No</v>
      </c>
    </row>
    <row r="49" spans="1:8" x14ac:dyDescent="0.3">
      <c r="A49" t="s">
        <v>462</v>
      </c>
      <c r="B49" s="53" t="s">
        <v>365</v>
      </c>
      <c r="E49" t="s">
        <v>462</v>
      </c>
      <c r="F49" s="53" t="s">
        <v>365</v>
      </c>
      <c r="G49" t="s">
        <v>91</v>
      </c>
      <c r="H49" t="str">
        <f t="shared" si="1"/>
        <v>No</v>
      </c>
    </row>
    <row r="50" spans="1:8" x14ac:dyDescent="0.3">
      <c r="A50" t="s">
        <v>463</v>
      </c>
      <c r="B50" s="53" t="s">
        <v>366</v>
      </c>
      <c r="E50" t="s">
        <v>463</v>
      </c>
      <c r="F50" s="53" t="s">
        <v>366</v>
      </c>
      <c r="G50" t="s">
        <v>92</v>
      </c>
      <c r="H50" t="str">
        <f t="shared" si="1"/>
        <v>No</v>
      </c>
    </row>
    <row r="51" spans="1:8" x14ac:dyDescent="0.3">
      <c r="A51" t="s">
        <v>635</v>
      </c>
      <c r="B51" t="s">
        <v>367</v>
      </c>
      <c r="E51" t="s">
        <v>635</v>
      </c>
      <c r="F51" t="s">
        <v>367</v>
      </c>
      <c r="G51" t="s">
        <v>123</v>
      </c>
      <c r="H51" t="str">
        <f t="shared" si="1"/>
        <v>No</v>
      </c>
    </row>
    <row r="52" spans="1:8" x14ac:dyDescent="0.3">
      <c r="A52" t="s">
        <v>405</v>
      </c>
      <c r="B52" t="s">
        <v>368</v>
      </c>
      <c r="E52" t="s">
        <v>405</v>
      </c>
      <c r="F52" t="s">
        <v>368</v>
      </c>
      <c r="G52" t="s">
        <v>124</v>
      </c>
      <c r="H52" t="str">
        <f t="shared" si="1"/>
        <v>No</v>
      </c>
    </row>
    <row r="53" spans="1:8" x14ac:dyDescent="0.3">
      <c r="A53" t="s">
        <v>636</v>
      </c>
      <c r="B53" t="s">
        <v>369</v>
      </c>
      <c r="E53" t="s">
        <v>636</v>
      </c>
      <c r="F53" t="s">
        <v>369</v>
      </c>
      <c r="G53" t="s">
        <v>125</v>
      </c>
      <c r="H53" t="str">
        <f t="shared" si="1"/>
        <v>No</v>
      </c>
    </row>
    <row r="54" spans="1:8" x14ac:dyDescent="0.3">
      <c r="A54" t="s">
        <v>406</v>
      </c>
      <c r="B54" t="s">
        <v>370</v>
      </c>
      <c r="E54" t="s">
        <v>406</v>
      </c>
      <c r="F54" t="s">
        <v>370</v>
      </c>
      <c r="G54" t="s">
        <v>126</v>
      </c>
      <c r="H54" t="str">
        <f t="shared" si="1"/>
        <v>No</v>
      </c>
    </row>
    <row r="55" spans="1:8" x14ac:dyDescent="0.3">
      <c r="A55" t="s">
        <v>637</v>
      </c>
      <c r="B55" t="s">
        <v>371</v>
      </c>
      <c r="E55" t="s">
        <v>637</v>
      </c>
      <c r="F55" t="s">
        <v>371</v>
      </c>
      <c r="G55" t="s">
        <v>601</v>
      </c>
      <c r="H55" t="str">
        <f t="shared" si="1"/>
        <v>No</v>
      </c>
    </row>
    <row r="56" spans="1:8" x14ac:dyDescent="0.3">
      <c r="A56" t="s">
        <v>407</v>
      </c>
      <c r="B56" t="s">
        <v>372</v>
      </c>
      <c r="E56" t="s">
        <v>407</v>
      </c>
      <c r="F56" t="s">
        <v>372</v>
      </c>
      <c r="G56" t="s">
        <v>614</v>
      </c>
      <c r="H56" t="str">
        <f t="shared" si="1"/>
        <v>No</v>
      </c>
    </row>
    <row r="57" spans="1:8" x14ac:dyDescent="0.3">
      <c r="A57" t="s">
        <v>638</v>
      </c>
      <c r="B57" t="s">
        <v>373</v>
      </c>
      <c r="E57" t="s">
        <v>638</v>
      </c>
      <c r="F57" t="s">
        <v>373</v>
      </c>
      <c r="G57" t="s">
        <v>602</v>
      </c>
      <c r="H57" t="str">
        <f t="shared" si="1"/>
        <v>No</v>
      </c>
    </row>
    <row r="58" spans="1:8" x14ac:dyDescent="0.3">
      <c r="A58" t="s">
        <v>408</v>
      </c>
      <c r="B58" t="s">
        <v>374</v>
      </c>
      <c r="E58" t="s">
        <v>408</v>
      </c>
      <c r="F58" t="s">
        <v>374</v>
      </c>
      <c r="G58" t="s">
        <v>603</v>
      </c>
      <c r="H58" t="str">
        <f t="shared" si="1"/>
        <v>No</v>
      </c>
    </row>
    <row r="59" spans="1:8" x14ac:dyDescent="0.3">
      <c r="A59" t="s">
        <v>639</v>
      </c>
      <c r="B59" t="s">
        <v>375</v>
      </c>
      <c r="E59" t="s">
        <v>639</v>
      </c>
      <c r="F59" t="s">
        <v>375</v>
      </c>
      <c r="G59" t="s">
        <v>375</v>
      </c>
      <c r="H59" t="str">
        <f t="shared" si="1"/>
        <v>Yes</v>
      </c>
    </row>
    <row r="60" spans="1:8" x14ac:dyDescent="0.3">
      <c r="A60" t="s">
        <v>409</v>
      </c>
      <c r="B60" t="s">
        <v>376</v>
      </c>
      <c r="E60" t="s">
        <v>409</v>
      </c>
      <c r="F60" t="s">
        <v>376</v>
      </c>
      <c r="G60" t="s">
        <v>376</v>
      </c>
      <c r="H60" t="str">
        <f t="shared" si="1"/>
        <v>Yes</v>
      </c>
    </row>
    <row r="61" spans="1:8" x14ac:dyDescent="0.3">
      <c r="A61" t="s">
        <v>640</v>
      </c>
      <c r="B61" t="s">
        <v>377</v>
      </c>
      <c r="E61" t="s">
        <v>640</v>
      </c>
      <c r="F61" t="s">
        <v>377</v>
      </c>
      <c r="G61" t="s">
        <v>377</v>
      </c>
      <c r="H61" t="str">
        <f t="shared" si="1"/>
        <v>Yes</v>
      </c>
    </row>
    <row r="62" spans="1:8" x14ac:dyDescent="0.3">
      <c r="A62" t="s">
        <v>410</v>
      </c>
      <c r="B62" t="s">
        <v>378</v>
      </c>
      <c r="E62" t="s">
        <v>410</v>
      </c>
      <c r="F62" t="s">
        <v>378</v>
      </c>
      <c r="G62" t="s">
        <v>378</v>
      </c>
      <c r="H62" t="str">
        <f t="shared" si="1"/>
        <v>Yes</v>
      </c>
    </row>
    <row r="63" spans="1:8" x14ac:dyDescent="0.3">
      <c r="A63" t="s">
        <v>641</v>
      </c>
      <c r="B63" t="s">
        <v>379</v>
      </c>
      <c r="E63" t="s">
        <v>641</v>
      </c>
      <c r="F63" t="s">
        <v>379</v>
      </c>
      <c r="G63" t="s">
        <v>379</v>
      </c>
      <c r="H63" t="str">
        <f t="shared" si="1"/>
        <v>Yes</v>
      </c>
    </row>
    <row r="64" spans="1:8" x14ac:dyDescent="0.3">
      <c r="A64" t="s">
        <v>411</v>
      </c>
      <c r="B64" t="s">
        <v>380</v>
      </c>
      <c r="E64" t="s">
        <v>411</v>
      </c>
      <c r="F64" t="s">
        <v>380</v>
      </c>
      <c r="G64" t="s">
        <v>380</v>
      </c>
      <c r="H64" t="str">
        <f t="shared" si="1"/>
        <v>Yes</v>
      </c>
    </row>
    <row r="65" spans="1:8" x14ac:dyDescent="0.3">
      <c r="A65" t="s">
        <v>642</v>
      </c>
      <c r="B65" t="s">
        <v>381</v>
      </c>
      <c r="E65" t="s">
        <v>642</v>
      </c>
      <c r="F65" t="s">
        <v>381</v>
      </c>
      <c r="G65" t="s">
        <v>381</v>
      </c>
      <c r="H65" t="str">
        <f t="shared" si="1"/>
        <v>Yes</v>
      </c>
    </row>
    <row r="66" spans="1:8" x14ac:dyDescent="0.3">
      <c r="A66" t="s">
        <v>412</v>
      </c>
      <c r="B66" t="s">
        <v>382</v>
      </c>
      <c r="E66" t="s">
        <v>412</v>
      </c>
      <c r="F66" t="s">
        <v>382</v>
      </c>
      <c r="G66" t="s">
        <v>382</v>
      </c>
      <c r="H66" t="str">
        <f t="shared" si="1"/>
        <v>Yes</v>
      </c>
    </row>
    <row r="67" spans="1:8" x14ac:dyDescent="0.3">
      <c r="A67" t="s">
        <v>643</v>
      </c>
      <c r="B67" t="s">
        <v>383</v>
      </c>
      <c r="E67" t="s">
        <v>643</v>
      </c>
      <c r="F67" t="s">
        <v>383</v>
      </c>
      <c r="G67" t="s">
        <v>119</v>
      </c>
      <c r="H67" t="str">
        <f t="shared" si="1"/>
        <v>No</v>
      </c>
    </row>
    <row r="68" spans="1:8" x14ac:dyDescent="0.3">
      <c r="A68" t="s">
        <v>413</v>
      </c>
      <c r="B68" t="s">
        <v>384</v>
      </c>
      <c r="E68" t="s">
        <v>413</v>
      </c>
      <c r="F68" t="s">
        <v>384</v>
      </c>
      <c r="G68" t="s">
        <v>120</v>
      </c>
      <c r="H68" t="str">
        <f t="shared" si="1"/>
        <v>No</v>
      </c>
    </row>
    <row r="69" spans="1:8" x14ac:dyDescent="0.3">
      <c r="A69" t="s">
        <v>644</v>
      </c>
      <c r="B69" t="s">
        <v>385</v>
      </c>
      <c r="E69" t="s">
        <v>644</v>
      </c>
      <c r="F69" t="s">
        <v>385</v>
      </c>
      <c r="G69" t="s">
        <v>121</v>
      </c>
      <c r="H69" t="str">
        <f t="shared" si="1"/>
        <v>No</v>
      </c>
    </row>
    <row r="70" spans="1:8" x14ac:dyDescent="0.3">
      <c r="A70" t="s">
        <v>414</v>
      </c>
      <c r="B70" t="s">
        <v>386</v>
      </c>
      <c r="E70" t="s">
        <v>414</v>
      </c>
      <c r="F70" t="s">
        <v>386</v>
      </c>
      <c r="G70" t="s">
        <v>122</v>
      </c>
      <c r="H70" t="str">
        <f t="shared" si="1"/>
        <v>No</v>
      </c>
    </row>
    <row r="71" spans="1:8" x14ac:dyDescent="0.3">
      <c r="A71" t="s">
        <v>645</v>
      </c>
      <c r="B71" t="s">
        <v>387</v>
      </c>
      <c r="E71" t="s">
        <v>645</v>
      </c>
      <c r="F71" t="s">
        <v>387</v>
      </c>
      <c r="G71" t="s">
        <v>127</v>
      </c>
      <c r="H71" t="str">
        <f t="shared" si="1"/>
        <v>No</v>
      </c>
    </row>
    <row r="72" spans="1:8" x14ac:dyDescent="0.3">
      <c r="A72" t="s">
        <v>415</v>
      </c>
      <c r="B72" t="s">
        <v>388</v>
      </c>
      <c r="E72" t="s">
        <v>415</v>
      </c>
      <c r="F72" t="s">
        <v>388</v>
      </c>
      <c r="G72" t="s">
        <v>159</v>
      </c>
      <c r="H72" t="str">
        <f t="shared" si="1"/>
        <v>No</v>
      </c>
    </row>
    <row r="73" spans="1:8" x14ac:dyDescent="0.3">
      <c r="A73" t="s">
        <v>646</v>
      </c>
      <c r="B73" t="s">
        <v>389</v>
      </c>
      <c r="E73" t="s">
        <v>646</v>
      </c>
      <c r="F73" t="s">
        <v>389</v>
      </c>
      <c r="G73" t="s">
        <v>128</v>
      </c>
      <c r="H73" t="str">
        <f t="shared" si="1"/>
        <v>No</v>
      </c>
    </row>
    <row r="74" spans="1:8" x14ac:dyDescent="0.3">
      <c r="A74" t="s">
        <v>416</v>
      </c>
      <c r="B74" t="s">
        <v>390</v>
      </c>
      <c r="E74" t="s">
        <v>416</v>
      </c>
      <c r="F74" t="s">
        <v>390</v>
      </c>
      <c r="G74" t="s">
        <v>129</v>
      </c>
      <c r="H74" t="str">
        <f t="shared" si="1"/>
        <v>No</v>
      </c>
    </row>
    <row r="75" spans="1:8" x14ac:dyDescent="0.3">
      <c r="A75" t="s">
        <v>180</v>
      </c>
      <c r="B75" t="s">
        <v>89</v>
      </c>
      <c r="E75" t="s">
        <v>180</v>
      </c>
      <c r="F75" t="s">
        <v>89</v>
      </c>
      <c r="G75" t="s">
        <v>383</v>
      </c>
      <c r="H75" t="str">
        <f t="shared" si="1"/>
        <v>No</v>
      </c>
    </row>
    <row r="76" spans="1:8" x14ac:dyDescent="0.3">
      <c r="A76" t="s">
        <v>181</v>
      </c>
      <c r="B76" t="s">
        <v>90</v>
      </c>
      <c r="E76" t="s">
        <v>181</v>
      </c>
      <c r="F76" t="s">
        <v>90</v>
      </c>
      <c r="G76" t="s">
        <v>384</v>
      </c>
      <c r="H76" t="str">
        <f t="shared" si="1"/>
        <v>No</v>
      </c>
    </row>
    <row r="77" spans="1:8" x14ac:dyDescent="0.3">
      <c r="A77" t="s">
        <v>182</v>
      </c>
      <c r="B77" t="s">
        <v>91</v>
      </c>
      <c r="E77" t="s">
        <v>182</v>
      </c>
      <c r="F77" t="s">
        <v>91</v>
      </c>
      <c r="G77" t="s">
        <v>385</v>
      </c>
      <c r="H77" t="str">
        <f t="shared" si="1"/>
        <v>No</v>
      </c>
    </row>
    <row r="78" spans="1:8" x14ac:dyDescent="0.3">
      <c r="A78" t="s">
        <v>183</v>
      </c>
      <c r="B78" t="s">
        <v>92</v>
      </c>
      <c r="E78" t="s">
        <v>183</v>
      </c>
      <c r="F78" t="s">
        <v>92</v>
      </c>
      <c r="G78" t="s">
        <v>386</v>
      </c>
      <c r="H78" t="str">
        <f t="shared" si="1"/>
        <v>No</v>
      </c>
    </row>
    <row r="79" spans="1:8" x14ac:dyDescent="0.3">
      <c r="A79" t="s">
        <v>188</v>
      </c>
      <c r="B79" t="s">
        <v>119</v>
      </c>
      <c r="E79" t="s">
        <v>188</v>
      </c>
      <c r="F79" t="s">
        <v>119</v>
      </c>
      <c r="G79" t="s">
        <v>387</v>
      </c>
      <c r="H79" t="str">
        <f t="shared" si="1"/>
        <v>No</v>
      </c>
    </row>
    <row r="80" spans="1:8" x14ac:dyDescent="0.3">
      <c r="A80" t="s">
        <v>184</v>
      </c>
      <c r="B80" t="s">
        <v>120</v>
      </c>
      <c r="E80" t="s">
        <v>184</v>
      </c>
      <c r="F80" t="s">
        <v>120</v>
      </c>
      <c r="G80" t="s">
        <v>388</v>
      </c>
      <c r="H80" t="str">
        <f t="shared" si="1"/>
        <v>No</v>
      </c>
    </row>
    <row r="81" spans="1:8" x14ac:dyDescent="0.3">
      <c r="A81" t="s">
        <v>185</v>
      </c>
      <c r="B81" t="s">
        <v>121</v>
      </c>
      <c r="E81" t="s">
        <v>185</v>
      </c>
      <c r="F81" t="s">
        <v>121</v>
      </c>
      <c r="G81" t="s">
        <v>389</v>
      </c>
      <c r="H81" t="str">
        <f t="shared" si="1"/>
        <v>No</v>
      </c>
    </row>
    <row r="82" spans="1:8" x14ac:dyDescent="0.3">
      <c r="A82" t="s">
        <v>186</v>
      </c>
      <c r="B82" t="s">
        <v>122</v>
      </c>
      <c r="E82" t="s">
        <v>186</v>
      </c>
      <c r="F82" t="s">
        <v>122</v>
      </c>
      <c r="G82" t="s">
        <v>390</v>
      </c>
      <c r="H82" t="str">
        <f t="shared" si="1"/>
        <v>No</v>
      </c>
    </row>
    <row r="83" spans="1:8" x14ac:dyDescent="0.3">
      <c r="A83" t="s">
        <v>417</v>
      </c>
      <c r="B83" t="s">
        <v>391</v>
      </c>
      <c r="E83" t="s">
        <v>417</v>
      </c>
      <c r="F83" t="s">
        <v>391</v>
      </c>
      <c r="G83" t="s">
        <v>391</v>
      </c>
      <c r="H83" t="str">
        <f t="shared" si="1"/>
        <v>Yes</v>
      </c>
    </row>
    <row r="84" spans="1:8" x14ac:dyDescent="0.3">
      <c r="A84" t="s">
        <v>418</v>
      </c>
      <c r="B84" t="s">
        <v>392</v>
      </c>
      <c r="E84" t="s">
        <v>418</v>
      </c>
      <c r="F84" t="s">
        <v>392</v>
      </c>
      <c r="G84" t="s">
        <v>392</v>
      </c>
      <c r="H84" t="str">
        <f t="shared" ref="H84:H114" si="2">IF($F84=$G84,"Yes","No")</f>
        <v>Yes</v>
      </c>
    </row>
    <row r="85" spans="1:8" x14ac:dyDescent="0.3">
      <c r="A85" t="s">
        <v>419</v>
      </c>
      <c r="B85" t="s">
        <v>393</v>
      </c>
      <c r="E85" t="s">
        <v>419</v>
      </c>
      <c r="F85" t="s">
        <v>393</v>
      </c>
      <c r="G85" t="s">
        <v>393</v>
      </c>
      <c r="H85" t="str">
        <f t="shared" si="2"/>
        <v>Yes</v>
      </c>
    </row>
    <row r="86" spans="1:8" x14ac:dyDescent="0.3">
      <c r="A86" t="s">
        <v>420</v>
      </c>
      <c r="B86" t="s">
        <v>394</v>
      </c>
      <c r="E86" t="s">
        <v>420</v>
      </c>
      <c r="F86" t="s">
        <v>394</v>
      </c>
      <c r="G86" t="s">
        <v>394</v>
      </c>
      <c r="H86" t="str">
        <f t="shared" si="2"/>
        <v>Yes</v>
      </c>
    </row>
    <row r="87" spans="1:8" x14ac:dyDescent="0.3">
      <c r="A87" t="s">
        <v>189</v>
      </c>
      <c r="B87" t="s">
        <v>123</v>
      </c>
      <c r="E87" t="s">
        <v>189</v>
      </c>
      <c r="F87" t="s">
        <v>123</v>
      </c>
      <c r="G87" t="s">
        <v>615</v>
      </c>
      <c r="H87" t="str">
        <f t="shared" si="2"/>
        <v>No</v>
      </c>
    </row>
    <row r="88" spans="1:8" x14ac:dyDescent="0.3">
      <c r="A88" t="s">
        <v>187</v>
      </c>
      <c r="B88" t="s">
        <v>124</v>
      </c>
      <c r="E88" t="s">
        <v>187</v>
      </c>
      <c r="F88" t="s">
        <v>124</v>
      </c>
      <c r="G88" t="s">
        <v>616</v>
      </c>
      <c r="H88" t="str">
        <f t="shared" si="2"/>
        <v>No</v>
      </c>
    </row>
    <row r="89" spans="1:8" x14ac:dyDescent="0.3">
      <c r="A89" t="s">
        <v>190</v>
      </c>
      <c r="B89" t="s">
        <v>125</v>
      </c>
      <c r="E89" t="s">
        <v>190</v>
      </c>
      <c r="F89" t="s">
        <v>125</v>
      </c>
      <c r="G89" t="s">
        <v>617</v>
      </c>
      <c r="H89" t="str">
        <f t="shared" si="2"/>
        <v>No</v>
      </c>
    </row>
    <row r="90" spans="1:8" x14ac:dyDescent="0.3">
      <c r="A90" t="s">
        <v>191</v>
      </c>
      <c r="B90" t="s">
        <v>126</v>
      </c>
      <c r="E90" t="s">
        <v>191</v>
      </c>
      <c r="F90" t="s">
        <v>126</v>
      </c>
      <c r="G90" t="s">
        <v>618</v>
      </c>
      <c r="H90" t="str">
        <f t="shared" si="2"/>
        <v>No</v>
      </c>
    </row>
    <row r="91" spans="1:8" x14ac:dyDescent="0.3">
      <c r="A91" t="s">
        <v>195</v>
      </c>
      <c r="B91" t="s">
        <v>127</v>
      </c>
      <c r="E91" t="s">
        <v>195</v>
      </c>
      <c r="F91" t="s">
        <v>127</v>
      </c>
      <c r="H91" t="str">
        <f t="shared" si="2"/>
        <v>No</v>
      </c>
    </row>
    <row r="92" spans="1:8" x14ac:dyDescent="0.3">
      <c r="A92" t="s">
        <v>192</v>
      </c>
      <c r="B92" t="s">
        <v>159</v>
      </c>
      <c r="E92" t="s">
        <v>192</v>
      </c>
      <c r="F92" t="s">
        <v>159</v>
      </c>
      <c r="H92" t="str">
        <f t="shared" si="2"/>
        <v>No</v>
      </c>
    </row>
    <row r="93" spans="1:8" x14ac:dyDescent="0.3">
      <c r="A93" t="s">
        <v>193</v>
      </c>
      <c r="B93" t="s">
        <v>128</v>
      </c>
      <c r="E93" t="s">
        <v>193</v>
      </c>
      <c r="F93" t="s">
        <v>128</v>
      </c>
      <c r="H93" t="str">
        <f t="shared" si="2"/>
        <v>No</v>
      </c>
    </row>
    <row r="94" spans="1:8" x14ac:dyDescent="0.3">
      <c r="A94" t="s">
        <v>194</v>
      </c>
      <c r="B94" t="s">
        <v>129</v>
      </c>
      <c r="E94" t="s">
        <v>194</v>
      </c>
      <c r="F94" t="s">
        <v>129</v>
      </c>
      <c r="H94" t="str">
        <f t="shared" si="2"/>
        <v>No</v>
      </c>
    </row>
    <row r="95" spans="1:8" x14ac:dyDescent="0.3">
      <c r="A95" t="s">
        <v>425</v>
      </c>
      <c r="B95" t="s">
        <v>421</v>
      </c>
      <c r="E95" t="s">
        <v>425</v>
      </c>
      <c r="F95" t="s">
        <v>421</v>
      </c>
      <c r="H95" t="str">
        <f t="shared" si="2"/>
        <v>No</v>
      </c>
    </row>
    <row r="96" spans="1:8" x14ac:dyDescent="0.3">
      <c r="A96" t="s">
        <v>426</v>
      </c>
      <c r="B96" t="s">
        <v>422</v>
      </c>
      <c r="E96" t="s">
        <v>426</v>
      </c>
      <c r="F96" t="s">
        <v>422</v>
      </c>
      <c r="H96" t="str">
        <f t="shared" si="2"/>
        <v>No</v>
      </c>
    </row>
    <row r="97" spans="1:8" x14ac:dyDescent="0.3">
      <c r="A97" t="s">
        <v>427</v>
      </c>
      <c r="B97" t="s">
        <v>423</v>
      </c>
      <c r="E97" t="s">
        <v>427</v>
      </c>
      <c r="F97" t="s">
        <v>423</v>
      </c>
      <c r="H97" t="str">
        <f t="shared" si="2"/>
        <v>No</v>
      </c>
    </row>
    <row r="98" spans="1:8" x14ac:dyDescent="0.3">
      <c r="A98" t="s">
        <v>428</v>
      </c>
      <c r="B98" t="s">
        <v>424</v>
      </c>
      <c r="E98" t="s">
        <v>428</v>
      </c>
      <c r="F98" t="s">
        <v>424</v>
      </c>
      <c r="H98" t="str">
        <f t="shared" si="2"/>
        <v>No</v>
      </c>
    </row>
    <row r="99" spans="1:8" x14ac:dyDescent="0.3">
      <c r="H99" t="str">
        <f t="shared" si="2"/>
        <v>Yes</v>
      </c>
    </row>
    <row r="100" spans="1:8" x14ac:dyDescent="0.3">
      <c r="H100" t="str">
        <f t="shared" si="2"/>
        <v>Yes</v>
      </c>
    </row>
    <row r="101" spans="1:8" x14ac:dyDescent="0.3">
      <c r="H101" t="str">
        <f t="shared" si="2"/>
        <v>Yes</v>
      </c>
    </row>
    <row r="102" spans="1:8" x14ac:dyDescent="0.3">
      <c r="H102" t="str">
        <f t="shared" si="2"/>
        <v>Yes</v>
      </c>
    </row>
    <row r="103" spans="1:8" x14ac:dyDescent="0.3">
      <c r="H103" t="str">
        <f t="shared" si="2"/>
        <v>Yes</v>
      </c>
    </row>
    <row r="104" spans="1:8" x14ac:dyDescent="0.3">
      <c r="H104" t="str">
        <f t="shared" si="2"/>
        <v>Yes</v>
      </c>
    </row>
    <row r="105" spans="1:8" x14ac:dyDescent="0.3">
      <c r="H105" t="str">
        <f t="shared" si="2"/>
        <v>Yes</v>
      </c>
    </row>
    <row r="106" spans="1:8" x14ac:dyDescent="0.3">
      <c r="H106" t="str">
        <f t="shared" si="2"/>
        <v>Yes</v>
      </c>
    </row>
    <row r="107" spans="1:8" x14ac:dyDescent="0.3">
      <c r="H107" t="str">
        <f t="shared" si="2"/>
        <v>Yes</v>
      </c>
    </row>
    <row r="108" spans="1:8" x14ac:dyDescent="0.3">
      <c r="H108" t="str">
        <f t="shared" si="2"/>
        <v>Yes</v>
      </c>
    </row>
    <row r="109" spans="1:8" x14ac:dyDescent="0.3">
      <c r="H109" t="str">
        <f t="shared" si="2"/>
        <v>Yes</v>
      </c>
    </row>
    <row r="110" spans="1:8" x14ac:dyDescent="0.3">
      <c r="H110" t="str">
        <f t="shared" si="2"/>
        <v>Yes</v>
      </c>
    </row>
    <row r="111" spans="1:8" x14ac:dyDescent="0.3">
      <c r="H111" t="str">
        <f t="shared" si="2"/>
        <v>Yes</v>
      </c>
    </row>
    <row r="112" spans="1:8" x14ac:dyDescent="0.3">
      <c r="H112" t="str">
        <f t="shared" si="2"/>
        <v>Yes</v>
      </c>
    </row>
    <row r="113" spans="8:8" x14ac:dyDescent="0.3">
      <c r="H113" t="str">
        <f t="shared" si="2"/>
        <v>Yes</v>
      </c>
    </row>
    <row r="114" spans="8:8" x14ac:dyDescent="0.3">
      <c r="H114" t="str">
        <f t="shared" si="2"/>
        <v>Yes</v>
      </c>
    </row>
  </sheetData>
  <phoneticPr fontId="53" type="noConversion"/>
  <conditionalFormatting sqref="A2:A98">
    <cfRule type="duplicateValues" dxfId="4" priority="244"/>
  </conditionalFormatting>
  <conditionalFormatting sqref="B2:B98">
    <cfRule type="duplicateValues" dxfId="3" priority="248"/>
  </conditionalFormatting>
  <conditionalFormatting sqref="E3:E98">
    <cfRule type="duplicateValues" dxfId="2" priority="2"/>
  </conditionalFormatting>
  <conditionalFormatting sqref="F3:F98">
    <cfRule type="duplicateValues" dxfId="1" priority="3"/>
  </conditionalFormatting>
  <conditionalFormatting sqref="M7">
    <cfRule type="duplicateValues" dxfId="0" priority="1"/>
  </conditionalFormatting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0000"/>
  </sheetPr>
  <dimension ref="A1:J45"/>
  <sheetViews>
    <sheetView workbookViewId="0">
      <selection activeCell="N14" sqref="N14"/>
    </sheetView>
  </sheetViews>
  <sheetFormatPr defaultColWidth="11.44140625" defaultRowHeight="14.4" x14ac:dyDescent="0.3"/>
  <cols>
    <col min="1" max="1" width="18" customWidth="1"/>
    <col min="2" max="2" width="13.5546875" customWidth="1"/>
    <col min="3" max="3" width="9.88671875" customWidth="1"/>
    <col min="4" max="4" width="11" customWidth="1"/>
    <col min="7" max="7" width="17.5546875" customWidth="1"/>
    <col min="8" max="8" width="15.44140625" customWidth="1"/>
    <col min="9" max="9" width="13.88671875" customWidth="1"/>
    <col min="10" max="10" width="11" customWidth="1"/>
  </cols>
  <sheetData>
    <row r="1" spans="1:10" x14ac:dyDescent="0.3">
      <c r="A1" s="67" t="s">
        <v>307</v>
      </c>
    </row>
    <row r="2" spans="1:10" s="84" customFormat="1" ht="21" x14ac:dyDescent="0.4">
      <c r="A2" s="84" t="s">
        <v>304</v>
      </c>
      <c r="G2" s="84" t="s">
        <v>305</v>
      </c>
    </row>
    <row r="3" spans="1:10" x14ac:dyDescent="0.3">
      <c r="D3" t="s">
        <v>306</v>
      </c>
      <c r="J3" t="s">
        <v>306</v>
      </c>
    </row>
    <row r="4" spans="1:10" x14ac:dyDescent="0.3">
      <c r="D4" s="7">
        <v>44377</v>
      </c>
      <c r="J4" s="7">
        <v>44316</v>
      </c>
    </row>
    <row r="5" spans="1:10" ht="5.0999999999999996" customHeight="1" x14ac:dyDescent="0.3"/>
    <row r="6" spans="1:10" x14ac:dyDescent="0.3">
      <c r="A6" t="s">
        <v>300</v>
      </c>
      <c r="B6" t="s">
        <v>301</v>
      </c>
      <c r="C6" t="s">
        <v>276</v>
      </c>
      <c r="D6" t="s">
        <v>278</v>
      </c>
      <c r="G6" t="s">
        <v>179</v>
      </c>
      <c r="H6" t="s">
        <v>196</v>
      </c>
      <c r="I6" t="s">
        <v>277</v>
      </c>
      <c r="J6" t="s">
        <v>278</v>
      </c>
    </row>
    <row r="7" spans="1:10" x14ac:dyDescent="0.3">
      <c r="A7" t="s">
        <v>47</v>
      </c>
      <c r="D7" s="83">
        <v>0</v>
      </c>
      <c r="G7" t="s">
        <v>279</v>
      </c>
      <c r="H7" t="s">
        <v>180</v>
      </c>
      <c r="J7" s="63">
        <v>0</v>
      </c>
    </row>
    <row r="8" spans="1:10" x14ac:dyDescent="0.3">
      <c r="A8" t="s">
        <v>46</v>
      </c>
      <c r="D8" s="83">
        <v>0</v>
      </c>
      <c r="G8" t="s">
        <v>280</v>
      </c>
      <c r="H8" t="s">
        <v>181</v>
      </c>
      <c r="J8" s="63">
        <v>0</v>
      </c>
    </row>
    <row r="9" spans="1:10" x14ac:dyDescent="0.3">
      <c r="A9" t="s">
        <v>309</v>
      </c>
      <c r="D9" s="83">
        <v>0</v>
      </c>
      <c r="G9" t="s">
        <v>281</v>
      </c>
      <c r="H9" t="s">
        <v>182</v>
      </c>
      <c r="J9" s="63">
        <v>0</v>
      </c>
    </row>
    <row r="10" spans="1:10" x14ac:dyDescent="0.3">
      <c r="A10" t="s">
        <v>48</v>
      </c>
      <c r="D10" s="83">
        <v>0</v>
      </c>
      <c r="G10" t="s">
        <v>282</v>
      </c>
      <c r="H10" t="s">
        <v>183</v>
      </c>
      <c r="J10" s="63">
        <v>0</v>
      </c>
    </row>
    <row r="11" spans="1:10" x14ac:dyDescent="0.3">
      <c r="A11" t="s">
        <v>49</v>
      </c>
      <c r="D11" s="83">
        <v>0</v>
      </c>
      <c r="G11" t="s">
        <v>283</v>
      </c>
      <c r="H11" t="s">
        <v>188</v>
      </c>
      <c r="J11" s="63">
        <v>0</v>
      </c>
    </row>
    <row r="12" spans="1:10" x14ac:dyDescent="0.3">
      <c r="A12" t="s">
        <v>212</v>
      </c>
      <c r="D12" s="83">
        <v>0</v>
      </c>
      <c r="G12" t="s">
        <v>284</v>
      </c>
      <c r="H12" t="s">
        <v>184</v>
      </c>
      <c r="J12" s="63">
        <v>0</v>
      </c>
    </row>
    <row r="13" spans="1:10" x14ac:dyDescent="0.3">
      <c r="A13" t="s">
        <v>214</v>
      </c>
      <c r="D13" s="83">
        <v>0</v>
      </c>
      <c r="G13" t="s">
        <v>285</v>
      </c>
      <c r="H13" t="s">
        <v>185</v>
      </c>
      <c r="J13" s="63">
        <v>0</v>
      </c>
    </row>
    <row r="14" spans="1:10" x14ac:dyDescent="0.3">
      <c r="A14" t="s">
        <v>50</v>
      </c>
      <c r="D14" s="83">
        <v>0</v>
      </c>
      <c r="G14" t="s">
        <v>286</v>
      </c>
      <c r="H14" t="s">
        <v>186</v>
      </c>
      <c r="J14" s="63">
        <v>0</v>
      </c>
    </row>
    <row r="15" spans="1:10" x14ac:dyDescent="0.3">
      <c r="A15" t="s">
        <v>215</v>
      </c>
      <c r="D15" s="83">
        <v>0</v>
      </c>
      <c r="G15" t="s">
        <v>287</v>
      </c>
      <c r="H15" t="s">
        <v>189</v>
      </c>
      <c r="J15" s="63">
        <v>0</v>
      </c>
    </row>
    <row r="16" spans="1:10" x14ac:dyDescent="0.3">
      <c r="A16" t="s">
        <v>213</v>
      </c>
      <c r="D16" s="83">
        <v>0</v>
      </c>
      <c r="G16" t="s">
        <v>288</v>
      </c>
      <c r="H16" t="s">
        <v>187</v>
      </c>
      <c r="J16" s="63">
        <v>0</v>
      </c>
    </row>
    <row r="17" spans="1:10" x14ac:dyDescent="0.3">
      <c r="A17" t="s">
        <v>217</v>
      </c>
      <c r="D17" s="83">
        <v>0</v>
      </c>
      <c r="G17" t="s">
        <v>289</v>
      </c>
      <c r="H17" t="s">
        <v>190</v>
      </c>
      <c r="J17" s="63">
        <v>0</v>
      </c>
    </row>
    <row r="18" spans="1:10" x14ac:dyDescent="0.3">
      <c r="A18" t="s">
        <v>45</v>
      </c>
      <c r="D18" s="83">
        <v>0</v>
      </c>
      <c r="G18" t="s">
        <v>290</v>
      </c>
      <c r="H18" t="s">
        <v>191</v>
      </c>
      <c r="J18" s="63">
        <v>0</v>
      </c>
    </row>
    <row r="19" spans="1:10" x14ac:dyDescent="0.3">
      <c r="A19" t="s">
        <v>51</v>
      </c>
      <c r="D19" s="83">
        <v>0</v>
      </c>
      <c r="G19" t="s">
        <v>291</v>
      </c>
      <c r="H19" t="s">
        <v>195</v>
      </c>
      <c r="J19" s="63">
        <v>0</v>
      </c>
    </row>
    <row r="20" spans="1:10" x14ac:dyDescent="0.3">
      <c r="A20" t="s">
        <v>216</v>
      </c>
      <c r="D20" s="83">
        <v>0</v>
      </c>
      <c r="G20" t="s">
        <v>292</v>
      </c>
      <c r="H20" t="s">
        <v>192</v>
      </c>
      <c r="J20" s="63">
        <v>0</v>
      </c>
    </row>
    <row r="21" spans="1:10" x14ac:dyDescent="0.3">
      <c r="A21" t="s">
        <v>211</v>
      </c>
      <c r="D21" s="83">
        <v>0</v>
      </c>
      <c r="G21" t="s">
        <v>293</v>
      </c>
      <c r="H21" t="s">
        <v>193</v>
      </c>
      <c r="J21" s="63">
        <v>0</v>
      </c>
    </row>
    <row r="22" spans="1:10" x14ac:dyDescent="0.3">
      <c r="A22" t="s">
        <v>52</v>
      </c>
      <c r="D22" s="83">
        <v>0</v>
      </c>
      <c r="G22" t="s">
        <v>294</v>
      </c>
      <c r="H22" t="s">
        <v>194</v>
      </c>
      <c r="I22" t="s">
        <v>295</v>
      </c>
      <c r="J22" s="63">
        <v>0</v>
      </c>
    </row>
    <row r="23" spans="1:10" x14ac:dyDescent="0.3">
      <c r="A23" t="s">
        <v>57</v>
      </c>
      <c r="D23" s="83">
        <v>0</v>
      </c>
      <c r="G23" t="s">
        <v>296</v>
      </c>
      <c r="H23" t="s">
        <v>302</v>
      </c>
      <c r="I23" t="s">
        <v>253</v>
      </c>
      <c r="J23" s="63">
        <v>0</v>
      </c>
    </row>
    <row r="24" spans="1:10" x14ac:dyDescent="0.3">
      <c r="A24" t="s">
        <v>60</v>
      </c>
      <c r="D24" s="83">
        <v>0</v>
      </c>
      <c r="G24" t="s">
        <v>297</v>
      </c>
      <c r="H24" t="s">
        <v>303</v>
      </c>
      <c r="I24" t="s">
        <v>251</v>
      </c>
      <c r="J24" s="63">
        <v>0</v>
      </c>
    </row>
    <row r="25" spans="1:10" x14ac:dyDescent="0.3">
      <c r="A25" t="s">
        <v>44</v>
      </c>
      <c r="D25" s="83">
        <v>0</v>
      </c>
      <c r="G25" t="s">
        <v>298</v>
      </c>
      <c r="I25" t="s">
        <v>252</v>
      </c>
      <c r="J25" s="63">
        <v>0</v>
      </c>
    </row>
    <row r="26" spans="1:10" x14ac:dyDescent="0.3">
      <c r="A26" t="s">
        <v>53</v>
      </c>
      <c r="D26" s="83">
        <v>0</v>
      </c>
      <c r="G26" t="s">
        <v>299</v>
      </c>
      <c r="I26" t="s">
        <v>254</v>
      </c>
      <c r="J26" s="63">
        <v>0</v>
      </c>
    </row>
    <row r="27" spans="1:10" x14ac:dyDescent="0.3">
      <c r="A27" t="s">
        <v>226</v>
      </c>
      <c r="D27" s="83">
        <v>0</v>
      </c>
      <c r="J27" s="63">
        <v>0</v>
      </c>
    </row>
    <row r="28" spans="1:10" x14ac:dyDescent="0.3">
      <c r="A28" t="s">
        <v>58</v>
      </c>
      <c r="D28" s="83">
        <v>0</v>
      </c>
    </row>
    <row r="29" spans="1:10" x14ac:dyDescent="0.3">
      <c r="A29" t="s">
        <v>61</v>
      </c>
      <c r="D29" s="83">
        <v>0</v>
      </c>
    </row>
    <row r="30" spans="1:10" x14ac:dyDescent="0.3">
      <c r="A30" t="s">
        <v>62</v>
      </c>
      <c r="D30" s="83">
        <v>0</v>
      </c>
    </row>
    <row r="31" spans="1:10" x14ac:dyDescent="0.3">
      <c r="A31" t="s">
        <v>54</v>
      </c>
      <c r="D31" s="83">
        <v>0</v>
      </c>
    </row>
    <row r="32" spans="1:10" x14ac:dyDescent="0.3">
      <c r="A32" t="s">
        <v>55</v>
      </c>
      <c r="D32" s="83">
        <v>0</v>
      </c>
    </row>
    <row r="33" spans="1:4" x14ac:dyDescent="0.3">
      <c r="A33" t="s">
        <v>224</v>
      </c>
      <c r="D33" s="83">
        <v>0</v>
      </c>
    </row>
    <row r="34" spans="1:4" x14ac:dyDescent="0.3">
      <c r="A34" t="s">
        <v>227</v>
      </c>
      <c r="D34" s="83">
        <v>0</v>
      </c>
    </row>
    <row r="35" spans="1:4" x14ac:dyDescent="0.3">
      <c r="A35" t="s">
        <v>65</v>
      </c>
      <c r="D35" s="83">
        <v>0</v>
      </c>
    </row>
    <row r="36" spans="1:4" x14ac:dyDescent="0.3">
      <c r="A36" t="s">
        <v>59</v>
      </c>
      <c r="D36" s="83">
        <v>0</v>
      </c>
    </row>
    <row r="37" spans="1:4" x14ac:dyDescent="0.3">
      <c r="A37" t="s">
        <v>228</v>
      </c>
      <c r="D37" s="83">
        <v>0</v>
      </c>
    </row>
    <row r="38" spans="1:4" x14ac:dyDescent="0.3">
      <c r="A38" t="s">
        <v>63</v>
      </c>
      <c r="D38" s="83">
        <v>0</v>
      </c>
    </row>
    <row r="39" spans="1:4" x14ac:dyDescent="0.3">
      <c r="A39" t="s">
        <v>64</v>
      </c>
      <c r="D39" s="83">
        <v>0</v>
      </c>
    </row>
    <row r="40" spans="1:4" x14ac:dyDescent="0.3">
      <c r="A40" t="s">
        <v>229</v>
      </c>
      <c r="D40" s="83">
        <v>0</v>
      </c>
    </row>
    <row r="41" spans="1:4" x14ac:dyDescent="0.3">
      <c r="A41" t="s">
        <v>249</v>
      </c>
      <c r="D41" s="83">
        <v>0</v>
      </c>
    </row>
    <row r="42" spans="1:4" x14ac:dyDescent="0.3">
      <c r="A42" t="s">
        <v>250</v>
      </c>
      <c r="D42" s="83">
        <v>0</v>
      </c>
    </row>
    <row r="43" spans="1:4" x14ac:dyDescent="0.3">
      <c r="A43" t="s">
        <v>248</v>
      </c>
      <c r="D43" s="83">
        <v>0</v>
      </c>
    </row>
    <row r="44" spans="1:4" x14ac:dyDescent="0.3">
      <c r="A44" t="s">
        <v>247</v>
      </c>
      <c r="D44" s="83">
        <v>0</v>
      </c>
    </row>
    <row r="45" spans="1:4" x14ac:dyDescent="0.3">
      <c r="A45" t="s">
        <v>243</v>
      </c>
      <c r="D45" s="83">
        <v>0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9 8 0 d 7 8 - c 9 5 6 - 4 0 5 3 - b 9 2 f - 5 d a 9 0 9 a 5 d e 7 4 "   x m l n s = " h t t p : / / s c h e m a s . m i c r o s o f t . c o m / D a t a M a s h u p " > A A A A A E w F A A B Q S w M E F A A C A A g A a E x q U v W R M i i o A A A A + A A A A B I A H A B D b 2 5 m a W c v U G F j a 2 F n Z S 5 4 b W w g o h g A K K A U A A A A A A A A A A A A A A A A A A A A A A A A A A A A h Y 9 N C s I w G E S v U r J v / t S i 8 j V d q D s L g i B u S x r b Y J t K k 5 r e z Y V H 8 g o W t O r O 5 Q x v 4 M 3 j d o e k r 6 v g q l q r G x M j h i k K l J F N r k 0 R o 8 6 d w j l K B O w y e c 4 K F Q y w s c v e 6 h i V z l 2 W h H j v s Z / g p i 0 I p 5 S R Y 7 r d y 1 L V W a i N d Z m R C n 1 W + f 8 V E n B 4 y Q i O I 4 Z n b M H x N G J A x h p S b b 4 I H 4 w x B f J T w q q r X N c q k a t w v Q E y R i D v F + I J U E s D B B Q A A g A I A G h M a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T G p S O F R A J E I C A A D M C Q A A E w A c A E Z v c m 1 1 b G F z L 1 N l Y 3 R p b 2 4 x L m 0 g o h g A K K A U A A A A A A A A A A A A A A A A A A A A A A A A A A A A 7 Z X P b t p A E M b v S L z D y r 2 A 5 C J A a U t a c e B v k 9 B E F F w 4 x J G 1 4 K F s v J 6 1 1 m t E i n i b v k l f r I s N N G A 3 i i K h H h p f b M 1 8 O z P f 7 E 9 y C F P F B J J h 8 q 5 8 y u f y u X B O J b i k / e X M 6 U s 2 h d A Z X / V J n X B Q + R z R z 9 c I O A c d 6 S y n w E t j I b 2 J E F 6 h y z i U W g I V o A o L R v e j v Q C p J I O J 7 U X o A j q T q U 0 5 t 8 d C 3 D O 0 + 1 L c g 6 f A H o J c i C D y A 3 D 6 5 7 V a p e Z U y 5 U P 5 f N q 1 S 6 / c y y Y z p F 5 d g P j W m F A P V B A m j S S w O a A x L p w L t p 2 t V y t 6 E + y L 0 Z 8 o Y Q k F F 3 i S r Y A E r I f D L + T X q e Z G G u 4 r s D S k o d L o 2 g S j D g 3 i Z I R F M 3 E 5 9 b 9 9 a Z M 6 F h 0 E p t O 3 K 9 u L x X 4 d e N A Y 5 g 9 h m 7 d i K X G 3 f q 2 T R W 9 2 1 Z 7 Y 3 y G X z / 1 G q Q C S a y H w N D F Y m X J k h T D m Z B + S / D I R 5 2 D s J D R 3 V y t j O Z g F I d i k a E H 1 m + i Y K n W J l k Z m 0 t r X T e s V E K b f t u w S J 9 K l c p 1 e s R n i g w g F F z f 2 C 6 P k T 8 B G S u 6 1 N M t d e I S 1 f u z 0 q Z 3 H B / 1 j s T r 4 t 5 t B 9 U M p I a B D A P K N R N / / A 7 A F w t I z I a F 9 G L M r J l 2 Q 6 y L + R z D v 3 d 5 z L B 2 n a z x P 8 Z X 6 1 v C D w R u b D 1 N 8 Y H 0 F D B n z L J h W o d j M r c U p Q A d w O z m I E P x I U 4 k d 1 4 5 D n e O s f x X D L 8 Q 2 8 x t j S h n 7 j d U j L / C n F q J 0 4 Y Z Q 3 B v q P 8 8 u h + d 3 Y H + q M R J c M + e d s N / c n S P s U s V r A 9 5 O W 6 f Q c v 2 R / G K S d Y u n s N H 6 t D p w H h y v h c S 8 R t Q S w E C L Q A U A A I A C A B o T G p S 9 Z E y K K g A A A D 4 A A A A E g A A A A A A A A A A A A A A A A A A A A A A Q 2 9 u Z m l n L 1 B h Y 2 t h Z 2 U u e G 1 s U E s B A i 0 A F A A C A A g A a E x q U g / K 6 a u k A A A A 6 Q A A A B M A A A A A A A A A A A A A A A A A 9 A A A A F t D b 2 5 0 Z W 5 0 X 1 R 5 c G V z X S 5 4 b W x Q S w E C L Q A U A A I A C A B o T G p S O F R A J E I C A A D M C Q A A E w A A A A A A A A A A A A A A A A D l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J w A A A A A A A J k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R U J Q c m l j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0 V C U H J p Y 2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w O D o z N T o x N i 4 w N T Y 1 M z c y W i I g L z 4 8 R W 5 0 c n k g V H l w Z T 0 i R m l s b E N v b H V t b l R 5 c G V z I i B W Y W x 1 Z T 0 i c 0 J n Q U F C U T 0 9 I i A v P j x F b n R y e S B U e X B l P S J G a W x s Q 2 9 s d W 1 u T m F t Z X M i I F Z h b H V l P S J z W y Z x d W 9 0 O 0 t F Q i B Q Y X J 0 I G 5 1 b W J l c i Z x d W 9 0 O y w m c X V v d D t S Z W Z O d W 1 i Z X I m c X V v d D s s J n F 1 b 3 Q 7 U 3 B h b H R l M S Z x d W 9 0 O y w m c X V v d D t W S y Z x d W 9 0 O 1 0 i I C 8 + P E V u d H J 5 I F R 5 c G U 9 I l F 1 Z X J 5 S U Q i I F Z h b H V l P S J z M D c x N 2 M 3 Z G Y t N W Y w N S 0 0 N W J m L T k 5 Z T A t N W F h Y z A 5 Z T E 0 N z B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F Q l B y a W N l c y 9 H Z c O k b m R l c n R l c i B U e X A u e 0 t F Q i B Q Y X J 0 I G 5 1 b W J l c i w w f S Z x d W 9 0 O y w m c X V v d D t T Z W N 0 a W 9 u M S 9 L R U J Q c m l j Z X M v R 2 X D p G 5 k Z X J 0 Z X I g V H l w L n t S Z W Z O d W 1 i Z X I s M X 0 m c X V v d D s s J n F 1 b 3 Q 7 U 2 V j d G l v b j E v S 0 V C U H J p Y 2 V z L 0 d l w 6 R u Z G V y d G V y I F R 5 c C 5 7 U 3 B h b H R l M S w y f S Z x d W 9 0 O y w m c X V v d D t T Z W N 0 a W 9 u M S 9 L R U J Q c m l j Z X M v R 2 X D p G 5 k Z X J 0 Z X I g V H l w L n t W S y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R U J Q c m l j Z X M v R 2 X D p G 5 k Z X J 0 Z X I g V H l w L n t L R U I g U G F y d C B u d W 1 i Z X I s M H 0 m c X V v d D s s J n F 1 b 3 Q 7 U 2 V j d G l v b j E v S 0 V C U H J p Y 2 V z L 0 d l w 6 R u Z G V y d G V y I F R 5 c C 5 7 U m V m T n V t Y m V y L D F 9 J n F 1 b 3 Q 7 L C Z x d W 9 0 O 1 N l Y 3 R p b 2 4 x L 0 t F Q l B y a W N l c y 9 H Z c O k b m R l c n R l c i B U e X A u e 1 N w Y W x 0 Z T E s M n 0 m c X V v d D s s J n F 1 b 3 Q 7 U 2 V j d G l v b j E v S 0 V C U H J p Y 2 V z L 0 d l w 6 R u Z G V y d G V y I F R 5 c C 5 7 V k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F Q l B y a W N l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J Q c m l j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C U H J p Y 2 V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D R f U H J p Y 2 V z X 1 d K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T D R f U H J p Y 2 V z X 1 d K U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m V s b G U y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M t M T B U M D g 6 M z U 6 M T U u O T k 1 N z E 3 O F o i I C 8 + P E V u d H J 5 I F R 5 c G U 9 I k Z p b G x D b 2 x 1 b W 5 U e X B l c y I g V m F s d W U 9 I n N C Z 1 l H Q l E 9 P S I g L z 4 8 R W 5 0 c n k g V H l w Z T 0 i R m l s b E N v b H V t b k 5 h b W V z I i B W Y W x 1 Z T 0 i c 1 s m c X V v d D t C U l Z N b 3 R v c l R 5 c G V z J n F 1 b 3 Q 7 L C Z x d W 9 0 O 0 R M N F 9 D T U F U J n F 1 b 3 Q 7 L C Z x d W 9 0 O 0 t F Q i 1 B V C B Q Y X J 0 J n F 1 b 3 Q 7 L C Z x d W 9 0 O 1 Z L J n F 1 b 3 Q 7 X S I g L z 4 8 R W 5 0 c n k g V H l w Z T 0 i U X V l c n l J R C I g V m F s d W U 9 I n M 0 Y z Z h O G E x Y i 0 w N D F m L T R k Z T M t Y m J l Y i 0 y M T M 4 Y m Y 4 N z N h M D g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w 0 X 1 B y a W N l c 1 9 X S l A v R 2 X D p G 5 k Z X J 0 Z X I g V H l w L n t C U l Z N b 3 R v c l R 5 c G V z L D B 9 J n F 1 b 3 Q 7 L C Z x d W 9 0 O 1 N l Y 3 R p b 2 4 x L 0 R M N F 9 Q c m l j Z X N f V 0 p Q L 0 d l w 6 R u Z G V y d G V y I F R 5 c C 5 7 R E w 0 X 0 N N Q V Q s M X 0 m c X V v d D s s J n F 1 b 3 Q 7 U 2 V j d G l v b j E v R E w 0 X 1 B y a W N l c 1 9 X S l A v R 2 X D p G 5 k Z X J 0 Z X I g V H l w L n t L R U I t Q V Q g U G F y d C w y f S Z x d W 9 0 O y w m c X V v d D t T Z W N 0 a W 9 u M S 9 E T D R f U H J p Y 2 V z X 1 d K U C 9 H Z c O k b m R l c n R l c i B U e X A u e 1 Z L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M N F 9 Q c m l j Z X N f V 0 p Q L 0 d l w 6 R u Z G V y d G V y I F R 5 c C 5 7 Q l J W T W 9 0 b 3 J U e X B l c y w w f S Z x d W 9 0 O y w m c X V v d D t T Z W N 0 a W 9 u M S 9 E T D R f U H J p Y 2 V z X 1 d K U C 9 H Z c O k b m R l c n R l c i B U e X A u e 0 R M N F 9 D T U F U L D F 9 J n F 1 b 3 Q 7 L C Z x d W 9 0 O 1 N l Y 3 R p b 2 4 x L 0 R M N F 9 Q c m l j Z X N f V 0 p Q L 0 d l w 6 R u Z G V y d G V y I F R 5 c C 5 7 S 0 V C L U F U I F B h c n Q s M n 0 m c X V v d D s s J n F 1 b 3 Q 7 U 2 V j d G l v b j E v R E w 0 X 1 B y a W N l c 1 9 X S l A v R 2 X D p G 5 k Z X J 0 Z X I g V H l w L n t W S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w 0 X 1 B y a W N l c 1 9 X S l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w 0 X 1 B y a W N l c 1 9 X S l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w 0 X 1 B y a W N l c 1 9 X S l A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Q l B y a W N l c y 9 Q c m l j Z X N f S 0 V C Q 2 9 t c G 9 u Z W 5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N F 9 Q c m l j Z X N f V 0 p Q L 1 B y a W N l c 1 9 N b 3 R v c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N f S 0 V C Q 2 9 t c G 9 u Z W 5 0 c 1 9 W Y W x p Z F V u d G l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y a W N l c 1 9 L R U J D b 2 1 w b 2 5 l b n R z X 1 Z h b G l k V W 5 0 a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N R P T 0 i I C 8 + P E V u d H J 5 I F R 5 c G U 9 I k Z p b G x M Y X N 0 V X B k Y X R l Z C I g V m F s d W U 9 I m Q y M D I x L T A z L T E w V D A 4 O j M 1 O j E 1 L j k y M T g 5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N T g 1 N 2 M 0 O D Q t Y T d h M S 0 0 Z W V j L T k x O D c t Y T Y 2 Y j d m Y T N h M j V m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j Z X N f S 0 V C Q 2 9 t c G 9 u Z W 5 0 c 1 9 W Y W x p Z F V u d G l s L 0 d l w 6 R u Z G V y d G V y I F R 5 c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c m l j Z X N f S 0 V C Q 2 9 t c G 9 u Z W 5 0 c 1 9 W Y W x p Z F V u d G l s L 0 d l w 6 R u Z G V y d G V y I F R 5 c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p Y 2 V z X 0 t F Q k N v b X B v b m V u d H N f V m F s a W R V b n R p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N f S 0 V C Q 2 9 t c G 9 u Z W 5 0 c 1 9 W Y W x p Z F V u d G l s L 1 B y a W N l c 1 9 L R U J D b 2 1 w b 2 5 l b n R z X 1 Z h b G l k V W 5 0 a W x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N f S 0 V C Q 2 9 t c G 9 u Z W 5 0 c 1 9 W Y W x p Z F V u d G l s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c 1 9 N b 3 R v c n N f V m F s a W R V b n R p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c m l j Z X N f T W 9 0 b 3 J z X 1 Z h b G l k V W 5 0 a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N R P T 0 i I C 8 + P E V u d H J 5 I F R 5 c G U 9 I k Z p b G x M Y X N 0 V X B k Y X R l Z C I g V m F s d W U 9 I m Q y M D I x L T A z L T E w V D A 4 O j M 1 O j E 1 L j g y M j E 2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Z D M w Z m N j N T E t N z M 5 Z S 0 0 N D c y L T k x N G U t Z j U 0 M T N i N j l i N D Q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j Z X N f T W 9 0 b 3 J z X 1 Z h b G l k V W 5 0 a W w v R 2 X D p G 5 k Z X J 0 Z X I g V H l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a W N l c 1 9 N b 3 R v c n N f V m F s a W R V b n R p b C 9 H Z c O k b m R l c n R l c i B U e X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a W N l c 1 9 N b 3 R v c n N f V m F s a W R V b n R p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N f T W 9 0 b 3 J z X 1 Z h b G l k V W 5 0 a W w v U H J p Y 2 V z X 0 1 v d G 9 y c 1 9 W Y W x p Z F V u d G l s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X 0 1 v d G 9 y c 1 9 W Y W x p Z F V u d G l s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6 y 2 v u b h O S Z i H U l X u X O q R A A A A A A I A A A A A A A N m A A D A A A A A E A A A A E H v 7 T R 8 e M s C V 7 U X A X o D 9 5 w A A A A A B I A A A K A A A A A Q A A A A m O P 5 x U 5 n Y j i H k U m b e E 5 A 8 V A A A A C 9 a e A 4 I H i F u W O p R k r Y t x f 2 T S 8 M C w a B j Y x v x h u F m 6 + 8 L 9 5 3 e W 1 j Z Y K E p u h H Z c b 6 z p H x 9 q s V 3 j P u a o V Y 3 K c q 3 T t c 2 1 6 d X m u v m T Q 2 g 6 p w S s q + d R Q A A A B s m N w A 5 t y g r J t 3 t h 3 5 s O I S k Y 3 V u g = = < / D a t a M a s h u p > 
</file>

<file path=customXml/itemProps1.xml><?xml version="1.0" encoding="utf-8"?>
<ds:datastoreItem xmlns:ds="http://schemas.openxmlformats.org/officeDocument/2006/customXml" ds:itemID="{B79B02E0-1B54-4EFB-93EC-C3F72D9115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Info</vt:lpstr>
      <vt:lpstr>InjectionMoldingMachine</vt:lpstr>
      <vt:lpstr>KEB_Drives</vt:lpstr>
      <vt:lpstr>KEB_Drives_Standard</vt:lpstr>
      <vt:lpstr>DL4_BRV Motors</vt:lpstr>
      <vt:lpstr>KEB_F6_OL150Chart</vt:lpstr>
      <vt:lpstr>HydrPumps</vt:lpstr>
      <vt:lpstr>DL4_Motorcodes</vt:lpstr>
      <vt:lpstr>Priceimport</vt:lpstr>
      <vt:lpstr>BRVMotorDataTable</vt:lpstr>
      <vt:lpstr>BRVMotorTable_Types</vt:lpstr>
      <vt:lpstr>CalculationReserveProzent</vt:lpstr>
      <vt:lpstr>DL4MotorCodes</vt:lpstr>
    </vt:vector>
  </TitlesOfParts>
  <Company>KEB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Sizing TH series Servopump</dc:title>
  <dc:creator>Manuel Hölzl</dc:creator>
  <cp:keywords>Servopump</cp:keywords>
  <cp:lastModifiedBy>Glaser, Conner</cp:lastModifiedBy>
  <cp:lastPrinted>2021-03-11T13:22:00Z</cp:lastPrinted>
  <dcterms:created xsi:type="dcterms:W3CDTF">2018-04-19T08:32:45Z</dcterms:created>
  <dcterms:modified xsi:type="dcterms:W3CDTF">2025-07-02T21:05:29Z</dcterms:modified>
</cp:coreProperties>
</file>