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0.xml" ContentType="application/vnd.openxmlformats-officedocument.spreadsheetml.comments+xml"/>
  <Override PartName="/xl/drawings/drawing7.xml" ContentType="application/vnd.openxmlformats-officedocument.drawing+xml"/>
  <Override PartName="/xl/comments1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12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omments1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omments14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omments1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omments16.xml" ContentType="application/vnd.openxmlformats-officedocument.spreadsheetml.comments+xml"/>
  <Override PartName="/xl/drawings/drawing12.xml" ContentType="application/vnd.openxmlformats-officedocument.drawing+xml"/>
  <Override PartName="/xl/comments17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Yatir Experiments Measurements\201701-now - Branch chambers - Itay\00_additional_data\"/>
    </mc:Choice>
  </mc:AlternateContent>
  <bookViews>
    <workbookView xWindow="0" yWindow="0" windowWidth="28800" windowHeight="11430" tabRatio="632" firstSheet="12" activeTab="22"/>
  </bookViews>
  <sheets>
    <sheet name="16.5.19" sheetId="6" state="hidden" r:id="rId1"/>
    <sheet name="16.7.20 " sheetId="25" r:id="rId2"/>
    <sheet name="15.6.20" sheetId="24" r:id="rId3"/>
    <sheet name="7.5.20" sheetId="22" r:id="rId4"/>
    <sheet name="13.4.20" sheetId="19" r:id="rId5"/>
    <sheet name="12.3.20" sheetId="18" r:id="rId6"/>
    <sheet name="20.2.20" sheetId="15" r:id="rId7"/>
    <sheet name="25.12.19" sheetId="14" r:id="rId8"/>
    <sheet name="6.11.19" sheetId="13" r:id="rId9"/>
    <sheet name="02.09.2019" sheetId="11" r:id="rId10"/>
    <sheet name="07.08.19" sheetId="9" r:id="rId11"/>
    <sheet name="02.09.19" sheetId="10" state="hidden" r:id="rId12"/>
    <sheet name="16.05.19" sheetId="7" r:id="rId13"/>
    <sheet name="06.03.19" sheetId="5" r:id="rId14"/>
    <sheet name="20.12.18" sheetId="1" r:id="rId15"/>
    <sheet name="8.8.18" sheetId="2" r:id="rId16"/>
    <sheet name="4.6.18" sheetId="3" r:id="rId17"/>
    <sheet name="19.3.18" sheetId="23" r:id="rId18"/>
    <sheet name="14.2.18" sheetId="4" r:id="rId19"/>
    <sheet name="summary 2018" sheetId="8" r:id="rId20"/>
    <sheet name="summary 2019" sheetId="17" r:id="rId21"/>
    <sheet name="summary 2020" sheetId="20" r:id="rId22"/>
    <sheet name="Total summary" sheetId="21" r:id="rId2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51" i="21" l="1"/>
  <c r="AG50" i="21" l="1"/>
  <c r="AG49" i="21"/>
  <c r="R42" i="21" l="1"/>
  <c r="AG48" i="21" l="1"/>
  <c r="AG47" i="21"/>
  <c r="R48" i="21"/>
  <c r="R47" i="21"/>
  <c r="H28" i="25"/>
  <c r="G48" i="25"/>
  <c r="H48" i="25" s="1"/>
  <c r="I48" i="25" s="1"/>
  <c r="G44" i="25"/>
  <c r="H44" i="25" s="1"/>
  <c r="I44" i="25" s="1"/>
  <c r="H40" i="25"/>
  <c r="I40" i="25" s="1"/>
  <c r="G40" i="25"/>
  <c r="G36" i="25"/>
  <c r="H36" i="25" s="1"/>
  <c r="I36" i="25" s="1"/>
  <c r="H32" i="25"/>
  <c r="I32" i="25" s="1"/>
  <c r="G32" i="25"/>
  <c r="G28" i="25"/>
  <c r="I28" i="25" s="1"/>
  <c r="H24" i="25"/>
  <c r="I24" i="25" s="1"/>
  <c r="G24" i="25"/>
  <c r="G21" i="25"/>
  <c r="H21" i="25" s="1"/>
  <c r="I21" i="25" s="1"/>
  <c r="G18" i="25"/>
  <c r="H18" i="25" s="1"/>
  <c r="I18" i="25" s="1"/>
  <c r="G15" i="25"/>
  <c r="H15" i="25" s="1"/>
  <c r="I15" i="25" s="1"/>
  <c r="H8" i="25"/>
  <c r="I8" i="25" s="1"/>
  <c r="G8" i="25"/>
  <c r="G5" i="25"/>
  <c r="H5" i="25" s="1"/>
  <c r="I5" i="25" s="1"/>
  <c r="G2" i="25"/>
  <c r="H2" i="25" s="1"/>
  <c r="I2" i="25" s="1"/>
  <c r="L2" i="25" l="1"/>
  <c r="J2" i="25"/>
  <c r="K2" i="25"/>
  <c r="AF47" i="21"/>
  <c r="AD47" i="21"/>
  <c r="AB47" i="21"/>
  <c r="Z47" i="21"/>
  <c r="X47" i="21"/>
  <c r="V47" i="21"/>
  <c r="T47" i="21"/>
  <c r="Q47" i="21"/>
  <c r="O47" i="21"/>
  <c r="M47" i="21"/>
  <c r="K47" i="21"/>
  <c r="I47" i="21"/>
  <c r="G47" i="21"/>
  <c r="E47" i="21"/>
  <c r="AG2" i="21" l="1"/>
  <c r="AG3" i="21"/>
  <c r="AG4" i="21"/>
  <c r="AG5" i="21"/>
  <c r="AG6" i="21"/>
  <c r="AG7" i="21"/>
  <c r="AG8" i="21"/>
  <c r="AG9" i="21"/>
  <c r="AG10" i="21"/>
  <c r="AG11" i="21"/>
  <c r="AG12" i="21"/>
  <c r="AG13" i="21"/>
  <c r="AG14" i="21"/>
  <c r="AG15" i="21"/>
  <c r="AG16" i="21"/>
  <c r="AG17" i="21"/>
  <c r="R2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C5" i="21"/>
  <c r="C4" i="21"/>
  <c r="C3" i="21"/>
  <c r="C2" i="21"/>
  <c r="AF33" i="21" l="1"/>
  <c r="AF34" i="21"/>
  <c r="AF35" i="21"/>
  <c r="AF36" i="21"/>
  <c r="AF37" i="21"/>
  <c r="AF38" i="21"/>
  <c r="AF39" i="21"/>
  <c r="AF40" i="21"/>
  <c r="AF41" i="21"/>
  <c r="AF42" i="21"/>
  <c r="AF43" i="21"/>
  <c r="AF44" i="21"/>
  <c r="AF45" i="21"/>
  <c r="AF46" i="21"/>
  <c r="AD33" i="21"/>
  <c r="AD34" i="21"/>
  <c r="AD35" i="21"/>
  <c r="AD36" i="21"/>
  <c r="AD37" i="21"/>
  <c r="AD38" i="21"/>
  <c r="AD39" i="21"/>
  <c r="AD40" i="21"/>
  <c r="AD41" i="21"/>
  <c r="AD42" i="21"/>
  <c r="AD43" i="21"/>
  <c r="AD44" i="21"/>
  <c r="AD45" i="21"/>
  <c r="AD46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Z33" i="21"/>
  <c r="Z34" i="21"/>
  <c r="Z35" i="21"/>
  <c r="Z36" i="21"/>
  <c r="Z37" i="21"/>
  <c r="Z38" i="21"/>
  <c r="Z39" i="21"/>
  <c r="Z40" i="21"/>
  <c r="Z41" i="21"/>
  <c r="Z42" i="21"/>
  <c r="Z43" i="21"/>
  <c r="Z44" i="21"/>
  <c r="Z45" i="21"/>
  <c r="Z46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X46" i="21"/>
  <c r="V33" i="21"/>
  <c r="V34" i="21"/>
  <c r="V35" i="21"/>
  <c r="V36" i="21"/>
  <c r="V37" i="21"/>
  <c r="V38" i="21"/>
  <c r="V39" i="21"/>
  <c r="V40" i="21"/>
  <c r="V41" i="21"/>
  <c r="V42" i="21"/>
  <c r="V43" i="21"/>
  <c r="V44" i="21"/>
  <c r="V45" i="21"/>
  <c r="V46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S33" i="21"/>
  <c r="S35" i="21"/>
  <c r="S36" i="21"/>
  <c r="S39" i="21"/>
  <c r="S4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R46" i="21"/>
  <c r="AG46" i="21"/>
  <c r="AG43" i="21"/>
  <c r="AG42" i="21"/>
  <c r="AE42" i="21"/>
  <c r="AC42" i="21"/>
  <c r="AA42" i="21"/>
  <c r="Y42" i="21"/>
  <c r="W42" i="21"/>
  <c r="U42" i="21"/>
  <c r="P42" i="21"/>
  <c r="N42" i="21"/>
  <c r="L42" i="21"/>
  <c r="J42" i="21"/>
  <c r="H42" i="21"/>
  <c r="F42" i="21"/>
  <c r="D42" i="21"/>
  <c r="AE39" i="21" l="1"/>
  <c r="AC39" i="21"/>
  <c r="AA39" i="21"/>
  <c r="Y39" i="21"/>
  <c r="W39" i="21"/>
  <c r="U39" i="21"/>
  <c r="P39" i="21"/>
  <c r="N39" i="21"/>
  <c r="L39" i="21"/>
  <c r="J39" i="21"/>
  <c r="H39" i="21"/>
  <c r="F39" i="21"/>
  <c r="D39" i="21"/>
  <c r="AE36" i="21"/>
  <c r="AE35" i="21"/>
  <c r="AE33" i="21"/>
  <c r="AC35" i="21"/>
  <c r="AC36" i="21" s="1"/>
  <c r="AC33" i="21"/>
  <c r="AA36" i="21"/>
  <c r="AA35" i="21"/>
  <c r="AA33" i="21"/>
  <c r="Y35" i="21"/>
  <c r="Y36" i="21" s="1"/>
  <c r="Y33" i="21"/>
  <c r="W35" i="21"/>
  <c r="W36" i="21" s="1"/>
  <c r="W33" i="21"/>
  <c r="U35" i="21"/>
  <c r="U36" i="21" s="1"/>
  <c r="U33" i="21"/>
  <c r="P36" i="21"/>
  <c r="P35" i="21"/>
  <c r="P33" i="21"/>
  <c r="N35" i="21"/>
  <c r="N36" i="21" s="1"/>
  <c r="N33" i="21"/>
  <c r="L35" i="21"/>
  <c r="L36" i="21" s="1"/>
  <c r="L33" i="21"/>
  <c r="J36" i="21"/>
  <c r="J35" i="21"/>
  <c r="J33" i="21"/>
  <c r="H36" i="21"/>
  <c r="H35" i="21"/>
  <c r="H33" i="21"/>
  <c r="F36" i="21"/>
  <c r="F35" i="21"/>
  <c r="F33" i="21"/>
  <c r="D36" i="21"/>
  <c r="D35" i="21"/>
  <c r="D33" i="21"/>
  <c r="I22" i="7"/>
  <c r="I2" i="5"/>
  <c r="G2" i="7"/>
  <c r="H2" i="7" s="1"/>
  <c r="I2" i="7" s="1"/>
  <c r="W30" i="21"/>
  <c r="W31" i="21"/>
  <c r="U31" i="21"/>
  <c r="U30" i="21"/>
  <c r="V30" i="21" s="1"/>
  <c r="I38" i="5"/>
  <c r="H41" i="1"/>
  <c r="C33" i="21"/>
  <c r="C34" i="21"/>
  <c r="C35" i="21"/>
  <c r="C36" i="21"/>
  <c r="AD26" i="21"/>
  <c r="AD27" i="21"/>
  <c r="AD28" i="21"/>
  <c r="AB26" i="21"/>
  <c r="AB27" i="21"/>
  <c r="AB28" i="21"/>
  <c r="Z26" i="21"/>
  <c r="Z27" i="21"/>
  <c r="Z28" i="21"/>
  <c r="X26" i="21"/>
  <c r="X27" i="21"/>
  <c r="V26" i="21"/>
  <c r="V27" i="21"/>
  <c r="V28" i="21"/>
  <c r="T26" i="21"/>
  <c r="T27" i="21"/>
  <c r="T28" i="21"/>
  <c r="Q26" i="21"/>
  <c r="Q27" i="21"/>
  <c r="Q28" i="21"/>
  <c r="O26" i="21"/>
  <c r="O27" i="21"/>
  <c r="O28" i="21"/>
  <c r="M26" i="21"/>
  <c r="M27" i="21"/>
  <c r="M28" i="21"/>
  <c r="K26" i="21"/>
  <c r="K27" i="21"/>
  <c r="K28" i="21"/>
  <c r="I26" i="21"/>
  <c r="I27" i="21"/>
  <c r="I28" i="21"/>
  <c r="G26" i="21"/>
  <c r="G27" i="21"/>
  <c r="G28" i="21"/>
  <c r="E26" i="21"/>
  <c r="E27" i="21"/>
  <c r="E28" i="21"/>
  <c r="AE28" i="21"/>
  <c r="AE27" i="21"/>
  <c r="AE26" i="21"/>
  <c r="AC28" i="21"/>
  <c r="AC27" i="21"/>
  <c r="AC26" i="21"/>
  <c r="AA28" i="21"/>
  <c r="AA27" i="21"/>
  <c r="AA26" i="21"/>
  <c r="Y28" i="21"/>
  <c r="Y27" i="21"/>
  <c r="Y26" i="21"/>
  <c r="W28" i="21"/>
  <c r="X28" i="21" s="1"/>
  <c r="W27" i="21"/>
  <c r="W26" i="21"/>
  <c r="U27" i="21"/>
  <c r="U28" i="21"/>
  <c r="U26" i="21"/>
  <c r="S28" i="21"/>
  <c r="S27" i="21"/>
  <c r="S26" i="21"/>
  <c r="P28" i="21"/>
  <c r="P27" i="21"/>
  <c r="P26" i="21"/>
  <c r="N27" i="21"/>
  <c r="N28" i="21"/>
  <c r="N26" i="21"/>
  <c r="L27" i="21"/>
  <c r="L28" i="21"/>
  <c r="L26" i="21"/>
  <c r="J28" i="21"/>
  <c r="J27" i="21"/>
  <c r="J26" i="21"/>
  <c r="H26" i="21"/>
  <c r="H27" i="21"/>
  <c r="H28" i="21"/>
  <c r="F27" i="21"/>
  <c r="F28" i="21"/>
  <c r="F26" i="21"/>
  <c r="D27" i="21"/>
  <c r="D28" i="21"/>
  <c r="D26" i="21"/>
  <c r="AB30" i="21"/>
  <c r="Z30" i="21"/>
  <c r="X30" i="21"/>
  <c r="X31" i="21"/>
  <c r="T30" i="21"/>
  <c r="T31" i="21"/>
  <c r="Q30" i="21"/>
  <c r="Q31" i="21"/>
  <c r="O30" i="21"/>
  <c r="O31" i="21"/>
  <c r="M30" i="21"/>
  <c r="M31" i="21"/>
  <c r="K30" i="21"/>
  <c r="K31" i="21"/>
  <c r="I30" i="21"/>
  <c r="I31" i="21"/>
  <c r="G30" i="21"/>
  <c r="G31" i="21"/>
  <c r="E31" i="21"/>
  <c r="E30" i="21"/>
  <c r="AE30" i="21"/>
  <c r="AF30" i="21" s="1"/>
  <c r="AF32" i="21"/>
  <c r="AC30" i="21"/>
  <c r="AC31" i="21" s="1"/>
  <c r="AD31" i="21" s="1"/>
  <c r="AA30" i="21"/>
  <c r="AA31" i="21" s="1"/>
  <c r="AB31" i="21" s="1"/>
  <c r="Y31" i="21"/>
  <c r="Z31" i="21" s="1"/>
  <c r="Y30" i="21"/>
  <c r="V31" i="21"/>
  <c r="S31" i="21"/>
  <c r="S30" i="21"/>
  <c r="P31" i="21"/>
  <c r="P30" i="21"/>
  <c r="N31" i="21"/>
  <c r="N30" i="21"/>
  <c r="L31" i="21"/>
  <c r="L30" i="21"/>
  <c r="J31" i="21"/>
  <c r="J30" i="21"/>
  <c r="H31" i="21"/>
  <c r="H30" i="21"/>
  <c r="F31" i="21"/>
  <c r="F30" i="21"/>
  <c r="D31" i="21"/>
  <c r="D30" i="21"/>
  <c r="G35" i="5"/>
  <c r="H35" i="5" s="1"/>
  <c r="E32" i="21"/>
  <c r="R20" i="21"/>
  <c r="AF20" i="21"/>
  <c r="AF21" i="21"/>
  <c r="AF22" i="21"/>
  <c r="AD20" i="21"/>
  <c r="AD21" i="21"/>
  <c r="AD22" i="21"/>
  <c r="AE21" i="21"/>
  <c r="AE22" i="21"/>
  <c r="AE20" i="21"/>
  <c r="AC21" i="21"/>
  <c r="AC22" i="21"/>
  <c r="AC20" i="21"/>
  <c r="AB20" i="21"/>
  <c r="AB21" i="21"/>
  <c r="AB22" i="21"/>
  <c r="AB23" i="21"/>
  <c r="AA22" i="21"/>
  <c r="AA21" i="21"/>
  <c r="W22" i="21"/>
  <c r="X22" i="21" s="1"/>
  <c r="W21" i="21"/>
  <c r="W19" i="21"/>
  <c r="W18" i="21" s="1"/>
  <c r="AA19" i="21"/>
  <c r="AA18" i="21" s="1"/>
  <c r="Z20" i="21"/>
  <c r="Z21" i="21"/>
  <c r="Z22" i="21"/>
  <c r="Y21" i="21"/>
  <c r="Y22" i="21"/>
  <c r="Y20" i="21"/>
  <c r="X20" i="21"/>
  <c r="X21" i="21"/>
  <c r="V20" i="21"/>
  <c r="V21" i="21"/>
  <c r="V22" i="21"/>
  <c r="U21" i="21"/>
  <c r="U22" i="21"/>
  <c r="U20" i="21"/>
  <c r="S20" i="21"/>
  <c r="S21" i="21"/>
  <c r="S22" i="21"/>
  <c r="T20" i="21"/>
  <c r="T21" i="21"/>
  <c r="T22" i="21"/>
  <c r="S18" i="21"/>
  <c r="Q20" i="21"/>
  <c r="Q21" i="21"/>
  <c r="Q22" i="21"/>
  <c r="O20" i="21"/>
  <c r="O21" i="21"/>
  <c r="O22" i="21"/>
  <c r="M20" i="21"/>
  <c r="M21" i="21"/>
  <c r="M22" i="21"/>
  <c r="K20" i="21"/>
  <c r="K21" i="21"/>
  <c r="K22" i="21"/>
  <c r="I20" i="21"/>
  <c r="I21" i="21"/>
  <c r="I22" i="21"/>
  <c r="G20" i="21"/>
  <c r="G21" i="21"/>
  <c r="G22" i="21"/>
  <c r="E20" i="21"/>
  <c r="E21" i="21"/>
  <c r="E22" i="21"/>
  <c r="K4" i="4"/>
  <c r="J4" i="4"/>
  <c r="AE18" i="21"/>
  <c r="AC18" i="21"/>
  <c r="Y18" i="21"/>
  <c r="U18" i="21"/>
  <c r="P18" i="21"/>
  <c r="N18" i="21"/>
  <c r="L18" i="21"/>
  <c r="J18" i="21"/>
  <c r="H18" i="21"/>
  <c r="D18" i="21"/>
  <c r="F18" i="21"/>
  <c r="U24" i="21"/>
  <c r="I5" i="3"/>
  <c r="I8" i="3"/>
  <c r="I11" i="3"/>
  <c r="I14" i="3"/>
  <c r="I17" i="3"/>
  <c r="I20" i="3"/>
  <c r="I23" i="3"/>
  <c r="I29" i="3"/>
  <c r="I32" i="3"/>
  <c r="I35" i="3"/>
  <c r="I38" i="3"/>
  <c r="I41" i="3"/>
  <c r="D24" i="21"/>
  <c r="AE31" i="21" l="1"/>
  <c r="AF31" i="21" s="1"/>
  <c r="AD30" i="21"/>
  <c r="K4" i="9"/>
  <c r="K2" i="7"/>
  <c r="K4" i="7" s="1"/>
  <c r="J4" i="1"/>
  <c r="K4" i="2"/>
  <c r="J4" i="2"/>
  <c r="G5" i="4"/>
  <c r="G20" i="4"/>
  <c r="C19" i="21" l="1"/>
  <c r="E19" i="21"/>
  <c r="G19" i="21"/>
  <c r="I19" i="21"/>
  <c r="K19" i="21"/>
  <c r="M19" i="21"/>
  <c r="O19" i="21"/>
  <c r="Q19" i="21"/>
  <c r="R19" i="21"/>
  <c r="T19" i="21"/>
  <c r="V19" i="21"/>
  <c r="X19" i="21"/>
  <c r="Z19" i="21"/>
  <c r="AB19" i="21"/>
  <c r="AD19" i="21"/>
  <c r="AF19" i="21"/>
  <c r="AG19" i="21"/>
  <c r="I2" i="4"/>
  <c r="K2" i="22"/>
  <c r="I39" i="22"/>
  <c r="I45" i="22"/>
  <c r="I32" i="22"/>
  <c r="I28" i="22"/>
  <c r="I24" i="22"/>
  <c r="I36" i="22"/>
  <c r="I42" i="22"/>
  <c r="I18" i="22"/>
  <c r="I5" i="22"/>
  <c r="I5" i="19"/>
  <c r="I8" i="19"/>
  <c r="I11" i="19"/>
  <c r="I17" i="19"/>
  <c r="I20" i="19"/>
  <c r="I23" i="19"/>
  <c r="I32" i="19"/>
  <c r="I35" i="19"/>
  <c r="I41" i="19"/>
  <c r="I5" i="18"/>
  <c r="I17" i="18"/>
  <c r="I29" i="18"/>
  <c r="I32" i="18"/>
  <c r="I35" i="18"/>
  <c r="I38" i="18"/>
  <c r="I5" i="15"/>
  <c r="I8" i="15"/>
  <c r="I11" i="15"/>
  <c r="I14" i="15"/>
  <c r="I20" i="15"/>
  <c r="I23" i="15"/>
  <c r="I26" i="15"/>
  <c r="I29" i="15"/>
  <c r="I41" i="15"/>
  <c r="I2" i="15"/>
  <c r="I8" i="14"/>
  <c r="I17" i="14"/>
  <c r="I23" i="14"/>
  <c r="I26" i="14"/>
  <c r="I29" i="14"/>
  <c r="I41" i="14"/>
  <c r="I8" i="13"/>
  <c r="I17" i="13"/>
  <c r="I20" i="13"/>
  <c r="I35" i="13"/>
  <c r="I38" i="13"/>
  <c r="I11" i="11"/>
  <c r="I23" i="11"/>
  <c r="I32" i="11"/>
  <c r="I2" i="11"/>
  <c r="I8" i="9"/>
  <c r="I11" i="9"/>
  <c r="I14" i="9"/>
  <c r="I17" i="9"/>
  <c r="I20" i="9"/>
  <c r="I23" i="9"/>
  <c r="I26" i="9"/>
  <c r="I29" i="9"/>
  <c r="I32" i="9"/>
  <c r="I35" i="9"/>
  <c r="I38" i="9"/>
  <c r="I41" i="9"/>
  <c r="I2" i="9"/>
  <c r="K2" i="9"/>
  <c r="I23" i="5"/>
  <c r="I17" i="5"/>
  <c r="I14" i="5"/>
  <c r="I5" i="5"/>
  <c r="J2" i="1"/>
  <c r="I41" i="1"/>
  <c r="I38" i="1"/>
  <c r="I35" i="1"/>
  <c r="I32" i="1"/>
  <c r="I29" i="1"/>
  <c r="I23" i="1"/>
  <c r="I20" i="1"/>
  <c r="I17" i="1"/>
  <c r="I14" i="1"/>
  <c r="I11" i="1"/>
  <c r="I8" i="1"/>
  <c r="I5" i="1"/>
  <c r="I2" i="1"/>
  <c r="K2" i="2"/>
  <c r="J2" i="2"/>
  <c r="I41" i="2"/>
  <c r="I38" i="2"/>
  <c r="I35" i="2"/>
  <c r="I32" i="2"/>
  <c r="I29" i="2"/>
  <c r="I26" i="2"/>
  <c r="I23" i="2"/>
  <c r="I20" i="2"/>
  <c r="I17" i="2"/>
  <c r="I14" i="2"/>
  <c r="I11" i="2"/>
  <c r="I8" i="2"/>
  <c r="I5" i="2"/>
  <c r="I2" i="2"/>
  <c r="J2" i="3"/>
  <c r="J4" i="3" s="1"/>
  <c r="I2" i="3"/>
  <c r="K2" i="23"/>
  <c r="J2" i="23"/>
  <c r="I41" i="23"/>
  <c r="I35" i="23"/>
  <c r="I29" i="23"/>
  <c r="I11" i="23"/>
  <c r="I8" i="23"/>
  <c r="K2" i="4"/>
  <c r="I38" i="4"/>
  <c r="I32" i="4"/>
  <c r="I20" i="4"/>
  <c r="I14" i="4"/>
  <c r="I5" i="4"/>
  <c r="J2" i="4" l="1"/>
  <c r="R2" i="23" l="1"/>
  <c r="R2" i="4"/>
  <c r="P2" i="4"/>
  <c r="Q3" i="23" l="1"/>
  <c r="R3" i="23"/>
  <c r="P4" i="23"/>
  <c r="Q4" i="23"/>
  <c r="P3" i="23"/>
  <c r="Q2" i="23"/>
  <c r="P2" i="23"/>
  <c r="S4" i="23"/>
  <c r="R4" i="23"/>
  <c r="S2" i="23"/>
  <c r="S3" i="23"/>
  <c r="H41" i="23"/>
  <c r="G41" i="23"/>
  <c r="H35" i="23"/>
  <c r="G35" i="23"/>
  <c r="H29" i="23"/>
  <c r="G29" i="23"/>
  <c r="H11" i="23"/>
  <c r="G11" i="23"/>
  <c r="H8" i="23"/>
  <c r="G8" i="23"/>
  <c r="Q4" i="19"/>
  <c r="P3" i="14"/>
  <c r="L2" i="23" l="1"/>
  <c r="Q2" i="18"/>
  <c r="S2" i="22"/>
  <c r="S4" i="22"/>
  <c r="T4" i="22"/>
  <c r="S5" i="22"/>
  <c r="T5" i="22"/>
  <c r="T3" i="22"/>
  <c r="S3" i="22"/>
  <c r="R2" i="22"/>
  <c r="R3" i="22"/>
  <c r="R4" i="22"/>
  <c r="R5" i="22"/>
  <c r="Q4" i="22"/>
  <c r="Q5" i="22"/>
  <c r="Q3" i="22"/>
  <c r="Q2" i="22"/>
  <c r="T2" i="19"/>
  <c r="T3" i="19"/>
  <c r="T4" i="19"/>
  <c r="S3" i="19"/>
  <c r="S4" i="19"/>
  <c r="S2" i="19"/>
  <c r="Q2" i="19"/>
  <c r="R4" i="19"/>
  <c r="R3" i="19"/>
  <c r="Q3" i="19"/>
  <c r="R2" i="19"/>
  <c r="T2" i="18"/>
  <c r="T3" i="18"/>
  <c r="T4" i="18"/>
  <c r="S3" i="18"/>
  <c r="S4" i="18"/>
  <c r="S2" i="18"/>
  <c r="R2" i="18"/>
  <c r="R3" i="18"/>
  <c r="R4" i="18"/>
  <c r="Q3" i="18"/>
  <c r="Q4" i="18"/>
  <c r="S2" i="15"/>
  <c r="S3" i="15"/>
  <c r="S4" i="15"/>
  <c r="Q2" i="15"/>
  <c r="Q3" i="15"/>
  <c r="Q4" i="15"/>
  <c r="P2" i="15"/>
  <c r="R4" i="15"/>
  <c r="P4" i="15"/>
  <c r="R3" i="15"/>
  <c r="P3" i="15"/>
  <c r="R2" i="15"/>
  <c r="H38" i="15"/>
  <c r="I38" i="15" s="1"/>
  <c r="G38" i="15"/>
  <c r="G41" i="15"/>
  <c r="H41" i="15" s="1"/>
  <c r="G11" i="15"/>
  <c r="H11" i="15" s="1"/>
  <c r="G14" i="15"/>
  <c r="H14" i="15" s="1"/>
  <c r="G17" i="15"/>
  <c r="H17" i="15" s="1"/>
  <c r="I17" i="15" s="1"/>
  <c r="G20" i="15"/>
  <c r="H20" i="15" s="1"/>
  <c r="G23" i="15"/>
  <c r="H23" i="15" s="1"/>
  <c r="G26" i="15"/>
  <c r="H26" i="15" s="1"/>
  <c r="G29" i="15"/>
  <c r="H29" i="15" s="1"/>
  <c r="G32" i="15"/>
  <c r="H32" i="15" s="1"/>
  <c r="I32" i="15" s="1"/>
  <c r="G35" i="15"/>
  <c r="H35" i="15" s="1"/>
  <c r="I35" i="15" s="1"/>
  <c r="G5" i="15"/>
  <c r="H5" i="15" s="1"/>
  <c r="G8" i="15"/>
  <c r="H8" i="15" s="1"/>
  <c r="H2" i="15"/>
  <c r="G2" i="15"/>
  <c r="S4" i="14"/>
  <c r="R4" i="14"/>
  <c r="Q4" i="14"/>
  <c r="P4" i="14"/>
  <c r="S3" i="14"/>
  <c r="R3" i="14"/>
  <c r="Q3" i="14"/>
  <c r="S2" i="14"/>
  <c r="R2" i="14"/>
  <c r="Q2" i="14"/>
  <c r="P2" i="14"/>
  <c r="G20" i="14"/>
  <c r="H20" i="14" s="1"/>
  <c r="I20" i="14" s="1"/>
  <c r="H5" i="14"/>
  <c r="I5" i="14" s="1"/>
  <c r="H2" i="14"/>
  <c r="I2" i="14" s="1"/>
  <c r="S2" i="13"/>
  <c r="S3" i="13"/>
  <c r="S4" i="13"/>
  <c r="Q2" i="13"/>
  <c r="Q3" i="13"/>
  <c r="Q4" i="13"/>
  <c r="R2" i="13"/>
  <c r="P2" i="13"/>
  <c r="R4" i="13"/>
  <c r="P4" i="13"/>
  <c r="R3" i="13"/>
  <c r="P3" i="13"/>
  <c r="S2" i="11"/>
  <c r="S3" i="11"/>
  <c r="S4" i="11"/>
  <c r="R4" i="11"/>
  <c r="R3" i="11"/>
  <c r="R2" i="11"/>
  <c r="Q2" i="11"/>
  <c r="Q3" i="11"/>
  <c r="Q4" i="11"/>
  <c r="P4" i="11"/>
  <c r="P3" i="11"/>
  <c r="P2" i="11"/>
  <c r="G41" i="11"/>
  <c r="H41" i="11" s="1"/>
  <c r="I41" i="11" s="1"/>
  <c r="G38" i="11"/>
  <c r="H38" i="11" s="1"/>
  <c r="I38" i="11" s="1"/>
  <c r="G35" i="11"/>
  <c r="H35" i="11" s="1"/>
  <c r="I35" i="11" s="1"/>
  <c r="G32" i="11"/>
  <c r="H32" i="11" s="1"/>
  <c r="G29" i="11"/>
  <c r="H29" i="11" s="1"/>
  <c r="I29" i="11" s="1"/>
  <c r="G26" i="11"/>
  <c r="H26" i="11" s="1"/>
  <c r="I26" i="11" s="1"/>
  <c r="G23" i="11"/>
  <c r="H23" i="11" s="1"/>
  <c r="G20" i="11"/>
  <c r="H20" i="11" s="1"/>
  <c r="I20" i="11" s="1"/>
  <c r="G17" i="11"/>
  <c r="H17" i="11" s="1"/>
  <c r="I17" i="11" s="1"/>
  <c r="G14" i="11"/>
  <c r="H14" i="11" s="1"/>
  <c r="I14" i="11" s="1"/>
  <c r="G11" i="11"/>
  <c r="H11" i="11" s="1"/>
  <c r="G8" i="11"/>
  <c r="H8" i="11" s="1"/>
  <c r="I8" i="11" s="1"/>
  <c r="G5" i="11"/>
  <c r="H5" i="11" s="1"/>
  <c r="I5" i="11" s="1"/>
  <c r="G2" i="11"/>
  <c r="H2" i="11" s="1"/>
  <c r="P3" i="9"/>
  <c r="P2" i="9"/>
  <c r="K2" i="15" l="1"/>
  <c r="K4" i="15" s="1"/>
  <c r="L2" i="15"/>
  <c r="J2" i="15"/>
  <c r="J4" i="15" s="1"/>
  <c r="K2" i="11"/>
  <c r="K4" i="11" s="1"/>
  <c r="J2" i="11"/>
  <c r="J4" i="11" s="1"/>
  <c r="L2" i="11"/>
  <c r="M2" i="23"/>
  <c r="M2" i="11"/>
  <c r="S4" i="9"/>
  <c r="S3" i="9"/>
  <c r="S2" i="9"/>
  <c r="R4" i="9"/>
  <c r="R3" i="9"/>
  <c r="R2" i="9"/>
  <c r="Q4" i="9"/>
  <c r="Q3" i="9"/>
  <c r="Q2" i="9"/>
  <c r="P4" i="9"/>
  <c r="S5" i="7"/>
  <c r="S4" i="7"/>
  <c r="S3" i="7"/>
  <c r="R5" i="7"/>
  <c r="R4" i="7"/>
  <c r="R3" i="7"/>
  <c r="S2" i="7"/>
  <c r="R2" i="7"/>
  <c r="S3" i="3"/>
  <c r="R2" i="5"/>
  <c r="P3" i="5"/>
  <c r="P2" i="5"/>
  <c r="S4" i="5"/>
  <c r="R4" i="5"/>
  <c r="Q4" i="5"/>
  <c r="P4" i="5"/>
  <c r="S3" i="5"/>
  <c r="R3" i="5"/>
  <c r="Q3" i="5"/>
  <c r="S2" i="5"/>
  <c r="Q2" i="5"/>
  <c r="R2" i="2"/>
  <c r="P4" i="3"/>
  <c r="P3" i="3"/>
  <c r="P2" i="3"/>
  <c r="Q2" i="3"/>
  <c r="R4" i="4"/>
  <c r="R3" i="4"/>
  <c r="E2" i="1" l="1"/>
  <c r="E7" i="1"/>
  <c r="S4" i="1"/>
  <c r="Q4" i="1"/>
  <c r="S3" i="1"/>
  <c r="Q3" i="1"/>
  <c r="S2" i="1"/>
  <c r="Q2" i="1"/>
  <c r="S4" i="2"/>
  <c r="S3" i="2"/>
  <c r="S2" i="2"/>
  <c r="R4" i="2"/>
  <c r="R3" i="2"/>
  <c r="P4" i="2"/>
  <c r="P3" i="2"/>
  <c r="Q4" i="2"/>
  <c r="Q3" i="2"/>
  <c r="Q2" i="2"/>
  <c r="P2" i="2"/>
  <c r="Q4" i="3"/>
  <c r="S4" i="3"/>
  <c r="R4" i="3"/>
  <c r="R3" i="3"/>
  <c r="Q3" i="3"/>
  <c r="S2" i="3"/>
  <c r="R2" i="3"/>
  <c r="S4" i="4"/>
  <c r="Q4" i="4"/>
  <c r="P4" i="4"/>
  <c r="S3" i="4"/>
  <c r="Q3" i="4"/>
  <c r="P3" i="4"/>
  <c r="S2" i="4"/>
  <c r="Q2" i="4"/>
  <c r="C46" i="21" l="1"/>
  <c r="P6" i="20"/>
  <c r="N6" i="20"/>
  <c r="L6" i="20"/>
  <c r="J6" i="20"/>
  <c r="H6" i="20"/>
  <c r="F6" i="20"/>
  <c r="D6" i="20"/>
  <c r="AE6" i="20"/>
  <c r="AC6" i="20"/>
  <c r="AA6" i="20"/>
  <c r="Y6" i="20"/>
  <c r="W6" i="20"/>
  <c r="U6" i="20"/>
  <c r="S6" i="20"/>
  <c r="AF6" i="20"/>
  <c r="G45" i="22"/>
  <c r="H45" i="22"/>
  <c r="Q6" i="20"/>
  <c r="G11" i="22"/>
  <c r="H11" i="22" s="1"/>
  <c r="H42" i="22"/>
  <c r="H39" i="22"/>
  <c r="H36" i="22"/>
  <c r="H5" i="22"/>
  <c r="G24" i="22"/>
  <c r="H24" i="22" s="1"/>
  <c r="G18" i="22"/>
  <c r="H18" i="22" s="1"/>
  <c r="G5" i="22"/>
  <c r="G2" i="22"/>
  <c r="H2" i="22" s="1"/>
  <c r="I2" i="22" s="1"/>
  <c r="AE4" i="17" l="1"/>
  <c r="AE5" i="17"/>
  <c r="AE6" i="17"/>
  <c r="AE7" i="17"/>
  <c r="AE8" i="17"/>
  <c r="AE9" i="17"/>
  <c r="AE10" i="17"/>
  <c r="AE11" i="17"/>
  <c r="AE12" i="17"/>
  <c r="AE13" i="17"/>
  <c r="AE14" i="17"/>
  <c r="AE15" i="17"/>
  <c r="AE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3" i="17"/>
  <c r="Y4" i="17"/>
  <c r="Y5" i="17"/>
  <c r="Y6" i="17"/>
  <c r="Y7" i="17"/>
  <c r="Y8" i="17"/>
  <c r="Y9" i="17"/>
  <c r="Y10" i="17"/>
  <c r="Y11" i="17"/>
  <c r="Y12" i="17"/>
  <c r="Y13" i="17"/>
  <c r="Y14" i="17"/>
  <c r="Y15" i="17"/>
  <c r="Y3" i="17"/>
  <c r="W4" i="17"/>
  <c r="W5" i="17"/>
  <c r="W6" i="17"/>
  <c r="W7" i="17"/>
  <c r="W8" i="17"/>
  <c r="W9" i="17"/>
  <c r="W10" i="17"/>
  <c r="W11" i="17"/>
  <c r="W12" i="17"/>
  <c r="W13" i="17"/>
  <c r="W14" i="17"/>
  <c r="W15" i="17"/>
  <c r="W3" i="17"/>
  <c r="U4" i="17"/>
  <c r="U5" i="17"/>
  <c r="U6" i="17"/>
  <c r="U7" i="17"/>
  <c r="U8" i="17"/>
  <c r="U9" i="17"/>
  <c r="U10" i="17"/>
  <c r="U11" i="17"/>
  <c r="U12" i="17"/>
  <c r="U13" i="17"/>
  <c r="U14" i="17"/>
  <c r="U15" i="17"/>
  <c r="U3" i="17"/>
  <c r="S4" i="17"/>
  <c r="S5" i="17"/>
  <c r="S6" i="17"/>
  <c r="S7" i="17"/>
  <c r="S8" i="17"/>
  <c r="S9" i="17"/>
  <c r="S10" i="17"/>
  <c r="S11" i="17"/>
  <c r="S12" i="17"/>
  <c r="S13" i="17"/>
  <c r="S14" i="17"/>
  <c r="S15" i="17"/>
  <c r="S3" i="17"/>
  <c r="P4" i="17"/>
  <c r="P5" i="17"/>
  <c r="P6" i="17"/>
  <c r="P7" i="17"/>
  <c r="P8" i="17"/>
  <c r="P9" i="17"/>
  <c r="P10" i="17"/>
  <c r="P11" i="17"/>
  <c r="P12" i="17"/>
  <c r="P13" i="17"/>
  <c r="P14" i="17"/>
  <c r="P15" i="17"/>
  <c r="P3" i="17"/>
  <c r="N4" i="17"/>
  <c r="N5" i="17"/>
  <c r="N6" i="17"/>
  <c r="N7" i="17"/>
  <c r="N8" i="17"/>
  <c r="N9" i="17"/>
  <c r="N10" i="17"/>
  <c r="N11" i="17"/>
  <c r="N12" i="17"/>
  <c r="N13" i="17"/>
  <c r="N14" i="17"/>
  <c r="N15" i="17"/>
  <c r="N3" i="17"/>
  <c r="L4" i="17"/>
  <c r="L5" i="17"/>
  <c r="L6" i="17"/>
  <c r="L7" i="17"/>
  <c r="L8" i="17"/>
  <c r="L9" i="17"/>
  <c r="L10" i="17"/>
  <c r="L11" i="17"/>
  <c r="L12" i="17"/>
  <c r="L13" i="17"/>
  <c r="L14" i="17"/>
  <c r="L15" i="17"/>
  <c r="L3" i="17"/>
  <c r="J4" i="17"/>
  <c r="J5" i="17"/>
  <c r="J6" i="17"/>
  <c r="J7" i="17"/>
  <c r="J8" i="17"/>
  <c r="J9" i="17"/>
  <c r="J10" i="17"/>
  <c r="J11" i="17"/>
  <c r="J12" i="17"/>
  <c r="J13" i="17"/>
  <c r="J14" i="17"/>
  <c r="J15" i="17"/>
  <c r="J3" i="17"/>
  <c r="H4" i="17"/>
  <c r="H5" i="17"/>
  <c r="H6" i="17"/>
  <c r="H7" i="17"/>
  <c r="H8" i="17"/>
  <c r="H9" i="17"/>
  <c r="H10" i="17"/>
  <c r="H11" i="17"/>
  <c r="H12" i="17"/>
  <c r="H13" i="17"/>
  <c r="H14" i="17"/>
  <c r="H15" i="17"/>
  <c r="H3" i="17"/>
  <c r="F4" i="17"/>
  <c r="F5" i="17"/>
  <c r="F6" i="17"/>
  <c r="F7" i="17"/>
  <c r="F8" i="17"/>
  <c r="F9" i="17"/>
  <c r="F10" i="17"/>
  <c r="F11" i="17"/>
  <c r="F12" i="17"/>
  <c r="F13" i="17"/>
  <c r="F14" i="17"/>
  <c r="F15" i="17"/>
  <c r="F3" i="17"/>
  <c r="D4" i="17"/>
  <c r="D5" i="17"/>
  <c r="D6" i="17"/>
  <c r="D7" i="17"/>
  <c r="D8" i="17"/>
  <c r="D9" i="17"/>
  <c r="D10" i="17"/>
  <c r="D11" i="17"/>
  <c r="D12" i="17"/>
  <c r="D13" i="17"/>
  <c r="D14" i="17"/>
  <c r="D15" i="17"/>
  <c r="D3" i="17"/>
  <c r="G42" i="22" l="1"/>
  <c r="G39" i="22"/>
  <c r="G36" i="22"/>
  <c r="G32" i="22"/>
  <c r="G28" i="22"/>
  <c r="G21" i="22"/>
  <c r="G15" i="22"/>
  <c r="G8" i="22"/>
  <c r="H8" i="22" s="1"/>
  <c r="I11" i="22" l="1"/>
  <c r="I8" i="22"/>
  <c r="H32" i="22"/>
  <c r="H28" i="22"/>
  <c r="H21" i="22"/>
  <c r="I21" i="22" s="1"/>
  <c r="H15" i="22"/>
  <c r="I15" i="22" s="1"/>
  <c r="AG18" i="21"/>
  <c r="AF18" i="21"/>
  <c r="AD18" i="21"/>
  <c r="AB18" i="21"/>
  <c r="Z18" i="21"/>
  <c r="X18" i="21"/>
  <c r="V18" i="21"/>
  <c r="T18" i="21"/>
  <c r="AG37" i="21"/>
  <c r="O18" i="21"/>
  <c r="K18" i="21"/>
  <c r="I18" i="21"/>
  <c r="J2" i="22" l="1"/>
  <c r="M2" i="22"/>
  <c r="L2" i="22"/>
  <c r="R21" i="21" l="1"/>
  <c r="R22" i="21"/>
  <c r="M18" i="21"/>
  <c r="G18" i="21"/>
  <c r="E18" i="21"/>
  <c r="C31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20" i="21"/>
  <c r="C21" i="21"/>
  <c r="C22" i="21"/>
  <c r="C23" i="21"/>
  <c r="C24" i="21"/>
  <c r="C25" i="21"/>
  <c r="C26" i="21"/>
  <c r="C27" i="21"/>
  <c r="C28" i="21"/>
  <c r="C29" i="21"/>
  <c r="C30" i="21"/>
  <c r="C32" i="21"/>
  <c r="C37" i="21"/>
  <c r="C38" i="21"/>
  <c r="C39" i="21"/>
  <c r="C40" i="21"/>
  <c r="C41" i="21"/>
  <c r="C42" i="21"/>
  <c r="C43" i="21"/>
  <c r="C44" i="21"/>
  <c r="C45" i="21"/>
  <c r="C48" i="21"/>
  <c r="C49" i="21"/>
  <c r="C50" i="21"/>
  <c r="C51" i="21"/>
  <c r="C52" i="21"/>
  <c r="C53" i="21"/>
  <c r="C6" i="21"/>
  <c r="R23" i="21"/>
  <c r="R25" i="21"/>
  <c r="AG23" i="21"/>
  <c r="AG25" i="21"/>
  <c r="AF23" i="21"/>
  <c r="AD23" i="21"/>
  <c r="AD25" i="21"/>
  <c r="AB25" i="21"/>
  <c r="Z23" i="21"/>
  <c r="Z25" i="21"/>
  <c r="X23" i="21"/>
  <c r="X25" i="21"/>
  <c r="V23" i="21"/>
  <c r="V25" i="21"/>
  <c r="T23" i="21"/>
  <c r="T25" i="21"/>
  <c r="Q23" i="21"/>
  <c r="Q25" i="21"/>
  <c r="O23" i="21"/>
  <c r="O25" i="21"/>
  <c r="M23" i="21"/>
  <c r="M25" i="21"/>
  <c r="K23" i="21"/>
  <c r="K25" i="21"/>
  <c r="I23" i="21"/>
  <c r="I25" i="21"/>
  <c r="G23" i="21"/>
  <c r="G25" i="21"/>
  <c r="E23" i="21"/>
  <c r="E25" i="21"/>
  <c r="W24" i="21"/>
  <c r="X24" i="21" s="1"/>
  <c r="V24" i="21"/>
  <c r="S24" i="21"/>
  <c r="T24" i="21" s="1"/>
  <c r="P24" i="21"/>
  <c r="Q24" i="21" s="1"/>
  <c r="N24" i="21"/>
  <c r="O24" i="21" s="1"/>
  <c r="L24" i="21"/>
  <c r="M24" i="21" s="1"/>
  <c r="J24" i="21"/>
  <c r="K24" i="21" s="1"/>
  <c r="H24" i="21"/>
  <c r="I24" i="21" s="1"/>
  <c r="F24" i="21"/>
  <c r="G24" i="21" s="1"/>
  <c r="E24" i="21"/>
  <c r="AE24" i="21"/>
  <c r="AF24" i="21" s="1"/>
  <c r="AC24" i="21"/>
  <c r="AD24" i="21" s="1"/>
  <c r="AA24" i="21"/>
  <c r="AB24" i="21" s="1"/>
  <c r="Y24" i="21"/>
  <c r="Z24" i="21" s="1"/>
  <c r="R18" i="21" l="1"/>
  <c r="Q18" i="21"/>
  <c r="AG22" i="21"/>
  <c r="AG21" i="21"/>
  <c r="AG20" i="21"/>
  <c r="AG28" i="21"/>
  <c r="AG26" i="21"/>
  <c r="R24" i="21"/>
  <c r="AG27" i="21"/>
  <c r="R28" i="21"/>
  <c r="R27" i="21"/>
  <c r="R26" i="21"/>
  <c r="AG24" i="21"/>
  <c r="R53" i="21" l="1"/>
  <c r="R52" i="21"/>
  <c r="R51" i="21"/>
  <c r="R50" i="21"/>
  <c r="R49" i="21"/>
  <c r="AG45" i="21"/>
  <c r="R45" i="21"/>
  <c r="AG44" i="21"/>
  <c r="R44" i="21"/>
  <c r="R43" i="21"/>
  <c r="AG41" i="21"/>
  <c r="R41" i="21"/>
  <c r="AG40" i="21"/>
  <c r="R40" i="21"/>
  <c r="AG39" i="21"/>
  <c r="R39" i="21"/>
  <c r="AG38" i="21"/>
  <c r="R38" i="21"/>
  <c r="R37" i="21"/>
  <c r="AG36" i="21"/>
  <c r="R36" i="21"/>
  <c r="AG35" i="21"/>
  <c r="R35" i="21"/>
  <c r="AG34" i="21"/>
  <c r="R34" i="21"/>
  <c r="AG33" i="21"/>
  <c r="R33" i="21"/>
  <c r="AG32" i="21"/>
  <c r="AD32" i="21"/>
  <c r="AB32" i="21"/>
  <c r="Z32" i="21"/>
  <c r="X32" i="21"/>
  <c r="V32" i="21"/>
  <c r="T32" i="21"/>
  <c r="R32" i="21"/>
  <c r="Q32" i="21"/>
  <c r="O32" i="21"/>
  <c r="M32" i="21"/>
  <c r="K32" i="21"/>
  <c r="I32" i="21"/>
  <c r="G32" i="21"/>
  <c r="AG31" i="21"/>
  <c r="R31" i="21"/>
  <c r="AG30" i="21"/>
  <c r="R30" i="21"/>
  <c r="AG29" i="21"/>
  <c r="AF29" i="21"/>
  <c r="AD29" i="21"/>
  <c r="AB29" i="21"/>
  <c r="Z29" i="21"/>
  <c r="X29" i="21"/>
  <c r="V29" i="21"/>
  <c r="T29" i="21"/>
  <c r="R29" i="21"/>
  <c r="Q29" i="21"/>
  <c r="O29" i="21"/>
  <c r="M29" i="21"/>
  <c r="K29" i="21"/>
  <c r="I29" i="21"/>
  <c r="G29" i="21"/>
  <c r="E29" i="21"/>
  <c r="AE5" i="20" l="1"/>
  <c r="AC5" i="20"/>
  <c r="AA5" i="20"/>
  <c r="Y5" i="20"/>
  <c r="W5" i="20"/>
  <c r="U5" i="20"/>
  <c r="S5" i="20"/>
  <c r="P5" i="20"/>
  <c r="N5" i="20"/>
  <c r="L5" i="20"/>
  <c r="J5" i="20"/>
  <c r="H5" i="20"/>
  <c r="F5" i="20"/>
  <c r="D5" i="20"/>
  <c r="Q4" i="20"/>
  <c r="Q3" i="20"/>
  <c r="AE4" i="20"/>
  <c r="AC4" i="20"/>
  <c r="AA4" i="20"/>
  <c r="Y4" i="20"/>
  <c r="W4" i="20"/>
  <c r="U4" i="20"/>
  <c r="S4" i="20"/>
  <c r="P4" i="20"/>
  <c r="N4" i="20"/>
  <c r="L4" i="20"/>
  <c r="J4" i="20"/>
  <c r="H4" i="20"/>
  <c r="F4" i="20"/>
  <c r="D4" i="20"/>
  <c r="AE3" i="20"/>
  <c r="AC3" i="20"/>
  <c r="AA3" i="20"/>
  <c r="Y3" i="20"/>
  <c r="W3" i="20"/>
  <c r="U3" i="20"/>
  <c r="S3" i="20"/>
  <c r="P3" i="20"/>
  <c r="N3" i="20"/>
  <c r="L3" i="20"/>
  <c r="J3" i="20"/>
  <c r="H3" i="20"/>
  <c r="F3" i="20"/>
  <c r="D3" i="20"/>
  <c r="AF13" i="20"/>
  <c r="Q13" i="20"/>
  <c r="AF12" i="20"/>
  <c r="Q12" i="20"/>
  <c r="AF11" i="20"/>
  <c r="Q11" i="20"/>
  <c r="AF10" i="20"/>
  <c r="Q10" i="20"/>
  <c r="AF9" i="20"/>
  <c r="Q9" i="20"/>
  <c r="AF8" i="20"/>
  <c r="Q8" i="20"/>
  <c r="AF7" i="20"/>
  <c r="Q7" i="20"/>
  <c r="AF5" i="20"/>
  <c r="Q5" i="20"/>
  <c r="AF4" i="20"/>
  <c r="AF3" i="20"/>
  <c r="G2" i="19"/>
  <c r="H2" i="19" s="1"/>
  <c r="I2" i="19" s="1"/>
  <c r="G41" i="19" l="1"/>
  <c r="H41" i="19" s="1"/>
  <c r="G38" i="19"/>
  <c r="H38" i="19" s="1"/>
  <c r="I38" i="19" s="1"/>
  <c r="G35" i="19"/>
  <c r="H35" i="19" s="1"/>
  <c r="G32" i="19"/>
  <c r="H32" i="19" s="1"/>
  <c r="G29" i="19"/>
  <c r="H29" i="19" s="1"/>
  <c r="I29" i="19" s="1"/>
  <c r="G26" i="19"/>
  <c r="H26" i="19" s="1"/>
  <c r="I26" i="19" s="1"/>
  <c r="G23" i="19"/>
  <c r="H23" i="19" s="1"/>
  <c r="G20" i="19"/>
  <c r="H20" i="19" s="1"/>
  <c r="G17" i="19"/>
  <c r="H17" i="19" s="1"/>
  <c r="G14" i="19"/>
  <c r="H14" i="19" s="1"/>
  <c r="I14" i="19" s="1"/>
  <c r="J2" i="19" s="1"/>
  <c r="G11" i="19"/>
  <c r="H11" i="19" s="1"/>
  <c r="G8" i="19"/>
  <c r="H8" i="19" s="1"/>
  <c r="G5" i="19"/>
  <c r="H5" i="19" s="1"/>
  <c r="K2" i="19" l="1"/>
  <c r="M2" i="19"/>
  <c r="Q4" i="17"/>
  <c r="Q5" i="17"/>
  <c r="Q6" i="17"/>
  <c r="Q7" i="17"/>
  <c r="Q8" i="17"/>
  <c r="Q9" i="17"/>
  <c r="Q10" i="17"/>
  <c r="Q11" i="17"/>
  <c r="Q12" i="17"/>
  <c r="Q13" i="17"/>
  <c r="Q14" i="17"/>
  <c r="Q15" i="17"/>
  <c r="Q3" i="17"/>
  <c r="AF4" i="17"/>
  <c r="AF5" i="17"/>
  <c r="AF6" i="17"/>
  <c r="AF7" i="17"/>
  <c r="AF8" i="17"/>
  <c r="AF9" i="17"/>
  <c r="AF10" i="17"/>
  <c r="AF11" i="17"/>
  <c r="AF12" i="17"/>
  <c r="AF13" i="17"/>
  <c r="AF14" i="17"/>
  <c r="AF15" i="17"/>
  <c r="AF3" i="17"/>
  <c r="L2" i="19" l="1"/>
  <c r="G41" i="18" l="1"/>
  <c r="H41" i="18" s="1"/>
  <c r="I41" i="18" s="1"/>
  <c r="G38" i="18"/>
  <c r="H38" i="18" s="1"/>
  <c r="G35" i="18"/>
  <c r="H35" i="18" s="1"/>
  <c r="G32" i="18"/>
  <c r="H32" i="18" s="1"/>
  <c r="G2" i="18"/>
  <c r="H2" i="18" s="1"/>
  <c r="I2" i="18" s="1"/>
  <c r="G5" i="18"/>
  <c r="G8" i="18"/>
  <c r="H8" i="18" s="1"/>
  <c r="I8" i="18" s="1"/>
  <c r="G11" i="18"/>
  <c r="H11" i="18" s="1"/>
  <c r="I11" i="18" s="1"/>
  <c r="G14" i="18"/>
  <c r="H14" i="18" s="1"/>
  <c r="I14" i="18" s="1"/>
  <c r="G17" i="18"/>
  <c r="H17" i="18" s="1"/>
  <c r="G20" i="18"/>
  <c r="H20" i="18" s="1"/>
  <c r="I20" i="18" s="1"/>
  <c r="G23" i="18"/>
  <c r="H23" i="18" s="1"/>
  <c r="I23" i="18" s="1"/>
  <c r="G26" i="18"/>
  <c r="H26" i="18" s="1"/>
  <c r="I26" i="18" s="1"/>
  <c r="G29" i="18"/>
  <c r="H29" i="18" s="1"/>
  <c r="K2" i="18" l="1"/>
  <c r="K4" i="18" s="1"/>
  <c r="J2" i="18"/>
  <c r="J4" i="18" s="1"/>
  <c r="H5" i="18"/>
  <c r="M2" i="18"/>
  <c r="L2" i="18"/>
  <c r="M2" i="15" l="1"/>
  <c r="M2" i="7"/>
  <c r="G23" i="5"/>
  <c r="H23" i="5" s="1"/>
  <c r="G38" i="13"/>
  <c r="H38" i="13" s="1"/>
  <c r="G41" i="13"/>
  <c r="H41" i="13" s="1"/>
  <c r="I41" i="13" s="1"/>
  <c r="G38" i="14"/>
  <c r="H38" i="14" s="1"/>
  <c r="I38" i="14" s="1"/>
  <c r="G41" i="14"/>
  <c r="H41" i="14" s="1"/>
  <c r="G17" i="14"/>
  <c r="H17" i="14" s="1"/>
  <c r="G35" i="14"/>
  <c r="H35" i="14" s="1"/>
  <c r="I35" i="14" s="1"/>
  <c r="G32" i="14"/>
  <c r="H32" i="14" s="1"/>
  <c r="I32" i="14" s="1"/>
  <c r="G29" i="14"/>
  <c r="H29" i="14" s="1"/>
  <c r="G26" i="14"/>
  <c r="G23" i="14"/>
  <c r="G14" i="14"/>
  <c r="H14" i="14" s="1"/>
  <c r="I14" i="14" s="1"/>
  <c r="G11" i="14"/>
  <c r="H11" i="14" s="1"/>
  <c r="I11" i="14" s="1"/>
  <c r="G8" i="14"/>
  <c r="H8" i="14" s="1"/>
  <c r="G5" i="14"/>
  <c r="G2" i="14"/>
  <c r="H26" i="14"/>
  <c r="H23" i="14"/>
  <c r="K2" i="14" l="1"/>
  <c r="K4" i="14" s="1"/>
  <c r="J2" i="14"/>
  <c r="J4" i="14" s="1"/>
  <c r="M2" i="14"/>
  <c r="L2" i="14"/>
  <c r="G35" i="13" l="1"/>
  <c r="H35" i="13" s="1"/>
  <c r="G32" i="13"/>
  <c r="H32" i="13" s="1"/>
  <c r="I32" i="13" s="1"/>
  <c r="G29" i="13"/>
  <c r="H29" i="13" s="1"/>
  <c r="I29" i="13" s="1"/>
  <c r="G26" i="13"/>
  <c r="H26" i="13" s="1"/>
  <c r="I26" i="13" s="1"/>
  <c r="G23" i="13"/>
  <c r="H23" i="13" s="1"/>
  <c r="I23" i="13" s="1"/>
  <c r="G20" i="13"/>
  <c r="H20" i="13" s="1"/>
  <c r="G17" i="13"/>
  <c r="H17" i="13" s="1"/>
  <c r="G14" i="13"/>
  <c r="H14" i="13" s="1"/>
  <c r="I14" i="13" s="1"/>
  <c r="G11" i="13"/>
  <c r="H11" i="13" s="1"/>
  <c r="I11" i="13" s="1"/>
  <c r="G8" i="13"/>
  <c r="H8" i="13" s="1"/>
  <c r="G5" i="13"/>
  <c r="H5" i="13" s="1"/>
  <c r="I5" i="13" s="1"/>
  <c r="G2" i="13"/>
  <c r="H2" i="13" s="1"/>
  <c r="I2" i="13" s="1"/>
  <c r="K2" i="13" l="1"/>
  <c r="K4" i="13" s="1"/>
  <c r="J2" i="13"/>
  <c r="J4" i="13" s="1"/>
  <c r="M2" i="13"/>
  <c r="L2" i="13"/>
  <c r="J2" i="10"/>
  <c r="K2" i="10" l="1"/>
  <c r="G32" i="9" l="1"/>
  <c r="H32" i="9" s="1"/>
  <c r="G41" i="9"/>
  <c r="H41" i="9" s="1"/>
  <c r="G38" i="9"/>
  <c r="H38" i="9" s="1"/>
  <c r="G35" i="9"/>
  <c r="H35" i="9" s="1"/>
  <c r="G29" i="9"/>
  <c r="H29" i="9" s="1"/>
  <c r="G26" i="9"/>
  <c r="H26" i="9" s="1"/>
  <c r="G23" i="9"/>
  <c r="H23" i="9" s="1"/>
  <c r="G20" i="9"/>
  <c r="H20" i="9" s="1"/>
  <c r="G17" i="9"/>
  <c r="H17" i="9" s="1"/>
  <c r="G14" i="9"/>
  <c r="H14" i="9" s="1"/>
  <c r="G11" i="9"/>
  <c r="H11" i="9" s="1"/>
  <c r="G8" i="9"/>
  <c r="H8" i="9" s="1"/>
  <c r="G5" i="9"/>
  <c r="H5" i="9" s="1"/>
  <c r="I5" i="9" s="1"/>
  <c r="G2" i="9"/>
  <c r="H2" i="9" s="1"/>
  <c r="L2" i="9" l="1"/>
  <c r="J2" i="9"/>
  <c r="J4" i="9" s="1"/>
  <c r="M2" i="9"/>
  <c r="E3" i="8"/>
  <c r="E7" i="8"/>
  <c r="E9" i="8"/>
  <c r="E10" i="8"/>
  <c r="E11" i="8"/>
  <c r="E12" i="8"/>
  <c r="E13" i="8"/>
  <c r="D3" i="8"/>
  <c r="D7" i="8"/>
  <c r="D9" i="8"/>
  <c r="D10" i="8"/>
  <c r="D11" i="8"/>
  <c r="D12" i="8"/>
  <c r="D13" i="8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R2" i="1" s="1"/>
  <c r="E21" i="1"/>
  <c r="E22" i="1"/>
  <c r="E23" i="1"/>
  <c r="E24" i="1"/>
  <c r="E25" i="1"/>
  <c r="E26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P3" i="1" l="1"/>
  <c r="P4" i="1"/>
  <c r="P2" i="1"/>
  <c r="R4" i="1"/>
  <c r="R3" i="1"/>
  <c r="B2" i="8"/>
  <c r="D2" i="8" s="1"/>
  <c r="C8" i="8"/>
  <c r="E8" i="8" s="1"/>
  <c r="C5" i="8"/>
  <c r="E5" i="8" s="1"/>
  <c r="C6" i="8"/>
  <c r="E6" i="8" s="1"/>
  <c r="C4" i="8"/>
  <c r="E4" i="8" s="1"/>
  <c r="B5" i="8"/>
  <c r="D5" i="8" s="1"/>
  <c r="B4" i="8"/>
  <c r="D4" i="8" s="1"/>
  <c r="B8" i="8"/>
  <c r="D8" i="8" s="1"/>
  <c r="B6" i="8"/>
  <c r="D6" i="8" s="1"/>
  <c r="H17" i="1"/>
  <c r="G32" i="1"/>
  <c r="H32" i="1" s="1"/>
  <c r="G35" i="1"/>
  <c r="H35" i="1" s="1"/>
  <c r="G38" i="1"/>
  <c r="H38" i="1" s="1"/>
  <c r="G41" i="1"/>
  <c r="G8" i="1"/>
  <c r="G11" i="1"/>
  <c r="H11" i="1" s="1"/>
  <c r="G14" i="1"/>
  <c r="H14" i="1" s="1"/>
  <c r="G17" i="1"/>
  <c r="G20" i="1"/>
  <c r="H20" i="1" s="1"/>
  <c r="G23" i="1"/>
  <c r="H23" i="1" s="1"/>
  <c r="G26" i="1"/>
  <c r="H26" i="1" s="1"/>
  <c r="I26" i="1" s="1"/>
  <c r="K2" i="1" s="1"/>
  <c r="K4" i="1" s="1"/>
  <c r="G29" i="1"/>
  <c r="H29" i="1" s="1"/>
  <c r="G5" i="1"/>
  <c r="H5" i="1" s="1"/>
  <c r="G2" i="1"/>
  <c r="H2" i="1" s="1"/>
  <c r="L2" i="1" l="1"/>
  <c r="C2" i="8"/>
  <c r="E2" i="8" s="1"/>
  <c r="M2" i="1"/>
  <c r="H8" i="3" l="1"/>
  <c r="H5" i="3"/>
  <c r="G22" i="7" l="1"/>
  <c r="H22" i="7" s="1"/>
  <c r="G18" i="7"/>
  <c r="H18" i="7" s="1"/>
  <c r="I18" i="7" s="1"/>
  <c r="G14" i="7"/>
  <c r="H14" i="7" s="1"/>
  <c r="I14" i="7" s="1"/>
  <c r="J2" i="7" l="1"/>
  <c r="G2" i="5"/>
  <c r="H2" i="5" s="1"/>
  <c r="G5" i="5"/>
  <c r="H5" i="5" s="1"/>
  <c r="G11" i="5"/>
  <c r="H11" i="5" s="1"/>
  <c r="I11" i="5" s="1"/>
  <c r="G14" i="5"/>
  <c r="H14" i="5" s="1"/>
  <c r="G17" i="5"/>
  <c r="H17" i="5" s="1"/>
  <c r="G20" i="5"/>
  <c r="H20" i="5" s="1"/>
  <c r="I20" i="5" s="1"/>
  <c r="G29" i="5"/>
  <c r="H29" i="5" s="1"/>
  <c r="I29" i="5" s="1"/>
  <c r="G26" i="5"/>
  <c r="H26" i="5" s="1"/>
  <c r="I26" i="5" s="1"/>
  <c r="I35" i="5"/>
  <c r="G41" i="5"/>
  <c r="H41" i="5" s="1"/>
  <c r="I41" i="5" s="1"/>
  <c r="G32" i="5"/>
  <c r="H32" i="5" s="1"/>
  <c r="I32" i="5" s="1"/>
  <c r="G38" i="5"/>
  <c r="H38" i="5" s="1"/>
  <c r="G8" i="5"/>
  <c r="H8" i="5" s="1"/>
  <c r="I8" i="5" s="1"/>
  <c r="J2" i="5" l="1"/>
  <c r="J4" i="5" s="1"/>
  <c r="K2" i="5"/>
  <c r="K4" i="5" s="1"/>
  <c r="M2" i="5"/>
  <c r="L2" i="5"/>
  <c r="H2" i="4"/>
  <c r="G2" i="4"/>
  <c r="G41" i="4"/>
  <c r="G35" i="4"/>
  <c r="H32" i="4"/>
  <c r="G32" i="4"/>
  <c r="G29" i="4"/>
  <c r="G26" i="4"/>
  <c r="G23" i="4"/>
  <c r="H20" i="4"/>
  <c r="G17" i="4"/>
  <c r="G11" i="4"/>
  <c r="G8" i="4"/>
  <c r="H5" i="4"/>
  <c r="H14" i="4"/>
  <c r="G14" i="4"/>
  <c r="H35" i="3"/>
  <c r="H20" i="3"/>
  <c r="G5" i="3"/>
  <c r="G8" i="3"/>
  <c r="G11" i="3"/>
  <c r="G14" i="3"/>
  <c r="G17" i="3"/>
  <c r="G20" i="3"/>
  <c r="G23" i="3"/>
  <c r="G26" i="3"/>
  <c r="G29" i="3"/>
  <c r="G32" i="3"/>
  <c r="G35" i="3"/>
  <c r="G38" i="3"/>
  <c r="G41" i="3"/>
  <c r="H11" i="3"/>
  <c r="H14" i="3"/>
  <c r="H17" i="3"/>
  <c r="H23" i="3"/>
  <c r="H26" i="3"/>
  <c r="H29" i="3"/>
  <c r="H32" i="3"/>
  <c r="H38" i="3"/>
  <c r="H41" i="3"/>
  <c r="H2" i="3"/>
  <c r="G2" i="3"/>
  <c r="G8" i="2"/>
  <c r="H8" i="2" s="1"/>
  <c r="G11" i="2"/>
  <c r="H11" i="2" s="1"/>
  <c r="G14" i="2"/>
  <c r="H14" i="2" s="1"/>
  <c r="G17" i="2"/>
  <c r="H17" i="2" s="1"/>
  <c r="G20" i="2"/>
  <c r="H20" i="2" s="1"/>
  <c r="G23" i="2"/>
  <c r="H23" i="2" s="1"/>
  <c r="G26" i="2"/>
  <c r="H26" i="2" s="1"/>
  <c r="G29" i="2"/>
  <c r="H29" i="2" s="1"/>
  <c r="G32" i="2"/>
  <c r="H32" i="2" s="1"/>
  <c r="G35" i="2"/>
  <c r="H35" i="2" s="1"/>
  <c r="G38" i="2"/>
  <c r="H38" i="2" s="1"/>
  <c r="G41" i="2"/>
  <c r="H41" i="2" s="1"/>
  <c r="G5" i="2"/>
  <c r="H5" i="2" s="1"/>
  <c r="G2" i="2"/>
  <c r="I26" i="3" l="1"/>
  <c r="K2" i="3" s="1"/>
  <c r="K4" i="3" s="1"/>
  <c r="H2" i="2"/>
  <c r="M2" i="2"/>
  <c r="L2" i="2" l="1"/>
  <c r="M2" i="3"/>
  <c r="L2" i="4"/>
  <c r="M2" i="4"/>
  <c r="L2" i="3"/>
  <c r="L2" i="7" l="1"/>
  <c r="J4" i="7"/>
</calcChain>
</file>

<file path=xl/comments1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Dan1</author>
  </authors>
  <commentList>
    <comment ref="AI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Dan1</author>
  </authors>
  <commentList>
    <comment ref="AI1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Dan1</author>
  </authors>
  <commentList>
    <comment ref="AK6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Dan1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<sst xmlns="http://schemas.openxmlformats.org/spreadsheetml/2006/main" count="491" uniqueCount="68">
  <si>
    <t>מספר תא</t>
  </si>
  <si>
    <t>שנה</t>
  </si>
  <si>
    <t>מספר עץ</t>
  </si>
  <si>
    <t>חלקה</t>
  </si>
  <si>
    <t>השקיה</t>
  </si>
  <si>
    <t>אורך ממוצע (ס"מ)</t>
  </si>
  <si>
    <t>ביקורת</t>
  </si>
  <si>
    <t>כמות</t>
  </si>
  <si>
    <t xml:space="preserve">אורך   ממוצע </t>
  </si>
  <si>
    <t xml:space="preserve"> ממוצע  משוכלל</t>
  </si>
  <si>
    <t>סה"כ מחטים</t>
  </si>
  <si>
    <t xml:space="preserve"> ממוצע  משוקלל</t>
  </si>
  <si>
    <t>(2*π*r*l + 2*n*r*l)</t>
  </si>
  <si>
    <t>LA</t>
  </si>
  <si>
    <t>Irr average</t>
  </si>
  <si>
    <t>con average</t>
  </si>
  <si>
    <t>Month</t>
  </si>
  <si>
    <t>Irr corection</t>
  </si>
  <si>
    <t>Con corection</t>
  </si>
  <si>
    <t>Irr LA</t>
  </si>
  <si>
    <t>Con LA</t>
  </si>
  <si>
    <t>month</t>
  </si>
  <si>
    <t>year</t>
  </si>
  <si>
    <t xml:space="preserve"> Irr </t>
  </si>
  <si>
    <t>Con</t>
  </si>
  <si>
    <t>average needle length</t>
  </si>
  <si>
    <t>Irr sum</t>
  </si>
  <si>
    <t>con sum</t>
  </si>
  <si>
    <t>chamber  1</t>
  </si>
  <si>
    <t>chamber  2</t>
  </si>
  <si>
    <t>chamber  3</t>
  </si>
  <si>
    <t>chamber  4</t>
  </si>
  <si>
    <t>chamber  5</t>
  </si>
  <si>
    <t>chamber  6</t>
  </si>
  <si>
    <t>chamber  7</t>
  </si>
  <si>
    <t>chamber  9</t>
  </si>
  <si>
    <t>chamber  10</t>
  </si>
  <si>
    <t>chamber  11</t>
  </si>
  <si>
    <t>chamber  12</t>
  </si>
  <si>
    <t>chamber  13</t>
  </si>
  <si>
    <t>chamber  14</t>
  </si>
  <si>
    <t>chamber  15</t>
  </si>
  <si>
    <t>Con average</t>
  </si>
  <si>
    <t>corection 9</t>
  </si>
  <si>
    <t>corection 10</t>
  </si>
  <si>
    <t>corection 12</t>
  </si>
  <si>
    <t>corection 11</t>
  </si>
  <si>
    <t>corection 13</t>
  </si>
  <si>
    <t>corection 14</t>
  </si>
  <si>
    <t>corection 15</t>
  </si>
  <si>
    <t>corection 1</t>
  </si>
  <si>
    <t>corection 2</t>
  </si>
  <si>
    <t>corection 3</t>
  </si>
  <si>
    <t>corection 4</t>
  </si>
  <si>
    <t>corection 5</t>
  </si>
  <si>
    <t>corection 6</t>
  </si>
  <si>
    <t>corection 7</t>
  </si>
  <si>
    <t>date</t>
  </si>
  <si>
    <t>amount Con</t>
  </si>
  <si>
    <t>amount Irr</t>
  </si>
  <si>
    <t>length Con</t>
  </si>
  <si>
    <t>length Irr</t>
  </si>
  <si>
    <t>Year</t>
  </si>
  <si>
    <t>new cal</t>
  </si>
  <si>
    <t>old cal</t>
  </si>
  <si>
    <t>ratio</t>
  </si>
  <si>
    <t>new cal.</t>
  </si>
  <si>
    <t>old 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</si>
</sst>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Davi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51">
    <xf numFmtId="0" fontId="0" fillId="0" borderId="0" xfId="0"/>
    <xf numFmtId="0" fontId="0" fillId="0" borderId="0" xfId="0" applyAlignment="1"/>
    <xf numFmtId="0" fontId="3" fillId="2" borderId="1" xfId="0" applyFont="1" applyFill="1" applyBorder="1" applyAlignment="1">
      <alignment horizontal="left" wrapText="1" indent="2" readingOrder="1"/>
    </xf>
    <xf numFmtId="0" fontId="3" fillId="2" borderId="1" xfId="0" applyFont="1" applyFill="1" applyBorder="1" applyAlignment="1">
      <alignment horizontal="left" vertical="center" wrapText="1" indent="2" readingOrder="1"/>
    </xf>
    <xf numFmtId="0" fontId="3" fillId="0" borderId="1" xfId="0" applyFont="1" applyBorder="1" applyAlignment="1">
      <alignment horizontal="left" vertical="center" wrapText="1" indent="2" readingOrder="1"/>
    </xf>
    <xf numFmtId="0" fontId="3" fillId="0" borderId="1" xfId="0" applyFont="1" applyBorder="1" applyAlignment="1">
      <alignment horizontal="left" vertical="center" wrapText="1" indent="2" readingOrder="1"/>
    </xf>
    <xf numFmtId="0" fontId="0" fillId="0" borderId="1" xfId="0" applyBorder="1"/>
    <xf numFmtId="0" fontId="3" fillId="2" borderId="3" xfId="0" applyFont="1" applyFill="1" applyBorder="1" applyAlignment="1">
      <alignment horizontal="left" wrapText="1" indent="2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7" fillId="0" borderId="0" xfId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 readingOrder="1"/>
    </xf>
    <xf numFmtId="0" fontId="3" fillId="0" borderId="0" xfId="0" applyFont="1" applyBorder="1" applyAlignment="1">
      <alignment horizontal="center" vertical="center" wrapText="1" readingOrder="1"/>
    </xf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8" fillId="0" borderId="0" xfId="0" applyFont="1"/>
    <xf numFmtId="0" fontId="3" fillId="0" borderId="0" xfId="0" applyFont="1" applyBorder="1" applyAlignment="1">
      <alignment vertical="center" wrapText="1" readingOrder="1"/>
    </xf>
    <xf numFmtId="0" fontId="3" fillId="0" borderId="0" xfId="0" applyNumberFormat="1" applyFont="1" applyBorder="1" applyAlignment="1">
      <alignment vertical="center" wrapText="1" readingOrder="1"/>
    </xf>
    <xf numFmtId="0" fontId="9" fillId="0" borderId="0" xfId="0" applyFont="1" applyAlignment="1">
      <alignment horizontal="center" vertical="center"/>
    </xf>
    <xf numFmtId="0" fontId="9" fillId="4" borderId="0" xfId="0" applyFont="1" applyFill="1"/>
    <xf numFmtId="0" fontId="0" fillId="4" borderId="0" xfId="0" applyFill="1"/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10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/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11" fillId="0" borderId="0" xfId="0" applyFo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4" fillId="0" borderId="0" xfId="0" applyFont="1"/>
    <xf numFmtId="0" fontId="3" fillId="0" borderId="0" xfId="0" applyFont="1" applyFill="1" applyBorder="1" applyAlignment="1">
      <alignment horizontal="left" wrapText="1" indent="2" readingOrder="1"/>
    </xf>
    <xf numFmtId="0" fontId="3" fillId="0" borderId="0" xfId="0" applyFont="1" applyFill="1" applyBorder="1" applyAlignment="1">
      <alignment vertical="center" wrapText="1" readingOrder="1"/>
    </xf>
    <xf numFmtId="0" fontId="15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2" readingOrder="1"/>
    </xf>
    <xf numFmtId="0" fontId="3" fillId="2" borderId="0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 readingOrder="1"/>
    </xf>
    <xf numFmtId="2" fontId="0" fillId="0" borderId="0" xfId="0" applyNumberFormat="1"/>
    <xf numFmtId="0" fontId="3" fillId="0" borderId="1" xfId="0" applyFont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 wrapText="1" indent="2" readingOrder="1"/>
    </xf>
    <xf numFmtId="0" fontId="6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2" readingOrder="1"/>
    </xf>
    <xf numFmtId="0" fontId="0" fillId="0" borderId="0" xfId="0" applyAlignment="1">
      <alignment horizontal="center" vertical="center"/>
    </xf>
    <xf numFmtId="0" fontId="16" fillId="0" borderId="0" xfId="0" applyFont="1"/>
    <xf numFmtId="0" fontId="16" fillId="0" borderId="0" xfId="0" applyFont="1" applyBorder="1" applyAlignme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 readingOrder="1"/>
    </xf>
    <xf numFmtId="0" fontId="10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0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 wrapText="1" readingOrder="1"/>
    </xf>
    <xf numFmtId="164" fontId="2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ill="1"/>
    <xf numFmtId="164" fontId="16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7" xfId="0" applyFont="1" applyBorder="1" applyAlignment="1">
      <alignment horizontal="center" vertical="center" wrapText="1" readingOrder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 indent="2" readingOrder="1"/>
    </xf>
    <xf numFmtId="0" fontId="3" fillId="0" borderId="3" xfId="0" applyFont="1" applyBorder="1" applyAlignment="1">
      <alignment horizontal="left" vertical="center" wrapText="1" indent="2" readingOrder="1"/>
    </xf>
    <xf numFmtId="0" fontId="3" fillId="0" borderId="4" xfId="0" applyFont="1" applyBorder="1" applyAlignment="1">
      <alignment horizontal="left" vertical="center" wrapText="1" indent="2" readingOrder="1"/>
    </xf>
    <xf numFmtId="0" fontId="3" fillId="0" borderId="1" xfId="0" applyFont="1" applyBorder="1" applyAlignment="1">
      <alignment horizontal="left" vertical="center" wrapText="1" indent="2" readingOrder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'12.3.20'!$J$1</c:f>
              <c:strCache>
                <c:ptCount val="1"/>
                <c:pt idx="0">
                  <c:v>Irr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'12.3.20'!$J$2</c:f>
              <c:numCache>
                <c:formatCode>General</c:formatCode>
                <c:ptCount val="1"/>
                <c:pt idx="0">
                  <c:v>8.6990018495496729E-2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A-4F43-80EC-74474678BCC6}"/>
            </c:ext>
          </c:extLst>
        </c:ser>
        <c:ser>
          <c:idx val="1"/>
          <c:order val="1"/>
          <c:tx>
            <c:strRef>
              <c:f>'12.3.20'!$K$1</c:f>
              <c:strCache>
                <c:ptCount val="1"/>
                <c:pt idx="0">
                  <c:v>con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'12.3.20'!$K$2</c:f>
              <c:numCache>
                <c:formatCode>General</c:formatCode>
                <c:ptCount val="1"/>
                <c:pt idx="0">
                  <c:v>5.3223416707605616E-2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A-4F43-80EC-74474678BCC6}"/>
            </c:ext>
          </c:extLst>
        </c:ser>
        <c:ser>
          <c:idx val="2"/>
          <c:order val="2"/>
          <c:tx>
            <c:strRef>
              <c:f>'12.3.20'!$L$1</c:f>
              <c:strCache>
                <c:ptCount val="1"/>
                <c:pt idx="0">
                  <c:v>Irr 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'12.3.20'!$L$2</c:f>
              <c:numCache>
                <c:formatCode>General</c:formatCode>
                <c:ptCount val="1"/>
                <c:pt idx="0">
                  <c:v>0.60893012946847713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A-4F43-80EC-74474678BCC6}"/>
            </c:ext>
          </c:extLst>
        </c:ser>
        <c:ser>
          <c:idx val="3"/>
          <c:order val="3"/>
          <c:tx>
            <c:strRef>
              <c:f>'12.3.20'!$M$1</c:f>
              <c:strCache>
                <c:ptCount val="1"/>
                <c:pt idx="0">
                  <c:v>con sum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'12.3.20'!$M$2</c:f>
              <c:numCache>
                <c:formatCode>General</c:formatCode>
                <c:ptCount val="1"/>
                <c:pt idx="0">
                  <c:v>0.37256391695323932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CA-4F43-80EC-74474678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617768"/>
        <c:axId val="1043618424"/>
      </c:barChart>
      <c:catAx>
        <c:axId val="104361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18424"/>
        <c:crosses val="autoZero"/>
        <c:auto val="1"/>
        <c:lblAlgn val="ctr"/>
        <c:lblOffset val="100"/>
        <c:noMultiLvlLbl val="0"/>
      </c:catAx>
      <c:valAx>
        <c:axId val="104361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1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'8.8.18'!$J$1</c:f>
              <c:strCache>
                <c:ptCount val="1"/>
                <c:pt idx="0">
                  <c:v>Irr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'8.8.18'!$J$2</c:f>
              <c:numCache>
                <c:formatCode>General</c:formatCode>
                <c:ptCount val="1"/>
                <c:pt idx="0">
                  <c:v>0.10697352347638024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8-4762-B3D2-BF9BB47966D4}"/>
            </c:ext>
          </c:extLst>
        </c:ser>
        <c:ser>
          <c:idx val="1"/>
          <c:order val="1"/>
          <c:tx>
            <c:strRef>
              <c:f>'8.8.18'!$K$1</c:f>
              <c:strCache>
                <c:ptCount val="1"/>
                <c:pt idx="0">
                  <c:v>con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'8.8.18'!$K$2</c:f>
              <c:numCache>
                <c:formatCode>General</c:formatCode>
                <c:ptCount val="1"/>
                <c:pt idx="0">
                  <c:v>8.2543745451848949E-2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8-4762-B3D2-BF9BB47966D4}"/>
            </c:ext>
          </c:extLst>
        </c:ser>
        <c:ser>
          <c:idx val="2"/>
          <c:order val="2"/>
          <c:tx>
            <c:strRef>
              <c:f>'8.8.18'!$L$1</c:f>
              <c:strCache>
                <c:ptCount val="1"/>
                <c:pt idx="0">
                  <c:v>Irr 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'8.8.18'!$L$2</c:f>
              <c:numCache>
                <c:formatCode>General</c:formatCode>
                <c:ptCount val="1"/>
                <c:pt idx="0">
                  <c:v>0.74881466433466171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8-4762-B3D2-BF9BB47966D4}"/>
            </c:ext>
          </c:extLst>
        </c:ser>
        <c:ser>
          <c:idx val="3"/>
          <c:order val="3"/>
          <c:tx>
            <c:strRef>
              <c:f>'8.8.18'!$M$1</c:f>
              <c:strCache>
                <c:ptCount val="1"/>
                <c:pt idx="0">
                  <c:v>con sum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'8.8.18'!$M$2</c:f>
              <c:numCache>
                <c:formatCode>General</c:formatCode>
                <c:ptCount val="1"/>
                <c:pt idx="0">
                  <c:v>0.57780621816294264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8-4762-B3D2-BF9BB4796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452208"/>
        <c:axId val="346454176"/>
      </c:barChart>
      <c:catAx>
        <c:axId val="3464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54176"/>
        <c:crosses val="autoZero"/>
        <c:auto val="1"/>
        <c:lblAlgn val="ctr"/>
        <c:lblOffset val="100"/>
        <c:noMultiLvlLbl val="0"/>
      </c:catAx>
      <c:valAx>
        <c:axId val="3464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'4.6.18'!$J$1</c:f>
              <c:strCache>
                <c:ptCount val="1"/>
                <c:pt idx="0">
                  <c:v>Irr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'4.6.18'!$J$2</c:f>
              <c:numCache>
                <c:formatCode>General</c:formatCode>
                <c:ptCount val="1"/>
                <c:pt idx="0">
                  <c:v>8.8176756841004164E-2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E-425E-A774-6EFC5BF3AB72}"/>
            </c:ext>
          </c:extLst>
        </c:ser>
        <c:ser>
          <c:idx val="1"/>
          <c:order val="1"/>
          <c:tx>
            <c:strRef>
              <c:f>'4.6.18'!$K$1</c:f>
              <c:strCache>
                <c:ptCount val="1"/>
                <c:pt idx="0">
                  <c:v>con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'4.6.18'!$K$2</c:f>
              <c:numCache>
                <c:formatCode>General</c:formatCode>
                <c:ptCount val="1"/>
                <c:pt idx="0">
                  <c:v>7.356254361694084E-2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E-425E-A774-6EFC5BF3AB72}"/>
            </c:ext>
          </c:extLst>
        </c:ser>
        <c:ser>
          <c:idx val="2"/>
          <c:order val="2"/>
          <c:tx>
            <c:strRef>
              <c:f>'4.6.18'!$L$1</c:f>
              <c:strCache>
                <c:ptCount val="1"/>
                <c:pt idx="0">
                  <c:v>Irr sum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'4.6.18'!$L$2</c:f>
              <c:numCache>
                <c:formatCode>General</c:formatCode>
                <c:ptCount val="1"/>
                <c:pt idx="0">
                  <c:v>0.61723729788702919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E-425E-A774-6EFC5BF3AB72}"/>
            </c:ext>
          </c:extLst>
        </c:ser>
        <c:ser>
          <c:idx val="3"/>
          <c:order val="3"/>
          <c:tx>
            <c:strRef>
              <c:f>'4.6.18'!$M$1</c:f>
              <c:strCache>
                <c:ptCount val="1"/>
                <c:pt idx="0">
                  <c:v>con sum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'4.6.18'!$M$2</c:f>
              <c:numCache>
                <c:formatCode>General</c:formatCode>
                <c:ptCount val="1"/>
                <c:pt idx="0">
                  <c:v>0.51493780531858591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E-425E-A774-6EFC5BF3A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2048"/>
        <c:axId val="1044300736"/>
      </c:barChart>
      <c:catAx>
        <c:axId val="10443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00736"/>
        <c:crosses val="autoZero"/>
        <c:auto val="1"/>
        <c:lblAlgn val="ctr"/>
        <c:lblOffset val="100"/>
        <c:noMultiLvlLbl val="0"/>
      </c:catAx>
      <c:valAx>
        <c:axId val="10443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'14.2.18'!$J$1</c:f>
              <c:strCache>
                <c:ptCount val="1"/>
                <c:pt idx="0">
                  <c:v>Irr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'14.2.18'!$J$2</c:f>
              <c:numCache>
                <c:formatCode>General</c:formatCode>
                <c:ptCount val="1"/>
                <c:pt idx="0">
                  <c:v>8.1763679600229081E-2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F-4D99-B83A-C5FD152DBBC9}"/>
            </c:ext>
          </c:extLst>
        </c:ser>
        <c:ser>
          <c:idx val="1"/>
          <c:order val="1"/>
          <c:tx>
            <c:strRef>
              <c:f>'14.2.18'!$K$1</c:f>
              <c:strCache>
                <c:ptCount val="1"/>
                <c:pt idx="0">
                  <c:v>con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'14.2.18'!$K$2</c:f>
              <c:numCache>
                <c:formatCode>General</c:formatCode>
                <c:ptCount val="1"/>
                <c:pt idx="0">
                  <c:v>6.6953819535046283E-2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F-4D99-B83A-C5FD152DBBC9}"/>
            </c:ext>
          </c:extLst>
        </c:ser>
        <c:ser>
          <c:idx val="2"/>
          <c:order val="2"/>
          <c:tx>
            <c:strRef>
              <c:f>'14.2.18'!$L$1</c:f>
              <c:strCache>
                <c:ptCount val="1"/>
                <c:pt idx="0">
                  <c:v>Irr 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'14.2.18'!$L$2</c:f>
              <c:numCache>
                <c:formatCode>General</c:formatCode>
                <c:ptCount val="1"/>
                <c:pt idx="0">
                  <c:v>0.32705471840091632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F-4D99-B83A-C5FD152DBBC9}"/>
            </c:ext>
          </c:extLst>
        </c:ser>
        <c:ser>
          <c:idx val="3"/>
          <c:order val="3"/>
          <c:tx>
            <c:strRef>
              <c:f>'14.2.18'!$M$1</c:f>
              <c:strCache>
                <c:ptCount val="1"/>
                <c:pt idx="0">
                  <c:v>con sum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'14.2.18'!$M$2</c:f>
              <c:numCache>
                <c:formatCode>General</c:formatCode>
                <c:ptCount val="1"/>
                <c:pt idx="0">
                  <c:v>0.13390763907009257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F-4D99-B83A-C5FD152DB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414752"/>
        <c:axId val="419415080"/>
      </c:barChart>
      <c:catAx>
        <c:axId val="4194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15080"/>
        <c:crosses val="autoZero"/>
        <c:auto val="1"/>
        <c:lblAlgn val="ctr"/>
        <c:lblOffset val="100"/>
        <c:noMultiLvlLbl val="0"/>
      </c:catAx>
      <c:valAx>
        <c:axId val="41941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7615298087739"/>
          <c:y val="0.13467592592592595"/>
          <c:w val="0.8494606299212598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2018'!$A$2:$A$13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 2018'!$B$2:$B$13</c:f>
              <c:numCache>
                <c:formatCode>General</c:formatCode>
                <c:ptCount val="12"/>
                <c:pt idx="0">
                  <c:v>3.1739893551574298E-2</c:v>
                </c:pt>
                <c:pt idx="1">
                  <c:v>3.4863380789176085E-2</c:v>
                </c:pt>
                <c:pt idx="2">
                  <c:v>3.6494967024097061E-2</c:v>
                </c:pt>
                <c:pt idx="3">
                  <c:v>3.913332326057619E-2</c:v>
                </c:pt>
                <c:pt idx="4">
                  <c:v>4.196241603412279E-2</c:v>
                </c:pt>
                <c:pt idx="5">
                  <c:v>4.1567479517526436E-2</c:v>
                </c:pt>
                <c:pt idx="6">
                  <c:v>4.8248964254664135E-2</c:v>
                </c:pt>
                <c:pt idx="7">
                  <c:v>5.4366674640506561E-2</c:v>
                </c:pt>
                <c:pt idx="8">
                  <c:v>5.1201235508404191E-2</c:v>
                </c:pt>
                <c:pt idx="9">
                  <c:v>4.8035796376301822E-2</c:v>
                </c:pt>
                <c:pt idx="10">
                  <c:v>4.4870357244199452E-2</c:v>
                </c:pt>
                <c:pt idx="11">
                  <c:v>4.1704918112097082E-2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5-430A-B857-8CD24E8EAD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2018'!$A$2:$A$13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 2018'!$C$2:$C$13</c:f>
              <c:numCache>
                <c:formatCode>General</c:formatCode>
                <c:ptCount val="12"/>
                <c:pt idx="0">
                  <c:v>2.9665649854223711E-2</c:v>
                </c:pt>
                <c:pt idx="1">
                  <c:v>3.1380449222353779E-2</c:v>
                </c:pt>
                <c:pt idx="2">
                  <c:v>3.1419947713330801E-2</c:v>
                </c:pt>
                <c:pt idx="3">
                  <c:v>3.3509968733719295E-2</c:v>
                </c:pt>
                <c:pt idx="4">
                  <c:v>3.5739015697292688E-2</c:v>
                </c:pt>
                <c:pt idx="5">
                  <c:v>3.6773329293349685E-2</c:v>
                </c:pt>
                <c:pt idx="6">
                  <c:v>4.0651794034316992E-2</c:v>
                </c:pt>
                <c:pt idx="7">
                  <c:v>4.4980005762008231E-2</c:v>
                </c:pt>
                <c:pt idx="8">
                  <c:v>4.1814566629905861E-2</c:v>
                </c:pt>
                <c:pt idx="9">
                  <c:v>3.8649127497803491E-2</c:v>
                </c:pt>
                <c:pt idx="10">
                  <c:v>3.5483688365701122E-2</c:v>
                </c:pt>
                <c:pt idx="11">
                  <c:v>3.2318249233598752E-2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5-430A-B857-8CD24E8EA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23976"/>
        <c:axId val="1012922664"/>
      </c:scatterChart>
      <c:valAx>
        <c:axId val="101292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22664"/>
        <c:crosses val="autoZero"/>
        <c:crossBetween val="midCat"/>
      </c:valAx>
      <c:valAx>
        <c:axId val="1012922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 (m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¯2)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2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'summary 2018'!$I$19:$I$33</c:f>
              <c:numCache>
                <c:formatCode>General</c:formatCode>
                <c:ptCount val="15"/>
                <c:pt idx="0">
                  <c:v>6</c:v>
                </c:pt>
                <c:pt idx="1">
                  <c:v>6.46</c:v>
                </c:pt>
                <c:pt idx="2">
                  <c:v>6.208333333333333</c:v>
                </c:pt>
                <c:pt idx="4">
                  <c:v>5.9866666666666672</c:v>
                </c:pt>
                <c:pt idx="5">
                  <c:v>5.5</c:v>
                </c:pt>
                <c:pt idx="6">
                  <c:v>6.3842857142857143</c:v>
                </c:pt>
                <c:pt idx="7">
                  <c:v>6.0657142857142849</c:v>
                </c:pt>
                <c:pt idx="9">
                  <c:v>7.05</c:v>
                </c:pt>
                <c:pt idx="11">
                  <c:v>4.1971428571428566</c:v>
                </c:pt>
                <c:pt idx="12">
                  <c:v>5.8742857142857137</c:v>
                </c:pt>
                <c:pt idx="14">
                  <c:v>6.8935000000000004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4-4068-ACF4-3E637E6749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'summary 2018'!$H$19:$H$33</c:f>
              <c:numCache>
                <c:formatCode>General</c:formatCode>
                <c:ptCount val="15"/>
                <c:pt idx="0">
                  <c:v>5.875</c:v>
                </c:pt>
                <c:pt idx="1">
                  <c:v>7.0475000000000003</c:v>
                </c:pt>
                <c:pt idx="2">
                  <c:v>7.0449999999999999</c:v>
                </c:pt>
                <c:pt idx="4">
                  <c:v>7.2658333333333331</c:v>
                </c:pt>
                <c:pt idx="5">
                  <c:v>13</c:v>
                </c:pt>
                <c:pt idx="6">
                  <c:v>11.227142857142857</c:v>
                </c:pt>
                <c:pt idx="7">
                  <c:v>11.075000000000001</c:v>
                </c:pt>
                <c:pt idx="9">
                  <c:v>11.704999999999998</c:v>
                </c:pt>
                <c:pt idx="11">
                  <c:v>4.0271428571428576</c:v>
                </c:pt>
                <c:pt idx="12">
                  <c:v>7.2700000000000005</c:v>
                </c:pt>
                <c:pt idx="14">
                  <c:v>8.1721666666666675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4-4068-ACF4-3E637E67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42616"/>
        <c:axId val="1005443928"/>
      </c:scatterChart>
      <c:valAx>
        <c:axId val="1005442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43928"/>
        <c:crosses val="autoZero"/>
        <c:crossBetween val="midCat"/>
      </c:valAx>
      <c:valAx>
        <c:axId val="10054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4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'20.2.20'!$J$1</c:f>
              <c:strCache>
                <c:ptCount val="1"/>
                <c:pt idx="0">
                  <c:v>Irr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'20.2.20'!$J$2</c:f>
              <c:numCache>
                <c:formatCode>General</c:formatCode>
                <c:ptCount val="1"/>
                <c:pt idx="0">
                  <c:v>8.6913849472899971E-2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A-4329-A505-A58769FFD16A}"/>
            </c:ext>
          </c:extLst>
        </c:ser>
        <c:ser>
          <c:idx val="1"/>
          <c:order val="1"/>
          <c:tx>
            <c:strRef>
              <c:f>'20.2.20'!$K$1</c:f>
              <c:strCache>
                <c:ptCount val="1"/>
                <c:pt idx="0">
                  <c:v>con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'20.2.20'!$K$2</c:f>
              <c:numCache>
                <c:formatCode>General</c:formatCode>
                <c:ptCount val="1"/>
                <c:pt idx="0">
                  <c:v>5.3727880398246386E-2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A-4329-A505-A58769FFD16A}"/>
            </c:ext>
          </c:extLst>
        </c:ser>
        <c:ser>
          <c:idx val="2"/>
          <c:order val="2"/>
          <c:tx>
            <c:strRef>
              <c:f>'20.2.20'!$L$1</c:f>
              <c:strCache>
                <c:ptCount val="1"/>
                <c:pt idx="0">
                  <c:v>Irr 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3BA-4329-A505-A58769FFD16A}"/>
              </c:ext>
            </c:extLst>
          </c:dPt>
          <c:val>
            <c:numRef>
              <c:f>'20.2.20'!$L$2</c:f>
              <c:numCache>
                <c:formatCode>General</c:formatCode>
                <c:ptCount val="1"/>
                <c:pt idx="0">
                  <c:v>2.4335877852411993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BA-4329-A505-A58769FFD16A}"/>
            </c:ext>
          </c:extLst>
        </c:ser>
        <c:ser>
          <c:idx val="3"/>
          <c:order val="3"/>
          <c:tx>
            <c:strRef>
              <c:f>'20.2.20'!$M$1</c:f>
              <c:strCache>
                <c:ptCount val="1"/>
                <c:pt idx="0">
                  <c:v>con sum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'20.2.20'!$M$2</c:f>
              <c:numCache>
                <c:formatCode>General</c:formatCode>
                <c:ptCount val="1"/>
                <c:pt idx="0">
                  <c:v>0.3760951627877247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BA-4329-A505-A58769FF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78432"/>
        <c:axId val="34575152"/>
      </c:barChart>
      <c:catAx>
        <c:axId val="345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5152"/>
        <c:crosses val="autoZero"/>
        <c:auto val="1"/>
        <c:lblAlgn val="ctr"/>
        <c:lblOffset val="100"/>
        <c:noMultiLvlLbl val="0"/>
      </c:catAx>
      <c:valAx>
        <c:axId val="345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'25.12.19'!$J$1</c:f>
              <c:strCache>
                <c:ptCount val="1"/>
                <c:pt idx="0">
                  <c:v>Irr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'25.12.19'!$J$2</c:f>
              <c:numCache>
                <c:formatCode>General</c:formatCode>
                <c:ptCount val="1"/>
                <c:pt idx="0">
                  <c:v>9.6752140112896803E-2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6-4E54-910D-E69C9FE354BE}"/>
            </c:ext>
          </c:extLst>
        </c:ser>
        <c:ser>
          <c:idx val="1"/>
          <c:order val="1"/>
          <c:tx>
            <c:strRef>
              <c:f>'25.12.19'!$K$1</c:f>
              <c:strCache>
                <c:ptCount val="1"/>
                <c:pt idx="0">
                  <c:v>con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'25.12.19'!$K$2</c:f>
              <c:numCache>
                <c:formatCode>General</c:formatCode>
                <c:ptCount val="1"/>
                <c:pt idx="0">
                  <c:v>5.6227722746421745E-2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6-4E54-910D-E69C9FE354BE}"/>
            </c:ext>
          </c:extLst>
        </c:ser>
        <c:ser>
          <c:idx val="2"/>
          <c:order val="2"/>
          <c:tx>
            <c:strRef>
              <c:f>'25.12.19'!$L$1</c:f>
              <c:strCache>
                <c:ptCount val="1"/>
                <c:pt idx="0">
                  <c:v>Irr sum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'25.12.19'!$L$2</c:f>
              <c:numCache>
                <c:formatCode>General</c:formatCode>
                <c:ptCount val="1"/>
                <c:pt idx="0">
                  <c:v>0.67726498079027764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6-4E54-910D-E69C9FE354BE}"/>
            </c:ext>
          </c:extLst>
        </c:ser>
        <c:ser>
          <c:idx val="3"/>
          <c:order val="3"/>
          <c:tx>
            <c:strRef>
              <c:f>'25.12.19'!$M$1</c:f>
              <c:strCache>
                <c:ptCount val="1"/>
                <c:pt idx="0">
                  <c:v>con sum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'25.12.19'!$M$2</c:f>
              <c:numCache>
                <c:formatCode>General</c:formatCode>
                <c:ptCount val="1"/>
                <c:pt idx="0">
                  <c:v>0.39359405922495222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B6-4E54-910D-E69C9FE35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653848"/>
        <c:axId val="1043660736"/>
      </c:barChart>
      <c:catAx>
        <c:axId val="104365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60736"/>
        <c:crosses val="autoZero"/>
        <c:auto val="1"/>
        <c:lblAlgn val="ctr"/>
        <c:lblOffset val="100"/>
        <c:noMultiLvlLbl val="0"/>
      </c:catAx>
      <c:valAx>
        <c:axId val="10436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5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'6.11.19'!$J$1</c:f>
              <c:strCache>
                <c:ptCount val="1"/>
                <c:pt idx="0">
                  <c:v>Irr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'6.11.19'!$J$2</c:f>
              <c:numCache>
                <c:formatCode>General</c:formatCode>
                <c:ptCount val="1"/>
                <c:pt idx="0">
                  <c:v>8.997559444678907E-2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C-4C0E-931C-0801834C437A}"/>
            </c:ext>
          </c:extLst>
        </c:ser>
        <c:ser>
          <c:idx val="1"/>
          <c:order val="1"/>
          <c:tx>
            <c:strRef>
              <c:f>'6.11.19'!$K$1</c:f>
              <c:strCache>
                <c:ptCount val="1"/>
                <c:pt idx="0">
                  <c:v>con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'6.11.19'!$K$2</c:f>
              <c:numCache>
                <c:formatCode>General</c:formatCode>
                <c:ptCount val="1"/>
                <c:pt idx="0">
                  <c:v>5.2758910537015584E-2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C-4C0E-931C-0801834C437A}"/>
            </c:ext>
          </c:extLst>
        </c:ser>
        <c:ser>
          <c:idx val="2"/>
          <c:order val="2"/>
          <c:tx>
            <c:strRef>
              <c:f>'6.11.19'!$L$1</c:f>
              <c:strCache>
                <c:ptCount val="1"/>
                <c:pt idx="0">
                  <c:v>Irr 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'6.11.19'!$L$2</c:f>
              <c:numCache>
                <c:formatCode>General</c:formatCode>
                <c:ptCount val="1"/>
                <c:pt idx="0">
                  <c:v>0.62982916112752352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C-4C0E-931C-0801834C437A}"/>
            </c:ext>
          </c:extLst>
        </c:ser>
        <c:ser>
          <c:idx val="3"/>
          <c:order val="3"/>
          <c:tx>
            <c:strRef>
              <c:f>'6.11.19'!$M$1</c:f>
              <c:strCache>
                <c:ptCount val="1"/>
                <c:pt idx="0">
                  <c:v>con sum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'6.11.19'!$M$2</c:f>
              <c:numCache>
                <c:formatCode>General</c:formatCode>
                <c:ptCount val="1"/>
                <c:pt idx="0">
                  <c:v>0.25862005383850517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8C-4C0E-931C-0801834C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622688"/>
        <c:axId val="1043623016"/>
      </c:barChart>
      <c:catAx>
        <c:axId val="10436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23016"/>
        <c:crosses val="autoZero"/>
        <c:auto val="1"/>
        <c:lblAlgn val="ctr"/>
        <c:lblOffset val="100"/>
        <c:noMultiLvlLbl val="0"/>
      </c:catAx>
      <c:valAx>
        <c:axId val="104362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'02.09.2019'!$J$1</c:f>
              <c:strCache>
                <c:ptCount val="1"/>
                <c:pt idx="0">
                  <c:v>Irr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'02.09.2019'!$J$2</c:f>
              <c:numCache>
                <c:formatCode>General</c:formatCode>
                <c:ptCount val="1"/>
                <c:pt idx="0">
                  <c:v>8.9724611273970259E-2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5-43D4-8097-AA91C4A456D8}"/>
            </c:ext>
          </c:extLst>
        </c:ser>
        <c:ser>
          <c:idx val="1"/>
          <c:order val="1"/>
          <c:tx>
            <c:strRef>
              <c:f>'02.09.2019'!$K$1</c:f>
              <c:strCache>
                <c:ptCount val="1"/>
                <c:pt idx="0">
                  <c:v>con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'02.09.2019'!$K$2</c:f>
              <c:numCache>
                <c:formatCode>General</c:formatCode>
                <c:ptCount val="1"/>
                <c:pt idx="0">
                  <c:v>4.5956142748374555E-2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5-43D4-8097-AA91C4A456D8}"/>
            </c:ext>
          </c:extLst>
        </c:ser>
        <c:ser>
          <c:idx val="2"/>
          <c:order val="2"/>
          <c:tx>
            <c:strRef>
              <c:f>'02.09.2019'!$L$1</c:f>
              <c:strCache>
                <c:ptCount val="1"/>
                <c:pt idx="0">
                  <c:v>Irr sum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'02.09.2019'!$L$2</c:f>
              <c:numCache>
                <c:formatCode>General</c:formatCode>
                <c:ptCount val="1"/>
                <c:pt idx="0">
                  <c:v>0.62807227891779183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5-43D4-8097-AA91C4A456D8}"/>
            </c:ext>
          </c:extLst>
        </c:ser>
        <c:ser>
          <c:idx val="3"/>
          <c:order val="3"/>
          <c:tx>
            <c:strRef>
              <c:f>'02.09.2019'!$M$1</c:f>
              <c:strCache>
                <c:ptCount val="1"/>
                <c:pt idx="0">
                  <c:v>con sum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'02.09.2019'!$M$2</c:f>
              <c:numCache>
                <c:formatCode>General</c:formatCode>
                <c:ptCount val="1"/>
                <c:pt idx="0">
                  <c:v>0.32169299923862188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5-43D4-8097-AA91C4A4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661720"/>
        <c:axId val="1043657128"/>
      </c:barChart>
      <c:catAx>
        <c:axId val="104366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57128"/>
        <c:crosses val="autoZero"/>
        <c:auto val="1"/>
        <c:lblAlgn val="ctr"/>
        <c:lblOffset val="100"/>
        <c:noMultiLvlLbl val="0"/>
      </c:catAx>
      <c:valAx>
        <c:axId val="10436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6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'07.08.19'!$J$1</c:f>
              <c:strCache>
                <c:ptCount val="1"/>
                <c:pt idx="0">
                  <c:v>Irr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'07.08.19'!$J$2</c:f>
              <c:numCache>
                <c:formatCode>General</c:formatCode>
                <c:ptCount val="1"/>
                <c:pt idx="0">
                  <c:v>0.10216888142477727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B-4BA8-A06E-5E73D197DFAF}"/>
            </c:ext>
          </c:extLst>
        </c:ser>
        <c:ser>
          <c:idx val="1"/>
          <c:order val="1"/>
          <c:tx>
            <c:strRef>
              <c:f>'07.08.19'!$K$1</c:f>
              <c:strCache>
                <c:ptCount val="1"/>
                <c:pt idx="0">
                  <c:v>con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'07.08.19'!$K$2</c:f>
              <c:numCache>
                <c:formatCode>General</c:formatCode>
                <c:ptCount val="1"/>
                <c:pt idx="0">
                  <c:v>5.3470653862919652E-2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B-4BA8-A06E-5E73D197D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765936"/>
        <c:axId val="723766264"/>
      </c:barChart>
      <c:catAx>
        <c:axId val="7237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66264"/>
        <c:crosses val="autoZero"/>
        <c:auto val="1"/>
        <c:lblAlgn val="ctr"/>
        <c:lblOffset val="100"/>
        <c:noMultiLvlLbl val="0"/>
      </c:catAx>
      <c:valAx>
        <c:axId val="72376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'16.05.19'!$J$1</c:f>
              <c:strCache>
                <c:ptCount val="1"/>
                <c:pt idx="0">
                  <c:v>Irr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'16.05.19'!$J$2</c:f>
              <c:numCache>
                <c:formatCode>General</c:formatCode>
                <c:ptCount val="1"/>
                <c:pt idx="0">
                  <c:v>8.4377598862477643E-2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E-45B3-892F-1D81B319A18E}"/>
            </c:ext>
          </c:extLst>
        </c:ser>
        <c:ser>
          <c:idx val="1"/>
          <c:order val="1"/>
          <c:tx>
            <c:strRef>
              <c:f>'16.05.19'!$K$1</c:f>
              <c:strCache>
                <c:ptCount val="1"/>
                <c:pt idx="0">
                  <c:v>con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'16.05.19'!$K$2</c:f>
              <c:numCache>
                <c:formatCode>General</c:formatCode>
                <c:ptCount val="1"/>
                <c:pt idx="0">
                  <c:v>6.551342857142857E-2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E-45B3-892F-1D81B319A18E}"/>
            </c:ext>
          </c:extLst>
        </c:ser>
        <c:ser>
          <c:idx val="2"/>
          <c:order val="2"/>
          <c:tx>
            <c:strRef>
              <c:f>'16.05.19'!$L$1</c:f>
              <c:strCache>
                <c:ptCount val="1"/>
                <c:pt idx="0">
                  <c:v>Irr sum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'16.05.19'!$L$2</c:f>
              <c:numCache>
                <c:formatCode>General</c:formatCode>
                <c:ptCount val="1"/>
                <c:pt idx="0">
                  <c:v>0.5906431920373435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6E-45B3-892F-1D81B319A18E}"/>
            </c:ext>
          </c:extLst>
        </c:ser>
        <c:ser>
          <c:idx val="3"/>
          <c:order val="3"/>
          <c:tx>
            <c:strRef>
              <c:f>'16.05.19'!$M$1</c:f>
              <c:strCache>
                <c:ptCount val="1"/>
                <c:pt idx="0">
                  <c:v>con sum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'16.05.19'!$M$2</c:f>
              <c:numCache>
                <c:formatCode>General</c:formatCode>
                <c:ptCount val="1"/>
                <c:pt idx="0">
                  <c:v>0.39018999999999998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6E-45B3-892F-1D81B319A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410816"/>
        <c:axId val="419413112"/>
      </c:barChart>
      <c:catAx>
        <c:axId val="4194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13112"/>
        <c:crosses val="autoZero"/>
        <c:auto val="1"/>
        <c:lblAlgn val="ctr"/>
        <c:lblOffset val="100"/>
        <c:noMultiLvlLbl val="0"/>
      </c:catAx>
      <c:valAx>
        <c:axId val="419413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'06.03.19'!$J$1</c:f>
              <c:strCache>
                <c:ptCount val="1"/>
                <c:pt idx="0">
                  <c:v>Irr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'06.03.19'!$J$2</c:f>
              <c:numCache>
                <c:formatCode>General</c:formatCode>
                <c:ptCount val="1"/>
                <c:pt idx="0">
                  <c:v>7.6986728271140309E-2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B-493F-8D3B-459A66DC79DA}"/>
            </c:ext>
          </c:extLst>
        </c:ser>
        <c:ser>
          <c:idx val="1"/>
          <c:order val="1"/>
          <c:tx>
            <c:strRef>
              <c:f>'06.03.19'!$K$1</c:f>
              <c:strCache>
                <c:ptCount val="1"/>
                <c:pt idx="0">
                  <c:v>con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'06.03.19'!$K$2</c:f>
              <c:numCache>
                <c:formatCode>General</c:formatCode>
                <c:ptCount val="1"/>
                <c:pt idx="0">
                  <c:v>5.9085085005251226E-2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B-493F-8D3B-459A66DC79DA}"/>
            </c:ext>
          </c:extLst>
        </c:ser>
        <c:ser>
          <c:idx val="2"/>
          <c:order val="2"/>
          <c:tx>
            <c:strRef>
              <c:f>'06.03.19'!$L$1</c:f>
              <c:strCache>
                <c:ptCount val="1"/>
                <c:pt idx="0">
                  <c:v>Irr 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'06.03.19'!$L$2</c:f>
              <c:numCache>
                <c:formatCode>General</c:formatCode>
                <c:ptCount val="1"/>
                <c:pt idx="0">
                  <c:v>0.53890709789798219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B-493F-8D3B-459A66DC79DA}"/>
            </c:ext>
          </c:extLst>
        </c:ser>
        <c:ser>
          <c:idx val="3"/>
          <c:order val="3"/>
          <c:tx>
            <c:strRef>
              <c:f>'06.03.19'!$M$1</c:f>
              <c:strCache>
                <c:ptCount val="1"/>
                <c:pt idx="0">
                  <c:v>con sum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'06.03.19'!$M$2</c:f>
              <c:numCache>
                <c:formatCode>General</c:formatCode>
                <c:ptCount val="1"/>
                <c:pt idx="0">
                  <c:v>0.35370531605558458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B-493F-8D3B-459A66DC7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451224"/>
        <c:axId val="346452864"/>
      </c:barChart>
      <c:catAx>
        <c:axId val="34645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52864"/>
        <c:crosses val="autoZero"/>
        <c:auto val="1"/>
        <c:lblAlgn val="ctr"/>
        <c:lblOffset val="100"/>
        <c:noMultiLvlLbl val="0"/>
      </c:catAx>
      <c:valAx>
        <c:axId val="346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'20.12.18'!$J$1</c:f>
              <c:strCache>
                <c:ptCount val="1"/>
                <c:pt idx="0">
                  <c:v>Irr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'20.12.18'!$J$2</c:f>
              <c:numCache>
                <c:formatCode>General</c:formatCode>
                <c:ptCount val="1"/>
                <c:pt idx="0">
                  <c:v>8.4957844892613127E-2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0-45F1-9EF7-97FBDB598934}"/>
            </c:ext>
          </c:extLst>
        </c:ser>
        <c:ser>
          <c:idx val="1"/>
          <c:order val="1"/>
          <c:tx>
            <c:strRef>
              <c:f>'20.12.18'!$K$1</c:f>
              <c:strCache>
                <c:ptCount val="1"/>
                <c:pt idx="0">
                  <c:v>con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'20.12.18'!$K$2</c:f>
              <c:numCache>
                <c:formatCode>General</c:formatCode>
                <c:ptCount val="1"/>
                <c:pt idx="0">
                  <c:v>6.1650957155310472E-2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0-45F1-9EF7-97FBDB598934}"/>
            </c:ext>
          </c:extLst>
        </c:ser>
        <c:ser>
          <c:idx val="2"/>
          <c:order val="2"/>
          <c:tx>
            <c:strRef>
              <c:f>'20.12.18'!$L$1</c:f>
              <c:strCache>
                <c:ptCount val="1"/>
                <c:pt idx="0">
                  <c:v>Irr 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'20.12.18'!$L$2</c:f>
              <c:numCache>
                <c:formatCode>General</c:formatCode>
                <c:ptCount val="1"/>
                <c:pt idx="0">
                  <c:v>0.59470491424829186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0-45F1-9EF7-97FBDB598934}"/>
            </c:ext>
          </c:extLst>
        </c:ser>
        <c:ser>
          <c:idx val="3"/>
          <c:order val="3"/>
          <c:tx>
            <c:strRef>
              <c:f>'20.12.18'!$M$1</c:f>
              <c:strCache>
                <c:ptCount val="1"/>
                <c:pt idx="0">
                  <c:v>con sum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'20.12.18'!$M$2</c:f>
              <c:numCache>
                <c:formatCode>General</c:formatCode>
                <c:ptCount val="1"/>
                <c:pt idx="0">
                  <c:v>0.43155670008717328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A0-45F1-9EF7-97FBDB598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652648"/>
        <c:axId val="534652976"/>
      </c:barChart>
      <c:catAx>
        <c:axId val="53465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52976"/>
        <c:crosses val="autoZero"/>
        <c:auto val="1"/>
        <c:lblAlgn val="ctr"/>
        <c:lblOffset val="100"/>
        <c:noMultiLvlLbl val="0"/>
      </c:catAx>
      <c:valAx>
        <c:axId val="5346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5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195262</xdr:colOff>
      <xdr:row>4</xdr:row>
      <xdr:rowOff>66675</xdr:rowOff>
    </xdr:from>
    <xdr:to>
      <xdr:col>20</xdr:col>
      <xdr:colOff>42862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8</xdr:row>
      <xdr:rowOff>66675</xdr:rowOff>
    </xdr:from>
    <xdr:to>
      <xdr:col>21</xdr:col>
      <xdr:colOff>476250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7</xdr:row>
      <xdr:rowOff>28575</xdr:rowOff>
    </xdr:from>
    <xdr:to>
      <xdr:col>19</xdr:col>
      <xdr:colOff>285750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8</xdr:row>
      <xdr:rowOff>38100</xdr:rowOff>
    </xdr:from>
    <xdr:to>
      <xdr:col>20</xdr:col>
      <xdr:colOff>219075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28575</xdr:rowOff>
    </xdr:from>
    <xdr:to>
      <xdr:col>20</xdr:col>
      <xdr:colOff>47625</xdr:colOff>
      <xdr:row>14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15</xdr:row>
      <xdr:rowOff>85725</xdr:rowOff>
    </xdr:from>
    <xdr:to>
      <xdr:col>19</xdr:col>
      <xdr:colOff>561975</xdr:colOff>
      <xdr:row>36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11</xdr:row>
      <xdr:rowOff>123825</xdr:rowOff>
    </xdr:from>
    <xdr:to>
      <xdr:col>16</xdr:col>
      <xdr:colOff>352425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10</xdr:row>
      <xdr:rowOff>171450</xdr:rowOff>
    </xdr:from>
    <xdr:to>
      <xdr:col>19</xdr:col>
      <xdr:colOff>95250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681037</xdr:colOff>
      <xdr:row>5</xdr:row>
      <xdr:rowOff>161925</xdr:rowOff>
    </xdr:from>
    <xdr:to>
      <xdr:col>16</xdr:col>
      <xdr:colOff>452437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18</xdr:row>
      <xdr:rowOff>104775</xdr:rowOff>
    </xdr:from>
    <xdr:to>
      <xdr:col>19</xdr:col>
      <xdr:colOff>19050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11</xdr:row>
      <xdr:rowOff>123825</xdr:rowOff>
    </xdr:from>
    <xdr:to>
      <xdr:col>15</xdr:col>
      <xdr:colOff>666750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11</xdr:row>
      <xdr:rowOff>123825</xdr:rowOff>
    </xdr:from>
    <xdr:to>
      <xdr:col>16</xdr:col>
      <xdr:colOff>352425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5</xdr:row>
      <xdr:rowOff>142875</xdr:rowOff>
    </xdr:from>
    <xdr:to>
      <xdr:col>22</xdr:col>
      <xdr:colOff>504825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7</xdr:row>
      <xdr:rowOff>47625</xdr:rowOff>
    </xdr:from>
    <xdr:to>
      <xdr:col>21</xdr:col>
      <xdr:colOff>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C38" sqref="C38"/>
    </sheetView>
  </sheetViews>
  <sheetFormatPr defaultRowHeight="15"/>
  <sheetData>
    <row r="1" spans="1:1">
      <c r="A1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3"/>
  <sheetViews>
    <sheetView workbookViewId="0">
      <selection activeCell="K35" sqref="K35"/>
    </sheetView>
  </sheetViews>
  <sheetFormatPr defaultRowHeight="15"/>
  <sheetData>
    <row r="1" spans="1:19" ht="30">
      <c r="A1" s="78" t="s">
        <v>3</v>
      </c>
      <c r="B1" s="78" t="s">
        <v>0</v>
      </c>
      <c r="C1" s="78" t="s">
        <v>2</v>
      </c>
      <c r="D1" s="78" t="s">
        <v>1</v>
      </c>
      <c r="E1" s="78" t="s">
        <v>7</v>
      </c>
      <c r="F1" s="78" t="s">
        <v>8</v>
      </c>
      <c r="G1" s="10" t="s">
        <v>10</v>
      </c>
      <c r="H1" s="78" t="s">
        <v>9</v>
      </c>
      <c r="I1" s="78" t="s">
        <v>13</v>
      </c>
      <c r="J1" s="76" t="s">
        <v>14</v>
      </c>
      <c r="K1" s="8" t="s">
        <v>15</v>
      </c>
      <c r="L1" s="8" t="s">
        <v>26</v>
      </c>
      <c r="M1" s="8" t="s">
        <v>27</v>
      </c>
      <c r="O1" s="71" t="s">
        <v>62</v>
      </c>
      <c r="P1" s="70" t="s">
        <v>58</v>
      </c>
      <c r="Q1" s="70" t="s">
        <v>60</v>
      </c>
      <c r="R1" s="70" t="s">
        <v>59</v>
      </c>
      <c r="S1" s="70" t="s">
        <v>61</v>
      </c>
    </row>
    <row r="2" spans="1:19">
      <c r="A2" s="126" t="s">
        <v>4</v>
      </c>
      <c r="B2" s="126">
        <v>1</v>
      </c>
      <c r="C2" s="127">
        <v>95</v>
      </c>
      <c r="D2" s="72">
        <v>2017</v>
      </c>
      <c r="E2" s="73">
        <v>0</v>
      </c>
      <c r="F2" s="73"/>
      <c r="G2" s="130">
        <f>SUM(E2:E4)</f>
        <v>84</v>
      </c>
      <c r="H2" s="130">
        <f>(F2*E2+F3*E3+F4*E4)/G2</f>
        <v>10.476190476190476</v>
      </c>
      <c r="I2" s="123">
        <f>(((PI()*0.00085*H2/100)+(0.00085*H2/100*2))*G2/2)*4</f>
        <v>7.691822609770331E-2</v>
      </c>
      <c r="J2" s="77">
        <f>AVERAGE(I2:I22)</f>
        <v>8.9724611273970259E-2</v>
      </c>
      <c r="K2" s="48">
        <f>AVERAGE(I23:I43)</f>
        <v>4.5956142748374555E-2</v>
      </c>
      <c r="L2" s="48">
        <f>SUM(I2:I22)</f>
        <v>0.62807227891779183</v>
      </c>
      <c r="M2" s="48">
        <f>SUM(I23:I43)</f>
        <v>0.32169299923862188</v>
      </c>
      <c r="N2" t="s">
        <v>66</v>
      </c>
      <c r="O2">
        <v>2017</v>
      </c>
      <c r="P2" s="79">
        <f>AVERAGE(E32,E23,E26,E29,E35,E38,E41)</f>
        <v>16.571428571428573</v>
      </c>
      <c r="Q2" s="79">
        <f>AVERAGE(F32,F23,F26,F29,F35,F38,F41)</f>
        <v>6.4714285714285706</v>
      </c>
      <c r="R2" s="79">
        <f>AVERAGE(E2,E5,E8,E20,E11,E14,E17)</f>
        <v>1.7142857142857142</v>
      </c>
      <c r="S2" s="79">
        <f>AVERAGE(F2,F5,F8,F20,F11,F14,F17)</f>
        <v>10.25</v>
      </c>
    </row>
    <row r="3" spans="1:19">
      <c r="A3" s="126"/>
      <c r="B3" s="126"/>
      <c r="C3" s="128"/>
      <c r="D3" s="72">
        <v>2018</v>
      </c>
      <c r="E3" s="73">
        <v>20</v>
      </c>
      <c r="F3" s="73">
        <v>12</v>
      </c>
      <c r="G3" s="130"/>
      <c r="H3" s="130"/>
      <c r="I3" s="124"/>
      <c r="J3" s="21">
        <v>4.7831171608303025E-2</v>
      </c>
      <c r="K3" s="21">
        <v>2.1742764276168801E-2</v>
      </c>
      <c r="L3">
        <v>8.3704550314530293E-2</v>
      </c>
      <c r="M3">
        <v>3.80498374832954E-2</v>
      </c>
      <c r="N3" t="s">
        <v>67</v>
      </c>
      <c r="O3" s="59">
        <v>2018</v>
      </c>
      <c r="P3" s="79">
        <f>AVERAGE(E33,E42,E39,E36,E30,E27,E24)</f>
        <v>48</v>
      </c>
      <c r="Q3" s="79">
        <f>AVERAGE(F33,F42,F39,F36,F30,F27,F24)</f>
        <v>6.8285714285714283</v>
      </c>
      <c r="R3" s="79">
        <f>AVERAGE(E3,E6,E15,E21,E9,E12,E18)</f>
        <v>47.142857142857146</v>
      </c>
      <c r="S3" s="79">
        <f>AVERAGE(F3,F6,F15,F21,F9,F12,F18)</f>
        <v>8.9714285714285715</v>
      </c>
    </row>
    <row r="4" spans="1:19">
      <c r="A4" s="126"/>
      <c r="B4" s="126"/>
      <c r="C4" s="129"/>
      <c r="D4" s="72">
        <v>2019</v>
      </c>
      <c r="E4" s="73">
        <v>64</v>
      </c>
      <c r="F4" s="73">
        <v>10</v>
      </c>
      <c r="G4" s="130"/>
      <c r="H4" s="130"/>
      <c r="I4" s="125"/>
      <c r="J4">
        <f>J3/J2</f>
        <v>0.53308864679561097</v>
      </c>
      <c r="K4">
        <f>K3/K2</f>
        <v>0.47311986985543586</v>
      </c>
      <c r="N4" t="s">
        <v>65</v>
      </c>
      <c r="O4">
        <v>2019</v>
      </c>
      <c r="P4" s="79">
        <f>AVERAGE(E34,E43,E40,E37,E31,E28,E25)</f>
        <v>31.285714285714285</v>
      </c>
      <c r="Q4" s="79">
        <f>AVERAGE(F34,F43,F40,F37,F31,F28,F25)</f>
        <v>2.9285714285714284</v>
      </c>
      <c r="R4" s="79">
        <f>AVERAGE(E4,E7,E16,E22,E10,E19,E13)</f>
        <v>80.857142857142861</v>
      </c>
      <c r="S4" s="79">
        <f>AVERAGE(F4,F7,F16,F22,F10,F19,F13)</f>
        <v>7.4714285714285706</v>
      </c>
    </row>
    <row r="5" spans="1:19">
      <c r="A5" s="126"/>
      <c r="B5" s="126">
        <v>2</v>
      </c>
      <c r="C5" s="127">
        <v>50</v>
      </c>
      <c r="D5" s="72">
        <v>2017</v>
      </c>
      <c r="E5" s="72">
        <v>0</v>
      </c>
      <c r="F5" s="73"/>
      <c r="G5" s="130">
        <f>SUM(E5:E7)</f>
        <v>158</v>
      </c>
      <c r="H5" s="130">
        <f>(F5*E5+F6*E6+F7*E7)/G5</f>
        <v>7.9886075949367079</v>
      </c>
      <c r="I5" s="123">
        <f t="shared" ref="I5" si="0">(((PI()*0.00085*H5/100)+(0.00085*H5/100*2))*G5/2)*4</f>
        <v>0.11032521020513761</v>
      </c>
      <c r="J5" s="21"/>
      <c r="K5" s="21"/>
    </row>
    <row r="6" spans="1:19">
      <c r="A6" s="126"/>
      <c r="B6" s="126"/>
      <c r="C6" s="128"/>
      <c r="D6" s="72">
        <v>2018</v>
      </c>
      <c r="E6" s="72">
        <v>64</v>
      </c>
      <c r="F6" s="73">
        <v>9</v>
      </c>
      <c r="G6" s="130"/>
      <c r="H6" s="130"/>
      <c r="I6" s="124"/>
      <c r="J6" s="21"/>
      <c r="K6" s="21"/>
    </row>
    <row r="7" spans="1:19">
      <c r="A7" s="126"/>
      <c r="B7" s="126"/>
      <c r="C7" s="129"/>
      <c r="D7" s="72">
        <v>2019</v>
      </c>
      <c r="E7" s="72">
        <v>94</v>
      </c>
      <c r="F7" s="73">
        <v>7.3</v>
      </c>
      <c r="G7" s="130"/>
      <c r="H7" s="130"/>
      <c r="I7" s="125"/>
      <c r="J7" s="21"/>
      <c r="K7" s="21"/>
    </row>
    <row r="8" spans="1:19">
      <c r="A8" s="126"/>
      <c r="B8" s="126">
        <v>3</v>
      </c>
      <c r="C8" s="127">
        <v>97</v>
      </c>
      <c r="D8" s="72">
        <v>2017</v>
      </c>
      <c r="E8" s="72">
        <v>0</v>
      </c>
      <c r="F8" s="73"/>
      <c r="G8" s="130">
        <f>SUM(E8:E10)</f>
        <v>142</v>
      </c>
      <c r="H8" s="130">
        <f>(F8*E8+F9*E9+F10*E10)/G8</f>
        <v>8.429577464788732</v>
      </c>
      <c r="I8" s="123">
        <f t="shared" ref="I8" si="1">(((PI()*0.00085*H8/100)+(0.00085*H8/100*2))*G8/2)*4</f>
        <v>0.10462626890789868</v>
      </c>
      <c r="J8" s="21"/>
      <c r="K8" s="21"/>
    </row>
    <row r="9" spans="1:19">
      <c r="A9" s="126"/>
      <c r="B9" s="126"/>
      <c r="C9" s="128"/>
      <c r="D9" s="72">
        <v>2018</v>
      </c>
      <c r="E9" s="72">
        <v>66</v>
      </c>
      <c r="F9" s="73">
        <v>9.5</v>
      </c>
      <c r="G9" s="130"/>
      <c r="H9" s="130"/>
      <c r="I9" s="124"/>
      <c r="J9" s="21"/>
      <c r="K9" s="21"/>
    </row>
    <row r="10" spans="1:19">
      <c r="A10" s="126"/>
      <c r="B10" s="126"/>
      <c r="C10" s="129"/>
      <c r="D10" s="72">
        <v>2019</v>
      </c>
      <c r="E10" s="72">
        <v>76</v>
      </c>
      <c r="F10" s="73">
        <v>7.5</v>
      </c>
      <c r="G10" s="130"/>
      <c r="H10" s="130"/>
      <c r="I10" s="125"/>
      <c r="J10" s="21"/>
      <c r="K10" s="21"/>
    </row>
    <row r="11" spans="1:19">
      <c r="A11" s="126"/>
      <c r="B11" s="126">
        <v>4</v>
      </c>
      <c r="C11" s="127">
        <v>94</v>
      </c>
      <c r="D11" s="72">
        <v>2017</v>
      </c>
      <c r="E11" s="72">
        <v>0</v>
      </c>
      <c r="F11" s="73"/>
      <c r="G11" s="130">
        <f>SUM(E11:E13)</f>
        <v>94</v>
      </c>
      <c r="H11" s="130">
        <f>(F11*E11+F12*E12+F13*E13)/G11</f>
        <v>7.5</v>
      </c>
      <c r="I11" s="123">
        <f t="shared" ref="I11" si="2">(((PI()*0.00085*H11/100)+(0.00085*H11/100*2))*G11/2)*4</f>
        <v>6.1621987953273664E-2</v>
      </c>
      <c r="J11" s="21"/>
      <c r="K11" s="21"/>
    </row>
    <row r="12" spans="1:19">
      <c r="A12" s="126"/>
      <c r="B12" s="126"/>
      <c r="C12" s="128"/>
      <c r="D12" s="72">
        <v>2018</v>
      </c>
      <c r="E12" s="72">
        <v>56</v>
      </c>
      <c r="F12" s="73">
        <v>7.5</v>
      </c>
      <c r="G12" s="130"/>
      <c r="H12" s="130"/>
      <c r="I12" s="124"/>
      <c r="J12" s="21"/>
      <c r="K12" s="21"/>
    </row>
    <row r="13" spans="1:19">
      <c r="A13" s="126"/>
      <c r="B13" s="126"/>
      <c r="C13" s="129"/>
      <c r="D13" s="72">
        <v>2019</v>
      </c>
      <c r="E13" s="72">
        <v>38</v>
      </c>
      <c r="F13" s="73">
        <v>7.5</v>
      </c>
      <c r="G13" s="130"/>
      <c r="H13" s="130"/>
      <c r="I13" s="125"/>
      <c r="J13" s="21"/>
      <c r="K13" s="21"/>
    </row>
    <row r="14" spans="1:19">
      <c r="A14" s="126"/>
      <c r="B14" s="126">
        <v>5</v>
      </c>
      <c r="C14" s="127">
        <v>55</v>
      </c>
      <c r="D14" s="72">
        <v>2017</v>
      </c>
      <c r="E14" s="73">
        <v>0</v>
      </c>
      <c r="F14" s="73"/>
      <c r="G14" s="130">
        <f>SUM(E14:E16)</f>
        <v>102</v>
      </c>
      <c r="H14" s="130">
        <f>(F14*E14+F15*E15+F16*E16)/G14</f>
        <v>7.1372549019607847</v>
      </c>
      <c r="I14" s="123">
        <f t="shared" ref="I14" si="3">(((PI()*0.00085*H14/100)+(0.00085*H14/100*2))*G14/2)*4</f>
        <v>6.3632350680827274E-2</v>
      </c>
      <c r="J14" s="21"/>
      <c r="K14" s="21"/>
    </row>
    <row r="15" spans="1:19">
      <c r="A15" s="126"/>
      <c r="B15" s="126"/>
      <c r="C15" s="128"/>
      <c r="D15" s="72">
        <v>2018</v>
      </c>
      <c r="E15" s="73">
        <v>26</v>
      </c>
      <c r="F15" s="73">
        <v>9</v>
      </c>
      <c r="G15" s="130"/>
      <c r="H15" s="130"/>
      <c r="I15" s="124"/>
      <c r="J15" s="21"/>
      <c r="K15" s="21"/>
    </row>
    <row r="16" spans="1:19">
      <c r="A16" s="126"/>
      <c r="B16" s="126"/>
      <c r="C16" s="129"/>
      <c r="D16" s="72">
        <v>2019</v>
      </c>
      <c r="E16" s="73">
        <v>76</v>
      </c>
      <c r="F16" s="73">
        <v>6.5</v>
      </c>
      <c r="G16" s="130"/>
      <c r="H16" s="130"/>
      <c r="I16" s="125"/>
      <c r="J16" s="21"/>
      <c r="K16" s="21"/>
    </row>
    <row r="17" spans="1:11">
      <c r="A17" s="126"/>
      <c r="B17" s="126">
        <v>6</v>
      </c>
      <c r="C17" s="127">
        <v>55</v>
      </c>
      <c r="D17" s="72">
        <v>2017</v>
      </c>
      <c r="E17" s="72">
        <v>4</v>
      </c>
      <c r="F17" s="73">
        <v>11</v>
      </c>
      <c r="G17" s="130">
        <f>SUM(E17:E19)</f>
        <v>168</v>
      </c>
      <c r="H17" s="130">
        <f>(F17*E17+F18*E18+F19*E19)/G17</f>
        <v>7.1607142857142856</v>
      </c>
      <c r="I17" s="123">
        <f t="shared" ref="I17" si="4">(((PI()*0.00085*H17/100)+(0.00085*H17/100*2))*G17/2)*4</f>
        <v>0.10515071135856485</v>
      </c>
      <c r="J17" s="21"/>
      <c r="K17" s="21"/>
    </row>
    <row r="18" spans="1:11">
      <c r="A18" s="126"/>
      <c r="B18" s="126"/>
      <c r="C18" s="128"/>
      <c r="D18" s="72">
        <v>2018</v>
      </c>
      <c r="E18" s="72">
        <v>70</v>
      </c>
      <c r="F18" s="73">
        <v>8.5</v>
      </c>
      <c r="G18" s="130"/>
      <c r="H18" s="130"/>
      <c r="I18" s="124"/>
      <c r="J18" s="21"/>
      <c r="K18" s="21"/>
    </row>
    <row r="19" spans="1:11">
      <c r="A19" s="126"/>
      <c r="B19" s="126"/>
      <c r="C19" s="129"/>
      <c r="D19" s="72">
        <v>2019</v>
      </c>
      <c r="E19" s="72">
        <v>94</v>
      </c>
      <c r="F19" s="73">
        <v>6</v>
      </c>
      <c r="G19" s="130"/>
      <c r="H19" s="130"/>
      <c r="I19" s="125"/>
      <c r="J19" s="21"/>
      <c r="K19" s="21"/>
    </row>
    <row r="20" spans="1:11">
      <c r="A20" s="126"/>
      <c r="B20" s="126">
        <v>7</v>
      </c>
      <c r="C20" s="127">
        <v>58</v>
      </c>
      <c r="D20" s="72">
        <v>2017</v>
      </c>
      <c r="E20" s="73">
        <v>8</v>
      </c>
      <c r="F20" s="73">
        <v>9.5</v>
      </c>
      <c r="G20" s="130">
        <f>SUM(E20:E22)</f>
        <v>160</v>
      </c>
      <c r="H20" s="130">
        <f>(F20*E20+F21*E21+F22*E22)/G20</f>
        <v>7.5650000000000004</v>
      </c>
      <c r="I20" s="123">
        <f t="shared" ref="I20" si="5">(((PI()*0.00085*H20/100)+(0.00085*H20/100*2))*G20/2)*4</f>
        <v>0.10579752371438644</v>
      </c>
      <c r="J20" s="21"/>
      <c r="K20" s="21"/>
    </row>
    <row r="21" spans="1:11">
      <c r="A21" s="126"/>
      <c r="B21" s="126"/>
      <c r="C21" s="128"/>
      <c r="D21" s="72">
        <v>2018</v>
      </c>
      <c r="E21" s="72">
        <v>28</v>
      </c>
      <c r="F21" s="73">
        <v>7.3</v>
      </c>
      <c r="G21" s="130"/>
      <c r="H21" s="130"/>
      <c r="I21" s="124"/>
      <c r="J21" s="21"/>
      <c r="K21" s="21"/>
    </row>
    <row r="22" spans="1:11">
      <c r="A22" s="126"/>
      <c r="B22" s="126"/>
      <c r="C22" s="129"/>
      <c r="D22" s="72">
        <v>2019</v>
      </c>
      <c r="E22" s="72">
        <v>124</v>
      </c>
      <c r="F22" s="73">
        <v>7.5</v>
      </c>
      <c r="G22" s="130"/>
      <c r="H22" s="130"/>
      <c r="I22" s="125"/>
      <c r="J22" s="21"/>
      <c r="K22" s="21"/>
    </row>
    <row r="23" spans="1:11">
      <c r="A23" s="126" t="s">
        <v>6</v>
      </c>
      <c r="B23" s="126">
        <v>9</v>
      </c>
      <c r="C23" s="127">
        <v>14</v>
      </c>
      <c r="D23" s="72">
        <v>2017</v>
      </c>
      <c r="E23" s="72">
        <v>12</v>
      </c>
      <c r="F23" s="73">
        <v>7</v>
      </c>
      <c r="G23" s="130">
        <f>SUM(E23:E25)</f>
        <v>109</v>
      </c>
      <c r="H23" s="130">
        <f>(F23*E23+F24*E24+F25*E25)/G23</f>
        <v>3.9495412844036699</v>
      </c>
      <c r="I23" s="123">
        <f t="shared" ref="I23" si="6">(((PI()*0.00085*H23/100)+(0.00085*H23/100*2))*G23/2)*4</f>
        <v>3.7628745835296906E-2</v>
      </c>
      <c r="J23" s="21"/>
      <c r="K23" s="21"/>
    </row>
    <row r="24" spans="1:11">
      <c r="A24" s="126"/>
      <c r="B24" s="126"/>
      <c r="C24" s="128"/>
      <c r="D24" s="72">
        <v>2018</v>
      </c>
      <c r="E24" s="72">
        <v>26</v>
      </c>
      <c r="F24" s="73">
        <v>6.5</v>
      </c>
      <c r="G24" s="130"/>
      <c r="H24" s="130"/>
      <c r="I24" s="124"/>
      <c r="J24" s="21"/>
      <c r="K24" s="21"/>
    </row>
    <row r="25" spans="1:11">
      <c r="A25" s="126"/>
      <c r="B25" s="126"/>
      <c r="C25" s="129"/>
      <c r="D25" s="72">
        <v>2019</v>
      </c>
      <c r="E25" s="72">
        <v>71</v>
      </c>
      <c r="F25" s="73">
        <v>2.5</v>
      </c>
      <c r="G25" s="130"/>
      <c r="H25" s="130"/>
      <c r="I25" s="125"/>
      <c r="J25" s="21"/>
      <c r="K25" s="21"/>
    </row>
    <row r="26" spans="1:11">
      <c r="A26" s="126"/>
      <c r="B26" s="126">
        <v>10</v>
      </c>
      <c r="C26" s="127">
        <v>13</v>
      </c>
      <c r="D26" s="72">
        <v>2017</v>
      </c>
      <c r="E26" s="72">
        <v>16</v>
      </c>
      <c r="F26" s="73">
        <v>6</v>
      </c>
      <c r="G26" s="130">
        <f>SUM(E26:E28)</f>
        <v>78</v>
      </c>
      <c r="H26" s="130">
        <f>(F26*E26+F27*E27+F28*E28)/G26</f>
        <v>6.2179487179487181</v>
      </c>
      <c r="I26" s="123">
        <f t="shared" ref="I26" si="7">(((PI()*0.00085*H26/100)+(0.00085*H26/100*2))*G26/2)*4</f>
        <v>4.2392431428847847E-2</v>
      </c>
      <c r="J26" s="21"/>
      <c r="K26" s="21"/>
    </row>
    <row r="27" spans="1:11">
      <c r="A27" s="126"/>
      <c r="B27" s="126"/>
      <c r="C27" s="128"/>
      <c r="D27" s="72">
        <v>2018</v>
      </c>
      <c r="E27" s="72">
        <v>42</v>
      </c>
      <c r="F27" s="73">
        <v>7.5</v>
      </c>
      <c r="G27" s="130"/>
      <c r="H27" s="130"/>
      <c r="I27" s="124"/>
      <c r="J27" s="21"/>
      <c r="K27" s="21"/>
    </row>
    <row r="28" spans="1:11">
      <c r="A28" s="126"/>
      <c r="B28" s="126"/>
      <c r="C28" s="129"/>
      <c r="D28" s="72">
        <v>2019</v>
      </c>
      <c r="E28" s="72">
        <v>20</v>
      </c>
      <c r="F28" s="73">
        <v>3.7</v>
      </c>
      <c r="G28" s="130"/>
      <c r="H28" s="130"/>
      <c r="I28" s="125"/>
      <c r="J28" s="21"/>
      <c r="K28" s="21"/>
    </row>
    <row r="29" spans="1:11">
      <c r="A29" s="126"/>
      <c r="B29" s="126">
        <v>11</v>
      </c>
      <c r="C29" s="127">
        <v>17</v>
      </c>
      <c r="D29" s="72">
        <v>2017</v>
      </c>
      <c r="E29" s="72">
        <v>22</v>
      </c>
      <c r="F29" s="73">
        <v>6.3</v>
      </c>
      <c r="G29" s="130">
        <f>SUM(E29:E31)</f>
        <v>87</v>
      </c>
      <c r="H29" s="130">
        <f>(F29*E29+F30*E30+F31*E31)/G29</f>
        <v>5.158620689655173</v>
      </c>
      <c r="I29" s="123">
        <f t="shared" ref="I29" si="8">(((PI()*0.00085*H29/100)+(0.00085*H29/100*2))*G29/2)*4</f>
        <v>3.9228295309828687E-2</v>
      </c>
      <c r="J29" s="21"/>
      <c r="K29" s="21"/>
    </row>
    <row r="30" spans="1:11" ht="14.25" customHeight="1">
      <c r="A30" s="126"/>
      <c r="B30" s="126"/>
      <c r="C30" s="128"/>
      <c r="D30" s="72">
        <v>2018</v>
      </c>
      <c r="E30" s="72">
        <v>46</v>
      </c>
      <c r="F30" s="73">
        <v>6</v>
      </c>
      <c r="G30" s="130"/>
      <c r="H30" s="130"/>
      <c r="I30" s="124"/>
    </row>
    <row r="31" spans="1:11" ht="14.25" customHeight="1">
      <c r="A31" s="126"/>
      <c r="B31" s="126"/>
      <c r="C31" s="129"/>
      <c r="D31" s="72">
        <v>2019</v>
      </c>
      <c r="E31" s="72">
        <v>19</v>
      </c>
      <c r="F31" s="73">
        <v>1.8</v>
      </c>
      <c r="G31" s="130"/>
      <c r="H31" s="130"/>
      <c r="I31" s="125"/>
    </row>
    <row r="32" spans="1:11" ht="14.25" customHeight="1">
      <c r="A32" s="126"/>
      <c r="B32" s="126">
        <v>12</v>
      </c>
      <c r="C32" s="127">
        <v>80</v>
      </c>
      <c r="D32" s="72">
        <v>2017</v>
      </c>
      <c r="E32" s="72">
        <v>4</v>
      </c>
      <c r="F32" s="73">
        <v>6</v>
      </c>
      <c r="G32" s="130">
        <f>SUM(E32:E34)</f>
        <v>94</v>
      </c>
      <c r="H32" s="130">
        <f>(F32*E32+F33*E33+F34*E34)/G32</f>
        <v>6.1382978723404253</v>
      </c>
      <c r="I32" s="123">
        <f t="shared" ref="I32" si="9">(((PI()*0.00085*H32/100)+(0.00085*H32/100*2))*G32/2)*4</f>
        <v>5.0433882339062278E-2</v>
      </c>
    </row>
    <row r="33" spans="1:9" ht="14.25" customHeight="1">
      <c r="A33" s="126"/>
      <c r="B33" s="126"/>
      <c r="C33" s="128"/>
      <c r="D33" s="72">
        <v>2018</v>
      </c>
      <c r="E33" s="72">
        <v>68</v>
      </c>
      <c r="F33" s="73">
        <v>7</v>
      </c>
      <c r="G33" s="130"/>
      <c r="H33" s="130"/>
      <c r="I33" s="124"/>
    </row>
    <row r="34" spans="1:9" ht="14.25" customHeight="1">
      <c r="A34" s="126"/>
      <c r="B34" s="126"/>
      <c r="C34" s="129"/>
      <c r="D34" s="72">
        <v>2019</v>
      </c>
      <c r="E34" s="72">
        <v>22</v>
      </c>
      <c r="F34" s="73">
        <v>3.5</v>
      </c>
      <c r="G34" s="130"/>
      <c r="H34" s="130"/>
      <c r="I34" s="125"/>
    </row>
    <row r="35" spans="1:9" ht="14.25" customHeight="1">
      <c r="A35" s="126"/>
      <c r="B35" s="126">
        <v>13</v>
      </c>
      <c r="C35" s="127">
        <v>18</v>
      </c>
      <c r="D35" s="72">
        <v>2017</v>
      </c>
      <c r="E35" s="73">
        <v>24</v>
      </c>
      <c r="F35" s="73">
        <v>6</v>
      </c>
      <c r="G35" s="130">
        <f>SUM(E35:E37)</f>
        <v>106</v>
      </c>
      <c r="H35" s="130">
        <f>(F35*E35+F36*E36+F37*E37)/G35</f>
        <v>5.1603773584905657</v>
      </c>
      <c r="I35" s="123">
        <f t="shared" ref="I35" si="10">(((PI()*0.00085*H35/100)+(0.00085*H35/100*2))*G35/2)*4</f>
        <v>4.7811670085731485E-2</v>
      </c>
    </row>
    <row r="36" spans="1:9" ht="14.25" customHeight="1">
      <c r="A36" s="126"/>
      <c r="B36" s="126"/>
      <c r="C36" s="128"/>
      <c r="D36" s="72">
        <v>2018</v>
      </c>
      <c r="E36" s="72">
        <v>44</v>
      </c>
      <c r="F36" s="73">
        <v>7</v>
      </c>
      <c r="G36" s="130"/>
      <c r="H36" s="130"/>
      <c r="I36" s="124"/>
    </row>
    <row r="37" spans="1:9" ht="14.25" customHeight="1">
      <c r="A37" s="126"/>
      <c r="B37" s="126"/>
      <c r="C37" s="129"/>
      <c r="D37" s="72">
        <v>2019</v>
      </c>
      <c r="E37" s="72">
        <v>38</v>
      </c>
      <c r="F37" s="73">
        <v>2.5</v>
      </c>
      <c r="G37" s="130"/>
      <c r="H37" s="130"/>
      <c r="I37" s="125"/>
    </row>
    <row r="38" spans="1:9" ht="14.25" customHeight="1">
      <c r="A38" s="126"/>
      <c r="B38" s="126">
        <v>14</v>
      </c>
      <c r="C38" s="127">
        <v>80</v>
      </c>
      <c r="D38" s="72">
        <v>2017</v>
      </c>
      <c r="E38" s="72">
        <v>12</v>
      </c>
      <c r="F38" s="73">
        <v>7</v>
      </c>
      <c r="G38" s="130">
        <f>SUM(E38:E40)</f>
        <v>103</v>
      </c>
      <c r="H38" s="130">
        <f>(F38*E38+F39*E39+F40*E40)/G38</f>
        <v>6.1601941747572813</v>
      </c>
      <c r="I38" s="123">
        <f t="shared" ref="I38" si="11">(((PI()*0.00085*H38/100)+(0.00085*H38/100*2))*G38/2)*4</f>
        <v>5.5459789157946304E-2</v>
      </c>
    </row>
    <row r="39" spans="1:9" ht="14.25" customHeight="1">
      <c r="A39" s="126"/>
      <c r="B39" s="126"/>
      <c r="C39" s="128"/>
      <c r="D39" s="72">
        <v>2018</v>
      </c>
      <c r="E39" s="72">
        <v>58</v>
      </c>
      <c r="F39" s="73">
        <v>7.5</v>
      </c>
      <c r="G39" s="130"/>
      <c r="H39" s="130"/>
      <c r="I39" s="124"/>
    </row>
    <row r="40" spans="1:9" ht="14.25" customHeight="1">
      <c r="A40" s="126"/>
      <c r="B40" s="126"/>
      <c r="C40" s="129"/>
      <c r="D40" s="72">
        <v>2019</v>
      </c>
      <c r="E40" s="72">
        <v>33</v>
      </c>
      <c r="F40" s="73">
        <v>3.5</v>
      </c>
      <c r="G40" s="130"/>
      <c r="H40" s="130"/>
      <c r="I40" s="125"/>
    </row>
    <row r="41" spans="1:9" ht="14.25" customHeight="1">
      <c r="A41" s="126"/>
      <c r="B41" s="126">
        <v>15</v>
      </c>
      <c r="C41" s="127">
        <v>14</v>
      </c>
      <c r="D41" s="72">
        <v>2017</v>
      </c>
      <c r="E41" s="72">
        <v>26</v>
      </c>
      <c r="F41" s="73">
        <v>7</v>
      </c>
      <c r="G41" s="130">
        <f>SUM(E41:E43)</f>
        <v>94</v>
      </c>
      <c r="H41" s="130">
        <f>(F41*E41+F42*E42+F43*E43)/G41</f>
        <v>5.9319148936170203</v>
      </c>
      <c r="I41" s="123">
        <f t="shared" ref="I41" si="12">(((PI()*0.00085*H41/100)+(0.00085*H41/100*2))*G41/2)*4</f>
        <v>4.8738185081908351E-2</v>
      </c>
    </row>
    <row r="42" spans="1:9" ht="14.25" customHeight="1">
      <c r="A42" s="126"/>
      <c r="B42" s="126"/>
      <c r="C42" s="128"/>
      <c r="D42" s="72">
        <v>2018</v>
      </c>
      <c r="E42" s="72">
        <v>52</v>
      </c>
      <c r="F42" s="73">
        <v>6.3</v>
      </c>
      <c r="G42" s="130"/>
      <c r="H42" s="130"/>
      <c r="I42" s="124"/>
    </row>
    <row r="43" spans="1:9" ht="14.25" customHeight="1">
      <c r="A43" s="126"/>
      <c r="B43" s="126"/>
      <c r="C43" s="129"/>
      <c r="D43" s="72">
        <v>2019</v>
      </c>
      <c r="E43" s="72">
        <v>16</v>
      </c>
      <c r="F43" s="73">
        <v>3</v>
      </c>
      <c r="G43" s="130"/>
      <c r="H43" s="130"/>
      <c r="I43" s="125"/>
    </row>
  </sheetData>
  <mergeCells count="72">
    <mergeCell ref="I23:I25"/>
    <mergeCell ref="I26:I28"/>
    <mergeCell ref="I2:I4"/>
    <mergeCell ref="I8:I10"/>
    <mergeCell ref="I14:I16"/>
    <mergeCell ref="I20:I22"/>
    <mergeCell ref="I17:I19"/>
    <mergeCell ref="I5:I7"/>
    <mergeCell ref="I11:I13"/>
    <mergeCell ref="I32:I34"/>
    <mergeCell ref="H32:H34"/>
    <mergeCell ref="I29:I31"/>
    <mergeCell ref="I41:I43"/>
    <mergeCell ref="I38:I40"/>
    <mergeCell ref="I35:I37"/>
    <mergeCell ref="A2:A22"/>
    <mergeCell ref="B2:B4"/>
    <mergeCell ref="C2:C4"/>
    <mergeCell ref="G2:G4"/>
    <mergeCell ref="H2:H4"/>
    <mergeCell ref="B5:B7"/>
    <mergeCell ref="C5:C7"/>
    <mergeCell ref="G5:G7"/>
    <mergeCell ref="H5:H7"/>
    <mergeCell ref="B8:B10"/>
    <mergeCell ref="C8:C10"/>
    <mergeCell ref="G8:G10"/>
    <mergeCell ref="H8:H10"/>
    <mergeCell ref="B11:B13"/>
    <mergeCell ref="C11:C13"/>
    <mergeCell ref="G11:G13"/>
    <mergeCell ref="H11:H13"/>
    <mergeCell ref="B14:B16"/>
    <mergeCell ref="C14:C16"/>
    <mergeCell ref="G14:G16"/>
    <mergeCell ref="H14:H16"/>
    <mergeCell ref="B17:B19"/>
    <mergeCell ref="C17:C19"/>
    <mergeCell ref="G17:G19"/>
    <mergeCell ref="H17:H19"/>
    <mergeCell ref="B20:B22"/>
    <mergeCell ref="C20:C22"/>
    <mergeCell ref="G20:G22"/>
    <mergeCell ref="H20:H22"/>
    <mergeCell ref="A23:A43"/>
    <mergeCell ref="B23:B25"/>
    <mergeCell ref="C23:C25"/>
    <mergeCell ref="G23:G25"/>
    <mergeCell ref="H23:H25"/>
    <mergeCell ref="B26:B28"/>
    <mergeCell ref="C26:C28"/>
    <mergeCell ref="G26:G28"/>
    <mergeCell ref="H26:H28"/>
    <mergeCell ref="B29:B31"/>
    <mergeCell ref="C29:C31"/>
    <mergeCell ref="G29:G31"/>
    <mergeCell ref="H29:H31"/>
    <mergeCell ref="B32:B34"/>
    <mergeCell ref="C32:C34"/>
    <mergeCell ref="G32:G34"/>
    <mergeCell ref="B41:B43"/>
    <mergeCell ref="C41:C43"/>
    <mergeCell ref="G41:G43"/>
    <mergeCell ref="H41:H43"/>
    <mergeCell ref="B35:B37"/>
    <mergeCell ref="C35:C37"/>
    <mergeCell ref="G35:G37"/>
    <mergeCell ref="H35:H37"/>
    <mergeCell ref="B38:B40"/>
    <mergeCell ref="C38:C40"/>
    <mergeCell ref="G38:G40"/>
    <mergeCell ref="H38:H40"/>
  </mergeCell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3"/>
  <sheetViews>
    <sheetView topLeftCell="A19" workbookViewId="0">
      <selection activeCell="I5" sqref="I5:I7"/>
    </sheetView>
  </sheetViews>
  <sheetFormatPr defaultColWidth="9" defaultRowHeight="15"/>
  <cols>
    <col min="1" max="6" width="9" style="19"/>
    <col min="7" max="7" width="11" style="19" customWidth="1"/>
    <col min="8" max="8" width="11.85546875" style="19" bestFit="1" customWidth="1"/>
    <col min="9" max="15" width="9" style="19"/>
    <col min="16" max="16" width="24.28515625" style="19" customWidth="1"/>
    <col min="17" max="16384" width="9" style="19"/>
  </cols>
  <sheetData>
    <row r="1" spans="1:19" ht="30">
      <c r="A1" s="8" t="s">
        <v>3</v>
      </c>
      <c r="B1" s="8" t="s">
        <v>0</v>
      </c>
      <c r="C1" s="8" t="s">
        <v>2</v>
      </c>
      <c r="D1" s="8" t="s">
        <v>1</v>
      </c>
      <c r="E1" s="8" t="s">
        <v>7</v>
      </c>
      <c r="F1" s="8" t="s">
        <v>8</v>
      </c>
      <c r="G1" s="10" t="s">
        <v>10</v>
      </c>
      <c r="H1" s="8" t="s">
        <v>9</v>
      </c>
      <c r="I1" s="8" t="s">
        <v>13</v>
      </c>
      <c r="J1" s="8" t="s">
        <v>14</v>
      </c>
      <c r="K1" s="8" t="s">
        <v>15</v>
      </c>
      <c r="L1" s="8" t="s">
        <v>26</v>
      </c>
      <c r="M1" s="8" t="s">
        <v>27</v>
      </c>
      <c r="O1" s="71" t="s">
        <v>62</v>
      </c>
      <c r="P1" s="70" t="s">
        <v>58</v>
      </c>
      <c r="Q1" s="70" t="s">
        <v>60</v>
      </c>
      <c r="R1" s="70" t="s">
        <v>59</v>
      </c>
      <c r="S1" s="70" t="s">
        <v>61</v>
      </c>
    </row>
    <row r="2" spans="1:19">
      <c r="A2" s="126" t="s">
        <v>4</v>
      </c>
      <c r="B2" s="126">
        <v>1</v>
      </c>
      <c r="C2" s="127">
        <v>95</v>
      </c>
      <c r="D2" s="18">
        <v>2017</v>
      </c>
      <c r="E2" s="20">
        <v>0</v>
      </c>
      <c r="F2" s="20"/>
      <c r="G2" s="130">
        <f>SUM(E2:E4)</f>
        <v>123</v>
      </c>
      <c r="H2" s="130">
        <f>(F2*E2+F3*E3+F4*E4)/G2</f>
        <v>7.2902439024390251</v>
      </c>
      <c r="I2" s="123">
        <f>(((PI()*0.00085*H2/100)+(0.00085*H2/100*2))*G2/2)*4</f>
        <v>7.837792425205746E-2</v>
      </c>
      <c r="J2" s="48">
        <f>AVERAGE(I2:I22)</f>
        <v>0.10216888142477727</v>
      </c>
      <c r="K2" s="48">
        <f>AVERAGE(I23:I43)</f>
        <v>5.3470653862919652E-2</v>
      </c>
      <c r="L2" s="6">
        <f>SUM(I2:I29)</f>
        <v>0.86360812421947486</v>
      </c>
      <c r="M2" s="6">
        <f>SUM(I30:I56)</f>
        <v>0.22586862279440353</v>
      </c>
      <c r="N2" t="s">
        <v>66</v>
      </c>
      <c r="O2">
        <v>2017</v>
      </c>
      <c r="P2">
        <f>AVERAGE(E32,E23,E26,E29,E35,E38,E41)</f>
        <v>33.428571428571431</v>
      </c>
      <c r="Q2">
        <f>AVERAGE(F32,F23,F26,F29,F35,F38,F41)</f>
        <v>6.3285714285714283</v>
      </c>
      <c r="R2">
        <f>AVERAGE(E2,E5,E8,E20,E11,E14,E17)</f>
        <v>8.8571428571428577</v>
      </c>
      <c r="S2">
        <f>AVERAGE(F2,F5,F8,F20,F11,F14,F17)</f>
        <v>10.25</v>
      </c>
    </row>
    <row r="3" spans="1:19">
      <c r="A3" s="126"/>
      <c r="B3" s="126"/>
      <c r="C3" s="128"/>
      <c r="D3" s="18">
        <v>2018</v>
      </c>
      <c r="E3" s="20">
        <v>37</v>
      </c>
      <c r="F3" s="20">
        <v>7.5</v>
      </c>
      <c r="G3" s="130"/>
      <c r="H3" s="130"/>
      <c r="I3" s="124"/>
      <c r="J3" s="86">
        <v>4.8394574899832184E-2</v>
      </c>
      <c r="K3" s="86">
        <v>2.4175072573620272E-2</v>
      </c>
      <c r="L3" s="6">
        <v>0.40343575191822811</v>
      </c>
      <c r="M3" s="6">
        <v>0.10455178039593911</v>
      </c>
      <c r="N3" t="s">
        <v>67</v>
      </c>
      <c r="O3" s="59">
        <v>2018</v>
      </c>
      <c r="P3">
        <f>AVERAGE(E33,E42,E39,E36,E30,E27,E24)</f>
        <v>39.428571428571431</v>
      </c>
      <c r="Q3">
        <f>AVERAGE(F33,F42,F39,F36,F30,F27,F24)</f>
        <v>7.2857142857142856</v>
      </c>
      <c r="R3">
        <f>AVERAGE(E3,E6,E15,E21,E9,E12,E18)</f>
        <v>60</v>
      </c>
      <c r="S3">
        <f>AVERAGE(F3,F6,F15,F21,F9,F12,F18)</f>
        <v>9</v>
      </c>
    </row>
    <row r="4" spans="1:19">
      <c r="A4" s="126"/>
      <c r="B4" s="126"/>
      <c r="C4" s="129"/>
      <c r="D4" s="18">
        <v>2019</v>
      </c>
      <c r="E4" s="20">
        <v>86</v>
      </c>
      <c r="F4" s="20">
        <v>7.2</v>
      </c>
      <c r="G4" s="130"/>
      <c r="H4" s="130"/>
      <c r="I4" s="125"/>
      <c r="J4">
        <f>J3/J2</f>
        <v>0.47367235722809697</v>
      </c>
      <c r="K4">
        <f>K3/K2</f>
        <v>0.45211851412172432</v>
      </c>
      <c r="N4" t="s">
        <v>65</v>
      </c>
      <c r="O4">
        <v>2019</v>
      </c>
      <c r="P4">
        <f>AVERAGE(E34,E43,E40,E37,E31,E28,E25)</f>
        <v>38.857142857142854</v>
      </c>
      <c r="Q4">
        <f>AVERAGE(F34,F43,F40,F37,F31,F28,F25)</f>
        <v>2.9857142857142853</v>
      </c>
      <c r="R4">
        <f>AVERAGE(E4,E7,E16,E22,E10,E19,E13)</f>
        <v>82.571428571428569</v>
      </c>
      <c r="S4">
        <f>AVERAGE(F4,F7,F16,F22,F10,F19,F13)</f>
        <v>6.6000000000000005</v>
      </c>
    </row>
    <row r="5" spans="1:19">
      <c r="A5" s="126"/>
      <c r="B5" s="126">
        <v>2</v>
      </c>
      <c r="C5" s="127">
        <v>50</v>
      </c>
      <c r="D5" s="18">
        <v>2017</v>
      </c>
      <c r="E5" s="18">
        <v>0</v>
      </c>
      <c r="F5" s="20"/>
      <c r="G5" s="130">
        <f>SUM(E5:E7)</f>
        <v>168</v>
      </c>
      <c r="H5" s="130">
        <f>(F6*E6+F7*E7)/G5</f>
        <v>7.8095238095238093</v>
      </c>
      <c r="I5" s="123">
        <f t="shared" ref="I5" si="0">(((PI()*0.00085*H5/100)+(0.00085*H5/100*2))*G5/2)*4</f>
        <v>0.11467808254566675</v>
      </c>
      <c r="J5" s="21"/>
      <c r="K5" s="21"/>
    </row>
    <row r="6" spans="1:19">
      <c r="A6" s="126"/>
      <c r="B6" s="126"/>
      <c r="C6" s="128"/>
      <c r="D6" s="18">
        <v>2018</v>
      </c>
      <c r="E6" s="18">
        <v>76</v>
      </c>
      <c r="F6" s="20">
        <v>10</v>
      </c>
      <c r="G6" s="130"/>
      <c r="H6" s="130"/>
      <c r="I6" s="124"/>
      <c r="J6" s="21"/>
      <c r="K6" s="21"/>
    </row>
    <row r="7" spans="1:19">
      <c r="A7" s="126"/>
      <c r="B7" s="126"/>
      <c r="C7" s="129"/>
      <c r="D7" s="18">
        <v>2019</v>
      </c>
      <c r="E7" s="18">
        <v>92</v>
      </c>
      <c r="F7" s="20">
        <v>6</v>
      </c>
      <c r="G7" s="130"/>
      <c r="H7" s="130"/>
      <c r="I7" s="125"/>
      <c r="J7" s="21"/>
      <c r="K7" s="21"/>
    </row>
    <row r="8" spans="1:19">
      <c r="A8" s="126"/>
      <c r="B8" s="126">
        <v>3</v>
      </c>
      <c r="C8" s="127">
        <v>97</v>
      </c>
      <c r="D8" s="18">
        <v>2017</v>
      </c>
      <c r="E8" s="18">
        <v>0</v>
      </c>
      <c r="F8" s="20"/>
      <c r="G8" s="130">
        <f>SUM(E8:E10)</f>
        <v>152</v>
      </c>
      <c r="H8" s="130">
        <f>(F8*E8+F9*E9+F10*E10)/G8</f>
        <v>7.7171052631578947</v>
      </c>
      <c r="I8" s="123">
        <f t="shared" ref="I8" si="1">(((PI()*0.00085*H8/100)+(0.00085*H8/100*2))*G8/2)*4</f>
        <v>0.10252849910523405</v>
      </c>
      <c r="J8" s="21"/>
      <c r="K8" s="21"/>
    </row>
    <row r="9" spans="1:19">
      <c r="A9" s="126"/>
      <c r="B9" s="126"/>
      <c r="C9" s="128"/>
      <c r="D9" s="18">
        <v>2018</v>
      </c>
      <c r="E9" s="18">
        <v>74</v>
      </c>
      <c r="F9" s="20">
        <v>9</v>
      </c>
      <c r="G9" s="130"/>
      <c r="H9" s="130"/>
      <c r="I9" s="124"/>
      <c r="J9" s="21"/>
      <c r="K9" s="21"/>
    </row>
    <row r="10" spans="1:19">
      <c r="A10" s="126"/>
      <c r="B10" s="126"/>
      <c r="C10" s="129"/>
      <c r="D10" s="18">
        <v>2019</v>
      </c>
      <c r="E10" s="18">
        <v>78</v>
      </c>
      <c r="F10" s="20">
        <v>6.5</v>
      </c>
      <c r="G10" s="130"/>
      <c r="H10" s="130"/>
      <c r="I10" s="125"/>
      <c r="J10" s="21"/>
      <c r="K10" s="21"/>
    </row>
    <row r="11" spans="1:19">
      <c r="A11" s="126"/>
      <c r="B11" s="126">
        <v>4</v>
      </c>
      <c r="C11" s="127">
        <v>94</v>
      </c>
      <c r="D11" s="18">
        <v>2017</v>
      </c>
      <c r="E11" s="18">
        <v>0</v>
      </c>
      <c r="F11" s="20"/>
      <c r="G11" s="130">
        <f>SUM(E11:E13)</f>
        <v>118</v>
      </c>
      <c r="H11" s="130">
        <f>(F11*E11+F12*E12+F13*E13)/G11</f>
        <v>7.8050847457627119</v>
      </c>
      <c r="I11" s="123">
        <f t="shared" ref="I11" si="2">(((PI()*0.00085*H11/100)+(0.00085*H11/100*2))*G11/2)*4</f>
        <v>8.0501916177255384E-2</v>
      </c>
      <c r="J11" s="21"/>
      <c r="K11" s="21"/>
    </row>
    <row r="12" spans="1:19">
      <c r="A12" s="126"/>
      <c r="B12" s="126"/>
      <c r="C12" s="128"/>
      <c r="D12" s="18">
        <v>2018</v>
      </c>
      <c r="E12" s="18">
        <v>44</v>
      </c>
      <c r="F12" s="20">
        <v>10</v>
      </c>
      <c r="G12" s="130"/>
      <c r="H12" s="130"/>
      <c r="I12" s="124"/>
      <c r="J12" s="21"/>
      <c r="K12" s="21"/>
    </row>
    <row r="13" spans="1:19">
      <c r="A13" s="126"/>
      <c r="B13" s="126"/>
      <c r="C13" s="129"/>
      <c r="D13" s="18">
        <v>2019</v>
      </c>
      <c r="E13" s="18">
        <v>74</v>
      </c>
      <c r="F13" s="20">
        <v>6.5</v>
      </c>
      <c r="G13" s="130"/>
      <c r="H13" s="130"/>
      <c r="I13" s="125"/>
      <c r="J13" s="21"/>
      <c r="K13" s="21"/>
    </row>
    <row r="14" spans="1:19">
      <c r="A14" s="126"/>
      <c r="B14" s="126">
        <v>5</v>
      </c>
      <c r="C14" s="127">
        <v>55</v>
      </c>
      <c r="D14" s="18">
        <v>2017</v>
      </c>
      <c r="E14" s="20">
        <v>0</v>
      </c>
      <c r="F14" s="20"/>
      <c r="G14" s="130">
        <f>SUM(E14:E16)</f>
        <v>124</v>
      </c>
      <c r="H14" s="130">
        <f>(F14*E14+F15*E15+F16*E16)/G14</f>
        <v>8.1048387096774199</v>
      </c>
      <c r="I14" s="123">
        <f t="shared" ref="I14" si="3">(((PI()*0.00085*H14/100)+(0.00085*H14/100*2))*G14/2)*4</f>
        <v>8.7844110486581611E-2</v>
      </c>
      <c r="J14" s="21"/>
      <c r="K14" s="21"/>
    </row>
    <row r="15" spans="1:19">
      <c r="A15" s="126"/>
      <c r="B15" s="126"/>
      <c r="C15" s="128"/>
      <c r="D15" s="18">
        <v>2018</v>
      </c>
      <c r="E15" s="20">
        <v>30</v>
      </c>
      <c r="F15" s="20">
        <v>10</v>
      </c>
      <c r="G15" s="130"/>
      <c r="H15" s="130"/>
      <c r="I15" s="124"/>
      <c r="J15" s="21"/>
      <c r="K15" s="21"/>
    </row>
    <row r="16" spans="1:19">
      <c r="A16" s="126"/>
      <c r="B16" s="126"/>
      <c r="C16" s="129"/>
      <c r="D16" s="18">
        <v>2019</v>
      </c>
      <c r="E16" s="20">
        <v>94</v>
      </c>
      <c r="F16" s="20">
        <v>7.5</v>
      </c>
      <c r="G16" s="130"/>
      <c r="H16" s="130"/>
      <c r="I16" s="125"/>
      <c r="J16" s="21"/>
      <c r="K16" s="21"/>
    </row>
    <row r="17" spans="1:11">
      <c r="A17" s="126"/>
      <c r="B17" s="126">
        <v>6</v>
      </c>
      <c r="C17" s="127">
        <v>55</v>
      </c>
      <c r="D17" s="18">
        <v>2017</v>
      </c>
      <c r="E17" s="18">
        <v>40</v>
      </c>
      <c r="F17" s="20">
        <v>11</v>
      </c>
      <c r="G17" s="130">
        <f>SUM(E17:E19)</f>
        <v>180</v>
      </c>
      <c r="H17" s="130">
        <f>(F17*E17+F18*E18+F19*E19)/G17</f>
        <v>7.9611111111111112</v>
      </c>
      <c r="I17" s="123">
        <f t="shared" ref="I17" si="4">(((PI()*0.00085*H17/100)+(0.00085*H17/100*2))*G17/2)*4</f>
        <v>0.12525433863410096</v>
      </c>
      <c r="J17" s="21"/>
      <c r="K17" s="21"/>
    </row>
    <row r="18" spans="1:11">
      <c r="A18" s="126"/>
      <c r="B18" s="126"/>
      <c r="C18" s="128"/>
      <c r="D18" s="18">
        <v>2018</v>
      </c>
      <c r="E18" s="18">
        <v>51</v>
      </c>
      <c r="F18" s="20">
        <v>9</v>
      </c>
      <c r="G18" s="130"/>
      <c r="H18" s="130"/>
      <c r="I18" s="124"/>
      <c r="J18" s="21"/>
      <c r="K18" s="21"/>
    </row>
    <row r="19" spans="1:11">
      <c r="A19" s="126"/>
      <c r="B19" s="126"/>
      <c r="C19" s="129"/>
      <c r="D19" s="18">
        <v>2019</v>
      </c>
      <c r="E19" s="18">
        <v>89</v>
      </c>
      <c r="F19" s="20">
        <v>6</v>
      </c>
      <c r="G19" s="130"/>
      <c r="H19" s="130"/>
      <c r="I19" s="125"/>
      <c r="J19" s="21"/>
      <c r="K19" s="21"/>
    </row>
    <row r="20" spans="1:11">
      <c r="A20" s="126"/>
      <c r="B20" s="126">
        <v>7</v>
      </c>
      <c r="C20" s="127">
        <v>58</v>
      </c>
      <c r="D20" s="18">
        <v>2017</v>
      </c>
      <c r="E20" s="20">
        <v>22</v>
      </c>
      <c r="F20" s="20">
        <v>9.5</v>
      </c>
      <c r="G20" s="130">
        <f>SUM(E20:E22)</f>
        <v>195</v>
      </c>
      <c r="H20" s="130">
        <f>(F20*E20+F21*E21+F22*E22)/G20</f>
        <v>7.3923076923076927</v>
      </c>
      <c r="I20" s="123">
        <f t="shared" ref="I20" si="5">(((PI()*0.00085*H20/100)+(0.00085*H20/100*2))*G20/2)*4</f>
        <v>0.12599729877254467</v>
      </c>
      <c r="J20" s="21"/>
      <c r="K20" s="21"/>
    </row>
    <row r="21" spans="1:11">
      <c r="A21" s="126"/>
      <c r="B21" s="126"/>
      <c r="C21" s="128"/>
      <c r="D21" s="18">
        <v>2018</v>
      </c>
      <c r="E21" s="18">
        <v>108</v>
      </c>
      <c r="F21" s="20">
        <v>7.5</v>
      </c>
      <c r="G21" s="130"/>
      <c r="H21" s="130"/>
      <c r="I21" s="124"/>
      <c r="J21" s="21"/>
      <c r="K21" s="21"/>
    </row>
    <row r="22" spans="1:11">
      <c r="A22" s="126"/>
      <c r="B22" s="126"/>
      <c r="C22" s="129"/>
      <c r="D22" s="18">
        <v>2019</v>
      </c>
      <c r="E22" s="18">
        <v>65</v>
      </c>
      <c r="F22" s="20">
        <v>6.5</v>
      </c>
      <c r="G22" s="130"/>
      <c r="H22" s="130"/>
      <c r="I22" s="125"/>
      <c r="J22" s="21"/>
      <c r="K22" s="21"/>
    </row>
    <row r="23" spans="1:11">
      <c r="A23" s="126" t="s">
        <v>6</v>
      </c>
      <c r="B23" s="126">
        <v>9</v>
      </c>
      <c r="C23" s="127">
        <v>14</v>
      </c>
      <c r="D23" s="18">
        <v>2017</v>
      </c>
      <c r="E23" s="18">
        <v>34</v>
      </c>
      <c r="F23" s="20">
        <v>7</v>
      </c>
      <c r="G23" s="130">
        <f>SUM(E23:E25)</f>
        <v>131</v>
      </c>
      <c r="H23" s="130">
        <f>(F23*E23+F24*E24+F25*E25)/G23</f>
        <v>4.4618320610687023</v>
      </c>
      <c r="I23" s="123">
        <f t="shared" ref="I23" si="6">(((PI()*0.00085*H23/100)+(0.00085*H23/100*2))*G23/2)*4</f>
        <v>5.1089435402394974E-2</v>
      </c>
      <c r="J23" s="21"/>
      <c r="K23" s="21"/>
    </row>
    <row r="24" spans="1:11">
      <c r="A24" s="126"/>
      <c r="B24" s="126"/>
      <c r="C24" s="128"/>
      <c r="D24" s="18">
        <v>2018</v>
      </c>
      <c r="E24" s="18">
        <v>26</v>
      </c>
      <c r="F24" s="20">
        <v>6.5</v>
      </c>
      <c r="G24" s="130"/>
      <c r="H24" s="130"/>
      <c r="I24" s="124"/>
      <c r="J24" s="21"/>
      <c r="K24" s="21"/>
    </row>
    <row r="25" spans="1:11">
      <c r="A25" s="126"/>
      <c r="B25" s="126"/>
      <c r="C25" s="129"/>
      <c r="D25" s="18">
        <v>2019</v>
      </c>
      <c r="E25" s="18">
        <v>71</v>
      </c>
      <c r="F25" s="20">
        <v>2.5</v>
      </c>
      <c r="G25" s="130"/>
      <c r="H25" s="130"/>
      <c r="I25" s="125"/>
      <c r="J25" s="21"/>
      <c r="K25" s="21"/>
    </row>
    <row r="26" spans="1:11">
      <c r="A26" s="126"/>
      <c r="B26" s="126">
        <v>10</v>
      </c>
      <c r="C26" s="127">
        <v>13</v>
      </c>
      <c r="D26" s="18">
        <v>2017</v>
      </c>
      <c r="E26" s="18">
        <v>42</v>
      </c>
      <c r="F26" s="20">
        <v>6</v>
      </c>
      <c r="G26" s="130">
        <f>SUM(E26:E28)</f>
        <v>118</v>
      </c>
      <c r="H26" s="130">
        <f>(F26*E26+F27*E27+F28*E28)/G26</f>
        <v>5.4576271186440675</v>
      </c>
      <c r="I26" s="123">
        <f t="shared" ref="I26" si="7">(((PI()*0.00085*H26/100)+(0.00085*H26/100*2))*G26/2)*4</f>
        <v>5.6290156371501046E-2</v>
      </c>
      <c r="J26" s="21"/>
      <c r="K26" s="21"/>
    </row>
    <row r="27" spans="1:11">
      <c r="A27" s="126"/>
      <c r="B27" s="126"/>
      <c r="C27" s="128"/>
      <c r="D27" s="18">
        <v>2018</v>
      </c>
      <c r="E27" s="18">
        <v>36</v>
      </c>
      <c r="F27" s="20">
        <v>7</v>
      </c>
      <c r="G27" s="130"/>
      <c r="H27" s="130"/>
      <c r="I27" s="124"/>
      <c r="J27" s="21"/>
      <c r="K27" s="21"/>
    </row>
    <row r="28" spans="1:11">
      <c r="A28" s="126"/>
      <c r="B28" s="126"/>
      <c r="C28" s="129"/>
      <c r="D28" s="18">
        <v>2019</v>
      </c>
      <c r="E28" s="18">
        <v>40</v>
      </c>
      <c r="F28" s="20">
        <v>3.5</v>
      </c>
      <c r="G28" s="130"/>
      <c r="H28" s="130"/>
      <c r="I28" s="125"/>
      <c r="J28" s="21"/>
      <c r="K28" s="21"/>
    </row>
    <row r="29" spans="1:11">
      <c r="A29" s="126"/>
      <c r="B29" s="126">
        <v>11</v>
      </c>
      <c r="C29" s="127">
        <v>17</v>
      </c>
      <c r="D29" s="18">
        <v>2017</v>
      </c>
      <c r="E29" s="18">
        <v>22</v>
      </c>
      <c r="F29" s="20">
        <v>6.3</v>
      </c>
      <c r="G29" s="130">
        <f>SUM(E29:E31)</f>
        <v>93</v>
      </c>
      <c r="H29" s="130">
        <f>(F29*E29+F30*E30+F31*E31)/G29</f>
        <v>5.0494623655913982</v>
      </c>
      <c r="I29" s="123">
        <f t="shared" ref="I29" si="8">(((PI()*0.00085*H29/100)+(0.00085*H29/100*2))*G29/2)*4</f>
        <v>4.104636247213804E-2</v>
      </c>
      <c r="J29" s="21"/>
      <c r="K29" s="21"/>
    </row>
    <row r="30" spans="1:11">
      <c r="A30" s="126"/>
      <c r="B30" s="126"/>
      <c r="C30" s="128"/>
      <c r="D30" s="18">
        <v>2018</v>
      </c>
      <c r="E30" s="18">
        <v>46</v>
      </c>
      <c r="F30" s="20">
        <v>6</v>
      </c>
      <c r="G30" s="130"/>
      <c r="H30" s="130"/>
      <c r="I30" s="124"/>
      <c r="J30" s="21"/>
      <c r="K30" s="21"/>
    </row>
    <row r="31" spans="1:11">
      <c r="A31" s="126"/>
      <c r="B31" s="126"/>
      <c r="C31" s="129"/>
      <c r="D31" s="18">
        <v>2019</v>
      </c>
      <c r="E31" s="18">
        <v>25</v>
      </c>
      <c r="F31" s="20">
        <v>2.2000000000000002</v>
      </c>
      <c r="G31" s="130"/>
      <c r="H31" s="130"/>
      <c r="I31" s="125"/>
      <c r="J31" s="21"/>
      <c r="K31" s="21"/>
    </row>
    <row r="32" spans="1:11">
      <c r="A32" s="126"/>
      <c r="B32" s="126">
        <v>12</v>
      </c>
      <c r="C32" s="127">
        <v>80</v>
      </c>
      <c r="D32" s="18">
        <v>2017</v>
      </c>
      <c r="E32" s="18">
        <v>40</v>
      </c>
      <c r="F32" s="20">
        <v>6</v>
      </c>
      <c r="G32" s="130">
        <f>SUM(E32:E34)</f>
        <v>109</v>
      </c>
      <c r="H32" s="130">
        <f>(F32*E32+F33*E33+F34*E34)/G32</f>
        <v>6.2339449541284404</v>
      </c>
      <c r="I32" s="123">
        <f t="shared" ref="I32" si="9">(((PI()*0.00085*H32/100)+(0.00085*H32/100*2))*G32/2)*4</f>
        <v>5.939310753794249E-2</v>
      </c>
      <c r="J32" s="21"/>
      <c r="K32" s="21"/>
    </row>
    <row r="33" spans="1:11">
      <c r="A33" s="126"/>
      <c r="B33" s="126"/>
      <c r="C33" s="128"/>
      <c r="D33" s="18">
        <v>2018</v>
      </c>
      <c r="E33" s="18">
        <v>36</v>
      </c>
      <c r="F33" s="20">
        <v>9</v>
      </c>
      <c r="G33" s="130"/>
      <c r="H33" s="130"/>
      <c r="I33" s="124"/>
      <c r="J33" s="21"/>
      <c r="K33" s="21"/>
    </row>
    <row r="34" spans="1:11">
      <c r="A34" s="126"/>
      <c r="B34" s="126"/>
      <c r="C34" s="129"/>
      <c r="D34" s="18">
        <v>2019</v>
      </c>
      <c r="E34" s="18">
        <v>33</v>
      </c>
      <c r="F34" s="20">
        <v>3.5</v>
      </c>
      <c r="G34" s="130"/>
      <c r="H34" s="130"/>
      <c r="I34" s="125"/>
      <c r="J34" s="21"/>
      <c r="K34" s="21"/>
    </row>
    <row r="35" spans="1:11">
      <c r="A35" s="126"/>
      <c r="B35" s="126">
        <v>13</v>
      </c>
      <c r="C35" s="127">
        <v>18</v>
      </c>
      <c r="D35" s="18">
        <v>2017</v>
      </c>
      <c r="E35" s="20">
        <v>24</v>
      </c>
      <c r="F35" s="20">
        <v>6</v>
      </c>
      <c r="G35" s="130">
        <f>SUM(E35:E37)</f>
        <v>107</v>
      </c>
      <c r="H35" s="130">
        <f>(F35*E35+F36*E36+F37*E37)/G35</f>
        <v>5.6401869158878508</v>
      </c>
      <c r="I35" s="123">
        <f t="shared" ref="I35" si="10">(((PI()*0.00085*H35/100)+(0.00085*H35/100*2))*G35/2)*4</f>
        <v>5.2750169829504485E-2</v>
      </c>
      <c r="J35" s="21"/>
      <c r="K35" s="21"/>
    </row>
    <row r="36" spans="1:11">
      <c r="A36" s="126"/>
      <c r="B36" s="126"/>
      <c r="C36" s="128"/>
      <c r="D36" s="18">
        <v>2018</v>
      </c>
      <c r="E36" s="18">
        <v>56</v>
      </c>
      <c r="F36" s="20">
        <v>7</v>
      </c>
      <c r="G36" s="130"/>
      <c r="H36" s="130"/>
      <c r="I36" s="124"/>
      <c r="J36" s="21"/>
      <c r="K36" s="21"/>
    </row>
    <row r="37" spans="1:11">
      <c r="A37" s="126"/>
      <c r="B37" s="126"/>
      <c r="C37" s="129"/>
      <c r="D37" s="18">
        <v>2019</v>
      </c>
      <c r="E37" s="18">
        <v>27</v>
      </c>
      <c r="F37" s="20">
        <v>2.5</v>
      </c>
      <c r="G37" s="130"/>
      <c r="H37" s="130"/>
      <c r="I37" s="125"/>
      <c r="J37" s="21"/>
      <c r="K37" s="21"/>
    </row>
    <row r="38" spans="1:11">
      <c r="A38" s="126"/>
      <c r="B38" s="126">
        <v>14</v>
      </c>
      <c r="C38" s="127">
        <v>80</v>
      </c>
      <c r="D38" s="18">
        <v>2017</v>
      </c>
      <c r="E38" s="18">
        <v>40</v>
      </c>
      <c r="F38" s="20">
        <v>6</v>
      </c>
      <c r="G38" s="130">
        <f>SUM(E38:E40)</f>
        <v>109</v>
      </c>
      <c r="H38" s="130">
        <f>(F38*E38+F39*E39+F40*E40)/G38</f>
        <v>6.2339449541284404</v>
      </c>
      <c r="I38" s="123">
        <f t="shared" ref="I38" si="11">(((PI()*0.00085*H38/100)+(0.00085*H38/100*2))*G38/2)*4</f>
        <v>5.939310753794249E-2</v>
      </c>
      <c r="J38" s="21"/>
      <c r="K38" s="21"/>
    </row>
    <row r="39" spans="1:11">
      <c r="A39" s="126"/>
      <c r="B39" s="126"/>
      <c r="C39" s="128"/>
      <c r="D39" s="18">
        <v>2018</v>
      </c>
      <c r="E39" s="18">
        <v>36</v>
      </c>
      <c r="F39" s="20">
        <v>9</v>
      </c>
      <c r="G39" s="130"/>
      <c r="H39" s="130"/>
      <c r="I39" s="124"/>
      <c r="J39" s="21"/>
      <c r="K39" s="21"/>
    </row>
    <row r="40" spans="1:11">
      <c r="A40" s="126"/>
      <c r="B40" s="126"/>
      <c r="C40" s="129"/>
      <c r="D40" s="18">
        <v>2019</v>
      </c>
      <c r="E40" s="18">
        <v>33</v>
      </c>
      <c r="F40" s="20">
        <v>3.5</v>
      </c>
      <c r="G40" s="130"/>
      <c r="H40" s="130"/>
      <c r="I40" s="125"/>
      <c r="J40" s="21"/>
      <c r="K40" s="21"/>
    </row>
    <row r="41" spans="1:11">
      <c r="A41" s="126"/>
      <c r="B41" s="126">
        <v>15</v>
      </c>
      <c r="C41" s="127">
        <v>14</v>
      </c>
      <c r="D41" s="18">
        <v>2017</v>
      </c>
      <c r="E41" s="18">
        <v>32</v>
      </c>
      <c r="F41" s="20">
        <v>7</v>
      </c>
      <c r="G41" s="130">
        <f>SUM(E41:E43)</f>
        <v>115</v>
      </c>
      <c r="H41" s="130">
        <f>(F41*E41+F42*E42+F43*E43)/G41</f>
        <v>5.4052173913043484</v>
      </c>
      <c r="I41" s="123">
        <f t="shared" ref="I41" si="12">(((PI()*0.00085*H41/100)+(0.00085*H41/100*2))*G41/2)*4</f>
        <v>5.4332237889014062E-2</v>
      </c>
      <c r="J41" s="21"/>
      <c r="K41" s="21"/>
    </row>
    <row r="42" spans="1:11">
      <c r="A42" s="126"/>
      <c r="B42" s="126"/>
      <c r="C42" s="128"/>
      <c r="D42" s="18">
        <v>2018</v>
      </c>
      <c r="E42" s="18">
        <v>40</v>
      </c>
      <c r="F42" s="20">
        <v>6.5</v>
      </c>
      <c r="G42" s="130"/>
      <c r="H42" s="130"/>
      <c r="I42" s="124"/>
      <c r="J42" s="21"/>
      <c r="K42" s="21"/>
    </row>
    <row r="43" spans="1:11">
      <c r="A43" s="126"/>
      <c r="B43" s="126"/>
      <c r="C43" s="129"/>
      <c r="D43" s="18">
        <v>2019</v>
      </c>
      <c r="E43" s="18">
        <v>43</v>
      </c>
      <c r="F43" s="20">
        <v>3.2</v>
      </c>
      <c r="G43" s="130"/>
      <c r="H43" s="130"/>
      <c r="I43" s="125"/>
      <c r="J43" s="21"/>
      <c r="K43" s="21"/>
    </row>
  </sheetData>
  <mergeCells count="72">
    <mergeCell ref="I41:I43"/>
    <mergeCell ref="B38:B40"/>
    <mergeCell ref="C38:C40"/>
    <mergeCell ref="G38:G40"/>
    <mergeCell ref="H38:H40"/>
    <mergeCell ref="I38:I40"/>
    <mergeCell ref="I29:I31"/>
    <mergeCell ref="B35:B37"/>
    <mergeCell ref="C35:C37"/>
    <mergeCell ref="G35:G37"/>
    <mergeCell ref="H35:H37"/>
    <mergeCell ref="I35:I37"/>
    <mergeCell ref="B32:B34"/>
    <mergeCell ref="C32:C34"/>
    <mergeCell ref="G32:G34"/>
    <mergeCell ref="H32:H34"/>
    <mergeCell ref="I32:I34"/>
    <mergeCell ref="A23:A43"/>
    <mergeCell ref="B23:B25"/>
    <mergeCell ref="C23:C25"/>
    <mergeCell ref="G23:G25"/>
    <mergeCell ref="H23:H25"/>
    <mergeCell ref="B29:B31"/>
    <mergeCell ref="C29:C31"/>
    <mergeCell ref="G29:G31"/>
    <mergeCell ref="H29:H31"/>
    <mergeCell ref="B41:B43"/>
    <mergeCell ref="C41:C43"/>
    <mergeCell ref="G41:G43"/>
    <mergeCell ref="H41:H43"/>
    <mergeCell ref="I23:I25"/>
    <mergeCell ref="B26:B28"/>
    <mergeCell ref="C26:C28"/>
    <mergeCell ref="G26:G28"/>
    <mergeCell ref="H26:H28"/>
    <mergeCell ref="I26:I28"/>
    <mergeCell ref="I20:I22"/>
    <mergeCell ref="B17:B19"/>
    <mergeCell ref="C17:C19"/>
    <mergeCell ref="G17:G19"/>
    <mergeCell ref="H17:H19"/>
    <mergeCell ref="I17:I19"/>
    <mergeCell ref="I8:I10"/>
    <mergeCell ref="B14:B16"/>
    <mergeCell ref="C14:C16"/>
    <mergeCell ref="G14:G16"/>
    <mergeCell ref="H14:H16"/>
    <mergeCell ref="I14:I16"/>
    <mergeCell ref="B11:B13"/>
    <mergeCell ref="C11:C13"/>
    <mergeCell ref="G11:G13"/>
    <mergeCell ref="H11:H13"/>
    <mergeCell ref="I11:I13"/>
    <mergeCell ref="A2:A22"/>
    <mergeCell ref="B2:B4"/>
    <mergeCell ref="C2:C4"/>
    <mergeCell ref="G2:G4"/>
    <mergeCell ref="H2:H4"/>
    <mergeCell ref="B8:B10"/>
    <mergeCell ref="C8:C10"/>
    <mergeCell ref="G8:G10"/>
    <mergeCell ref="H8:H10"/>
    <mergeCell ref="B20:B22"/>
    <mergeCell ref="C20:C22"/>
    <mergeCell ref="G20:G22"/>
    <mergeCell ref="H20:H22"/>
    <mergeCell ref="I2:I4"/>
    <mergeCell ref="B5:B7"/>
    <mergeCell ref="C5:C7"/>
    <mergeCell ref="G5:G7"/>
    <mergeCell ref="H5:H7"/>
    <mergeCell ref="I5:I7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opLeftCell="A16" workbookViewId="0">
      <selection activeCell="G41" sqref="G41:G43"/>
    </sheetView>
  </sheetViews>
  <sheetFormatPr defaultRowHeight="15"/>
  <sheetData>
    <row r="1" spans="1:11" ht="30">
      <c r="A1" s="8" t="s">
        <v>3</v>
      </c>
      <c r="B1" s="8" t="s">
        <v>0</v>
      </c>
      <c r="C1" s="8" t="s">
        <v>2</v>
      </c>
      <c r="D1" s="8" t="s">
        <v>1</v>
      </c>
      <c r="E1" s="8" t="s">
        <v>7</v>
      </c>
      <c r="F1" s="8" t="s">
        <v>8</v>
      </c>
      <c r="G1" s="10" t="s">
        <v>10</v>
      </c>
      <c r="H1" s="8" t="s">
        <v>9</v>
      </c>
      <c r="I1" s="8" t="s">
        <v>13</v>
      </c>
      <c r="J1" s="10" t="s">
        <v>14</v>
      </c>
      <c r="K1" s="10" t="s">
        <v>15</v>
      </c>
    </row>
    <row r="2" spans="1:11">
      <c r="A2" s="126" t="s">
        <v>4</v>
      </c>
      <c r="B2" s="126">
        <v>1</v>
      </c>
      <c r="C2" s="127">
        <v>95</v>
      </c>
      <c r="D2" s="22">
        <v>2017</v>
      </c>
      <c r="E2" s="23"/>
      <c r="F2" s="23"/>
      <c r="G2" s="130"/>
      <c r="H2" s="130"/>
      <c r="I2" s="131"/>
      <c r="J2" s="21" t="e">
        <f>AVERAGE(I2:I22)*4</f>
        <v>#DIV/0!</v>
      </c>
      <c r="K2" s="21" t="e">
        <f>AVERAGE(I23:I43)*4</f>
        <v>#DIV/0!</v>
      </c>
    </row>
    <row r="3" spans="1:11">
      <c r="A3" s="126"/>
      <c r="B3" s="126"/>
      <c r="C3" s="128"/>
      <c r="D3" s="22">
        <v>2018</v>
      </c>
      <c r="E3" s="23"/>
      <c r="F3" s="23"/>
      <c r="G3" s="130"/>
      <c r="H3" s="130"/>
      <c r="I3" s="132"/>
      <c r="J3" s="21"/>
      <c r="K3" s="21"/>
    </row>
    <row r="4" spans="1:11">
      <c r="A4" s="126"/>
      <c r="B4" s="126"/>
      <c r="C4" s="129"/>
      <c r="D4" s="22">
        <v>2019</v>
      </c>
      <c r="E4" s="23"/>
      <c r="F4" s="23"/>
      <c r="G4" s="130"/>
      <c r="H4" s="130"/>
      <c r="I4" s="133"/>
      <c r="J4" s="21"/>
      <c r="K4" s="21"/>
    </row>
    <row r="5" spans="1:11">
      <c r="A5" s="126"/>
      <c r="B5" s="126">
        <v>2</v>
      </c>
      <c r="C5" s="127">
        <v>50</v>
      </c>
      <c r="D5" s="22">
        <v>2017</v>
      </c>
      <c r="E5" s="22"/>
      <c r="F5" s="23"/>
      <c r="G5" s="130"/>
      <c r="H5" s="130"/>
      <c r="I5" s="131"/>
      <c r="J5" s="21"/>
      <c r="K5" s="21"/>
    </row>
    <row r="6" spans="1:11">
      <c r="A6" s="126"/>
      <c r="B6" s="126"/>
      <c r="C6" s="128"/>
      <c r="D6" s="22">
        <v>2018</v>
      </c>
      <c r="E6" s="22"/>
      <c r="F6" s="23"/>
      <c r="G6" s="130"/>
      <c r="H6" s="130"/>
      <c r="I6" s="132"/>
      <c r="J6" s="21"/>
      <c r="K6" s="21"/>
    </row>
    <row r="7" spans="1:11">
      <c r="A7" s="126"/>
      <c r="B7" s="126"/>
      <c r="C7" s="129"/>
      <c r="D7" s="22">
        <v>2019</v>
      </c>
      <c r="E7" s="22"/>
      <c r="F7" s="23"/>
      <c r="G7" s="130"/>
      <c r="H7" s="130"/>
      <c r="I7" s="133"/>
      <c r="J7" s="21"/>
      <c r="K7" s="21"/>
    </row>
    <row r="8" spans="1:11">
      <c r="A8" s="126"/>
      <c r="B8" s="126">
        <v>3</v>
      </c>
      <c r="C8" s="127">
        <v>97</v>
      </c>
      <c r="D8" s="22">
        <v>2017</v>
      </c>
      <c r="E8" s="22"/>
      <c r="F8" s="23"/>
      <c r="G8" s="130"/>
      <c r="H8" s="130"/>
      <c r="I8" s="131"/>
      <c r="J8" s="21"/>
      <c r="K8" s="21"/>
    </row>
    <row r="9" spans="1:11">
      <c r="A9" s="126"/>
      <c r="B9" s="126"/>
      <c r="C9" s="128"/>
      <c r="D9" s="22">
        <v>2018</v>
      </c>
      <c r="E9" s="22"/>
      <c r="F9" s="23"/>
      <c r="G9" s="130"/>
      <c r="H9" s="130"/>
      <c r="I9" s="132"/>
      <c r="J9" s="21"/>
      <c r="K9" s="21"/>
    </row>
    <row r="10" spans="1:11">
      <c r="A10" s="126"/>
      <c r="B10" s="126"/>
      <c r="C10" s="129"/>
      <c r="D10" s="22">
        <v>2019</v>
      </c>
      <c r="E10" s="22"/>
      <c r="F10" s="23"/>
      <c r="G10" s="130"/>
      <c r="H10" s="130"/>
      <c r="I10" s="133"/>
      <c r="J10" s="21"/>
      <c r="K10" s="21"/>
    </row>
    <row r="11" spans="1:11">
      <c r="A11" s="126"/>
      <c r="B11" s="126">
        <v>4</v>
      </c>
      <c r="C11" s="127">
        <v>94</v>
      </c>
      <c r="D11" s="22">
        <v>2017</v>
      </c>
      <c r="E11" s="22"/>
      <c r="F11" s="23"/>
      <c r="G11" s="130"/>
      <c r="H11" s="130"/>
      <c r="I11" s="131"/>
      <c r="J11" s="21"/>
      <c r="K11" s="21"/>
    </row>
    <row r="12" spans="1:11">
      <c r="A12" s="126"/>
      <c r="B12" s="126"/>
      <c r="C12" s="128"/>
      <c r="D12" s="22">
        <v>2018</v>
      </c>
      <c r="E12" s="22"/>
      <c r="F12" s="23"/>
      <c r="G12" s="130"/>
      <c r="H12" s="130"/>
      <c r="I12" s="132"/>
      <c r="J12" s="21"/>
      <c r="K12" s="21"/>
    </row>
    <row r="13" spans="1:11">
      <c r="A13" s="126"/>
      <c r="B13" s="126"/>
      <c r="C13" s="129"/>
      <c r="D13" s="22">
        <v>2019</v>
      </c>
      <c r="E13" s="22"/>
      <c r="F13" s="23"/>
      <c r="G13" s="130"/>
      <c r="H13" s="130"/>
      <c r="I13" s="133"/>
      <c r="J13" s="21"/>
      <c r="K13" s="21"/>
    </row>
    <row r="14" spans="1:11">
      <c r="A14" s="126"/>
      <c r="B14" s="126">
        <v>5</v>
      </c>
      <c r="C14" s="127">
        <v>55</v>
      </c>
      <c r="D14" s="22">
        <v>2017</v>
      </c>
      <c r="E14" s="23"/>
      <c r="F14" s="23"/>
      <c r="G14" s="130"/>
      <c r="H14" s="130"/>
      <c r="I14" s="131"/>
      <c r="J14" s="21"/>
      <c r="K14" s="21"/>
    </row>
    <row r="15" spans="1:11">
      <c r="A15" s="126"/>
      <c r="B15" s="126"/>
      <c r="C15" s="128"/>
      <c r="D15" s="22">
        <v>2018</v>
      </c>
      <c r="E15" s="23"/>
      <c r="F15" s="23"/>
      <c r="G15" s="130"/>
      <c r="H15" s="130"/>
      <c r="I15" s="132"/>
      <c r="J15" s="21"/>
      <c r="K15" s="21"/>
    </row>
    <row r="16" spans="1:11">
      <c r="A16" s="126"/>
      <c r="B16" s="126"/>
      <c r="C16" s="129"/>
      <c r="D16" s="22">
        <v>2019</v>
      </c>
      <c r="E16" s="23"/>
      <c r="F16" s="23"/>
      <c r="G16" s="130"/>
      <c r="H16" s="130"/>
      <c r="I16" s="133"/>
      <c r="J16" s="21"/>
      <c r="K16" s="21"/>
    </row>
    <row r="17" spans="1:11">
      <c r="A17" s="126"/>
      <c r="B17" s="126">
        <v>6</v>
      </c>
      <c r="C17" s="127">
        <v>55</v>
      </c>
      <c r="D17" s="22">
        <v>2017</v>
      </c>
      <c r="E17" s="22"/>
      <c r="F17" s="23"/>
      <c r="G17" s="130"/>
      <c r="H17" s="130"/>
      <c r="I17" s="131"/>
      <c r="J17" s="21"/>
      <c r="K17" s="21"/>
    </row>
    <row r="18" spans="1:11">
      <c r="A18" s="126"/>
      <c r="B18" s="126"/>
      <c r="C18" s="128"/>
      <c r="D18" s="22">
        <v>2018</v>
      </c>
      <c r="E18" s="22"/>
      <c r="F18" s="23"/>
      <c r="G18" s="130"/>
      <c r="H18" s="130"/>
      <c r="I18" s="132"/>
      <c r="J18" s="21"/>
      <c r="K18" s="21"/>
    </row>
    <row r="19" spans="1:11">
      <c r="A19" s="126"/>
      <c r="B19" s="126"/>
      <c r="C19" s="129"/>
      <c r="D19" s="22">
        <v>2019</v>
      </c>
      <c r="E19" s="22"/>
      <c r="F19" s="23"/>
      <c r="G19" s="130"/>
      <c r="H19" s="130"/>
      <c r="I19" s="133"/>
      <c r="J19" s="21"/>
      <c r="K19" s="21"/>
    </row>
    <row r="20" spans="1:11">
      <c r="A20" s="126"/>
      <c r="B20" s="126">
        <v>7</v>
      </c>
      <c r="C20" s="127">
        <v>58</v>
      </c>
      <c r="D20" s="22">
        <v>2017</v>
      </c>
      <c r="E20" s="23"/>
      <c r="F20" s="23"/>
      <c r="G20" s="130"/>
      <c r="H20" s="130"/>
      <c r="I20" s="131"/>
      <c r="J20" s="21"/>
      <c r="K20" s="21"/>
    </row>
    <row r="21" spans="1:11">
      <c r="A21" s="126"/>
      <c r="B21" s="126"/>
      <c r="C21" s="128"/>
      <c r="D21" s="22">
        <v>2018</v>
      </c>
      <c r="E21" s="22"/>
      <c r="F21" s="23"/>
      <c r="G21" s="130"/>
      <c r="H21" s="130"/>
      <c r="I21" s="132"/>
      <c r="J21" s="21"/>
      <c r="K21" s="21"/>
    </row>
    <row r="22" spans="1:11">
      <c r="A22" s="126"/>
      <c r="B22" s="126"/>
      <c r="C22" s="129"/>
      <c r="D22" s="22">
        <v>2019</v>
      </c>
      <c r="E22" s="22"/>
      <c r="F22" s="23"/>
      <c r="G22" s="130"/>
      <c r="H22" s="130"/>
      <c r="I22" s="133"/>
      <c r="J22" s="21"/>
      <c r="K22" s="21"/>
    </row>
    <row r="23" spans="1:11">
      <c r="A23" s="126" t="s">
        <v>6</v>
      </c>
      <c r="B23" s="126">
        <v>9</v>
      </c>
      <c r="C23" s="127">
        <v>14</v>
      </c>
      <c r="D23" s="22">
        <v>2017</v>
      </c>
      <c r="E23" s="22"/>
      <c r="F23" s="23"/>
      <c r="G23" s="130"/>
      <c r="H23" s="130"/>
      <c r="I23" s="131"/>
      <c r="J23" s="21"/>
      <c r="K23" s="21"/>
    </row>
    <row r="24" spans="1:11">
      <c r="A24" s="126"/>
      <c r="B24" s="126"/>
      <c r="C24" s="128"/>
      <c r="D24" s="22">
        <v>2018</v>
      </c>
      <c r="E24" s="22"/>
      <c r="F24" s="23"/>
      <c r="G24" s="130"/>
      <c r="H24" s="130"/>
      <c r="I24" s="132"/>
      <c r="J24" s="21"/>
      <c r="K24" s="21"/>
    </row>
    <row r="25" spans="1:11">
      <c r="A25" s="126"/>
      <c r="B25" s="126"/>
      <c r="C25" s="129"/>
      <c r="D25" s="22">
        <v>2019</v>
      </c>
      <c r="E25" s="22"/>
      <c r="F25" s="23"/>
      <c r="G25" s="130"/>
      <c r="H25" s="130"/>
      <c r="I25" s="133"/>
      <c r="J25" s="21"/>
      <c r="K25" s="21"/>
    </row>
    <row r="26" spans="1:11">
      <c r="A26" s="126"/>
      <c r="B26" s="126">
        <v>10</v>
      </c>
      <c r="C26" s="127">
        <v>13</v>
      </c>
      <c r="D26" s="22">
        <v>2017</v>
      </c>
      <c r="E26" s="22"/>
      <c r="F26" s="23"/>
      <c r="G26" s="130"/>
      <c r="H26" s="130"/>
      <c r="I26" s="131"/>
      <c r="J26" s="21"/>
      <c r="K26" s="21"/>
    </row>
    <row r="27" spans="1:11">
      <c r="A27" s="126"/>
      <c r="B27" s="126"/>
      <c r="C27" s="128"/>
      <c r="D27" s="22">
        <v>2018</v>
      </c>
      <c r="E27" s="22">
        <v>98</v>
      </c>
      <c r="F27" s="23">
        <v>7.5</v>
      </c>
      <c r="G27" s="130"/>
      <c r="H27" s="130"/>
      <c r="I27" s="132"/>
      <c r="J27" s="21"/>
      <c r="K27" s="21"/>
    </row>
    <row r="28" spans="1:11">
      <c r="A28" s="126"/>
      <c r="B28" s="126"/>
      <c r="C28" s="129"/>
      <c r="D28" s="22">
        <v>2019</v>
      </c>
      <c r="E28" s="22">
        <v>20</v>
      </c>
      <c r="F28" s="23">
        <v>3.7</v>
      </c>
      <c r="G28" s="130"/>
      <c r="H28" s="130"/>
      <c r="I28" s="133"/>
      <c r="J28" s="21"/>
      <c r="K28" s="21"/>
    </row>
    <row r="29" spans="1:11">
      <c r="A29" s="126"/>
      <c r="B29" s="126">
        <v>11</v>
      </c>
      <c r="C29" s="127">
        <v>17</v>
      </c>
      <c r="D29" s="22">
        <v>2017</v>
      </c>
      <c r="E29" s="22"/>
      <c r="F29" s="23"/>
      <c r="G29" s="130"/>
      <c r="H29" s="130"/>
      <c r="I29" s="131"/>
      <c r="J29" s="21"/>
      <c r="K29" s="21"/>
    </row>
    <row r="30" spans="1:11">
      <c r="A30" s="126"/>
      <c r="B30" s="126"/>
      <c r="C30" s="128"/>
      <c r="D30" s="22">
        <v>2018</v>
      </c>
      <c r="E30" s="22"/>
      <c r="F30" s="23"/>
      <c r="G30" s="130"/>
      <c r="H30" s="130"/>
      <c r="I30" s="132"/>
      <c r="J30" s="21"/>
      <c r="K30" s="21"/>
    </row>
    <row r="31" spans="1:11">
      <c r="A31" s="126"/>
      <c r="B31" s="126"/>
      <c r="C31" s="129"/>
      <c r="D31" s="22">
        <v>2019</v>
      </c>
      <c r="E31" s="22"/>
      <c r="F31" s="23"/>
      <c r="G31" s="130"/>
      <c r="H31" s="130"/>
      <c r="I31" s="133"/>
      <c r="J31" s="21"/>
      <c r="K31" s="21"/>
    </row>
    <row r="32" spans="1:11">
      <c r="A32" s="126"/>
      <c r="B32" s="126">
        <v>12</v>
      </c>
      <c r="C32" s="127">
        <v>80</v>
      </c>
      <c r="D32" s="22">
        <v>2017</v>
      </c>
      <c r="E32" s="22"/>
      <c r="F32" s="23"/>
      <c r="G32" s="130"/>
      <c r="H32" s="130"/>
      <c r="I32" s="131"/>
      <c r="J32" s="21"/>
      <c r="K32" s="21"/>
    </row>
    <row r="33" spans="1:11">
      <c r="A33" s="126"/>
      <c r="B33" s="126"/>
      <c r="C33" s="128"/>
      <c r="D33" s="22">
        <v>2018</v>
      </c>
      <c r="E33" s="22"/>
      <c r="F33" s="23"/>
      <c r="G33" s="130"/>
      <c r="H33" s="130"/>
      <c r="I33" s="132"/>
      <c r="J33" s="21"/>
      <c r="K33" s="21"/>
    </row>
    <row r="34" spans="1:11">
      <c r="A34" s="126"/>
      <c r="B34" s="126"/>
      <c r="C34" s="129"/>
      <c r="D34" s="22">
        <v>2019</v>
      </c>
      <c r="E34" s="22"/>
      <c r="F34" s="23"/>
      <c r="G34" s="130"/>
      <c r="H34" s="130"/>
      <c r="I34" s="133"/>
      <c r="J34" s="21"/>
      <c r="K34" s="21"/>
    </row>
    <row r="35" spans="1:11">
      <c r="A35" s="126"/>
      <c r="B35" s="126">
        <v>13</v>
      </c>
      <c r="C35" s="127">
        <v>18</v>
      </c>
      <c r="D35" s="22">
        <v>2017</v>
      </c>
      <c r="E35" s="23"/>
      <c r="F35" s="23"/>
      <c r="G35" s="130"/>
      <c r="H35" s="130"/>
      <c r="I35" s="131"/>
      <c r="J35" s="21"/>
      <c r="K35" s="21"/>
    </row>
    <row r="36" spans="1:11">
      <c r="A36" s="126"/>
      <c r="B36" s="126"/>
      <c r="C36" s="128"/>
      <c r="D36" s="22">
        <v>2018</v>
      </c>
      <c r="E36" s="22"/>
      <c r="F36" s="23"/>
      <c r="G36" s="130"/>
      <c r="H36" s="130"/>
      <c r="I36" s="132"/>
      <c r="J36" s="21"/>
      <c r="K36" s="21"/>
    </row>
    <row r="37" spans="1:11">
      <c r="A37" s="126"/>
      <c r="B37" s="126"/>
      <c r="C37" s="129"/>
      <c r="D37" s="22">
        <v>2019</v>
      </c>
      <c r="E37" s="22"/>
      <c r="F37" s="23"/>
      <c r="G37" s="130"/>
      <c r="H37" s="130"/>
      <c r="I37" s="133"/>
      <c r="J37" s="21"/>
      <c r="K37" s="21"/>
    </row>
    <row r="38" spans="1:11">
      <c r="A38" s="126"/>
      <c r="B38" s="126">
        <v>14</v>
      </c>
      <c r="C38" s="127">
        <v>80</v>
      </c>
      <c r="D38" s="22">
        <v>2017</v>
      </c>
      <c r="E38" s="22"/>
      <c r="F38" s="23"/>
      <c r="G38" s="130"/>
      <c r="H38" s="130"/>
      <c r="I38" s="131"/>
      <c r="J38" s="21"/>
      <c r="K38" s="21"/>
    </row>
    <row r="39" spans="1:11">
      <c r="A39" s="126"/>
      <c r="B39" s="126"/>
      <c r="C39" s="128"/>
      <c r="D39" s="22">
        <v>2018</v>
      </c>
      <c r="E39" s="22"/>
      <c r="F39" s="23"/>
      <c r="G39" s="130"/>
      <c r="H39" s="130"/>
      <c r="I39" s="132"/>
      <c r="J39" s="21"/>
      <c r="K39" s="21"/>
    </row>
    <row r="40" spans="1:11">
      <c r="A40" s="126"/>
      <c r="B40" s="126"/>
      <c r="C40" s="129"/>
      <c r="D40" s="22">
        <v>2019</v>
      </c>
      <c r="E40" s="22"/>
      <c r="F40" s="23"/>
      <c r="G40" s="130"/>
      <c r="H40" s="130"/>
      <c r="I40" s="133"/>
      <c r="J40" s="21"/>
      <c r="K40" s="21"/>
    </row>
    <row r="41" spans="1:11">
      <c r="A41" s="126"/>
      <c r="B41" s="126">
        <v>15</v>
      </c>
      <c r="C41" s="127">
        <v>14</v>
      </c>
      <c r="D41" s="22">
        <v>2017</v>
      </c>
      <c r="E41" s="22"/>
      <c r="F41" s="23"/>
      <c r="G41" s="130"/>
      <c r="H41" s="130"/>
      <c r="I41" s="131"/>
      <c r="J41" s="21"/>
      <c r="K41" s="21"/>
    </row>
    <row r="42" spans="1:11">
      <c r="A42" s="126"/>
      <c r="B42" s="126"/>
      <c r="C42" s="128"/>
      <c r="D42" s="22">
        <v>2018</v>
      </c>
      <c r="E42" s="22">
        <v>72</v>
      </c>
      <c r="F42" s="23">
        <v>7.3</v>
      </c>
      <c r="G42" s="130"/>
      <c r="H42" s="130"/>
      <c r="I42" s="132"/>
      <c r="J42" s="21"/>
      <c r="K42" s="21"/>
    </row>
    <row r="43" spans="1:11">
      <c r="A43" s="126"/>
      <c r="B43" s="126"/>
      <c r="C43" s="129"/>
      <c r="D43" s="22">
        <v>2019</v>
      </c>
      <c r="E43" s="22">
        <v>16</v>
      </c>
      <c r="F43" s="23">
        <v>3</v>
      </c>
      <c r="G43" s="130"/>
      <c r="H43" s="130"/>
      <c r="I43" s="133"/>
      <c r="J43" s="21"/>
      <c r="K43" s="21"/>
    </row>
  </sheetData>
  <mergeCells count="72">
    <mergeCell ref="I2:I4"/>
    <mergeCell ref="B5:B7"/>
    <mergeCell ref="C5:C7"/>
    <mergeCell ref="G5:G7"/>
    <mergeCell ref="H5:H7"/>
    <mergeCell ref="I5:I7"/>
    <mergeCell ref="A2:A22"/>
    <mergeCell ref="B2:B4"/>
    <mergeCell ref="C2:C4"/>
    <mergeCell ref="G2:G4"/>
    <mergeCell ref="H2:H4"/>
    <mergeCell ref="B8:B10"/>
    <mergeCell ref="C8:C10"/>
    <mergeCell ref="G8:G10"/>
    <mergeCell ref="H8:H10"/>
    <mergeCell ref="B20:B22"/>
    <mergeCell ref="C20:C22"/>
    <mergeCell ref="G20:G22"/>
    <mergeCell ref="H20:H22"/>
    <mergeCell ref="I8:I10"/>
    <mergeCell ref="B14:B16"/>
    <mergeCell ref="C14:C16"/>
    <mergeCell ref="G14:G16"/>
    <mergeCell ref="H14:H16"/>
    <mergeCell ref="I14:I16"/>
    <mergeCell ref="B11:B13"/>
    <mergeCell ref="C11:C13"/>
    <mergeCell ref="G11:G13"/>
    <mergeCell ref="H11:H13"/>
    <mergeCell ref="I11:I13"/>
    <mergeCell ref="I20:I22"/>
    <mergeCell ref="B17:B19"/>
    <mergeCell ref="C17:C19"/>
    <mergeCell ref="G17:G19"/>
    <mergeCell ref="H17:H19"/>
    <mergeCell ref="I17:I19"/>
    <mergeCell ref="I23:I25"/>
    <mergeCell ref="B26:B28"/>
    <mergeCell ref="C26:C28"/>
    <mergeCell ref="G26:G28"/>
    <mergeCell ref="H26:H28"/>
    <mergeCell ref="I26:I28"/>
    <mergeCell ref="A23:A43"/>
    <mergeCell ref="B23:B25"/>
    <mergeCell ref="C23:C25"/>
    <mergeCell ref="G23:G25"/>
    <mergeCell ref="H23:H25"/>
    <mergeCell ref="B29:B31"/>
    <mergeCell ref="C29:C31"/>
    <mergeCell ref="G29:G31"/>
    <mergeCell ref="H29:H31"/>
    <mergeCell ref="B41:B43"/>
    <mergeCell ref="C41:C43"/>
    <mergeCell ref="G41:G43"/>
    <mergeCell ref="H41:H43"/>
    <mergeCell ref="I29:I31"/>
    <mergeCell ref="B35:B37"/>
    <mergeCell ref="C35:C37"/>
    <mergeCell ref="G35:G37"/>
    <mergeCell ref="H35:H37"/>
    <mergeCell ref="I35:I37"/>
    <mergeCell ref="B32:B34"/>
    <mergeCell ref="C32:C34"/>
    <mergeCell ref="G32:G34"/>
    <mergeCell ref="H32:H34"/>
    <mergeCell ref="I32:I34"/>
    <mergeCell ref="I41:I43"/>
    <mergeCell ref="B38:B40"/>
    <mergeCell ref="C38:C40"/>
    <mergeCell ref="G38:G40"/>
    <mergeCell ref="H38:H40"/>
    <mergeCell ref="I38:I40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"/>
  <sheetViews>
    <sheetView topLeftCell="A21" workbookViewId="0">
      <selection activeCell="I2" sqref="I2:I56"/>
    </sheetView>
  </sheetViews>
  <sheetFormatPr defaultRowHeight="15"/>
  <sheetData>
    <row r="1" spans="1:19" ht="30">
      <c r="A1" s="8" t="s">
        <v>3</v>
      </c>
      <c r="B1" s="8" t="s">
        <v>0</v>
      </c>
      <c r="C1" s="8" t="s">
        <v>2</v>
      </c>
      <c r="D1" s="8" t="s">
        <v>1</v>
      </c>
      <c r="E1" s="8" t="s">
        <v>7</v>
      </c>
      <c r="F1" s="8" t="s">
        <v>8</v>
      </c>
      <c r="G1" s="8" t="s">
        <v>10</v>
      </c>
      <c r="H1" s="8" t="s">
        <v>11</v>
      </c>
      <c r="I1" s="8" t="s">
        <v>13</v>
      </c>
      <c r="J1" s="8" t="s">
        <v>14</v>
      </c>
      <c r="K1" s="8" t="s">
        <v>15</v>
      </c>
      <c r="L1" s="8" t="s">
        <v>26</v>
      </c>
      <c r="M1" s="8" t="s">
        <v>27</v>
      </c>
      <c r="O1" s="71" t="s">
        <v>62</v>
      </c>
      <c r="P1" s="70" t="s">
        <v>58</v>
      </c>
      <c r="Q1" s="70" t="s">
        <v>60</v>
      </c>
      <c r="R1" s="70" t="s">
        <v>59</v>
      </c>
      <c r="S1" s="70" t="s">
        <v>61</v>
      </c>
    </row>
    <row r="2" spans="1:19">
      <c r="A2" s="126" t="s">
        <v>4</v>
      </c>
      <c r="B2" s="126">
        <v>1</v>
      </c>
      <c r="C2" s="126">
        <v>95</v>
      </c>
      <c r="D2" s="14">
        <v>2016</v>
      </c>
      <c r="E2" s="13">
        <v>12</v>
      </c>
      <c r="F2" s="13">
        <v>7.1</v>
      </c>
      <c r="G2" s="135">
        <f>SUM(E2:E5)</f>
        <v>158</v>
      </c>
      <c r="H2" s="138">
        <f>(F2*E2+F3*E3+F5*E5+E4*F4)/G2</f>
        <v>5.654683544303797</v>
      </c>
      <c r="I2" s="131">
        <f>(((PI()*0.00085*H2/100)+(0.00085*H2/100*2))*G2/2)*4</f>
        <v>7.8092977187195489E-2</v>
      </c>
      <c r="J2" s="6">
        <f>AVERAGE(I2:I29)</f>
        <v>8.4377598862477643E-2</v>
      </c>
      <c r="K2" s="6">
        <f>AVERAGE(I30:I56)</f>
        <v>6.551342857142857E-2</v>
      </c>
      <c r="L2" s="6">
        <f>SUM(I2:I29)</f>
        <v>0.5906431920373435</v>
      </c>
      <c r="M2" s="6">
        <f>SUM(I30:I52)</f>
        <v>0.39018999999999998</v>
      </c>
      <c r="N2" t="s">
        <v>63</v>
      </c>
      <c r="O2">
        <v>2016</v>
      </c>
      <c r="R2">
        <f>AVERAGE(E2,E14,E22,E18)</f>
        <v>6.5</v>
      </c>
      <c r="S2">
        <f>AVERAGE(F2,F14,F22,F18)</f>
        <v>6.6166666666666671</v>
      </c>
    </row>
    <row r="3" spans="1:19">
      <c r="A3" s="126"/>
      <c r="B3" s="126"/>
      <c r="C3" s="126"/>
      <c r="D3" s="14">
        <v>2017</v>
      </c>
      <c r="E3" s="13">
        <v>28</v>
      </c>
      <c r="F3" s="13">
        <v>12.42</v>
      </c>
      <c r="G3" s="135"/>
      <c r="H3" s="139"/>
      <c r="I3" s="132"/>
      <c r="J3" s="6">
        <v>4.558310365129107E-2</v>
      </c>
      <c r="K3" s="6">
        <v>3.8567999999999998E-2</v>
      </c>
      <c r="L3" s="6">
        <v>7.9770431389759366E-2</v>
      </c>
      <c r="M3" s="6">
        <v>6.4952999999999997E-2</v>
      </c>
      <c r="N3" t="s">
        <v>64</v>
      </c>
      <c r="O3">
        <v>2017</v>
      </c>
      <c r="R3">
        <f t="shared" ref="R3:S5" si="0">AVERAGE(E3,E19,E15,E23)</f>
        <v>35.5</v>
      </c>
      <c r="S3">
        <f t="shared" si="0"/>
        <v>11.9575</v>
      </c>
    </row>
    <row r="4" spans="1:19">
      <c r="A4" s="126"/>
      <c r="B4" s="126"/>
      <c r="C4" s="126"/>
      <c r="D4" s="14">
        <v>2018</v>
      </c>
      <c r="E4" s="13">
        <v>50</v>
      </c>
      <c r="F4" s="13">
        <v>7.36</v>
      </c>
      <c r="G4" s="135"/>
      <c r="H4" s="139"/>
      <c r="I4" s="132"/>
      <c r="J4">
        <f>J3/J2</f>
        <v>0.54022755169395653</v>
      </c>
      <c r="K4">
        <f>K3/K2</f>
        <v>0.58870373358569883</v>
      </c>
      <c r="N4" t="s">
        <v>65</v>
      </c>
      <c r="O4">
        <v>2018</v>
      </c>
      <c r="R4">
        <f t="shared" si="0"/>
        <v>65.75</v>
      </c>
      <c r="S4">
        <f t="shared" si="0"/>
        <v>8.6325000000000003</v>
      </c>
    </row>
    <row r="5" spans="1:19">
      <c r="A5" s="126"/>
      <c r="B5" s="126"/>
      <c r="C5" s="126"/>
      <c r="D5" s="14">
        <v>2019</v>
      </c>
      <c r="E5" s="68">
        <v>68</v>
      </c>
      <c r="F5" s="13">
        <v>1.36</v>
      </c>
      <c r="G5" s="135"/>
      <c r="H5" s="140"/>
      <c r="I5" s="133"/>
      <c r="O5">
        <v>2019</v>
      </c>
      <c r="R5">
        <f t="shared" si="0"/>
        <v>50.5</v>
      </c>
      <c r="S5">
        <f t="shared" si="0"/>
        <v>1.4724999999999999</v>
      </c>
    </row>
    <row r="6" spans="1:19">
      <c r="A6" s="126"/>
      <c r="B6" s="126">
        <v>2</v>
      </c>
      <c r="C6" s="126">
        <v>50</v>
      </c>
      <c r="D6" s="14">
        <v>2016</v>
      </c>
      <c r="E6" s="14"/>
      <c r="F6" s="13"/>
      <c r="G6" s="135"/>
      <c r="H6" s="135"/>
      <c r="I6" s="136">
        <v>8.6278459520610307E-2</v>
      </c>
      <c r="J6" s="28"/>
    </row>
    <row r="7" spans="1:19">
      <c r="A7" s="126"/>
      <c r="B7" s="126"/>
      <c r="C7" s="126"/>
      <c r="D7" s="14">
        <v>2017</v>
      </c>
      <c r="E7" s="14"/>
      <c r="F7" s="13"/>
      <c r="G7" s="135"/>
      <c r="H7" s="135"/>
      <c r="I7" s="136"/>
      <c r="J7" s="28"/>
    </row>
    <row r="8" spans="1:19">
      <c r="A8" s="126"/>
      <c r="B8" s="126"/>
      <c r="C8" s="126"/>
      <c r="D8" s="14">
        <v>2018</v>
      </c>
      <c r="E8" s="14"/>
      <c r="F8" s="13"/>
      <c r="G8" s="135"/>
      <c r="H8" s="135"/>
      <c r="I8" s="136"/>
      <c r="J8" s="28"/>
      <c r="K8" s="29"/>
    </row>
    <row r="9" spans="1:19">
      <c r="A9" s="126"/>
      <c r="B9" s="126"/>
      <c r="C9" s="126"/>
      <c r="D9" s="14">
        <v>2019</v>
      </c>
      <c r="E9" s="14"/>
      <c r="F9" s="13"/>
      <c r="G9" s="135"/>
      <c r="H9" s="135"/>
      <c r="I9" s="136"/>
      <c r="K9" s="29"/>
    </row>
    <row r="10" spans="1:19">
      <c r="A10" s="126"/>
      <c r="B10" s="126">
        <v>3</v>
      </c>
      <c r="C10" s="126">
        <v>97</v>
      </c>
      <c r="D10" s="14">
        <v>2016</v>
      </c>
      <c r="E10" s="14"/>
      <c r="F10" s="13"/>
      <c r="G10" s="135"/>
      <c r="H10" s="135"/>
      <c r="I10" s="123">
        <v>7.8761410865064094E-2</v>
      </c>
      <c r="K10" s="29"/>
    </row>
    <row r="11" spans="1:19">
      <c r="A11" s="126"/>
      <c r="B11" s="126"/>
      <c r="C11" s="126"/>
      <c r="D11" s="14">
        <v>2017</v>
      </c>
      <c r="E11" s="14"/>
      <c r="F11" s="13"/>
      <c r="G11" s="135"/>
      <c r="H11" s="135"/>
      <c r="I11" s="124"/>
    </row>
    <row r="12" spans="1:19">
      <c r="A12" s="126"/>
      <c r="B12" s="126"/>
      <c r="C12" s="126"/>
      <c r="D12" s="14">
        <v>2018</v>
      </c>
      <c r="E12" s="14"/>
      <c r="F12" s="13"/>
      <c r="G12" s="135"/>
      <c r="H12" s="135"/>
      <c r="I12" s="124"/>
      <c r="M12" s="15"/>
      <c r="N12" s="15"/>
      <c r="O12" s="15"/>
      <c r="P12" s="15"/>
    </row>
    <row r="13" spans="1:19">
      <c r="A13" s="126"/>
      <c r="B13" s="126"/>
      <c r="C13" s="126"/>
      <c r="D13" s="14">
        <v>2019</v>
      </c>
      <c r="E13" s="14"/>
      <c r="F13" s="13"/>
      <c r="G13" s="135"/>
      <c r="H13" s="135"/>
      <c r="I13" s="125"/>
    </row>
    <row r="14" spans="1:19">
      <c r="A14" s="126"/>
      <c r="B14" s="141">
        <v>4</v>
      </c>
      <c r="C14" s="126">
        <v>94</v>
      </c>
      <c r="D14" s="14">
        <v>2016</v>
      </c>
      <c r="E14" s="14">
        <v>8</v>
      </c>
      <c r="F14" s="13">
        <v>6.25</v>
      </c>
      <c r="G14" s="135">
        <f>SUM(E14:E17)</f>
        <v>124</v>
      </c>
      <c r="H14" s="135">
        <f>(F14*E14+F16*E16+F17*E17+F15*E15)/G14</f>
        <v>7.4648387096774202</v>
      </c>
      <c r="I14" s="131">
        <f>(((PI()*0.00085*H14/100)+(0.00085*H14/100*2))*G14/2)*4</f>
        <v>8.0907485005770552E-2</v>
      </c>
    </row>
    <row r="15" spans="1:19">
      <c r="A15" s="126"/>
      <c r="B15" s="141"/>
      <c r="C15" s="126"/>
      <c r="D15" s="14">
        <v>2017</v>
      </c>
      <c r="E15" s="14">
        <v>36</v>
      </c>
      <c r="F15" s="13">
        <v>11.4</v>
      </c>
      <c r="G15" s="135"/>
      <c r="H15" s="135"/>
      <c r="I15" s="132"/>
    </row>
    <row r="16" spans="1:19">
      <c r="A16" s="126"/>
      <c r="B16" s="141"/>
      <c r="C16" s="126"/>
      <c r="D16" s="14">
        <v>2018</v>
      </c>
      <c r="E16" s="14">
        <v>44</v>
      </c>
      <c r="F16" s="13">
        <v>9.51</v>
      </c>
      <c r="G16" s="135"/>
      <c r="H16" s="135"/>
      <c r="I16" s="132"/>
    </row>
    <row r="17" spans="1:9">
      <c r="A17" s="126"/>
      <c r="B17" s="141"/>
      <c r="C17" s="127"/>
      <c r="D17" s="14">
        <v>2019</v>
      </c>
      <c r="E17" s="14">
        <v>36</v>
      </c>
      <c r="F17" s="13">
        <v>1.3</v>
      </c>
      <c r="G17" s="135"/>
      <c r="H17" s="135"/>
      <c r="I17" s="133"/>
    </row>
    <row r="18" spans="1:9">
      <c r="A18" s="137"/>
      <c r="B18" s="135">
        <v>5</v>
      </c>
      <c r="C18" s="135">
        <v>55</v>
      </c>
      <c r="D18" s="26">
        <v>2016</v>
      </c>
      <c r="E18" s="14">
        <v>6</v>
      </c>
      <c r="F18" s="13">
        <v>6.5</v>
      </c>
      <c r="G18" s="135">
        <f>SUM(E18:E21)</f>
        <v>169</v>
      </c>
      <c r="H18" s="135">
        <f>(F18*E18+F20*E20+F21*E21+F19*E19)/G18</f>
        <v>6.8358579881656807</v>
      </c>
      <c r="I18" s="131">
        <f>(((PI()*0.00085*H18/100)+(0.00085*H18/100*2))*G18/2)*4</f>
        <v>0.10097789759276446</v>
      </c>
    </row>
    <row r="19" spans="1:9">
      <c r="A19" s="137"/>
      <c r="B19" s="135"/>
      <c r="C19" s="135"/>
      <c r="D19" s="26">
        <v>2017</v>
      </c>
      <c r="E19" s="14">
        <v>38</v>
      </c>
      <c r="F19" s="13">
        <v>11.41</v>
      </c>
      <c r="G19" s="135"/>
      <c r="H19" s="135"/>
      <c r="I19" s="132"/>
    </row>
    <row r="20" spans="1:9">
      <c r="A20" s="137"/>
      <c r="B20" s="135"/>
      <c r="C20" s="135"/>
      <c r="D20" s="26">
        <v>2018</v>
      </c>
      <c r="E20" s="14">
        <v>81</v>
      </c>
      <c r="F20" s="13">
        <v>7.76</v>
      </c>
      <c r="G20" s="135"/>
      <c r="H20" s="135"/>
      <c r="I20" s="132"/>
    </row>
    <row r="21" spans="1:9">
      <c r="A21" s="137"/>
      <c r="B21" s="135"/>
      <c r="C21" s="135"/>
      <c r="D21" s="26">
        <v>2019</v>
      </c>
      <c r="E21" s="14">
        <v>44</v>
      </c>
      <c r="F21" s="13">
        <v>1.23</v>
      </c>
      <c r="G21" s="135"/>
      <c r="H21" s="135"/>
      <c r="I21" s="133"/>
    </row>
    <row r="22" spans="1:9">
      <c r="A22" s="137"/>
      <c r="B22" s="135">
        <v>6</v>
      </c>
      <c r="C22" s="135">
        <v>55</v>
      </c>
      <c r="D22" s="26">
        <v>2016</v>
      </c>
      <c r="E22" s="75">
        <v>0</v>
      </c>
      <c r="F22" s="13"/>
      <c r="G22" s="135">
        <f>SUM(E23:E25)</f>
        <v>182</v>
      </c>
      <c r="H22" s="135">
        <f>(F22*E23+F24*E24+F25*E25)/G22</f>
        <v>5.3802197802197806</v>
      </c>
      <c r="I22" s="131">
        <f>(((PI()*0.00085*H22/100)+(0.00085*H22/100*2))*G22/2)*4</f>
        <v>8.5589007948717141E-2</v>
      </c>
    </row>
    <row r="23" spans="1:9">
      <c r="A23" s="137"/>
      <c r="B23" s="135"/>
      <c r="C23" s="135"/>
      <c r="D23" s="26">
        <v>2017</v>
      </c>
      <c r="E23" s="14">
        <v>40</v>
      </c>
      <c r="F23" s="68">
        <v>12.6</v>
      </c>
      <c r="G23" s="135"/>
      <c r="H23" s="135"/>
      <c r="I23" s="132"/>
    </row>
    <row r="24" spans="1:9">
      <c r="A24" s="137"/>
      <c r="B24" s="135"/>
      <c r="C24" s="135"/>
      <c r="D24" s="26">
        <v>2018</v>
      </c>
      <c r="E24" s="14">
        <v>88</v>
      </c>
      <c r="F24" s="13">
        <v>9.9</v>
      </c>
      <c r="G24" s="135"/>
      <c r="H24" s="135"/>
      <c r="I24" s="132"/>
    </row>
    <row r="25" spans="1:9">
      <c r="A25" s="137"/>
      <c r="B25" s="135"/>
      <c r="C25" s="135"/>
      <c r="D25" s="26">
        <v>2019</v>
      </c>
      <c r="E25" s="14">
        <v>54</v>
      </c>
      <c r="F25" s="13">
        <v>2</v>
      </c>
      <c r="G25" s="135"/>
      <c r="H25" s="135"/>
      <c r="I25" s="133"/>
    </row>
    <row r="26" spans="1:9">
      <c r="A26" s="126"/>
      <c r="B26" s="129">
        <v>7</v>
      </c>
      <c r="C26" s="129">
        <v>58</v>
      </c>
      <c r="D26" s="14">
        <v>2016</v>
      </c>
      <c r="E26" s="14"/>
      <c r="F26" s="13"/>
      <c r="G26" s="135"/>
      <c r="H26" s="135"/>
      <c r="I26" s="123">
        <v>8.0035953917221403E-2</v>
      </c>
    </row>
    <row r="27" spans="1:9">
      <c r="A27" s="126"/>
      <c r="B27" s="126"/>
      <c r="C27" s="126"/>
      <c r="D27" s="14">
        <v>2017</v>
      </c>
      <c r="E27" s="14"/>
      <c r="F27" s="13"/>
      <c r="G27" s="135"/>
      <c r="H27" s="135"/>
      <c r="I27" s="124"/>
    </row>
    <row r="28" spans="1:9">
      <c r="A28" s="126"/>
      <c r="B28" s="126"/>
      <c r="C28" s="126"/>
      <c r="D28" s="14">
        <v>2018</v>
      </c>
      <c r="E28" s="14"/>
      <c r="F28" s="13"/>
      <c r="G28" s="135"/>
      <c r="H28" s="135"/>
      <c r="I28" s="124"/>
    </row>
    <row r="29" spans="1:9">
      <c r="A29" s="126"/>
      <c r="B29" s="126"/>
      <c r="C29" s="126"/>
      <c r="D29" s="14">
        <v>2019</v>
      </c>
      <c r="E29" s="14"/>
      <c r="F29" s="13"/>
      <c r="G29" s="135"/>
      <c r="H29" s="135"/>
      <c r="I29" s="125"/>
    </row>
    <row r="30" spans="1:9">
      <c r="A30" s="126" t="s">
        <v>6</v>
      </c>
      <c r="B30" s="126">
        <v>9</v>
      </c>
      <c r="C30" s="127">
        <v>14</v>
      </c>
      <c r="D30" s="14"/>
      <c r="E30" s="14"/>
      <c r="F30" s="13"/>
      <c r="G30" s="135"/>
      <c r="H30" s="135"/>
      <c r="I30" s="123">
        <v>6.1185999999999997E-2</v>
      </c>
    </row>
    <row r="31" spans="1:9">
      <c r="A31" s="126"/>
      <c r="B31" s="126"/>
      <c r="C31" s="128"/>
      <c r="D31" s="14"/>
      <c r="E31" s="14"/>
      <c r="F31" s="13"/>
      <c r="G31" s="135"/>
      <c r="H31" s="135"/>
      <c r="I31" s="124"/>
    </row>
    <row r="32" spans="1:9">
      <c r="A32" s="126"/>
      <c r="B32" s="126"/>
      <c r="C32" s="129"/>
      <c r="D32" s="14"/>
      <c r="E32" s="14"/>
      <c r="F32" s="13"/>
      <c r="G32" s="135"/>
      <c r="H32" s="135"/>
      <c r="I32" s="125"/>
    </row>
    <row r="33" spans="1:9">
      <c r="A33" s="126"/>
      <c r="B33" s="126">
        <v>10</v>
      </c>
      <c r="C33" s="126">
        <v>13</v>
      </c>
      <c r="D33" s="14">
        <v>2016</v>
      </c>
      <c r="E33" s="14"/>
      <c r="F33" s="13"/>
      <c r="G33" s="135"/>
      <c r="H33" s="136"/>
      <c r="I33" s="138">
        <v>6.8760000000000002E-2</v>
      </c>
    </row>
    <row r="34" spans="1:9">
      <c r="A34" s="126"/>
      <c r="B34" s="126"/>
      <c r="C34" s="126"/>
      <c r="D34" s="14">
        <v>2017</v>
      </c>
      <c r="E34" s="14"/>
      <c r="F34" s="13"/>
      <c r="G34" s="135"/>
      <c r="H34" s="136"/>
      <c r="I34" s="139"/>
    </row>
    <row r="35" spans="1:9">
      <c r="A35" s="126"/>
      <c r="B35" s="126"/>
      <c r="C35" s="126"/>
      <c r="D35" s="14">
        <v>2018</v>
      </c>
      <c r="E35" s="14"/>
      <c r="F35" s="13"/>
      <c r="G35" s="135"/>
      <c r="H35" s="136"/>
      <c r="I35" s="139"/>
    </row>
    <row r="36" spans="1:9">
      <c r="A36" s="126"/>
      <c r="B36" s="126"/>
      <c r="C36" s="126"/>
      <c r="D36" s="14">
        <v>2019</v>
      </c>
      <c r="E36" s="14"/>
      <c r="F36" s="13"/>
      <c r="G36" s="135"/>
      <c r="H36" s="136"/>
      <c r="I36" s="140"/>
    </row>
    <row r="37" spans="1:9">
      <c r="A37" s="126"/>
      <c r="B37" s="126">
        <v>11</v>
      </c>
      <c r="C37" s="126">
        <v>17</v>
      </c>
      <c r="D37" s="14">
        <v>2016</v>
      </c>
      <c r="E37" s="14"/>
      <c r="F37" s="13"/>
      <c r="G37" s="135"/>
      <c r="H37" s="136"/>
      <c r="I37" s="135">
        <v>4.7163999999999998E-2</v>
      </c>
    </row>
    <row r="38" spans="1:9">
      <c r="A38" s="126"/>
      <c r="B38" s="126"/>
      <c r="C38" s="126"/>
      <c r="D38" s="14">
        <v>2017</v>
      </c>
      <c r="E38" s="14"/>
      <c r="F38" s="13"/>
      <c r="G38" s="135"/>
      <c r="H38" s="136"/>
      <c r="I38" s="135"/>
    </row>
    <row r="39" spans="1:9">
      <c r="A39" s="126"/>
      <c r="B39" s="126"/>
      <c r="C39" s="126"/>
      <c r="D39" s="14">
        <v>2018</v>
      </c>
      <c r="E39" s="14"/>
      <c r="F39" s="13"/>
      <c r="G39" s="135"/>
      <c r="H39" s="136"/>
      <c r="I39" s="135"/>
    </row>
    <row r="40" spans="1:9">
      <c r="A40" s="126"/>
      <c r="B40" s="126"/>
      <c r="C40" s="126"/>
      <c r="D40" s="14">
        <v>2019</v>
      </c>
      <c r="E40" s="14"/>
      <c r="F40" s="13"/>
      <c r="G40" s="135"/>
      <c r="H40" s="136"/>
      <c r="I40" s="135"/>
    </row>
    <row r="41" spans="1:9">
      <c r="A41" s="126"/>
      <c r="B41" s="127">
        <v>12</v>
      </c>
      <c r="C41" s="127">
        <v>80</v>
      </c>
      <c r="D41" s="85">
        <v>2016</v>
      </c>
      <c r="E41" s="85"/>
      <c r="F41" s="87"/>
      <c r="G41" s="138"/>
      <c r="H41" s="138"/>
      <c r="I41" s="123">
        <v>7.7880000000000005E-2</v>
      </c>
    </row>
    <row r="42" spans="1:9">
      <c r="A42" s="126"/>
      <c r="B42" s="128"/>
      <c r="C42" s="128"/>
      <c r="D42" s="85">
        <v>2017</v>
      </c>
      <c r="E42" s="85"/>
      <c r="F42" s="87"/>
      <c r="G42" s="139"/>
      <c r="H42" s="139"/>
      <c r="I42" s="124"/>
    </row>
    <row r="43" spans="1:9">
      <c r="A43" s="126"/>
      <c r="B43" s="128"/>
      <c r="C43" s="128"/>
      <c r="D43" s="85">
        <v>2018</v>
      </c>
      <c r="E43" s="85"/>
      <c r="F43" s="87"/>
      <c r="G43" s="139"/>
      <c r="H43" s="139"/>
      <c r="I43" s="124"/>
    </row>
    <row r="44" spans="1:9">
      <c r="A44" s="126"/>
      <c r="B44" s="129"/>
      <c r="C44" s="129"/>
      <c r="D44" s="85">
        <v>2019</v>
      </c>
      <c r="E44" s="85"/>
      <c r="F44" s="87"/>
      <c r="G44" s="140"/>
      <c r="H44" s="140"/>
      <c r="I44" s="125"/>
    </row>
    <row r="45" spans="1:9">
      <c r="A45" s="126"/>
      <c r="B45" s="126">
        <v>13</v>
      </c>
      <c r="C45" s="126">
        <v>18</v>
      </c>
      <c r="D45" s="14">
        <v>2016</v>
      </c>
      <c r="E45" s="6"/>
      <c r="F45" s="6"/>
      <c r="G45" s="135"/>
      <c r="H45" s="135"/>
      <c r="I45" s="123">
        <v>6.5079999999999999E-2</v>
      </c>
    </row>
    <row r="46" spans="1:9">
      <c r="A46" s="126"/>
      <c r="B46" s="126"/>
      <c r="C46" s="126"/>
      <c r="D46" s="14">
        <v>2017</v>
      </c>
      <c r="E46" s="6"/>
      <c r="F46" s="6"/>
      <c r="G46" s="135"/>
      <c r="H46" s="135"/>
      <c r="I46" s="124"/>
    </row>
    <row r="47" spans="1:9">
      <c r="A47" s="126"/>
      <c r="B47" s="126"/>
      <c r="C47" s="126"/>
      <c r="D47" s="14">
        <v>2018</v>
      </c>
      <c r="E47" s="14"/>
      <c r="F47" s="13"/>
      <c r="G47" s="135"/>
      <c r="H47" s="135"/>
      <c r="I47" s="124"/>
    </row>
    <row r="48" spans="1:9">
      <c r="A48" s="126"/>
      <c r="B48" s="126"/>
      <c r="C48" s="126"/>
      <c r="D48" s="14">
        <v>2019</v>
      </c>
      <c r="E48" s="14"/>
      <c r="F48" s="13"/>
      <c r="G48" s="135"/>
      <c r="H48" s="135"/>
      <c r="I48" s="125"/>
    </row>
    <row r="49" spans="1:9">
      <c r="A49" s="126"/>
      <c r="B49" s="127">
        <v>14</v>
      </c>
      <c r="C49" s="127">
        <v>80</v>
      </c>
      <c r="D49" s="85">
        <v>2016</v>
      </c>
      <c r="E49" s="85"/>
      <c r="F49" s="87"/>
      <c r="G49" s="138"/>
      <c r="H49" s="138"/>
      <c r="I49" s="123">
        <v>7.0120000000000002E-2</v>
      </c>
    </row>
    <row r="50" spans="1:9">
      <c r="A50" s="126"/>
      <c r="B50" s="128"/>
      <c r="C50" s="128"/>
      <c r="D50" s="85">
        <v>2017</v>
      </c>
      <c r="E50" s="85"/>
      <c r="F50" s="87"/>
      <c r="G50" s="139"/>
      <c r="H50" s="139"/>
      <c r="I50" s="124"/>
    </row>
    <row r="51" spans="1:9">
      <c r="A51" s="126"/>
      <c r="B51" s="128"/>
      <c r="C51" s="128"/>
      <c r="D51" s="85">
        <v>2018</v>
      </c>
      <c r="E51" s="85"/>
      <c r="F51" s="87"/>
      <c r="G51" s="139"/>
      <c r="H51" s="139"/>
      <c r="I51" s="124"/>
    </row>
    <row r="52" spans="1:9">
      <c r="A52" s="126"/>
      <c r="B52" s="129"/>
      <c r="C52" s="129"/>
      <c r="D52" s="85">
        <v>2019</v>
      </c>
      <c r="E52" s="85"/>
      <c r="F52" s="87"/>
      <c r="G52" s="140"/>
      <c r="H52" s="140"/>
      <c r="I52" s="125"/>
    </row>
    <row r="53" spans="1:9" ht="15" customHeight="1">
      <c r="A53" s="126"/>
      <c r="B53" s="126">
        <v>15</v>
      </c>
      <c r="C53" s="126">
        <v>14</v>
      </c>
      <c r="D53" s="14">
        <v>2016</v>
      </c>
      <c r="E53" s="14"/>
      <c r="F53" s="13"/>
      <c r="G53" s="135"/>
      <c r="H53" s="135"/>
      <c r="I53" s="123">
        <v>6.8404000000000006E-2</v>
      </c>
    </row>
    <row r="54" spans="1:9" ht="15" customHeight="1">
      <c r="A54" s="126"/>
      <c r="B54" s="126"/>
      <c r="C54" s="126"/>
      <c r="D54" s="14">
        <v>2017</v>
      </c>
      <c r="E54" s="14"/>
      <c r="F54" s="13"/>
      <c r="G54" s="135"/>
      <c r="H54" s="135"/>
      <c r="I54" s="124"/>
    </row>
    <row r="55" spans="1:9">
      <c r="A55" s="126"/>
      <c r="B55" s="126"/>
      <c r="C55" s="126"/>
      <c r="D55" s="14">
        <v>2018</v>
      </c>
      <c r="E55" s="14"/>
      <c r="F55" s="13"/>
      <c r="G55" s="135"/>
      <c r="H55" s="135"/>
      <c r="I55" s="124"/>
    </row>
    <row r="56" spans="1:9">
      <c r="A56" s="126"/>
      <c r="B56" s="126"/>
      <c r="C56" s="126"/>
      <c r="D56" s="14">
        <v>2019</v>
      </c>
      <c r="E56" s="14"/>
      <c r="F56" s="13"/>
      <c r="G56" s="135"/>
      <c r="H56" s="135"/>
      <c r="I56" s="125"/>
    </row>
    <row r="57" spans="1:9">
      <c r="D57" s="27"/>
    </row>
  </sheetData>
  <mergeCells count="72">
    <mergeCell ref="I53:I56"/>
    <mergeCell ref="B49:B52"/>
    <mergeCell ref="C49:C52"/>
    <mergeCell ref="B41:B44"/>
    <mergeCell ref="C41:C44"/>
    <mergeCell ref="G41:G44"/>
    <mergeCell ref="B45:B48"/>
    <mergeCell ref="C45:C48"/>
    <mergeCell ref="G45:G48"/>
    <mergeCell ref="I49:I52"/>
    <mergeCell ref="H49:H52"/>
    <mergeCell ref="G49:G52"/>
    <mergeCell ref="I41:I44"/>
    <mergeCell ref="H45:H48"/>
    <mergeCell ref="I45:I48"/>
    <mergeCell ref="A30:A56"/>
    <mergeCell ref="B30:B32"/>
    <mergeCell ref="C30:C32"/>
    <mergeCell ref="G30:G32"/>
    <mergeCell ref="H30:H32"/>
    <mergeCell ref="B37:B40"/>
    <mergeCell ref="C37:C40"/>
    <mergeCell ref="G37:G40"/>
    <mergeCell ref="H41:H44"/>
    <mergeCell ref="B53:B56"/>
    <mergeCell ref="C53:C56"/>
    <mergeCell ref="G53:G56"/>
    <mergeCell ref="H53:H56"/>
    <mergeCell ref="H33:H36"/>
    <mergeCell ref="H37:H40"/>
    <mergeCell ref="I30:I32"/>
    <mergeCell ref="B33:B36"/>
    <mergeCell ref="C33:C36"/>
    <mergeCell ref="G33:G36"/>
    <mergeCell ref="I37:I40"/>
    <mergeCell ref="I33:I36"/>
    <mergeCell ref="I26:I29"/>
    <mergeCell ref="B22:B25"/>
    <mergeCell ref="C22:C25"/>
    <mergeCell ref="G22:G25"/>
    <mergeCell ref="H22:H25"/>
    <mergeCell ref="I22:I25"/>
    <mergeCell ref="I10:I13"/>
    <mergeCell ref="B18:B21"/>
    <mergeCell ref="C18:C21"/>
    <mergeCell ref="G18:G21"/>
    <mergeCell ref="H18:H21"/>
    <mergeCell ref="I18:I21"/>
    <mergeCell ref="B14:B17"/>
    <mergeCell ref="C14:C17"/>
    <mergeCell ref="G14:G17"/>
    <mergeCell ref="H14:H17"/>
    <mergeCell ref="I14:I17"/>
    <mergeCell ref="A2:A29"/>
    <mergeCell ref="B2:B5"/>
    <mergeCell ref="C2:C5"/>
    <mergeCell ref="G2:G5"/>
    <mergeCell ref="H2:H5"/>
    <mergeCell ref="B10:B13"/>
    <mergeCell ref="C10:C13"/>
    <mergeCell ref="G10:G13"/>
    <mergeCell ref="H10:H13"/>
    <mergeCell ref="B26:B29"/>
    <mergeCell ref="C26:C29"/>
    <mergeCell ref="G26:G29"/>
    <mergeCell ref="H26:H29"/>
    <mergeCell ref="I2:I5"/>
    <mergeCell ref="B6:B9"/>
    <mergeCell ref="C6:C9"/>
    <mergeCell ref="G6:G9"/>
    <mergeCell ref="H6:H9"/>
    <mergeCell ref="I6:I9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3"/>
  <sheetViews>
    <sheetView topLeftCell="A22" workbookViewId="0">
      <selection activeCell="I2" sqref="I2:I4"/>
    </sheetView>
  </sheetViews>
  <sheetFormatPr defaultRowHeight="15"/>
  <sheetData>
    <row r="1" spans="1:19" ht="30">
      <c r="A1" s="8" t="s">
        <v>3</v>
      </c>
      <c r="B1" s="8" t="s">
        <v>0</v>
      </c>
      <c r="C1" s="8" t="s">
        <v>2</v>
      </c>
      <c r="D1" s="8" t="s">
        <v>1</v>
      </c>
      <c r="E1" s="8" t="s">
        <v>7</v>
      </c>
      <c r="F1" s="8" t="s">
        <v>8</v>
      </c>
      <c r="G1" s="8" t="s">
        <v>10</v>
      </c>
      <c r="H1" s="8" t="s">
        <v>11</v>
      </c>
      <c r="I1" s="8" t="s">
        <v>13</v>
      </c>
      <c r="J1" s="8" t="s">
        <v>14</v>
      </c>
      <c r="K1" s="8" t="s">
        <v>15</v>
      </c>
      <c r="L1" s="8" t="s">
        <v>26</v>
      </c>
      <c r="M1" s="8" t="s">
        <v>27</v>
      </c>
      <c r="O1" s="71" t="s">
        <v>62</v>
      </c>
      <c r="P1" s="70" t="s">
        <v>58</v>
      </c>
      <c r="Q1" s="70" t="s">
        <v>60</v>
      </c>
      <c r="R1" s="70" t="s">
        <v>59</v>
      </c>
      <c r="S1" s="70" t="s">
        <v>61</v>
      </c>
    </row>
    <row r="2" spans="1:19">
      <c r="A2" s="126" t="s">
        <v>4</v>
      </c>
      <c r="B2" s="126">
        <v>1</v>
      </c>
      <c r="C2" s="126">
        <v>95</v>
      </c>
      <c r="D2" s="9">
        <v>2016</v>
      </c>
      <c r="E2" s="11">
        <v>8</v>
      </c>
      <c r="F2" s="11">
        <v>6.5</v>
      </c>
      <c r="G2" s="135">
        <f>SUM(E2:E4)</f>
        <v>88</v>
      </c>
      <c r="H2" s="135">
        <f>(F2*E2+F3*E3+F4*E4)/G2</f>
        <v>9.5140909090909087</v>
      </c>
      <c r="I2" s="123">
        <f>(((PI()*0.00085*H2/100)+(0.00085*H2/100*2))*G2/2)*4</f>
        <v>7.3180699565955798E-2</v>
      </c>
      <c r="J2" s="6">
        <f>AVERAGE(I2:I22)</f>
        <v>7.6986728271140309E-2</v>
      </c>
      <c r="K2" s="6">
        <f>AVERAGE(I26:I40)</f>
        <v>5.9085085005251226E-2</v>
      </c>
      <c r="L2" s="6">
        <f>SUM(I2:I22)</f>
        <v>0.53890709789798219</v>
      </c>
      <c r="M2" s="6">
        <f>SUM(I23:I40)</f>
        <v>0.35370531605558458</v>
      </c>
      <c r="N2" t="s">
        <v>63</v>
      </c>
      <c r="O2">
        <v>2016</v>
      </c>
      <c r="P2">
        <f>AVERAGE(E35,E23,E29,E26,E41,E32,E38)</f>
        <v>5.4285714285714288</v>
      </c>
      <c r="Q2">
        <f>AVERAGE(F35,F23,F29,F26,F41,F32,F38)</f>
        <v>6.8</v>
      </c>
      <c r="R2">
        <f>AVERAGE(E2,E5,E8,E20,E11,E14,E17)</f>
        <v>3.4285714285714284</v>
      </c>
      <c r="S2">
        <f>AVERAGE(F2,F5,F8,F20,F11,F14,F17)</f>
        <v>7.0387500000000003</v>
      </c>
    </row>
    <row r="3" spans="1:19">
      <c r="A3" s="126"/>
      <c r="B3" s="126"/>
      <c r="C3" s="126"/>
      <c r="D3" s="9">
        <v>2017</v>
      </c>
      <c r="E3" s="11">
        <v>22</v>
      </c>
      <c r="F3" s="11">
        <v>12.15</v>
      </c>
      <c r="G3" s="135"/>
      <c r="H3" s="135"/>
      <c r="I3" s="124"/>
      <c r="J3">
        <v>4.5697737446294372E-2</v>
      </c>
      <c r="K3">
        <v>3.7061976721138291E-2</v>
      </c>
      <c r="L3">
        <v>7.9971040531015156E-2</v>
      </c>
      <c r="M3">
        <v>6.2470075170115255E-2</v>
      </c>
      <c r="N3" t="s">
        <v>64</v>
      </c>
      <c r="O3">
        <v>2017</v>
      </c>
      <c r="P3">
        <f>AVERAGE(E36,E39,E33,E42,E27,E30,E24)</f>
        <v>37.714285714285715</v>
      </c>
      <c r="Q3">
        <f>AVERAGE(F36,F39,F33,F42,F27,F30,F24)</f>
        <v>6.7500000000000009</v>
      </c>
      <c r="R3">
        <f>AVERAGE(E3,E6,E15,E21,E9,E12,E18)</f>
        <v>28.571428571428573</v>
      </c>
      <c r="S3">
        <f>AVERAGE(F3,F6,F15,F21,F9,F12,F18)</f>
        <v>11.569999999999999</v>
      </c>
    </row>
    <row r="4" spans="1:19">
      <c r="A4" s="126"/>
      <c r="B4" s="126"/>
      <c r="C4" s="126"/>
      <c r="D4" s="9">
        <v>2018</v>
      </c>
      <c r="E4" s="11">
        <v>58</v>
      </c>
      <c r="F4" s="11">
        <v>8.93</v>
      </c>
      <c r="G4" s="135"/>
      <c r="H4" s="135"/>
      <c r="I4" s="125"/>
      <c r="J4">
        <f>J3/J2</f>
        <v>0.59357941910911016</v>
      </c>
      <c r="K4">
        <f>K3/K2</f>
        <v>0.62726450707220582</v>
      </c>
      <c r="N4" t="s">
        <v>65</v>
      </c>
      <c r="O4">
        <v>2018</v>
      </c>
      <c r="P4">
        <f>AVERAGE(E37,E40,E34,E43,E28,E31,E25)</f>
        <v>60.857142857142854</v>
      </c>
      <c r="Q4">
        <f>AVERAGE(F37,F40,F34,F43,F28,F31,F25)</f>
        <v>6.4252857142857138</v>
      </c>
      <c r="R4">
        <f>AVERAGE(E4,E7,E16,E22,E10,E19,E13)</f>
        <v>67.428571428571431</v>
      </c>
      <c r="S4">
        <f>AVERAGE(F4,F7,F16,F22,F10,F19,F13)</f>
        <v>7.9290000000000003</v>
      </c>
    </row>
    <row r="5" spans="1:19">
      <c r="A5" s="126"/>
      <c r="B5" s="126">
        <v>2</v>
      </c>
      <c r="C5" s="126">
        <v>50</v>
      </c>
      <c r="D5" s="9">
        <v>2016</v>
      </c>
      <c r="E5" s="9">
        <v>0</v>
      </c>
      <c r="F5" s="11"/>
      <c r="G5" s="135">
        <f>SUM(E5:E7)</f>
        <v>86</v>
      </c>
      <c r="H5" s="135">
        <f>(F5*E5+F6*E6+F7*E7)/G5</f>
        <v>9.3991395348837212</v>
      </c>
      <c r="I5" s="123">
        <f>(((PI()*0.00085*H5/100)+(0.00085*H5/100*2))*G5/2)*4</f>
        <v>7.0653411396195603E-2</v>
      </c>
    </row>
    <row r="6" spans="1:19">
      <c r="A6" s="126"/>
      <c r="B6" s="126"/>
      <c r="C6" s="126"/>
      <c r="D6" s="9">
        <v>2017</v>
      </c>
      <c r="E6" s="9">
        <v>28</v>
      </c>
      <c r="F6" s="11">
        <v>10.46</v>
      </c>
      <c r="G6" s="135"/>
      <c r="H6" s="135"/>
      <c r="I6" s="124"/>
    </row>
    <row r="7" spans="1:19">
      <c r="A7" s="126"/>
      <c r="B7" s="126"/>
      <c r="C7" s="126"/>
      <c r="D7" s="9">
        <v>2018</v>
      </c>
      <c r="E7" s="9">
        <v>58</v>
      </c>
      <c r="F7" s="11">
        <v>8.8870000000000005</v>
      </c>
      <c r="G7" s="135"/>
      <c r="H7" s="135"/>
      <c r="I7" s="125"/>
    </row>
    <row r="8" spans="1:19">
      <c r="A8" s="126"/>
      <c r="B8" s="126">
        <v>3</v>
      </c>
      <c r="C8" s="126">
        <v>97</v>
      </c>
      <c r="D8" s="9">
        <v>2016</v>
      </c>
      <c r="E8" s="9">
        <v>4</v>
      </c>
      <c r="F8" s="11">
        <v>7.2750000000000004</v>
      </c>
      <c r="G8" s="135">
        <f>SUM(E8:E10)</f>
        <v>100</v>
      </c>
      <c r="H8" s="135">
        <f>(F8*E8+F9*E9+F10*E10)/G8</f>
        <v>8.5274000000000001</v>
      </c>
      <c r="I8" s="123">
        <f>(((PI()*0.00085*H8/100)+(0.00085*H8/100*2))*G8/2)*4</f>
        <v>7.4535509230176725E-2</v>
      </c>
    </row>
    <row r="9" spans="1:19">
      <c r="A9" s="126"/>
      <c r="B9" s="126"/>
      <c r="C9" s="126"/>
      <c r="D9" s="9">
        <v>2017</v>
      </c>
      <c r="E9" s="9">
        <v>28</v>
      </c>
      <c r="F9" s="11">
        <v>11.76</v>
      </c>
      <c r="G9" s="135"/>
      <c r="H9" s="135"/>
      <c r="I9" s="124"/>
      <c r="M9" s="15"/>
      <c r="N9" s="15"/>
      <c r="O9" s="15"/>
      <c r="P9" s="15"/>
    </row>
    <row r="10" spans="1:19">
      <c r="A10" s="126"/>
      <c r="B10" s="126"/>
      <c r="C10" s="126"/>
      <c r="D10" s="9">
        <v>2018</v>
      </c>
      <c r="E10" s="9">
        <v>68</v>
      </c>
      <c r="F10" s="11">
        <v>7.27</v>
      </c>
      <c r="G10" s="135"/>
      <c r="H10" s="135"/>
      <c r="I10" s="125"/>
    </row>
    <row r="11" spans="1:19">
      <c r="A11" s="126"/>
      <c r="B11" s="141">
        <v>4</v>
      </c>
      <c r="C11" s="126">
        <v>94</v>
      </c>
      <c r="D11" s="9">
        <v>2016</v>
      </c>
      <c r="E11" s="9">
        <v>0</v>
      </c>
      <c r="F11" s="11"/>
      <c r="G11" s="135">
        <f>SUM(E11:E13)</f>
        <v>90</v>
      </c>
      <c r="H11" s="135">
        <f>(F12*E12+F13*E13)/G11</f>
        <v>9.389555555555555</v>
      </c>
      <c r="I11" s="123">
        <f>(((PI()*0.00085*H11/100)+(0.00085*H11/100*2))*G11/2)*4</f>
        <v>7.3864222893324047E-2</v>
      </c>
    </row>
    <row r="12" spans="1:19">
      <c r="A12" s="126"/>
      <c r="B12" s="141"/>
      <c r="C12" s="126"/>
      <c r="D12" s="9">
        <v>2017</v>
      </c>
      <c r="E12" s="9">
        <v>28</v>
      </c>
      <c r="F12" s="11">
        <v>12.4</v>
      </c>
      <c r="G12" s="135"/>
      <c r="H12" s="135"/>
      <c r="I12" s="124"/>
    </row>
    <row r="13" spans="1:19">
      <c r="A13" s="126"/>
      <c r="B13" s="141"/>
      <c r="C13" s="126"/>
      <c r="D13" s="9">
        <v>2018</v>
      </c>
      <c r="E13" s="9">
        <v>62</v>
      </c>
      <c r="F13" s="11">
        <v>8.0299999999999994</v>
      </c>
      <c r="G13" s="135"/>
      <c r="H13" s="135"/>
      <c r="I13" s="125"/>
    </row>
    <row r="14" spans="1:19">
      <c r="A14" s="126"/>
      <c r="B14" s="126">
        <v>5</v>
      </c>
      <c r="C14" s="126">
        <v>55</v>
      </c>
      <c r="D14" s="9">
        <v>2016</v>
      </c>
      <c r="E14" s="9">
        <v>4</v>
      </c>
      <c r="F14" s="11">
        <v>7.93</v>
      </c>
      <c r="G14" s="135">
        <f>SUM(E14:E16)</f>
        <v>110</v>
      </c>
      <c r="H14" s="135">
        <f>(F14*E14+F15*E15+F16*E16)/G14</f>
        <v>9.1205454545454536</v>
      </c>
      <c r="I14" s="123">
        <f>(((PI()*0.00085*H14/100)+(0.00085*H14/100*2))*G14/2)*4</f>
        <v>8.7692022175888423E-2</v>
      </c>
    </row>
    <row r="15" spans="1:19">
      <c r="A15" s="126"/>
      <c r="B15" s="126"/>
      <c r="C15" s="126"/>
      <c r="D15" s="9">
        <v>2017</v>
      </c>
      <c r="E15" s="9">
        <v>36</v>
      </c>
      <c r="F15" s="11">
        <v>11.244999999999999</v>
      </c>
      <c r="G15" s="135"/>
      <c r="H15" s="135"/>
      <c r="I15" s="124"/>
    </row>
    <row r="16" spans="1:19">
      <c r="A16" s="126"/>
      <c r="B16" s="126"/>
      <c r="C16" s="126"/>
      <c r="D16" s="9">
        <v>2018</v>
      </c>
      <c r="E16" s="9">
        <v>70</v>
      </c>
      <c r="F16" s="11">
        <v>8.0960000000000001</v>
      </c>
      <c r="G16" s="135"/>
      <c r="H16" s="135"/>
      <c r="I16" s="125"/>
    </row>
    <row r="17" spans="1:9">
      <c r="A17" s="126"/>
      <c r="B17" s="126">
        <v>6</v>
      </c>
      <c r="C17" s="126">
        <v>55</v>
      </c>
      <c r="D17" s="9">
        <v>2016</v>
      </c>
      <c r="E17" s="9">
        <v>0</v>
      </c>
      <c r="F17" s="11"/>
      <c r="G17" s="135">
        <f>SUM(E17:E19)</f>
        <v>100</v>
      </c>
      <c r="H17" s="135">
        <f>(F17*E17+F18*E18+F19*E19)/G17</f>
        <v>9.2569999999999997</v>
      </c>
      <c r="I17" s="123">
        <f>(((PI()*0.00085*H17/100)+(0.00085*H17/100*2))*G17/2)*4</f>
        <v>8.0912729430277205E-2</v>
      </c>
    </row>
    <row r="18" spans="1:9">
      <c r="A18" s="126"/>
      <c r="B18" s="126"/>
      <c r="C18" s="126"/>
      <c r="D18" s="9">
        <v>2017</v>
      </c>
      <c r="E18" s="9">
        <v>28</v>
      </c>
      <c r="F18" s="11">
        <v>11.975</v>
      </c>
      <c r="G18" s="135"/>
      <c r="H18" s="135"/>
      <c r="I18" s="124"/>
    </row>
    <row r="19" spans="1:9">
      <c r="A19" s="126"/>
      <c r="B19" s="126"/>
      <c r="C19" s="126"/>
      <c r="D19" s="9">
        <v>2018</v>
      </c>
      <c r="E19" s="9">
        <v>72</v>
      </c>
      <c r="F19" s="11">
        <v>8.1999999999999993</v>
      </c>
      <c r="G19" s="135"/>
      <c r="H19" s="135"/>
      <c r="I19" s="125"/>
    </row>
    <row r="20" spans="1:9">
      <c r="A20" s="126"/>
      <c r="B20" s="126">
        <v>7</v>
      </c>
      <c r="C20" s="126">
        <v>58</v>
      </c>
      <c r="D20" s="9">
        <v>2016</v>
      </c>
      <c r="E20" s="9">
        <v>8</v>
      </c>
      <c r="F20" s="11">
        <v>6.45</v>
      </c>
      <c r="G20" s="135">
        <f>SUM(E20:E22)</f>
        <v>122</v>
      </c>
      <c r="H20" s="135">
        <f>(F20*E20+F21*E21+F22*E22)/G20</f>
        <v>7.3209836065573777</v>
      </c>
      <c r="I20" s="123">
        <f>(((PI()*0.00085*H20/100)+(0.00085*H20/100*2))*G20/2)*4</f>
        <v>7.8068503206164416E-2</v>
      </c>
    </row>
    <row r="21" spans="1:9">
      <c r="A21" s="126"/>
      <c r="B21" s="126"/>
      <c r="C21" s="126"/>
      <c r="D21" s="9">
        <v>2017</v>
      </c>
      <c r="E21" s="9">
        <v>30</v>
      </c>
      <c r="F21" s="11">
        <v>11</v>
      </c>
      <c r="G21" s="135"/>
      <c r="H21" s="135"/>
      <c r="I21" s="124"/>
    </row>
    <row r="22" spans="1:9">
      <c r="A22" s="126"/>
      <c r="B22" s="126"/>
      <c r="C22" s="126"/>
      <c r="D22" s="9">
        <v>2018</v>
      </c>
      <c r="E22" s="9">
        <v>84</v>
      </c>
      <c r="F22" s="11">
        <v>6.09</v>
      </c>
      <c r="G22" s="135"/>
      <c r="H22" s="135"/>
      <c r="I22" s="125"/>
    </row>
    <row r="23" spans="1:9">
      <c r="A23" s="126" t="s">
        <v>6</v>
      </c>
      <c r="B23" s="126">
        <v>9</v>
      </c>
      <c r="C23" s="126">
        <v>14</v>
      </c>
      <c r="D23" s="30">
        <v>2016</v>
      </c>
      <c r="E23" s="30">
        <v>12</v>
      </c>
      <c r="F23" s="32">
        <v>6.1</v>
      </c>
      <c r="G23" s="135">
        <f>SUM(E23:E25)</f>
        <v>100</v>
      </c>
      <c r="H23" s="135">
        <f>(F23*E23+F24*E24+F25*E25)/G23</f>
        <v>6.6676400000000005</v>
      </c>
      <c r="I23" s="123">
        <f>(((PI()*0.00085*H23/100)+(0.00085*H23/100*2))*G23/2)*4</f>
        <v>5.8279891029328457E-2</v>
      </c>
    </row>
    <row r="24" spans="1:9">
      <c r="A24" s="126"/>
      <c r="B24" s="126"/>
      <c r="C24" s="126"/>
      <c r="D24" s="30">
        <v>2017</v>
      </c>
      <c r="E24" s="30">
        <v>34</v>
      </c>
      <c r="F24" s="32">
        <v>6.95</v>
      </c>
      <c r="G24" s="135"/>
      <c r="H24" s="135"/>
      <c r="I24" s="124"/>
    </row>
    <row r="25" spans="1:9">
      <c r="A25" s="126"/>
      <c r="B25" s="126"/>
      <c r="C25" s="126"/>
      <c r="D25" s="30">
        <v>2018</v>
      </c>
      <c r="E25" s="30">
        <v>54</v>
      </c>
      <c r="F25" s="32">
        <v>6.6159999999999997</v>
      </c>
      <c r="G25" s="135"/>
      <c r="H25" s="135"/>
      <c r="I25" s="125"/>
    </row>
    <row r="26" spans="1:9">
      <c r="A26" s="126"/>
      <c r="B26" s="126">
        <v>10</v>
      </c>
      <c r="C26" s="126">
        <v>13</v>
      </c>
      <c r="D26" s="9">
        <v>2016</v>
      </c>
      <c r="E26" s="9">
        <v>0</v>
      </c>
      <c r="F26" s="11"/>
      <c r="G26" s="135">
        <f>SUM(E26:E28)</f>
        <v>102</v>
      </c>
      <c r="H26" s="135">
        <f>(F26*E26+F27*E27+F28*E28)/G26</f>
        <v>6.5137254901960784</v>
      </c>
      <c r="I26" s="123">
        <f>(((PI()*0.00085*H26/100)+(0.00085*H26/100*2))*G26/2)*4</f>
        <v>5.8073260703765998E-2</v>
      </c>
    </row>
    <row r="27" spans="1:9">
      <c r="A27" s="126"/>
      <c r="B27" s="126"/>
      <c r="C27" s="126"/>
      <c r="D27" s="9">
        <v>2017</v>
      </c>
      <c r="E27" s="9">
        <v>38</v>
      </c>
      <c r="F27" s="11">
        <v>6.2</v>
      </c>
      <c r="G27" s="135"/>
      <c r="H27" s="135"/>
      <c r="I27" s="124"/>
    </row>
    <row r="28" spans="1:9">
      <c r="A28" s="126"/>
      <c r="B28" s="126"/>
      <c r="C28" s="126"/>
      <c r="D28" s="9">
        <v>2018</v>
      </c>
      <c r="E28" s="9">
        <v>64</v>
      </c>
      <c r="F28" s="11">
        <v>6.7</v>
      </c>
      <c r="G28" s="135"/>
      <c r="H28" s="135"/>
      <c r="I28" s="125"/>
    </row>
    <row r="29" spans="1:9">
      <c r="A29" s="126"/>
      <c r="B29" s="126">
        <v>11</v>
      </c>
      <c r="C29" s="126">
        <v>17</v>
      </c>
      <c r="D29" s="9">
        <v>2016</v>
      </c>
      <c r="E29" s="9">
        <v>6</v>
      </c>
      <c r="F29" s="11">
        <v>6.4</v>
      </c>
      <c r="G29" s="135">
        <f>SUM(E29:E31)</f>
        <v>82</v>
      </c>
      <c r="H29" s="135">
        <f>(F29*E29+F30*E30+F31*E31)/G29</f>
        <v>5.7878048780487807</v>
      </c>
      <c r="I29" s="123">
        <f>(((PI()*0.00085*H29/100)+(0.00085*H29/100*2))*G29/2)*4</f>
        <v>4.1483397847693164E-2</v>
      </c>
    </row>
    <row r="30" spans="1:9">
      <c r="A30" s="126"/>
      <c r="B30" s="126"/>
      <c r="C30" s="126"/>
      <c r="D30" s="9">
        <v>2017</v>
      </c>
      <c r="E30" s="9">
        <v>26</v>
      </c>
      <c r="F30" s="11">
        <v>5.7</v>
      </c>
      <c r="G30" s="135"/>
      <c r="H30" s="135"/>
      <c r="I30" s="124"/>
    </row>
    <row r="31" spans="1:9">
      <c r="A31" s="126"/>
      <c r="B31" s="126"/>
      <c r="C31" s="126"/>
      <c r="D31" s="9">
        <v>2018</v>
      </c>
      <c r="E31" s="9">
        <v>50</v>
      </c>
      <c r="F31" s="11">
        <v>5.76</v>
      </c>
      <c r="G31" s="135"/>
      <c r="H31" s="135"/>
      <c r="I31" s="125"/>
    </row>
    <row r="32" spans="1:9">
      <c r="A32" s="126"/>
      <c r="B32" s="134">
        <v>12</v>
      </c>
      <c r="C32" s="126">
        <v>80</v>
      </c>
      <c r="D32" s="9">
        <v>2016</v>
      </c>
      <c r="E32" s="9">
        <v>6</v>
      </c>
      <c r="F32" s="11">
        <v>7.5</v>
      </c>
      <c r="G32" s="135">
        <f>SUM(E32:E34)</f>
        <v>122</v>
      </c>
      <c r="H32" s="135">
        <f>(F32*E32+F33*E33+F34*E34)/G32</f>
        <v>6.5272131147540975</v>
      </c>
      <c r="I32" s="123">
        <f>(((PI()*0.00085*H32/100)+(0.00085*H32/100*2))*G32/2)*4</f>
        <v>6.9604002052412586E-2</v>
      </c>
    </row>
    <row r="33" spans="1:9">
      <c r="A33" s="126"/>
      <c r="B33" s="134"/>
      <c r="C33" s="126"/>
      <c r="D33" s="9">
        <v>2017</v>
      </c>
      <c r="E33" s="9">
        <v>48</v>
      </c>
      <c r="F33" s="11">
        <v>6.6</v>
      </c>
      <c r="G33" s="135"/>
      <c r="H33" s="135"/>
      <c r="I33" s="124"/>
    </row>
    <row r="34" spans="1:9">
      <c r="A34" s="126"/>
      <c r="B34" s="134"/>
      <c r="C34" s="126"/>
      <c r="D34" s="9">
        <v>2018</v>
      </c>
      <c r="E34" s="9">
        <v>68</v>
      </c>
      <c r="F34" s="11">
        <v>6.39</v>
      </c>
      <c r="G34" s="135"/>
      <c r="H34" s="135"/>
      <c r="I34" s="125"/>
    </row>
    <row r="35" spans="1:9">
      <c r="A35" s="126"/>
      <c r="B35" s="126">
        <v>13</v>
      </c>
      <c r="C35" s="126">
        <v>18</v>
      </c>
      <c r="D35" s="30">
        <v>2016</v>
      </c>
      <c r="E35" s="30">
        <v>0</v>
      </c>
      <c r="F35" s="32"/>
      <c r="G35" s="135">
        <f>SUM(E36:E37)</f>
        <v>98</v>
      </c>
      <c r="H35" s="135">
        <f>(F36*E36+F37*E37)/G35</f>
        <v>6.6428571428571432</v>
      </c>
      <c r="I35" s="123">
        <f>(((PI()*0.00085*H35/100)+(0.00085*H35/100*2))*G35/2)*4</f>
        <v>5.6902005897278236E-2</v>
      </c>
    </row>
    <row r="36" spans="1:9">
      <c r="A36" s="126"/>
      <c r="B36" s="126"/>
      <c r="C36" s="126"/>
      <c r="D36" s="9">
        <v>2017</v>
      </c>
      <c r="E36" s="9">
        <v>30</v>
      </c>
      <c r="F36" s="11">
        <v>7.25</v>
      </c>
      <c r="G36" s="135"/>
      <c r="H36" s="135"/>
      <c r="I36" s="124"/>
    </row>
    <row r="37" spans="1:9">
      <c r="A37" s="126"/>
      <c r="B37" s="126"/>
      <c r="C37" s="126"/>
      <c r="D37" s="9">
        <v>2018</v>
      </c>
      <c r="E37" s="9">
        <v>68</v>
      </c>
      <c r="F37" s="11">
        <v>6.375</v>
      </c>
      <c r="G37" s="135"/>
      <c r="H37" s="135"/>
      <c r="I37" s="125"/>
    </row>
    <row r="38" spans="1:9">
      <c r="A38" s="126"/>
      <c r="B38" s="126">
        <v>14</v>
      </c>
      <c r="C38" s="126">
        <v>80</v>
      </c>
      <c r="D38" s="9">
        <v>2016</v>
      </c>
      <c r="E38" s="9">
        <v>2</v>
      </c>
      <c r="F38" s="11">
        <v>7.9</v>
      </c>
      <c r="G38" s="135">
        <f>SUM(E38:E40)</f>
        <v>114</v>
      </c>
      <c r="H38" s="135">
        <f>(F38*E38+F39*E39+F40*E40)/G38</f>
        <v>6.9610526315789469</v>
      </c>
      <c r="I38" s="123">
        <f>(((PI()*0.00085*H38/100)+(0.00085*H38/100*2))*G38/2)*4</f>
        <v>6.9362758525106163E-2</v>
      </c>
    </row>
    <row r="39" spans="1:9">
      <c r="A39" s="126"/>
      <c r="B39" s="126"/>
      <c r="C39" s="126"/>
      <c r="D39" s="9">
        <v>2017</v>
      </c>
      <c r="E39" s="9">
        <v>44</v>
      </c>
      <c r="F39" s="11">
        <v>7.6</v>
      </c>
      <c r="G39" s="135"/>
      <c r="H39" s="135"/>
      <c r="I39" s="124"/>
    </row>
    <row r="40" spans="1:9">
      <c r="A40" s="126"/>
      <c r="B40" s="126"/>
      <c r="C40" s="126"/>
      <c r="D40" s="9">
        <v>2018</v>
      </c>
      <c r="E40" s="9">
        <v>68</v>
      </c>
      <c r="F40" s="11">
        <v>6.52</v>
      </c>
      <c r="G40" s="135"/>
      <c r="H40" s="135"/>
      <c r="I40" s="125"/>
    </row>
    <row r="41" spans="1:9">
      <c r="A41" s="126"/>
      <c r="B41" s="126">
        <v>15</v>
      </c>
      <c r="C41" s="126">
        <v>14</v>
      </c>
      <c r="D41" s="9">
        <v>2016</v>
      </c>
      <c r="E41" s="9">
        <v>12</v>
      </c>
      <c r="F41" s="11">
        <v>6.1</v>
      </c>
      <c r="G41" s="135">
        <f>SUM(E41:E43)</f>
        <v>110</v>
      </c>
      <c r="H41" s="135">
        <f>(F41*E41+F42*E42+F43*E43)/G41</f>
        <v>6.6933090909090911</v>
      </c>
      <c r="I41" s="123">
        <f>(((PI()*0.00085*H41/100)+(0.00085*H41/100*2))*G41/2)*4</f>
        <v>6.4354682749544811E-2</v>
      </c>
    </row>
    <row r="42" spans="1:9">
      <c r="A42" s="126"/>
      <c r="B42" s="126"/>
      <c r="C42" s="126"/>
      <c r="D42" s="9">
        <v>2017</v>
      </c>
      <c r="E42" s="9">
        <v>44</v>
      </c>
      <c r="F42" s="11">
        <v>6.95</v>
      </c>
      <c r="G42" s="135"/>
      <c r="H42" s="135"/>
      <c r="I42" s="124"/>
    </row>
    <row r="43" spans="1:9">
      <c r="A43" s="126"/>
      <c r="B43" s="126"/>
      <c r="C43" s="126"/>
      <c r="D43" s="9">
        <v>2018</v>
      </c>
      <c r="E43" s="9">
        <v>54</v>
      </c>
      <c r="F43" s="11">
        <v>6.6159999999999997</v>
      </c>
      <c r="G43" s="135"/>
      <c r="H43" s="135"/>
      <c r="I43" s="125"/>
    </row>
  </sheetData>
  <mergeCells count="72">
    <mergeCell ref="G26:G28"/>
    <mergeCell ref="H26:H28"/>
    <mergeCell ref="G20:G22"/>
    <mergeCell ref="H20:H22"/>
    <mergeCell ref="G41:G43"/>
    <mergeCell ref="H41:H43"/>
    <mergeCell ref="G23:G25"/>
    <mergeCell ref="H23:H25"/>
    <mergeCell ref="G38:G40"/>
    <mergeCell ref="H38:H40"/>
    <mergeCell ref="G35:G37"/>
    <mergeCell ref="H35:H37"/>
    <mergeCell ref="G32:G34"/>
    <mergeCell ref="H32:H34"/>
    <mergeCell ref="G29:G31"/>
    <mergeCell ref="H29:H31"/>
    <mergeCell ref="A2:A22"/>
    <mergeCell ref="B2:B4"/>
    <mergeCell ref="C2:C4"/>
    <mergeCell ref="B5:B7"/>
    <mergeCell ref="C5:C7"/>
    <mergeCell ref="B8:B10"/>
    <mergeCell ref="C8:C10"/>
    <mergeCell ref="B11:B13"/>
    <mergeCell ref="B14:B16"/>
    <mergeCell ref="C14:C16"/>
    <mergeCell ref="B20:B22"/>
    <mergeCell ref="C20:C22"/>
    <mergeCell ref="C11:C13"/>
    <mergeCell ref="A23:A43"/>
    <mergeCell ref="B23:B25"/>
    <mergeCell ref="C23:C25"/>
    <mergeCell ref="B29:B31"/>
    <mergeCell ref="B38:B40"/>
    <mergeCell ref="C38:C40"/>
    <mergeCell ref="C29:C31"/>
    <mergeCell ref="B26:B28"/>
    <mergeCell ref="C26:C28"/>
    <mergeCell ref="B35:B37"/>
    <mergeCell ref="C35:C37"/>
    <mergeCell ref="B41:B43"/>
    <mergeCell ref="C41:C43"/>
    <mergeCell ref="B32:B34"/>
    <mergeCell ref="C32:C34"/>
    <mergeCell ref="G14:G16"/>
    <mergeCell ref="H14:H16"/>
    <mergeCell ref="B17:B19"/>
    <mergeCell ref="C17:C19"/>
    <mergeCell ref="G17:G19"/>
    <mergeCell ref="H17:H19"/>
    <mergeCell ref="G11:G13"/>
    <mergeCell ref="H11:H13"/>
    <mergeCell ref="I2:I4"/>
    <mergeCell ref="I5:I7"/>
    <mergeCell ref="I8:I10"/>
    <mergeCell ref="I11:I13"/>
    <mergeCell ref="H2:H4"/>
    <mergeCell ref="G2:G4"/>
    <mergeCell ref="H5:H7"/>
    <mergeCell ref="G5:G7"/>
    <mergeCell ref="G8:G10"/>
    <mergeCell ref="H8:H10"/>
    <mergeCell ref="I35:I37"/>
    <mergeCell ref="I41:I43"/>
    <mergeCell ref="I32:I34"/>
    <mergeCell ref="I38:I40"/>
    <mergeCell ref="I14:I16"/>
    <mergeCell ref="I17:I19"/>
    <mergeCell ref="I20:I22"/>
    <mergeCell ref="I23:I25"/>
    <mergeCell ref="I29:I31"/>
    <mergeCell ref="I26:I28"/>
  </mergeCell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3"/>
  <sheetViews>
    <sheetView topLeftCell="A13" workbookViewId="0">
      <selection activeCell="I29" sqref="I29:I31"/>
    </sheetView>
  </sheetViews>
  <sheetFormatPr defaultRowHeight="15"/>
  <cols>
    <col min="1" max="1" width="10.28515625" customWidth="1"/>
    <col min="6" max="6" width="10.7109375" customWidth="1"/>
    <col min="7" max="7" width="7" bestFit="1" customWidth="1"/>
    <col min="8" max="9" width="12" bestFit="1" customWidth="1"/>
    <col min="25" max="25" width="8.7109375" customWidth="1"/>
    <col min="26" max="26" width="5.28515625" hidden="1" customWidth="1"/>
    <col min="27" max="27" width="19.5703125" customWidth="1"/>
    <col min="28" max="28" width="17" style="1" customWidth="1"/>
    <col min="29" max="29" width="14.5703125" customWidth="1"/>
    <col min="30" max="30" width="13.7109375" customWidth="1"/>
  </cols>
  <sheetData>
    <row r="1" spans="1:19" ht="45">
      <c r="A1" s="2" t="s">
        <v>3</v>
      </c>
      <c r="B1" s="2" t="s">
        <v>0</v>
      </c>
      <c r="C1" s="2" t="s">
        <v>2</v>
      </c>
      <c r="D1" s="3" t="s">
        <v>1</v>
      </c>
      <c r="E1" s="3" t="s">
        <v>7</v>
      </c>
      <c r="F1" s="2" t="s">
        <v>5</v>
      </c>
      <c r="G1" s="10" t="s">
        <v>10</v>
      </c>
      <c r="H1" s="8" t="s">
        <v>9</v>
      </c>
      <c r="I1" s="8" t="s">
        <v>13</v>
      </c>
      <c r="J1" s="8" t="s">
        <v>14</v>
      </c>
      <c r="K1" s="8" t="s">
        <v>15</v>
      </c>
      <c r="L1" s="8" t="s">
        <v>26</v>
      </c>
      <c r="M1" s="8" t="s">
        <v>27</v>
      </c>
      <c r="O1" s="71" t="s">
        <v>62</v>
      </c>
      <c r="P1" s="70" t="s">
        <v>58</v>
      </c>
      <c r="Q1" s="70" t="s">
        <v>60</v>
      </c>
      <c r="R1" s="70" t="s">
        <v>59</v>
      </c>
      <c r="S1" s="70" t="s">
        <v>61</v>
      </c>
    </row>
    <row r="2" spans="1:19">
      <c r="A2" s="147" t="s">
        <v>4</v>
      </c>
      <c r="B2" s="147">
        <v>1</v>
      </c>
      <c r="C2" s="144">
        <v>95</v>
      </c>
      <c r="D2" s="4">
        <v>2016</v>
      </c>
      <c r="E2" s="16">
        <f>'8.8.18'!E2*0.68</f>
        <v>0</v>
      </c>
      <c r="F2" s="4">
        <v>9</v>
      </c>
      <c r="G2" s="142">
        <f>SUM(E2:E4)</f>
        <v>85.68</v>
      </c>
      <c r="H2" s="142">
        <f>(F2*E2+F3*E3+F4*E4)/G2</f>
        <v>12.507936507936508</v>
      </c>
      <c r="I2" s="123">
        <f>(((PI()*0.00085*H2/100)+(0.00085*H2/100*2))*G2/2)*4</f>
        <v>9.3672414254984848E-2</v>
      </c>
      <c r="J2" s="6">
        <f>AVERAGE(I2,I5,I8,I11,I14,I17,I20)</f>
        <v>8.4957844892613127E-2</v>
      </c>
      <c r="K2" s="6">
        <f>AVERAGE(I23:I43)</f>
        <v>6.1650957155310472E-2</v>
      </c>
      <c r="L2" s="6">
        <f>SUM(I2:I22)</f>
        <v>0.59470491424829186</v>
      </c>
      <c r="M2" s="6">
        <f>SUM(I23:I43)</f>
        <v>0.43155670008717328</v>
      </c>
      <c r="N2" t="s">
        <v>63</v>
      </c>
      <c r="O2">
        <v>2016</v>
      </c>
      <c r="P2">
        <f>AVERAGE(E32,E23,E26,E29,E35,E38,E41)</f>
        <v>4.8571428571428568</v>
      </c>
      <c r="Q2">
        <f>AVERAGE(F32,F23,F26,F29,F35,F38,F41)</f>
        <v>6.833333333333333</v>
      </c>
      <c r="R2">
        <f>AVERAGE(E2,E5,E8,E20,E11,E14,E17)</f>
        <v>2.5257142857142858</v>
      </c>
      <c r="S2">
        <f>AVERAGE(F2,F5,F8,F20,F11,F14,F17)</f>
        <v>7.916666666666667</v>
      </c>
    </row>
    <row r="3" spans="1:19">
      <c r="A3" s="147"/>
      <c r="B3" s="147"/>
      <c r="C3" s="145"/>
      <c r="D3" s="4">
        <v>2017</v>
      </c>
      <c r="E3" s="17">
        <f>'8.8.18'!E3*0.68</f>
        <v>43.52</v>
      </c>
      <c r="F3" s="4">
        <v>13</v>
      </c>
      <c r="G3" s="143"/>
      <c r="H3" s="143"/>
      <c r="I3" s="124"/>
      <c r="J3">
        <v>4.0597432488620341E-2</v>
      </c>
      <c r="K3">
        <v>3.5972712961917265E-2</v>
      </c>
      <c r="L3">
        <v>7.1045506855085594E-2</v>
      </c>
      <c r="M3">
        <v>6.2952247683355209E-2</v>
      </c>
      <c r="N3" t="s">
        <v>64</v>
      </c>
      <c r="O3">
        <v>2017</v>
      </c>
      <c r="P3">
        <f>AVERAGE(E33,E42,E39,E36,E30,E27,E24)</f>
        <v>40.760000000000005</v>
      </c>
      <c r="Q3">
        <f>AVERAGE(F33,F42,F39,F36,F30,F27,F24)</f>
        <v>6.3857142857142861</v>
      </c>
      <c r="R3">
        <f>AVERAGE(E3,E6,E15,E21,E9,E12,E18)</f>
        <v>27.297142857142855</v>
      </c>
      <c r="S3">
        <f>AVERAGE(F3,F6,F15,F21,F9,F12,F18)</f>
        <v>11.166666666666666</v>
      </c>
    </row>
    <row r="4" spans="1:19">
      <c r="A4" s="147"/>
      <c r="B4" s="147"/>
      <c r="C4" s="146"/>
      <c r="D4" s="4">
        <v>2018</v>
      </c>
      <c r="E4" s="17">
        <f>'8.8.18'!E4*0.68</f>
        <v>42.160000000000004</v>
      </c>
      <c r="F4" s="4">
        <v>12</v>
      </c>
      <c r="G4" s="143"/>
      <c r="H4" s="143"/>
      <c r="I4" s="125"/>
      <c r="J4">
        <f>J3/J2</f>
        <v>0.47785384080699755</v>
      </c>
      <c r="K4">
        <f>K3/K2</f>
        <v>0.58348993465413956</v>
      </c>
      <c r="N4" t="s">
        <v>65</v>
      </c>
      <c r="O4">
        <v>2018</v>
      </c>
      <c r="P4">
        <f>AVERAGE(E34,E43,E40,E37,E31,E28,E25)</f>
        <v>57.542857142857144</v>
      </c>
      <c r="Q4">
        <f>AVERAGE(F34,F43,F40,F37,F31,F28,F25)</f>
        <v>7.0428571428571427</v>
      </c>
      <c r="R4">
        <f>AVERAGE(E4,E7,E16,E22,E10,E19,E13)</f>
        <v>75.188571428571422</v>
      </c>
      <c r="S4">
        <f>AVERAGE(F4,F7,F16,F22,F10,F19,F13)</f>
        <v>8.75</v>
      </c>
    </row>
    <row r="5" spans="1:19">
      <c r="A5" s="147"/>
      <c r="B5" s="147">
        <v>2</v>
      </c>
      <c r="C5" s="144">
        <v>50</v>
      </c>
      <c r="D5" s="4">
        <v>2016</v>
      </c>
      <c r="E5" s="17">
        <f>'8.8.18'!E5*0.68</f>
        <v>0</v>
      </c>
      <c r="F5" s="4">
        <v>6</v>
      </c>
      <c r="G5" s="142">
        <f>SUM(E5:E7)</f>
        <v>119.68</v>
      </c>
      <c r="H5" s="142">
        <f>(F5*E5+F6*E6+F7*E7)/G5</f>
        <v>7.1818181818181825</v>
      </c>
      <c r="I5" s="123">
        <f>(((PI()*0.00085*H5/100)+(0.00085*H5/100*2))*G5/2)*4</f>
        <v>7.5128129199429489E-2</v>
      </c>
    </row>
    <row r="6" spans="1:19">
      <c r="A6" s="147"/>
      <c r="B6" s="147"/>
      <c r="C6" s="145"/>
      <c r="D6" s="4">
        <v>2017</v>
      </c>
      <c r="E6" s="17">
        <f>'8.8.18'!E6*0.68</f>
        <v>21.76</v>
      </c>
      <c r="F6" s="4">
        <v>8</v>
      </c>
      <c r="G6" s="143"/>
      <c r="H6" s="143"/>
      <c r="I6" s="124"/>
    </row>
    <row r="7" spans="1:19">
      <c r="A7" s="147"/>
      <c r="B7" s="147"/>
      <c r="C7" s="146"/>
      <c r="D7" s="4">
        <v>2018</v>
      </c>
      <c r="E7" s="17">
        <f>'8.8.18'!E7*0.68</f>
        <v>97.92</v>
      </c>
      <c r="F7" s="4">
        <v>7</v>
      </c>
      <c r="G7" s="143"/>
      <c r="H7" s="143"/>
      <c r="I7" s="125"/>
    </row>
    <row r="8" spans="1:19">
      <c r="A8" s="147"/>
      <c r="B8" s="147">
        <v>3</v>
      </c>
      <c r="C8" s="144">
        <v>97</v>
      </c>
      <c r="D8" s="4">
        <v>2016</v>
      </c>
      <c r="E8" s="17">
        <f>'8.8.18'!E8*0.68</f>
        <v>0</v>
      </c>
      <c r="F8" s="4"/>
      <c r="G8" s="142">
        <f>SUM(E8:E10)</f>
        <v>93.16</v>
      </c>
      <c r="H8" s="142">
        <v>9.0048655533900543</v>
      </c>
      <c r="I8" s="123">
        <f>(((PI()*0.00085*H8/100)+(0.00085*H8/100*2))*G8/2)*4</f>
        <v>7.3325207494023312E-2</v>
      </c>
    </row>
    <row r="9" spans="1:19">
      <c r="A9" s="147"/>
      <c r="B9" s="147"/>
      <c r="C9" s="145"/>
      <c r="D9" s="4">
        <v>2017</v>
      </c>
      <c r="E9" s="17">
        <f>'8.8.18'!E9*0.68</f>
        <v>27.880000000000003</v>
      </c>
      <c r="F9" s="4"/>
      <c r="G9" s="143"/>
      <c r="H9" s="143"/>
      <c r="I9" s="124"/>
    </row>
    <row r="10" spans="1:19">
      <c r="A10" s="147"/>
      <c r="B10" s="147"/>
      <c r="C10" s="146"/>
      <c r="D10" s="4">
        <v>2018</v>
      </c>
      <c r="E10" s="17">
        <f>'8.8.18'!E10*0.68</f>
        <v>65.28</v>
      </c>
      <c r="F10" s="4"/>
      <c r="G10" s="143"/>
      <c r="H10" s="143"/>
      <c r="I10" s="125"/>
    </row>
    <row r="11" spans="1:19">
      <c r="A11" s="147"/>
      <c r="B11" s="147">
        <v>4</v>
      </c>
      <c r="C11" s="144">
        <v>94</v>
      </c>
      <c r="D11" s="4">
        <v>2016</v>
      </c>
      <c r="E11" s="17">
        <f>'8.8.18'!E11*0.68</f>
        <v>10.88</v>
      </c>
      <c r="F11" s="4">
        <v>6.5</v>
      </c>
      <c r="G11" s="142">
        <f>SUM(E11:E13)</f>
        <v>92.48</v>
      </c>
      <c r="H11" s="142">
        <f>(F11*E11+F12*E12+F13*E13)/G11</f>
        <v>8.1764705882352935</v>
      </c>
      <c r="I11" s="123">
        <f>(((PI()*0.00085*H11/100)+(0.00085*H11/100*2))*G11/2)*4</f>
        <v>6.6093733915953787E-2</v>
      </c>
    </row>
    <row r="12" spans="1:19">
      <c r="A12" s="147"/>
      <c r="B12" s="147"/>
      <c r="C12" s="145"/>
      <c r="D12" s="4">
        <v>2017</v>
      </c>
      <c r="E12" s="17">
        <f>'8.8.18'!E12*0.68</f>
        <v>16.32</v>
      </c>
      <c r="F12" s="4">
        <v>10</v>
      </c>
      <c r="G12" s="143"/>
      <c r="H12" s="143"/>
      <c r="I12" s="124"/>
    </row>
    <row r="13" spans="1:19">
      <c r="A13" s="147"/>
      <c r="B13" s="147"/>
      <c r="C13" s="146"/>
      <c r="D13" s="4">
        <v>2018</v>
      </c>
      <c r="E13" s="17">
        <f>'8.8.18'!E13*0.68</f>
        <v>65.28</v>
      </c>
      <c r="F13" s="4">
        <v>8</v>
      </c>
      <c r="G13" s="143"/>
      <c r="H13" s="143"/>
      <c r="I13" s="125"/>
    </row>
    <row r="14" spans="1:19">
      <c r="A14" s="147"/>
      <c r="B14" s="147">
        <v>5</v>
      </c>
      <c r="C14" s="144">
        <v>58</v>
      </c>
      <c r="D14" s="4">
        <v>2016</v>
      </c>
      <c r="E14" s="17">
        <f>'8.8.18'!E14*0.68</f>
        <v>0</v>
      </c>
      <c r="F14" s="4">
        <v>10</v>
      </c>
      <c r="G14" s="142">
        <f>SUM(E14:E16)</f>
        <v>133.28</v>
      </c>
      <c r="H14" s="142">
        <f>(F14*E14+F15*E15+F16*E16)/G14</f>
        <v>10.163265306122449</v>
      </c>
      <c r="I14" s="123">
        <f>(((PI()*0.00085*H14/100)+(0.00085*H14/100*2))*G14/2)*4</f>
        <v>0.11839812766239204</v>
      </c>
    </row>
    <row r="15" spans="1:19">
      <c r="A15" s="147"/>
      <c r="B15" s="147"/>
      <c r="C15" s="145"/>
      <c r="D15" s="4">
        <v>2017</v>
      </c>
      <c r="E15" s="17">
        <f>'8.8.18'!E15*0.68</f>
        <v>21.76</v>
      </c>
      <c r="F15" s="4">
        <v>11</v>
      </c>
      <c r="G15" s="143"/>
      <c r="H15" s="143"/>
      <c r="I15" s="124"/>
    </row>
    <row r="16" spans="1:19">
      <c r="A16" s="147"/>
      <c r="B16" s="147"/>
      <c r="C16" s="146"/>
      <c r="D16" s="4">
        <v>2018</v>
      </c>
      <c r="E16" s="17">
        <f>'8.8.18'!E16*0.68</f>
        <v>111.52000000000001</v>
      </c>
      <c r="F16" s="4">
        <v>10</v>
      </c>
      <c r="G16" s="143"/>
      <c r="H16" s="143"/>
      <c r="I16" s="125"/>
    </row>
    <row r="17" spans="1:9">
      <c r="A17" s="147"/>
      <c r="B17" s="147">
        <v>6</v>
      </c>
      <c r="C17" s="144">
        <v>55</v>
      </c>
      <c r="D17" s="4">
        <v>2016</v>
      </c>
      <c r="E17" s="17">
        <f>'8.8.18'!E17*0.68</f>
        <v>6.8000000000000007</v>
      </c>
      <c r="F17" s="4">
        <v>8</v>
      </c>
      <c r="G17" s="142">
        <f>SUM(E17:E19)</f>
        <v>115.60000000000001</v>
      </c>
      <c r="H17" s="142">
        <f>(F17*E17+F18*E18+F19*E19)/G17</f>
        <v>9.2941176470588243</v>
      </c>
      <c r="I17" s="123">
        <f>(((PI()*0.00085*H17/100)+(0.00085*H17/100*2))*G17/2)*4</f>
        <v>9.3910161499286882E-2</v>
      </c>
    </row>
    <row r="18" spans="1:9">
      <c r="A18" s="147"/>
      <c r="B18" s="147"/>
      <c r="C18" s="145"/>
      <c r="D18" s="4">
        <v>2017</v>
      </c>
      <c r="E18" s="17">
        <f>'8.8.18'!E18*0.68</f>
        <v>29.92</v>
      </c>
      <c r="F18" s="4">
        <v>13</v>
      </c>
      <c r="G18" s="143"/>
      <c r="H18" s="143"/>
      <c r="I18" s="124"/>
    </row>
    <row r="19" spans="1:9">
      <c r="A19" s="147"/>
      <c r="B19" s="147"/>
      <c r="C19" s="146"/>
      <c r="D19" s="4">
        <v>2018</v>
      </c>
      <c r="E19" s="17">
        <f>'8.8.18'!E19*0.68</f>
        <v>78.88000000000001</v>
      </c>
      <c r="F19" s="4">
        <v>8</v>
      </c>
      <c r="G19" s="143"/>
      <c r="H19" s="143"/>
      <c r="I19" s="125"/>
    </row>
    <row r="20" spans="1:9">
      <c r="A20" s="147"/>
      <c r="B20" s="147">
        <v>7</v>
      </c>
      <c r="C20" s="144">
        <v>55</v>
      </c>
      <c r="D20" s="4">
        <v>2016</v>
      </c>
      <c r="E20" s="17">
        <f>'8.8.18'!E20*0.68</f>
        <v>0</v>
      </c>
      <c r="F20" s="4">
        <v>8</v>
      </c>
      <c r="G20" s="142">
        <f>SUM(E20:E22)</f>
        <v>95.2</v>
      </c>
      <c r="H20" s="142">
        <f>(F20*E20+F21*E21+F22*E22)/G20</f>
        <v>8.9142857142857146</v>
      </c>
      <c r="I20" s="123">
        <f>(((PI()*0.00085*H20/100)+(0.00085*H20/100*2))*G20/2)*4</f>
        <v>7.4177140222221508E-2</v>
      </c>
    </row>
    <row r="21" spans="1:9">
      <c r="A21" s="147"/>
      <c r="B21" s="147"/>
      <c r="C21" s="145"/>
      <c r="D21" s="4">
        <v>2017</v>
      </c>
      <c r="E21" s="17">
        <f>'8.8.18'!E21*0.68</f>
        <v>29.92</v>
      </c>
      <c r="F21" s="4">
        <v>12</v>
      </c>
      <c r="G21" s="143"/>
      <c r="H21" s="143"/>
      <c r="I21" s="124"/>
    </row>
    <row r="22" spans="1:9">
      <c r="A22" s="147"/>
      <c r="B22" s="147"/>
      <c r="C22" s="146"/>
      <c r="D22" s="4">
        <v>2018</v>
      </c>
      <c r="E22" s="17">
        <f>'8.8.18'!E22*0.68</f>
        <v>65.28</v>
      </c>
      <c r="F22" s="4">
        <v>7.5</v>
      </c>
      <c r="G22" s="143"/>
      <c r="H22" s="143"/>
      <c r="I22" s="125"/>
    </row>
    <row r="23" spans="1:9">
      <c r="A23" s="147" t="s">
        <v>6</v>
      </c>
      <c r="B23" s="147">
        <v>9</v>
      </c>
      <c r="C23" s="144">
        <v>14</v>
      </c>
      <c r="D23" s="4">
        <v>2016</v>
      </c>
      <c r="E23" s="17">
        <f>'8.8.18'!E23*0.68</f>
        <v>0</v>
      </c>
      <c r="F23" s="4">
        <v>5.5</v>
      </c>
      <c r="G23" s="142">
        <f>SUM(E23:E25)</f>
        <v>130.56</v>
      </c>
      <c r="H23" s="142">
        <f>(F23*E23+F24*E24+F25*E25)/G23</f>
        <v>6.5833333333333348</v>
      </c>
      <c r="I23" s="123">
        <f>(((PI()*0.00085*H23/100)+(0.00085*H23/100*2))*G23/2)*4</f>
        <v>7.5128129199429489E-2</v>
      </c>
    </row>
    <row r="24" spans="1:9">
      <c r="A24" s="147"/>
      <c r="B24" s="147"/>
      <c r="C24" s="145"/>
      <c r="D24" s="4">
        <v>2017</v>
      </c>
      <c r="E24" s="17">
        <f>'8.8.18'!E24*0.68</f>
        <v>54.400000000000006</v>
      </c>
      <c r="F24" s="4">
        <v>6</v>
      </c>
      <c r="G24" s="143"/>
      <c r="H24" s="143"/>
      <c r="I24" s="124"/>
    </row>
    <row r="25" spans="1:9">
      <c r="A25" s="147"/>
      <c r="B25" s="147"/>
      <c r="C25" s="146"/>
      <c r="D25" s="4">
        <v>2018</v>
      </c>
      <c r="E25" s="17">
        <f>'8.8.18'!E25*0.68</f>
        <v>76.160000000000011</v>
      </c>
      <c r="F25" s="4">
        <v>7</v>
      </c>
      <c r="G25" s="143"/>
      <c r="H25" s="143"/>
      <c r="I25" s="125"/>
    </row>
    <row r="26" spans="1:9">
      <c r="A26" s="147"/>
      <c r="B26" s="147">
        <v>10</v>
      </c>
      <c r="C26" s="144">
        <v>13</v>
      </c>
      <c r="D26" s="4">
        <v>2016</v>
      </c>
      <c r="E26" s="17">
        <f>'8.8.18'!E26*0.68</f>
        <v>0</v>
      </c>
      <c r="F26" s="4"/>
      <c r="G26" s="142">
        <f>SUM(E26:E28)</f>
        <v>104</v>
      </c>
      <c r="H26" s="142">
        <f>(F27*E27+F28*E28)/G26</f>
        <v>6.4846153846153856</v>
      </c>
      <c r="I26" s="123">
        <f>(((PI()*0.00085*H26/100)+(0.00085*H26/100*2))*G26/2)*4</f>
        <v>5.8947331454876267E-2</v>
      </c>
    </row>
    <row r="27" spans="1:9">
      <c r="A27" s="147"/>
      <c r="B27" s="147"/>
      <c r="C27" s="145"/>
      <c r="D27" s="4">
        <v>2017</v>
      </c>
      <c r="E27" s="17">
        <v>48</v>
      </c>
      <c r="F27" s="4">
        <v>6.7</v>
      </c>
      <c r="G27" s="143"/>
      <c r="H27" s="143"/>
      <c r="I27" s="124"/>
    </row>
    <row r="28" spans="1:9">
      <c r="A28" s="147"/>
      <c r="B28" s="147"/>
      <c r="C28" s="146"/>
      <c r="D28" s="4">
        <v>2018</v>
      </c>
      <c r="E28" s="17">
        <v>56</v>
      </c>
      <c r="F28" s="4">
        <v>6.3</v>
      </c>
      <c r="G28" s="143"/>
      <c r="H28" s="143"/>
      <c r="I28" s="125"/>
    </row>
    <row r="29" spans="1:9">
      <c r="A29" s="147"/>
      <c r="B29" s="147">
        <v>11</v>
      </c>
      <c r="C29" s="144">
        <v>17</v>
      </c>
      <c r="D29" s="4">
        <v>2016</v>
      </c>
      <c r="E29" s="17">
        <f>'8.8.18'!E29*0.68</f>
        <v>0</v>
      </c>
      <c r="F29" s="4">
        <v>7</v>
      </c>
      <c r="G29" s="142">
        <f>SUM(E29:E31)</f>
        <v>69.36</v>
      </c>
      <c r="H29" s="142">
        <f>(F29*E29+F30*E30+F31*E31)/G29</f>
        <v>5.7549019607843137</v>
      </c>
      <c r="I29" s="123">
        <f>(((PI()*0.00085*H29/100)+(0.00085*H29/100*2))*G29/2)*4</f>
        <v>3.4889408101317333E-2</v>
      </c>
    </row>
    <row r="30" spans="1:9">
      <c r="A30" s="147"/>
      <c r="B30" s="147"/>
      <c r="C30" s="145"/>
      <c r="D30" s="4">
        <v>2017</v>
      </c>
      <c r="E30" s="17">
        <f>'8.8.18'!E30*0.68</f>
        <v>35.36</v>
      </c>
      <c r="F30" s="4">
        <v>6</v>
      </c>
      <c r="G30" s="143"/>
      <c r="H30" s="143"/>
      <c r="I30" s="124"/>
    </row>
    <row r="31" spans="1:9">
      <c r="A31" s="147"/>
      <c r="B31" s="147"/>
      <c r="C31" s="146"/>
      <c r="D31" s="4">
        <v>2018</v>
      </c>
      <c r="E31" s="17">
        <f>'8.8.18'!E31*0.68</f>
        <v>34</v>
      </c>
      <c r="F31" s="4">
        <v>5.5</v>
      </c>
      <c r="G31" s="143"/>
      <c r="H31" s="143"/>
      <c r="I31" s="125"/>
    </row>
    <row r="32" spans="1:9">
      <c r="A32" s="147"/>
      <c r="B32" s="147">
        <v>12</v>
      </c>
      <c r="C32" s="144">
        <v>80</v>
      </c>
      <c r="D32" s="4">
        <v>2016</v>
      </c>
      <c r="E32" s="17">
        <f>'8.8.18'!E32*0.68</f>
        <v>20.400000000000002</v>
      </c>
      <c r="F32" s="4">
        <v>7</v>
      </c>
      <c r="G32" s="142">
        <f>SUM(E32:E34)</f>
        <v>116.96000000000001</v>
      </c>
      <c r="H32" s="142">
        <f>(F32*E32+F33*E33+F34*E34)/G32</f>
        <v>7.6860465116279064</v>
      </c>
      <c r="I32" s="123">
        <f>(((PI()*0.00085*H32/100)+(0.00085*H32/100*2))*G32/2)*4</f>
        <v>7.8575464241808363E-2</v>
      </c>
    </row>
    <row r="33" spans="1:9">
      <c r="A33" s="147"/>
      <c r="B33" s="147"/>
      <c r="C33" s="145"/>
      <c r="D33" s="4">
        <v>2017</v>
      </c>
      <c r="E33" s="17">
        <f>'8.8.18'!E33*0.68</f>
        <v>25.840000000000003</v>
      </c>
      <c r="F33" s="4">
        <v>6</v>
      </c>
      <c r="G33" s="143"/>
      <c r="H33" s="143"/>
      <c r="I33" s="124"/>
    </row>
    <row r="34" spans="1:9">
      <c r="A34" s="147"/>
      <c r="B34" s="147"/>
      <c r="C34" s="146"/>
      <c r="D34" s="4">
        <v>2018</v>
      </c>
      <c r="E34" s="17">
        <f>'8.8.18'!E34*0.68</f>
        <v>70.72</v>
      </c>
      <c r="F34" s="4">
        <v>8.5</v>
      </c>
      <c r="G34" s="143"/>
      <c r="H34" s="143"/>
      <c r="I34" s="125"/>
    </row>
    <row r="35" spans="1:9">
      <c r="A35" s="147"/>
      <c r="B35" s="147">
        <v>13</v>
      </c>
      <c r="C35" s="144">
        <v>18</v>
      </c>
      <c r="D35" s="4">
        <v>2016</v>
      </c>
      <c r="E35" s="17">
        <f>'8.8.18'!E35*0.68</f>
        <v>0</v>
      </c>
      <c r="F35" s="4">
        <v>8</v>
      </c>
      <c r="G35" s="142">
        <f>SUM(E35:E37)</f>
        <v>86.360000000000014</v>
      </c>
      <c r="H35" s="142">
        <f>(F35*E35+F36*E36+F37*E37)/G35</f>
        <v>7.2598425196850389</v>
      </c>
      <c r="I35" s="123">
        <f>(((PI()*0.00085*H35/100)+(0.00085*H35/100*2))*G35/2)*4</f>
        <v>5.480073981160917E-2</v>
      </c>
    </row>
    <row r="36" spans="1:9">
      <c r="A36" s="147"/>
      <c r="B36" s="147"/>
      <c r="C36" s="145"/>
      <c r="D36" s="4">
        <v>2017</v>
      </c>
      <c r="E36" s="17">
        <f>'8.8.18'!E36*0.68</f>
        <v>41.480000000000004</v>
      </c>
      <c r="F36" s="4">
        <v>7</v>
      </c>
      <c r="G36" s="143"/>
      <c r="H36" s="143"/>
      <c r="I36" s="124"/>
    </row>
    <row r="37" spans="1:9">
      <c r="A37" s="147"/>
      <c r="B37" s="147"/>
      <c r="C37" s="146"/>
      <c r="D37" s="4">
        <v>2018</v>
      </c>
      <c r="E37" s="17">
        <f>'8.8.18'!E37*0.68</f>
        <v>44.88</v>
      </c>
      <c r="F37" s="4">
        <v>7.5</v>
      </c>
      <c r="G37" s="143"/>
      <c r="H37" s="143"/>
      <c r="I37" s="125"/>
    </row>
    <row r="38" spans="1:9">
      <c r="A38" s="147"/>
      <c r="B38" s="147">
        <v>14</v>
      </c>
      <c r="C38" s="144">
        <v>80</v>
      </c>
      <c r="D38" s="4">
        <v>2016</v>
      </c>
      <c r="E38" s="17">
        <f>'8.8.18'!E38*0.68</f>
        <v>0</v>
      </c>
      <c r="F38" s="4">
        <v>7</v>
      </c>
      <c r="G38" s="142">
        <f>SUM(E38:E40)</f>
        <v>100.64000000000001</v>
      </c>
      <c r="H38" s="142">
        <f>(F38*E38+F39*E39+F40*E40)/G38</f>
        <v>6.8108108108108105</v>
      </c>
      <c r="I38" s="123">
        <f>(((PI()*0.00085*H38/100)+(0.00085*H38/100*2))*G38/2)*4</f>
        <v>5.9912305564102E-2</v>
      </c>
    </row>
    <row r="39" spans="1:9">
      <c r="A39" s="147"/>
      <c r="B39" s="147"/>
      <c r="C39" s="145"/>
      <c r="D39" s="4">
        <v>2017</v>
      </c>
      <c r="E39" s="17">
        <f>'8.8.18'!E39*0.68</f>
        <v>46.24</v>
      </c>
      <c r="F39" s="4">
        <v>6</v>
      </c>
      <c r="G39" s="143"/>
      <c r="H39" s="143"/>
      <c r="I39" s="124"/>
    </row>
    <row r="40" spans="1:9">
      <c r="A40" s="147"/>
      <c r="B40" s="147"/>
      <c r="C40" s="146"/>
      <c r="D40" s="4">
        <v>2018</v>
      </c>
      <c r="E40" s="17">
        <f>'8.8.18'!E40*0.68</f>
        <v>54.400000000000006</v>
      </c>
      <c r="F40" s="4">
        <v>7.5</v>
      </c>
      <c r="G40" s="143"/>
      <c r="H40" s="143"/>
      <c r="I40" s="125"/>
    </row>
    <row r="41" spans="1:9">
      <c r="A41" s="147"/>
      <c r="B41" s="147">
        <v>15</v>
      </c>
      <c r="C41" s="144">
        <v>14</v>
      </c>
      <c r="D41" s="4">
        <v>2016</v>
      </c>
      <c r="E41" s="17">
        <f>'8.8.18'!E41*0.68</f>
        <v>13.600000000000001</v>
      </c>
      <c r="F41" s="4">
        <v>6.5</v>
      </c>
      <c r="G41" s="135">
        <f>SUM(E41:E43)</f>
        <v>114.24000000000001</v>
      </c>
      <c r="H41" s="135">
        <f>(F41*E41+F42*E42+F43*E43)/G41</f>
        <v>6.9404761904761898</v>
      </c>
      <c r="I41" s="123">
        <f>(((PI()*0.00085*H41/100)+(0.00085*H41/100*2))*G41/2)*4</f>
        <v>6.9303321714030669E-2</v>
      </c>
    </row>
    <row r="42" spans="1:9">
      <c r="A42" s="147"/>
      <c r="B42" s="147"/>
      <c r="C42" s="145"/>
      <c r="D42" s="4">
        <v>2017</v>
      </c>
      <c r="E42" s="17">
        <f>'8.8.18'!E42*0.68</f>
        <v>34</v>
      </c>
      <c r="F42" s="4">
        <v>7</v>
      </c>
      <c r="G42" s="135"/>
      <c r="H42" s="135"/>
      <c r="I42" s="124"/>
    </row>
    <row r="43" spans="1:9">
      <c r="A43" s="147"/>
      <c r="B43" s="147"/>
      <c r="C43" s="146"/>
      <c r="D43" s="4">
        <v>2018</v>
      </c>
      <c r="E43" s="17">
        <f>'8.8.18'!E43*0.68</f>
        <v>66.64</v>
      </c>
      <c r="F43" s="4">
        <v>7</v>
      </c>
      <c r="G43" s="135"/>
      <c r="H43" s="135"/>
      <c r="I43" s="125"/>
    </row>
  </sheetData>
  <mergeCells count="72">
    <mergeCell ref="B20:B22"/>
    <mergeCell ref="A2:A22"/>
    <mergeCell ref="C2:C4"/>
    <mergeCell ref="C5:C7"/>
    <mergeCell ref="C8:C10"/>
    <mergeCell ref="C11:C13"/>
    <mergeCell ref="C14:C16"/>
    <mergeCell ref="C17:C19"/>
    <mergeCell ref="C20:C22"/>
    <mergeCell ref="B2:B4"/>
    <mergeCell ref="B5:B7"/>
    <mergeCell ref="B8:B10"/>
    <mergeCell ref="B11:B13"/>
    <mergeCell ref="B14:B16"/>
    <mergeCell ref="B17:B19"/>
    <mergeCell ref="C23:C25"/>
    <mergeCell ref="B23:B25"/>
    <mergeCell ref="A23:A43"/>
    <mergeCell ref="C26:C28"/>
    <mergeCell ref="B26:B28"/>
    <mergeCell ref="C29:C31"/>
    <mergeCell ref="B29:B31"/>
    <mergeCell ref="C32:C34"/>
    <mergeCell ref="B32:B34"/>
    <mergeCell ref="C35:C37"/>
    <mergeCell ref="B35:B37"/>
    <mergeCell ref="C38:C40"/>
    <mergeCell ref="B38:B40"/>
    <mergeCell ref="C41:C43"/>
    <mergeCell ref="B41:B43"/>
    <mergeCell ref="G2:G4"/>
    <mergeCell ref="H2:H4"/>
    <mergeCell ref="I2:I4"/>
    <mergeCell ref="G5:G7"/>
    <mergeCell ref="H5:H7"/>
    <mergeCell ref="I5:I7"/>
    <mergeCell ref="G8:G10"/>
    <mergeCell ref="H8:H10"/>
    <mergeCell ref="I8:I10"/>
    <mergeCell ref="G11:G13"/>
    <mergeCell ref="H11:H13"/>
    <mergeCell ref="I11:I13"/>
    <mergeCell ref="G14:G16"/>
    <mergeCell ref="H14:H16"/>
    <mergeCell ref="I14:I16"/>
    <mergeCell ref="G17:G19"/>
    <mergeCell ref="H17:H19"/>
    <mergeCell ref="I17:I19"/>
    <mergeCell ref="G20:G22"/>
    <mergeCell ref="H20:H22"/>
    <mergeCell ref="I20:I22"/>
    <mergeCell ref="G23:G25"/>
    <mergeCell ref="H23:H25"/>
    <mergeCell ref="I23:I25"/>
    <mergeCell ref="G26:G28"/>
    <mergeCell ref="H26:H28"/>
    <mergeCell ref="I26:I28"/>
    <mergeCell ref="G29:G31"/>
    <mergeCell ref="H29:H31"/>
    <mergeCell ref="I29:I31"/>
    <mergeCell ref="G32:G34"/>
    <mergeCell ref="H32:H34"/>
    <mergeCell ref="I32:I34"/>
    <mergeCell ref="G35:G37"/>
    <mergeCell ref="H35:H37"/>
    <mergeCell ref="I35:I37"/>
    <mergeCell ref="G38:G40"/>
    <mergeCell ref="H38:H40"/>
    <mergeCell ref="I38:I40"/>
    <mergeCell ref="G41:G43"/>
    <mergeCell ref="H41:H43"/>
    <mergeCell ref="I41:I43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3"/>
  <sheetViews>
    <sheetView topLeftCell="A8" workbookViewId="0">
      <selection activeCell="I2" sqref="I2:I43"/>
    </sheetView>
  </sheetViews>
  <sheetFormatPr defaultRowHeight="15"/>
  <cols>
    <col min="5" max="5" width="10" bestFit="1" customWidth="1"/>
    <col min="8" max="8" width="10.28515625" customWidth="1"/>
  </cols>
  <sheetData>
    <row r="1" spans="1:19" ht="30">
      <c r="A1" s="8" t="s">
        <v>3</v>
      </c>
      <c r="B1" s="8" t="s">
        <v>0</v>
      </c>
      <c r="C1" s="8" t="s">
        <v>2</v>
      </c>
      <c r="D1" s="8" t="s">
        <v>1</v>
      </c>
      <c r="E1" s="8" t="s">
        <v>7</v>
      </c>
      <c r="F1" s="8" t="s">
        <v>8</v>
      </c>
      <c r="G1" s="10" t="s">
        <v>10</v>
      </c>
      <c r="H1" s="8" t="s">
        <v>9</v>
      </c>
      <c r="I1" s="8" t="s">
        <v>13</v>
      </c>
      <c r="J1" s="8" t="s">
        <v>14</v>
      </c>
      <c r="K1" s="8" t="s">
        <v>15</v>
      </c>
      <c r="L1" s="8" t="s">
        <v>26</v>
      </c>
      <c r="M1" s="8" t="s">
        <v>27</v>
      </c>
      <c r="O1" s="71" t="s">
        <v>62</v>
      </c>
      <c r="P1" s="70" t="s">
        <v>58</v>
      </c>
      <c r="Q1" s="70" t="s">
        <v>60</v>
      </c>
      <c r="R1" s="70" t="s">
        <v>59</v>
      </c>
      <c r="S1" s="70" t="s">
        <v>61</v>
      </c>
    </row>
    <row r="2" spans="1:19">
      <c r="A2" s="126" t="s">
        <v>4</v>
      </c>
      <c r="B2" s="126">
        <v>1</v>
      </c>
      <c r="C2" s="127">
        <v>95</v>
      </c>
      <c r="D2" s="9">
        <v>2016</v>
      </c>
      <c r="E2" s="11">
        <v>0</v>
      </c>
      <c r="F2" s="12"/>
      <c r="G2" s="135">
        <f>SUM(E2:E4)</f>
        <v>126</v>
      </c>
      <c r="H2" s="135">
        <f>(F2*E2+F3*E3+F4*E4)/G2</f>
        <v>9.9436507936507947</v>
      </c>
      <c r="I2" s="136">
        <f>(((PI()*0.00085*H2/100)+(0.00085*H2/100*2))*G2/2)*4</f>
        <v>0.10951232440660509</v>
      </c>
      <c r="J2" s="6">
        <f>AVERAGE(I2:I22)</f>
        <v>0.10697352347638024</v>
      </c>
      <c r="K2" s="6">
        <f>AVERAGE(I23:I43)</f>
        <v>8.2543745451848949E-2</v>
      </c>
      <c r="L2" s="6">
        <f>SUM(I2:I22)</f>
        <v>0.74881466433466171</v>
      </c>
      <c r="M2" s="6">
        <f>SUM(I23:I43)</f>
        <v>0.57780621816294264</v>
      </c>
      <c r="N2" t="s">
        <v>63</v>
      </c>
      <c r="O2">
        <v>2016</v>
      </c>
      <c r="P2">
        <f>AVERAGE(E32,E23,E26,E29,E35,E38,E41)</f>
        <v>10</v>
      </c>
      <c r="Q2">
        <f>AVERAGE(F32,F23,F26,F29,F35,F38,F41)</f>
        <v>5.73</v>
      </c>
      <c r="R2">
        <f>AVERAGE(E2,E5,E8,E20,E11,E14,E17)</f>
        <v>3.7142857142857144</v>
      </c>
      <c r="S2">
        <f>AVERAGE(F2,F5,F8,F20,F11,F14,F17)</f>
        <v>6.54</v>
      </c>
    </row>
    <row r="3" spans="1:19">
      <c r="A3" s="126"/>
      <c r="B3" s="126"/>
      <c r="C3" s="128"/>
      <c r="D3" s="9">
        <v>2017</v>
      </c>
      <c r="E3" s="11">
        <v>64</v>
      </c>
      <c r="F3" s="12">
        <v>11.1</v>
      </c>
      <c r="G3" s="135"/>
      <c r="H3" s="135"/>
      <c r="I3" s="136"/>
      <c r="J3">
        <v>5.4366674640506561E-2</v>
      </c>
      <c r="K3">
        <v>4.4980005762008231E-2</v>
      </c>
      <c r="L3">
        <v>9.5141680620886487E-2</v>
      </c>
      <c r="M3">
        <v>7.8715010083514406E-2</v>
      </c>
      <c r="N3" t="s">
        <v>64</v>
      </c>
      <c r="O3">
        <v>2017</v>
      </c>
      <c r="P3">
        <f>AVERAGE(E33,E42,E39,E36,E30,E27,E24)</f>
        <v>63.857142857142854</v>
      </c>
      <c r="Q3">
        <f>AVERAGE(F33,F42,F39,F36,F30,F27,F24)</f>
        <v>6.2085714285714273</v>
      </c>
      <c r="R3">
        <f>AVERAGE(E3,E6,E15,E21,E9,E12,E18)</f>
        <v>40.142857142857146</v>
      </c>
      <c r="S3">
        <f>AVERAGE(F3,F6,F15,F21,F9,F12,F18)</f>
        <v>11.018571428571429</v>
      </c>
    </row>
    <row r="4" spans="1:19">
      <c r="A4" s="126"/>
      <c r="B4" s="126"/>
      <c r="C4" s="129"/>
      <c r="D4" s="9">
        <v>2018</v>
      </c>
      <c r="E4" s="11">
        <v>62</v>
      </c>
      <c r="F4" s="12">
        <v>8.75</v>
      </c>
      <c r="G4" s="135"/>
      <c r="H4" s="135"/>
      <c r="I4" s="136"/>
      <c r="J4">
        <f>J3/J2</f>
        <v>0.50822552042525482</v>
      </c>
      <c r="K4">
        <f>K3/K2</f>
        <v>0.54492324664679603</v>
      </c>
      <c r="N4" t="s">
        <v>65</v>
      </c>
      <c r="O4">
        <v>2018</v>
      </c>
      <c r="P4">
        <f>AVERAGE(E34,E43,E40,E37,E31,E28,E25)</f>
        <v>84.714285714285708</v>
      </c>
      <c r="Q4">
        <f>AVERAGE(F34,F43,F40,F37,F31,F28,F25)</f>
        <v>6.0171428571428578</v>
      </c>
      <c r="R4">
        <f>AVERAGE(E4,E7,E16,E22,E10,E19,E13)</f>
        <v>110.57142857142857</v>
      </c>
      <c r="S4">
        <f>AVERAGE(F4,F7,F16,F22,F10,F19,F13)</f>
        <v>6.9785714285714286</v>
      </c>
    </row>
    <row r="5" spans="1:19">
      <c r="A5" s="126"/>
      <c r="B5" s="126">
        <v>2</v>
      </c>
      <c r="C5" s="127">
        <v>50</v>
      </c>
      <c r="D5" s="9">
        <v>2016</v>
      </c>
      <c r="E5" s="9">
        <v>0</v>
      </c>
      <c r="F5" s="12"/>
      <c r="G5" s="135">
        <f>SUM(E5:E7)</f>
        <v>176</v>
      </c>
      <c r="H5" s="135">
        <f>(F5*E5+F6*E6+F7*E7)/G5</f>
        <v>7.7236363636363645</v>
      </c>
      <c r="I5" s="136">
        <f>(((PI()*0.00085*H5/100)+(0.00085*H5/100*2))*G5/2)*4</f>
        <v>0.11881768162292497</v>
      </c>
    </row>
    <row r="6" spans="1:19">
      <c r="A6" s="126"/>
      <c r="B6" s="126"/>
      <c r="C6" s="128"/>
      <c r="D6" s="9">
        <v>2017</v>
      </c>
      <c r="E6" s="9">
        <v>32</v>
      </c>
      <c r="F6" s="12">
        <v>10.8</v>
      </c>
      <c r="G6" s="135"/>
      <c r="H6" s="135"/>
      <c r="I6" s="136"/>
    </row>
    <row r="7" spans="1:19">
      <c r="A7" s="126"/>
      <c r="B7" s="126"/>
      <c r="C7" s="129"/>
      <c r="D7" s="9">
        <v>2018</v>
      </c>
      <c r="E7" s="9">
        <v>144</v>
      </c>
      <c r="F7" s="12">
        <v>7.04</v>
      </c>
      <c r="G7" s="135"/>
      <c r="H7" s="135"/>
      <c r="I7" s="136"/>
    </row>
    <row r="8" spans="1:19">
      <c r="A8" s="126"/>
      <c r="B8" s="126">
        <v>3</v>
      </c>
      <c r="C8" s="127">
        <v>97</v>
      </c>
      <c r="D8" s="9">
        <v>2016</v>
      </c>
      <c r="E8" s="9">
        <v>0</v>
      </c>
      <c r="F8" s="12"/>
      <c r="G8" s="135">
        <f>SUM(E8:E10)</f>
        <v>137</v>
      </c>
      <c r="H8" s="135">
        <f>(F8*E8+F9*E9+F10*E10)/G8</f>
        <v>9.3223357664233575</v>
      </c>
      <c r="I8" s="136">
        <f>(((PI()*0.00085*H8/100)+(0.00085*H8/100*2))*G8/2)*4</f>
        <v>0.11163282004879857</v>
      </c>
    </row>
    <row r="9" spans="1:19">
      <c r="A9" s="126"/>
      <c r="B9" s="126"/>
      <c r="C9" s="128"/>
      <c r="D9" s="9">
        <v>2017</v>
      </c>
      <c r="E9" s="9">
        <v>41</v>
      </c>
      <c r="F9" s="12">
        <v>11.88</v>
      </c>
      <c r="G9" s="135"/>
      <c r="H9" s="135"/>
      <c r="I9" s="136"/>
    </row>
    <row r="10" spans="1:19">
      <c r="A10" s="126"/>
      <c r="B10" s="126"/>
      <c r="C10" s="129"/>
      <c r="D10" s="9">
        <v>2018</v>
      </c>
      <c r="E10" s="9">
        <v>96</v>
      </c>
      <c r="F10" s="12">
        <v>8.23</v>
      </c>
      <c r="G10" s="135"/>
      <c r="H10" s="135"/>
      <c r="I10" s="136"/>
    </row>
    <row r="11" spans="1:19">
      <c r="A11" s="126"/>
      <c r="B11" s="126">
        <v>4</v>
      </c>
      <c r="C11" s="127">
        <v>94</v>
      </c>
      <c r="D11" s="9">
        <v>2016</v>
      </c>
      <c r="E11" s="9">
        <v>16</v>
      </c>
      <c r="F11" s="12">
        <v>7.08</v>
      </c>
      <c r="G11" s="135">
        <f>SUM(E11:E13)</f>
        <v>136</v>
      </c>
      <c r="H11" s="135">
        <f>(F11*E11+F12*E12+F13*E13)/G11</f>
        <v>7.3129411764705878</v>
      </c>
      <c r="I11" s="136">
        <f>(((PI()*0.00085*H11/100)+(0.00085*H11/100*2))*G11/2)*4</f>
        <v>8.6931580622422483E-2</v>
      </c>
    </row>
    <row r="12" spans="1:19">
      <c r="A12" s="126"/>
      <c r="B12" s="126"/>
      <c r="C12" s="128"/>
      <c r="D12" s="9">
        <v>2017</v>
      </c>
      <c r="E12" s="9">
        <v>24</v>
      </c>
      <c r="F12" s="12">
        <v>9.6</v>
      </c>
      <c r="G12" s="135"/>
      <c r="H12" s="135"/>
      <c r="I12" s="136"/>
    </row>
    <row r="13" spans="1:19">
      <c r="A13" s="126"/>
      <c r="B13" s="126"/>
      <c r="C13" s="129"/>
      <c r="D13" s="9">
        <v>2018</v>
      </c>
      <c r="E13" s="9">
        <v>96</v>
      </c>
      <c r="F13" s="12">
        <v>6.78</v>
      </c>
      <c r="G13" s="135"/>
      <c r="H13" s="135"/>
      <c r="I13" s="136"/>
    </row>
    <row r="14" spans="1:19">
      <c r="A14" s="126"/>
      <c r="B14" s="126">
        <v>5</v>
      </c>
      <c r="C14" s="127">
        <v>58</v>
      </c>
      <c r="D14" s="9">
        <v>2016</v>
      </c>
      <c r="E14" s="9">
        <v>0</v>
      </c>
      <c r="F14" s="12"/>
      <c r="G14" s="135">
        <f>SUM(E14:E16)</f>
        <v>196</v>
      </c>
      <c r="H14" s="135">
        <f>(F14*E14+F15*E15+F16*E16)/G14</f>
        <v>7.4826530612244904</v>
      </c>
      <c r="I14" s="136">
        <f>(((PI()*0.00085*H14/100)+(0.00085*H14/100*2))*G14/2)*4</f>
        <v>0.12819121635783146</v>
      </c>
    </row>
    <row r="15" spans="1:19">
      <c r="A15" s="126"/>
      <c r="B15" s="126"/>
      <c r="C15" s="128"/>
      <c r="D15" s="9">
        <v>2017</v>
      </c>
      <c r="E15" s="9">
        <v>32</v>
      </c>
      <c r="F15" s="12">
        <v>11.75</v>
      </c>
      <c r="G15" s="135"/>
      <c r="H15" s="135"/>
      <c r="I15" s="136"/>
    </row>
    <row r="16" spans="1:19">
      <c r="A16" s="126"/>
      <c r="B16" s="126"/>
      <c r="C16" s="129"/>
      <c r="D16" s="9">
        <v>2018</v>
      </c>
      <c r="E16" s="9">
        <v>164</v>
      </c>
      <c r="F16" s="12">
        <v>6.65</v>
      </c>
      <c r="G16" s="135"/>
      <c r="H16" s="135"/>
      <c r="I16" s="136"/>
    </row>
    <row r="17" spans="1:9">
      <c r="A17" s="126"/>
      <c r="B17" s="126">
        <v>6</v>
      </c>
      <c r="C17" s="127">
        <v>55</v>
      </c>
      <c r="D17" s="9">
        <v>2016</v>
      </c>
      <c r="E17" s="9">
        <v>10</v>
      </c>
      <c r="F17" s="12">
        <v>6</v>
      </c>
      <c r="G17" s="135">
        <f>SUM(E17:E19)</f>
        <v>170</v>
      </c>
      <c r="H17" s="135">
        <f>(F17*E17+F18*E18+F19*E19)/G17</f>
        <v>6.5364705882352947</v>
      </c>
      <c r="I17" s="136">
        <f>(((PI()*0.00085*H17/100)+(0.00085*H17/100*2))*G17/2)*4</f>
        <v>9.7126741863372626E-2</v>
      </c>
    </row>
    <row r="18" spans="1:9">
      <c r="A18" s="126"/>
      <c r="B18" s="126"/>
      <c r="C18" s="128"/>
      <c r="D18" s="9">
        <v>2017</v>
      </c>
      <c r="E18" s="9">
        <v>44</v>
      </c>
      <c r="F18" s="12">
        <v>11.5</v>
      </c>
      <c r="G18" s="135"/>
      <c r="H18" s="135"/>
      <c r="I18" s="136"/>
    </row>
    <row r="19" spans="1:9">
      <c r="A19" s="126"/>
      <c r="B19" s="126"/>
      <c r="C19" s="129"/>
      <c r="D19" s="9">
        <v>2018</v>
      </c>
      <c r="E19" s="9">
        <v>116</v>
      </c>
      <c r="F19" s="12">
        <v>4.7</v>
      </c>
      <c r="G19" s="135"/>
      <c r="H19" s="135"/>
      <c r="I19" s="136"/>
    </row>
    <row r="20" spans="1:9">
      <c r="A20" s="126"/>
      <c r="B20" s="126">
        <v>7</v>
      </c>
      <c r="C20" s="127">
        <v>55</v>
      </c>
      <c r="D20" s="9">
        <v>2016</v>
      </c>
      <c r="E20" s="9">
        <v>0</v>
      </c>
      <c r="F20" s="12"/>
      <c r="G20" s="135">
        <f>SUM(E20:E22)</f>
        <v>140</v>
      </c>
      <c r="H20" s="135">
        <f>(F20*E20+F21*E21+F22*E22)/G20</f>
        <v>7.894285714285715</v>
      </c>
      <c r="I20" s="136">
        <f>(((PI()*0.00085*H20/100)+(0.00085*H20/100*2))*G20/2)*4</f>
        <v>9.6602299412706483E-2</v>
      </c>
    </row>
    <row r="21" spans="1:9">
      <c r="A21" s="126"/>
      <c r="B21" s="126"/>
      <c r="C21" s="128"/>
      <c r="D21" s="9">
        <v>2017</v>
      </c>
      <c r="E21" s="9">
        <v>44</v>
      </c>
      <c r="F21" s="12">
        <v>10.5</v>
      </c>
      <c r="G21" s="135"/>
      <c r="H21" s="135"/>
      <c r="I21" s="136"/>
    </row>
    <row r="22" spans="1:9">
      <c r="A22" s="126"/>
      <c r="B22" s="126"/>
      <c r="C22" s="129"/>
      <c r="D22" s="9">
        <v>2018</v>
      </c>
      <c r="E22" s="9">
        <v>96</v>
      </c>
      <c r="F22" s="12">
        <v>6.7</v>
      </c>
      <c r="G22" s="135"/>
      <c r="H22" s="135"/>
      <c r="I22" s="136"/>
    </row>
    <row r="23" spans="1:9">
      <c r="A23" s="126" t="s">
        <v>6</v>
      </c>
      <c r="B23" s="126">
        <v>9</v>
      </c>
      <c r="C23" s="127">
        <v>14</v>
      </c>
      <c r="D23" s="9">
        <v>2016</v>
      </c>
      <c r="E23" s="9">
        <v>0</v>
      </c>
      <c r="F23" s="12"/>
      <c r="G23" s="135">
        <f>SUM(E23:E25)</f>
        <v>192</v>
      </c>
      <c r="H23" s="135">
        <f>(F23*E23+F24*E24+F25*E25)/G23</f>
        <v>6.0091666666666663</v>
      </c>
      <c r="I23" s="136">
        <f>(((PI()*0.00085*H23/100)+(0.00085*H23/100*2))*G23/2)*4</f>
        <v>0.10084678698009791</v>
      </c>
    </row>
    <row r="24" spans="1:9">
      <c r="A24" s="126"/>
      <c r="B24" s="126"/>
      <c r="C24" s="128"/>
      <c r="D24" s="9">
        <v>2017</v>
      </c>
      <c r="E24" s="9">
        <v>80</v>
      </c>
      <c r="F24" s="12">
        <v>5.77</v>
      </c>
      <c r="G24" s="135"/>
      <c r="H24" s="135"/>
      <c r="I24" s="136"/>
    </row>
    <row r="25" spans="1:9">
      <c r="A25" s="126"/>
      <c r="B25" s="126"/>
      <c r="C25" s="129"/>
      <c r="D25" s="9">
        <v>2018</v>
      </c>
      <c r="E25" s="9">
        <v>112</v>
      </c>
      <c r="F25" s="12">
        <v>6.18</v>
      </c>
      <c r="G25" s="135"/>
      <c r="H25" s="135"/>
      <c r="I25" s="136"/>
    </row>
    <row r="26" spans="1:9">
      <c r="A26" s="126"/>
      <c r="B26" s="126">
        <v>10</v>
      </c>
      <c r="C26" s="127">
        <v>13</v>
      </c>
      <c r="D26" s="9">
        <v>2016</v>
      </c>
      <c r="E26" s="9">
        <v>0</v>
      </c>
      <c r="F26" s="12"/>
      <c r="G26" s="135">
        <f>SUM(E26:E28)</f>
        <v>181</v>
      </c>
      <c r="H26" s="135">
        <f>(F26*E26+F27*E27+F28*E28)/G26</f>
        <v>5.3256353591160224</v>
      </c>
      <c r="I26" s="136">
        <f>(((PI()*0.00085*H26/100)+(0.00085*H26/100*2))*G26/2)*4</f>
        <v>8.4255175982522856E-2</v>
      </c>
    </row>
    <row r="27" spans="1:9">
      <c r="A27" s="126"/>
      <c r="B27" s="126"/>
      <c r="C27" s="128"/>
      <c r="D27" s="9">
        <v>2017</v>
      </c>
      <c r="E27" s="9">
        <v>98</v>
      </c>
      <c r="F27" s="12">
        <v>5.72</v>
      </c>
      <c r="G27" s="135"/>
      <c r="H27" s="135"/>
      <c r="I27" s="136"/>
    </row>
    <row r="28" spans="1:9">
      <c r="A28" s="126"/>
      <c r="B28" s="126"/>
      <c r="C28" s="129"/>
      <c r="D28" s="9">
        <v>2018</v>
      </c>
      <c r="E28" s="9">
        <v>83</v>
      </c>
      <c r="F28" s="12">
        <v>4.8600000000000003</v>
      </c>
      <c r="G28" s="135"/>
      <c r="H28" s="135"/>
      <c r="I28" s="136"/>
    </row>
    <row r="29" spans="1:9">
      <c r="A29" s="126"/>
      <c r="B29" s="126">
        <v>11</v>
      </c>
      <c r="C29" s="127">
        <v>17</v>
      </c>
      <c r="D29" s="9">
        <v>2016</v>
      </c>
      <c r="E29" s="9"/>
      <c r="F29" s="12"/>
      <c r="G29" s="135">
        <f>SUM(E29:E31)</f>
        <v>102</v>
      </c>
      <c r="H29" s="135">
        <f>(F29*E29+F30*E30+F31*E31)/G29</f>
        <v>5.9700000000000006</v>
      </c>
      <c r="I29" s="136">
        <f>(((PI()*0.00085*H29/100)+(0.00085*H29/100*2))*G29/2)*4</f>
        <v>5.3225664318108476E-2</v>
      </c>
    </row>
    <row r="30" spans="1:9">
      <c r="A30" s="126"/>
      <c r="B30" s="126"/>
      <c r="C30" s="128"/>
      <c r="D30" s="9">
        <v>2017</v>
      </c>
      <c r="E30" s="9">
        <v>52</v>
      </c>
      <c r="F30" s="12">
        <v>5.72</v>
      </c>
      <c r="G30" s="135"/>
      <c r="H30" s="135"/>
      <c r="I30" s="136"/>
    </row>
    <row r="31" spans="1:9">
      <c r="A31" s="126"/>
      <c r="B31" s="126"/>
      <c r="C31" s="129"/>
      <c r="D31" s="9">
        <v>2018</v>
      </c>
      <c r="E31" s="9">
        <v>50</v>
      </c>
      <c r="F31" s="12">
        <v>6.23</v>
      </c>
      <c r="G31" s="135"/>
      <c r="H31" s="135"/>
      <c r="I31" s="136"/>
    </row>
    <row r="32" spans="1:9">
      <c r="A32" s="126"/>
      <c r="B32" s="126">
        <v>12</v>
      </c>
      <c r="C32" s="127">
        <v>80</v>
      </c>
      <c r="D32" s="9">
        <v>2016</v>
      </c>
      <c r="E32" s="9">
        <v>30</v>
      </c>
      <c r="F32" s="12">
        <v>5.96</v>
      </c>
      <c r="G32" s="135">
        <f>SUM(E32:E34)</f>
        <v>172</v>
      </c>
      <c r="H32" s="135">
        <f>(F32*E32+F33*E33+F34*E34)/G32</f>
        <v>6.3359302325581393</v>
      </c>
      <c r="I32" s="136">
        <f>(((PI()*0.00085*H32/100)+(0.00085*H32/100*2))*G32/2)*4</f>
        <v>9.5254482314494418E-2</v>
      </c>
    </row>
    <row r="33" spans="1:9">
      <c r="A33" s="126"/>
      <c r="B33" s="126"/>
      <c r="C33" s="128"/>
      <c r="D33" s="9">
        <v>2017</v>
      </c>
      <c r="E33" s="9">
        <v>38</v>
      </c>
      <c r="F33" s="12">
        <v>6.43</v>
      </c>
      <c r="G33" s="135"/>
      <c r="H33" s="135"/>
      <c r="I33" s="136"/>
    </row>
    <row r="34" spans="1:9">
      <c r="A34" s="126"/>
      <c r="B34" s="126"/>
      <c r="C34" s="129"/>
      <c r="D34" s="9">
        <v>2018</v>
      </c>
      <c r="E34" s="9">
        <v>104</v>
      </c>
      <c r="F34" s="12">
        <v>6.41</v>
      </c>
      <c r="G34" s="135"/>
      <c r="H34" s="135"/>
      <c r="I34" s="136"/>
    </row>
    <row r="35" spans="1:9">
      <c r="A35" s="126"/>
      <c r="B35" s="126">
        <v>13</v>
      </c>
      <c r="C35" s="127">
        <v>18</v>
      </c>
      <c r="D35" s="9">
        <v>2016</v>
      </c>
      <c r="E35" s="9"/>
      <c r="F35" s="12"/>
      <c r="G35" s="135">
        <f>SUM(E35:E37)</f>
        <v>127</v>
      </c>
      <c r="H35" s="135">
        <f>(F35*E35+F36*E36+F37*E37)/G35</f>
        <v>6.2198425196850389</v>
      </c>
      <c r="I35" s="136">
        <f>(((PI()*0.00085*H35/100)+(0.00085*H35/100*2))*G35/2)*4</f>
        <v>6.9044596771702021E-2</v>
      </c>
    </row>
    <row r="36" spans="1:9">
      <c r="A36" s="126"/>
      <c r="B36" s="126"/>
      <c r="C36" s="128"/>
      <c r="D36" s="9">
        <v>2017</v>
      </c>
      <c r="E36" s="9">
        <v>61</v>
      </c>
      <c r="F36" s="12">
        <v>6.62</v>
      </c>
      <c r="G36" s="135"/>
      <c r="H36" s="135"/>
      <c r="I36" s="136"/>
    </row>
    <row r="37" spans="1:9">
      <c r="A37" s="126"/>
      <c r="B37" s="126"/>
      <c r="C37" s="129"/>
      <c r="D37" s="9">
        <v>2018</v>
      </c>
      <c r="E37" s="9">
        <v>66</v>
      </c>
      <c r="F37" s="12">
        <v>5.85</v>
      </c>
      <c r="G37" s="135"/>
      <c r="H37" s="135"/>
      <c r="I37" s="136"/>
    </row>
    <row r="38" spans="1:9">
      <c r="A38" s="126"/>
      <c r="B38" s="126">
        <v>14</v>
      </c>
      <c r="C38" s="127">
        <v>80</v>
      </c>
      <c r="D38" s="9">
        <v>2016</v>
      </c>
      <c r="E38" s="9">
        <v>0</v>
      </c>
      <c r="F38" s="12"/>
      <c r="G38" s="135">
        <f>SUM(E38:E40)</f>
        <v>148</v>
      </c>
      <c r="H38" s="135">
        <f>(F38*E38+F39*E39+F40*E40)/G38</f>
        <v>6.419189189189189</v>
      </c>
      <c r="I38" s="136">
        <f>(((PI()*0.00085*H38/100)+(0.00085*H38/100*2))*G38/2)*4</f>
        <v>8.3040217638479602E-2</v>
      </c>
    </row>
    <row r="39" spans="1:9">
      <c r="A39" s="126"/>
      <c r="B39" s="126"/>
      <c r="C39" s="128"/>
      <c r="D39" s="9">
        <v>2017</v>
      </c>
      <c r="E39" s="9">
        <v>68</v>
      </c>
      <c r="F39" s="12">
        <v>6.43</v>
      </c>
      <c r="G39" s="135"/>
      <c r="H39" s="135"/>
      <c r="I39" s="136"/>
    </row>
    <row r="40" spans="1:9">
      <c r="A40" s="126"/>
      <c r="B40" s="126"/>
      <c r="C40" s="129"/>
      <c r="D40" s="9">
        <v>2018</v>
      </c>
      <c r="E40" s="9">
        <v>80</v>
      </c>
      <c r="F40" s="12">
        <v>6.41</v>
      </c>
      <c r="G40" s="135"/>
      <c r="H40" s="135"/>
      <c r="I40" s="136"/>
    </row>
    <row r="41" spans="1:9">
      <c r="A41" s="126"/>
      <c r="B41" s="126">
        <v>15</v>
      </c>
      <c r="C41" s="127">
        <v>14</v>
      </c>
      <c r="D41" s="9">
        <v>2016</v>
      </c>
      <c r="E41" s="9">
        <v>20</v>
      </c>
      <c r="F41" s="12">
        <v>5.5</v>
      </c>
      <c r="G41" s="135">
        <f>SUM(E41:E43)</f>
        <v>168</v>
      </c>
      <c r="H41" s="135">
        <f>(F41*E41+F42*E42+F43*E43)/G41</f>
        <v>6.2746428571428563</v>
      </c>
      <c r="I41" s="136">
        <f>(((PI()*0.00085*H41/100)+(0.00085*H41/100*2))*G41/2)*4</f>
        <v>9.2139294157537438E-2</v>
      </c>
    </row>
    <row r="42" spans="1:9">
      <c r="A42" s="126"/>
      <c r="B42" s="126"/>
      <c r="C42" s="128"/>
      <c r="D42" s="9">
        <v>2017</v>
      </c>
      <c r="E42" s="9">
        <v>50</v>
      </c>
      <c r="F42" s="12">
        <v>6.77</v>
      </c>
      <c r="G42" s="135"/>
      <c r="H42" s="135"/>
      <c r="I42" s="136"/>
    </row>
    <row r="43" spans="1:9">
      <c r="A43" s="126"/>
      <c r="B43" s="126"/>
      <c r="C43" s="129"/>
      <c r="D43" s="9">
        <v>2018</v>
      </c>
      <c r="E43" s="9">
        <v>98</v>
      </c>
      <c r="F43" s="12">
        <v>6.18</v>
      </c>
      <c r="G43" s="135"/>
      <c r="H43" s="135"/>
      <c r="I43" s="136"/>
    </row>
  </sheetData>
  <mergeCells count="72">
    <mergeCell ref="A2:A22"/>
    <mergeCell ref="B2:B4"/>
    <mergeCell ref="C2:C4"/>
    <mergeCell ref="B5:B7"/>
    <mergeCell ref="C5:C7"/>
    <mergeCell ref="B8:B10"/>
    <mergeCell ref="C8:C10"/>
    <mergeCell ref="B11:B13"/>
    <mergeCell ref="C11:C13"/>
    <mergeCell ref="B14:B16"/>
    <mergeCell ref="C14:C16"/>
    <mergeCell ref="B17:B19"/>
    <mergeCell ref="C17:C19"/>
    <mergeCell ref="B20:B22"/>
    <mergeCell ref="C20:C22"/>
    <mergeCell ref="A23:A43"/>
    <mergeCell ref="B23:B25"/>
    <mergeCell ref="C23:C25"/>
    <mergeCell ref="B26:B28"/>
    <mergeCell ref="C26:C28"/>
    <mergeCell ref="H17:H19"/>
    <mergeCell ref="H20:H22"/>
    <mergeCell ref="B38:B40"/>
    <mergeCell ref="C38:C40"/>
    <mergeCell ref="B41:B43"/>
    <mergeCell ref="C41:C43"/>
    <mergeCell ref="B29:B31"/>
    <mergeCell ref="C29:C31"/>
    <mergeCell ref="B32:B34"/>
    <mergeCell ref="C32:C34"/>
    <mergeCell ref="B35:B37"/>
    <mergeCell ref="C35:C37"/>
    <mergeCell ref="H41:H43"/>
    <mergeCell ref="G17:G19"/>
    <mergeCell ref="G20:G22"/>
    <mergeCell ref="G23:G25"/>
    <mergeCell ref="H2:H4"/>
    <mergeCell ref="H5:H7"/>
    <mergeCell ref="H8:H10"/>
    <mergeCell ref="H11:H13"/>
    <mergeCell ref="H14:H16"/>
    <mergeCell ref="G2:G4"/>
    <mergeCell ref="G5:G7"/>
    <mergeCell ref="G8:G10"/>
    <mergeCell ref="G11:G13"/>
    <mergeCell ref="G14:G16"/>
    <mergeCell ref="G26:G28"/>
    <mergeCell ref="H23:H25"/>
    <mergeCell ref="H26:H28"/>
    <mergeCell ref="H29:H31"/>
    <mergeCell ref="H32:H34"/>
    <mergeCell ref="G41:G43"/>
    <mergeCell ref="H35:H37"/>
    <mergeCell ref="H38:H40"/>
    <mergeCell ref="G29:G31"/>
    <mergeCell ref="G32:G34"/>
    <mergeCell ref="G35:G37"/>
    <mergeCell ref="G38:G40"/>
    <mergeCell ref="I2:I4"/>
    <mergeCell ref="I5:I7"/>
    <mergeCell ref="I8:I10"/>
    <mergeCell ref="I11:I13"/>
    <mergeCell ref="I14:I16"/>
    <mergeCell ref="I32:I34"/>
    <mergeCell ref="I35:I37"/>
    <mergeCell ref="I38:I40"/>
    <mergeCell ref="I41:I43"/>
    <mergeCell ref="I17:I19"/>
    <mergeCell ref="I20:I22"/>
    <mergeCell ref="I23:I25"/>
    <mergeCell ref="I26:I28"/>
    <mergeCell ref="I29:I31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I26" sqref="I26:I28"/>
    </sheetView>
  </sheetViews>
  <sheetFormatPr defaultRowHeight="15"/>
  <cols>
    <col min="8" max="8" width="10.28515625" customWidth="1"/>
  </cols>
  <sheetData>
    <row r="1" spans="1:19" ht="75">
      <c r="A1" s="2" t="s">
        <v>3</v>
      </c>
      <c r="B1" s="2" t="s">
        <v>0</v>
      </c>
      <c r="C1" s="2" t="s">
        <v>2</v>
      </c>
      <c r="D1" s="3" t="s">
        <v>1</v>
      </c>
      <c r="E1" s="2" t="s">
        <v>7</v>
      </c>
      <c r="F1" s="2" t="s">
        <v>8</v>
      </c>
      <c r="G1" s="7" t="s">
        <v>10</v>
      </c>
      <c r="H1" s="2" t="s">
        <v>9</v>
      </c>
      <c r="I1" s="8" t="s">
        <v>13</v>
      </c>
      <c r="J1" s="8" t="s">
        <v>14</v>
      </c>
      <c r="K1" s="8" t="s">
        <v>15</v>
      </c>
      <c r="L1" s="8" t="s">
        <v>26</v>
      </c>
      <c r="M1" s="8" t="s">
        <v>27</v>
      </c>
      <c r="O1" s="71" t="s">
        <v>22</v>
      </c>
      <c r="P1" s="70" t="s">
        <v>58</v>
      </c>
      <c r="Q1" s="70" t="s">
        <v>60</v>
      </c>
      <c r="R1" s="70" t="s">
        <v>59</v>
      </c>
      <c r="S1" s="70" t="s">
        <v>61</v>
      </c>
    </row>
    <row r="2" spans="1:19">
      <c r="A2" s="147" t="s">
        <v>4</v>
      </c>
      <c r="B2" s="147">
        <v>1</v>
      </c>
      <c r="C2" s="144">
        <v>95</v>
      </c>
      <c r="D2" s="5">
        <v>2016</v>
      </c>
      <c r="E2" s="6">
        <v>0</v>
      </c>
      <c r="G2" s="148">
        <f>SUM(E2:E4)</f>
        <v>137</v>
      </c>
      <c r="H2" s="148">
        <f>(E2*F2+E3*F3+E4*F4)/SUM(E2:E4)</f>
        <v>8.0560583941605834</v>
      </c>
      <c r="I2" s="123">
        <f>(((PI()*0.00085*H2/100)+(0.00085*H2/100*2))*G2/2)*4</f>
        <v>9.64694406585377E-2</v>
      </c>
      <c r="J2" s="6">
        <f>AVERAGE(I2:I22)</f>
        <v>8.8176756841004164E-2</v>
      </c>
      <c r="K2" s="6">
        <f>AVERAGE(I23:I43)</f>
        <v>7.356254361694084E-2</v>
      </c>
      <c r="L2" s="6">
        <f>SUM(I2:I22)</f>
        <v>0.61723729788702919</v>
      </c>
      <c r="M2" s="6">
        <f>SUM(I23:I43)</f>
        <v>0.51493780531858591</v>
      </c>
      <c r="N2" t="s">
        <v>63</v>
      </c>
      <c r="O2">
        <v>2016</v>
      </c>
      <c r="P2">
        <f>AVERAGE(E32,E23,E26,E29,E35,E38,E41)</f>
        <v>8.5714285714285712</v>
      </c>
      <c r="Q2">
        <f>AVERAGE(F32,F23,F26,F29,F35,F38,F41)</f>
        <v>6.416666666666667</v>
      </c>
      <c r="R2">
        <f>AVERAGE(E2,E5,E8,E20,E11,E14,E17)</f>
        <v>14.285714285714286</v>
      </c>
      <c r="S2">
        <f>AVERAGE(F2,F5,F8,F20,F11,F14,F17)</f>
        <v>7.14</v>
      </c>
    </row>
    <row r="3" spans="1:19">
      <c r="A3" s="147"/>
      <c r="B3" s="147"/>
      <c r="C3" s="145"/>
      <c r="D3" s="5">
        <v>2017</v>
      </c>
      <c r="E3" s="6">
        <v>66</v>
      </c>
      <c r="F3">
        <v>11.86</v>
      </c>
      <c r="G3" s="149"/>
      <c r="H3" s="149"/>
      <c r="I3" s="124"/>
      <c r="J3" s="6">
        <v>4.1567479517526436E-2</v>
      </c>
      <c r="K3" s="6">
        <v>3.6773329293349685E-2</v>
      </c>
      <c r="L3" s="6">
        <v>7.2743089155671264E-2</v>
      </c>
      <c r="M3" s="6">
        <v>6.4353326263361946E-2</v>
      </c>
      <c r="N3" t="s">
        <v>64</v>
      </c>
      <c r="O3">
        <v>2017</v>
      </c>
      <c r="P3">
        <f>AVERAGE(E33,E42,E39,E36,E30,E27,E24)</f>
        <v>55.142857142857146</v>
      </c>
      <c r="Q3">
        <f>AVERAGE(F33,F42,F39,F36,F30,F27,F24)</f>
        <v>6.6557142857142848</v>
      </c>
      <c r="R3">
        <f>AVERAGE(E3,E6,E15,E21,E9,E12,E18)</f>
        <v>41.714285714285715</v>
      </c>
      <c r="S3">
        <f>AVERAGE(F3,F6,F15,F21,F9,F12,F18)</f>
        <v>10.508571428571429</v>
      </c>
    </row>
    <row r="4" spans="1:19">
      <c r="A4" s="147"/>
      <c r="B4" s="147"/>
      <c r="C4" s="146"/>
      <c r="D4" s="5">
        <v>2018</v>
      </c>
      <c r="E4" s="6">
        <v>71</v>
      </c>
      <c r="F4">
        <v>4.5199999999999996</v>
      </c>
      <c r="G4" s="149"/>
      <c r="H4" s="149"/>
      <c r="I4" s="125"/>
      <c r="J4">
        <f>J3/J2</f>
        <v>0.47141084574565151</v>
      </c>
      <c r="K4">
        <f>K3/K2</f>
        <v>0.49989203044470437</v>
      </c>
      <c r="N4" t="s">
        <v>65</v>
      </c>
      <c r="O4">
        <v>2018</v>
      </c>
      <c r="P4">
        <f>AVERAGE(E34,E43,E40,E37,E31,E28,E25)</f>
        <v>103.14285714285714</v>
      </c>
      <c r="Q4">
        <f>AVERAGE(F34,F43,F40,F37,F31,F28,F25)</f>
        <v>4.0514285714285716</v>
      </c>
      <c r="R4">
        <f>AVERAGE(E4,E7,E16,E22,E10,E19,E13)</f>
        <v>106.42857142857143</v>
      </c>
      <c r="S4">
        <f>AVERAGE(F4,F7,F16,F22,F10,F19,F13)</f>
        <v>5.1842857142857133</v>
      </c>
    </row>
    <row r="5" spans="1:19">
      <c r="A5" s="147"/>
      <c r="B5" s="147">
        <v>2</v>
      </c>
      <c r="C5" s="144">
        <v>50</v>
      </c>
      <c r="D5" s="5">
        <v>2016</v>
      </c>
      <c r="E5" s="5">
        <v>20</v>
      </c>
      <c r="F5">
        <v>7.53</v>
      </c>
      <c r="G5" s="148">
        <f>SUM(E5:E7)</f>
        <v>178</v>
      </c>
      <c r="H5" s="148">
        <f>(E5*F5+E6*F6+E7*F7)/SUM(E5:E7)</f>
        <v>5.6858426966292139</v>
      </c>
      <c r="I5" s="123">
        <f t="shared" ref="I5" si="0">(((PI()*0.00085*H5/100)+(0.00085*H5/100*2))*G5/2)*4</f>
        <v>8.8462952578367698E-2</v>
      </c>
    </row>
    <row r="6" spans="1:19">
      <c r="A6" s="147"/>
      <c r="B6" s="147"/>
      <c r="C6" s="145"/>
      <c r="D6" s="5">
        <v>2017</v>
      </c>
      <c r="E6" s="5">
        <v>20</v>
      </c>
      <c r="F6">
        <v>10.23</v>
      </c>
      <c r="G6" s="149"/>
      <c r="H6" s="149"/>
      <c r="I6" s="124"/>
    </row>
    <row r="7" spans="1:19">
      <c r="A7" s="147"/>
      <c r="B7" s="147"/>
      <c r="C7" s="146"/>
      <c r="D7" s="5">
        <v>2018</v>
      </c>
      <c r="E7" s="5">
        <v>138</v>
      </c>
      <c r="F7">
        <v>4.76</v>
      </c>
      <c r="G7" s="149"/>
      <c r="H7" s="149"/>
      <c r="I7" s="125"/>
    </row>
    <row r="8" spans="1:19">
      <c r="A8" s="147"/>
      <c r="B8" s="147">
        <v>3</v>
      </c>
      <c r="C8" s="144">
        <v>97</v>
      </c>
      <c r="D8" s="5">
        <v>2016</v>
      </c>
      <c r="E8" s="5">
        <v>20</v>
      </c>
      <c r="F8">
        <v>7.4</v>
      </c>
      <c r="G8" s="148">
        <f>SUM(E8:E10)</f>
        <v>174</v>
      </c>
      <c r="H8" s="148">
        <f>(E8*F8+E9*F9+E10*F10)/SUM(E8:E10)</f>
        <v>5.0791954022988506</v>
      </c>
      <c r="I8" s="123">
        <f t="shared" ref="I8" si="1">(((PI()*0.00085*H8/100)+(0.00085*H8/100*2))*G8/2)*4</f>
        <v>7.7248624841622981E-2</v>
      </c>
    </row>
    <row r="9" spans="1:19">
      <c r="A9" s="147"/>
      <c r="B9" s="147"/>
      <c r="C9" s="145"/>
      <c r="D9" s="5">
        <v>2017</v>
      </c>
      <c r="E9" s="5">
        <v>30</v>
      </c>
      <c r="F9">
        <v>12.25</v>
      </c>
      <c r="G9" s="149"/>
      <c r="H9" s="149"/>
      <c r="I9" s="124"/>
    </row>
    <row r="10" spans="1:19">
      <c r="A10" s="147"/>
      <c r="B10" s="147"/>
      <c r="C10" s="146"/>
      <c r="D10" s="5">
        <v>2018</v>
      </c>
      <c r="E10" s="5">
        <v>124</v>
      </c>
      <c r="F10">
        <v>2.97</v>
      </c>
      <c r="G10" s="149"/>
      <c r="H10" s="149"/>
      <c r="I10" s="125"/>
    </row>
    <row r="11" spans="1:19">
      <c r="A11" s="147"/>
      <c r="B11" s="147">
        <v>4</v>
      </c>
      <c r="C11" s="144">
        <v>94</v>
      </c>
      <c r="D11" s="5">
        <v>2016</v>
      </c>
      <c r="E11" s="5">
        <v>0</v>
      </c>
      <c r="G11" s="148">
        <f>SUM(E11:E13)</f>
        <v>132</v>
      </c>
      <c r="H11" s="148">
        <f>(E11*F11+E12*F12+E13*F13)/SUM(E11:E13)</f>
        <v>5.9130303030303031</v>
      </c>
      <c r="I11" s="123">
        <f t="shared" ref="I11" si="2">(((PI()*0.00085*H11/100)+(0.00085*H11/100*2))*G11/2)*4</f>
        <v>6.8222970265658392E-2</v>
      </c>
    </row>
    <row r="12" spans="1:19">
      <c r="A12" s="147"/>
      <c r="B12" s="147"/>
      <c r="C12" s="145"/>
      <c r="D12" s="5">
        <v>2017</v>
      </c>
      <c r="E12" s="5">
        <v>28</v>
      </c>
      <c r="F12">
        <v>9.23</v>
      </c>
      <c r="G12" s="149"/>
      <c r="H12" s="149"/>
      <c r="I12" s="124"/>
    </row>
    <row r="13" spans="1:19">
      <c r="A13" s="147"/>
      <c r="B13" s="147"/>
      <c r="C13" s="146"/>
      <c r="D13" s="5">
        <v>2018</v>
      </c>
      <c r="E13" s="5">
        <v>104</v>
      </c>
      <c r="F13">
        <v>5.0199999999999996</v>
      </c>
      <c r="G13" s="149"/>
      <c r="H13" s="149"/>
      <c r="I13" s="125"/>
    </row>
    <row r="14" spans="1:19">
      <c r="A14" s="147"/>
      <c r="B14" s="147">
        <v>5</v>
      </c>
      <c r="C14" s="144">
        <v>55</v>
      </c>
      <c r="D14" s="5">
        <v>2016</v>
      </c>
      <c r="E14" s="5">
        <v>28</v>
      </c>
      <c r="F14">
        <v>6.63</v>
      </c>
      <c r="G14" s="148">
        <f>SUM(E14:E16)</f>
        <v>240</v>
      </c>
      <c r="H14" s="148">
        <f>(E14*F14+E15*F15+E16*F16)/SUM(E14:E16)</f>
        <v>5.2489166666666671</v>
      </c>
      <c r="I14" s="123">
        <f t="shared" ref="I14" si="3">(((PI()*0.00085*H14/100)+(0.00085*H14/100*2))*G14/2)*4</f>
        <v>0.11011018880036452</v>
      </c>
    </row>
    <row r="15" spans="1:19">
      <c r="A15" s="147"/>
      <c r="B15" s="147"/>
      <c r="C15" s="145"/>
      <c r="D15" s="5">
        <v>2017</v>
      </c>
      <c r="E15" s="5">
        <v>34</v>
      </c>
      <c r="F15">
        <v>12.43</v>
      </c>
      <c r="G15" s="149"/>
      <c r="H15" s="149"/>
      <c r="I15" s="124"/>
    </row>
    <row r="16" spans="1:19">
      <c r="A16" s="147"/>
      <c r="B16" s="147"/>
      <c r="C16" s="146"/>
      <c r="D16" s="5">
        <v>2018</v>
      </c>
      <c r="E16" s="5">
        <v>178</v>
      </c>
      <c r="F16">
        <v>3.66</v>
      </c>
      <c r="G16" s="149"/>
      <c r="H16" s="149"/>
      <c r="I16" s="125"/>
    </row>
    <row r="17" spans="1:9">
      <c r="A17" s="147"/>
      <c r="B17" s="147">
        <v>6</v>
      </c>
      <c r="C17" s="144">
        <v>55</v>
      </c>
      <c r="D17" s="5">
        <v>2015</v>
      </c>
      <c r="E17" s="5">
        <v>32</v>
      </c>
      <c r="F17">
        <v>7</v>
      </c>
      <c r="G17" s="148">
        <f>SUM(E17:E19)</f>
        <v>136</v>
      </c>
      <c r="H17" s="148">
        <f>(E17*F17+E18*F18+E19*F19)/SUM(E17:E19)</f>
        <v>8.6523529411764706</v>
      </c>
      <c r="I17" s="123">
        <f t="shared" ref="I17" si="4">(((PI()*0.00085*H17/100)+(0.00085*H17/100*2))*G17/2)*4</f>
        <v>0.10285365342464708</v>
      </c>
    </row>
    <row r="18" spans="1:9">
      <c r="A18" s="147"/>
      <c r="B18" s="147"/>
      <c r="C18" s="145"/>
      <c r="D18" s="5">
        <v>2016</v>
      </c>
      <c r="E18" s="5">
        <v>62</v>
      </c>
      <c r="F18">
        <v>7.4</v>
      </c>
      <c r="G18" s="149"/>
      <c r="H18" s="149"/>
      <c r="I18" s="124"/>
    </row>
    <row r="19" spans="1:9">
      <c r="A19" s="147"/>
      <c r="B19" s="147"/>
      <c r="C19" s="146"/>
      <c r="D19" s="69">
        <v>2017</v>
      </c>
      <c r="E19" s="5">
        <v>42</v>
      </c>
      <c r="F19">
        <v>11.76</v>
      </c>
      <c r="G19" s="149"/>
      <c r="H19" s="149"/>
      <c r="I19" s="125"/>
    </row>
    <row r="20" spans="1:9">
      <c r="A20" s="147"/>
      <c r="B20" s="147">
        <v>7</v>
      </c>
      <c r="C20" s="144">
        <v>58</v>
      </c>
      <c r="D20" s="5">
        <v>2016</v>
      </c>
      <c r="E20" s="6">
        <v>0</v>
      </c>
      <c r="G20" s="148">
        <f>SUM(E21:E22)</f>
        <v>140</v>
      </c>
      <c r="H20" s="148">
        <f>(E21*F21+E22*F22)/SUM(E21:E22)</f>
        <v>6.0365714285714294</v>
      </c>
      <c r="I20" s="123">
        <f t="shared" ref="I20" si="5">(((PI()*0.00085*H20/100)+(0.00085*H20/100*2))*G20/2)*4</f>
        <v>7.3869467317830714E-2</v>
      </c>
    </row>
    <row r="21" spans="1:9">
      <c r="A21" s="147"/>
      <c r="B21" s="147"/>
      <c r="C21" s="145"/>
      <c r="D21" s="5">
        <v>2017</v>
      </c>
      <c r="E21" s="5">
        <v>52</v>
      </c>
      <c r="F21">
        <v>10.16</v>
      </c>
      <c r="G21" s="149"/>
      <c r="H21" s="149"/>
      <c r="I21" s="124"/>
    </row>
    <row r="22" spans="1:9">
      <c r="A22" s="147"/>
      <c r="B22" s="147"/>
      <c r="C22" s="146"/>
      <c r="D22" s="5">
        <v>2018</v>
      </c>
      <c r="E22" s="5">
        <v>88</v>
      </c>
      <c r="F22">
        <v>3.6</v>
      </c>
      <c r="G22" s="149"/>
      <c r="H22" s="149"/>
      <c r="I22" s="125"/>
    </row>
    <row r="23" spans="1:9">
      <c r="A23" s="147" t="s">
        <v>6</v>
      </c>
      <c r="B23" s="147">
        <v>9</v>
      </c>
      <c r="C23" s="144">
        <v>14</v>
      </c>
      <c r="D23" s="5">
        <v>2016</v>
      </c>
      <c r="E23" s="5">
        <v>0</v>
      </c>
      <c r="G23" s="148">
        <f>SUM(E23:E25)</f>
        <v>178</v>
      </c>
      <c r="H23" s="148">
        <f>(E23*F23+E24*F24+E25*F25)/SUM(E23:E25)</f>
        <v>4.6769662921348312</v>
      </c>
      <c r="I23" s="123">
        <f t="shared" ref="I23" si="6">(((PI()*0.00085*H23/100)+(0.00085*H23/100*2))*G23/2)*4</f>
        <v>7.2766390029929545E-2</v>
      </c>
    </row>
    <row r="24" spans="1:9">
      <c r="A24" s="147"/>
      <c r="B24" s="147"/>
      <c r="C24" s="145"/>
      <c r="D24" s="5">
        <v>2017</v>
      </c>
      <c r="E24" s="5">
        <v>60</v>
      </c>
      <c r="F24">
        <v>6.5</v>
      </c>
      <c r="G24" s="149"/>
      <c r="H24" s="149"/>
      <c r="I24" s="124"/>
    </row>
    <row r="25" spans="1:9">
      <c r="A25" s="147"/>
      <c r="B25" s="147"/>
      <c r="C25" s="146"/>
      <c r="D25" s="5">
        <v>2018</v>
      </c>
      <c r="E25" s="5">
        <v>118</v>
      </c>
      <c r="F25">
        <v>3.75</v>
      </c>
      <c r="G25" s="149"/>
      <c r="H25" s="149"/>
      <c r="I25" s="125"/>
    </row>
    <row r="26" spans="1:9">
      <c r="A26" s="147"/>
      <c r="B26" s="147">
        <v>10</v>
      </c>
      <c r="C26" s="144">
        <v>13</v>
      </c>
      <c r="D26" s="5">
        <v>2016</v>
      </c>
      <c r="E26" s="5">
        <v>0</v>
      </c>
      <c r="G26" s="148">
        <f>SUM(E26:E28)</f>
        <v>170</v>
      </c>
      <c r="H26" s="148">
        <f>(E26*F26+E27*F27+E28*F28)/SUM(E26:E28)</f>
        <v>4.6950588235294113</v>
      </c>
      <c r="I26" s="123">
        <f t="shared" ref="I26" si="7">(((PI()*0.00085*H26/100)+(0.00085*H26/100*2))*G26/2)*4</f>
        <v>6.9764831070616873E-2</v>
      </c>
    </row>
    <row r="27" spans="1:9">
      <c r="A27" s="147"/>
      <c r="B27" s="147"/>
      <c r="C27" s="145"/>
      <c r="D27" s="5">
        <v>2017</v>
      </c>
      <c r="E27" s="5">
        <v>44</v>
      </c>
      <c r="F27">
        <v>6.8</v>
      </c>
      <c r="G27" s="149"/>
      <c r="H27" s="149"/>
      <c r="I27" s="124"/>
    </row>
    <row r="28" spans="1:9">
      <c r="A28" s="147"/>
      <c r="B28" s="147"/>
      <c r="C28" s="146"/>
      <c r="D28" s="5">
        <v>2018</v>
      </c>
      <c r="E28" s="88">
        <v>126</v>
      </c>
      <c r="F28">
        <v>3.96</v>
      </c>
      <c r="G28" s="149"/>
      <c r="H28" s="149"/>
      <c r="I28" s="125"/>
    </row>
    <row r="29" spans="1:9">
      <c r="A29" s="147"/>
      <c r="B29" s="147">
        <v>11</v>
      </c>
      <c r="C29" s="144">
        <v>17</v>
      </c>
      <c r="D29" s="5">
        <v>2016</v>
      </c>
      <c r="E29" s="5">
        <v>0</v>
      </c>
      <c r="G29" s="148">
        <f>SUM(E29:E31)</f>
        <v>124</v>
      </c>
      <c r="H29" s="148">
        <f>(E29*F29+E30*F30+E31*F31)/SUM(E29:E31)</f>
        <v>5.4387096774193546</v>
      </c>
      <c r="I29" s="123">
        <f t="shared" ref="I29" si="8">(((PI()*0.00085*H29/100)+(0.00085*H29/100*2))*G29/2)*4</f>
        <v>5.8947331454876253E-2</v>
      </c>
    </row>
    <row r="30" spans="1:9">
      <c r="A30" s="147"/>
      <c r="B30" s="147"/>
      <c r="C30" s="145"/>
      <c r="D30" s="5">
        <v>2017</v>
      </c>
      <c r="E30" s="5">
        <v>76</v>
      </c>
      <c r="F30">
        <v>6.6</v>
      </c>
      <c r="G30" s="149"/>
      <c r="H30" s="149"/>
      <c r="I30" s="124"/>
    </row>
    <row r="31" spans="1:9">
      <c r="A31" s="147"/>
      <c r="B31" s="147"/>
      <c r="C31" s="146"/>
      <c r="D31" s="5">
        <v>2018</v>
      </c>
      <c r="E31" s="5">
        <v>48</v>
      </c>
      <c r="F31">
        <v>3.6</v>
      </c>
      <c r="G31" s="149"/>
      <c r="H31" s="149"/>
      <c r="I31" s="125"/>
    </row>
    <row r="32" spans="1:9">
      <c r="A32" s="147"/>
      <c r="B32" s="147">
        <v>12</v>
      </c>
      <c r="C32" s="144">
        <v>80</v>
      </c>
      <c r="D32" s="5">
        <v>2016</v>
      </c>
      <c r="E32" s="5">
        <v>30</v>
      </c>
      <c r="F32">
        <v>6.46</v>
      </c>
      <c r="G32" s="148">
        <f>SUM(E32:E34)</f>
        <v>200</v>
      </c>
      <c r="H32" s="148">
        <f>(E32*F32+E33*F33+E34*F34)/SUM(E32:E34)</f>
        <v>5.2504</v>
      </c>
      <c r="I32" s="123">
        <f t="shared" ref="I32" si="9">(((PI()*0.00085*H32/100)+(0.00085*H32/100*2))*G32/2)*4</f>
        <v>9.178442143258668E-2</v>
      </c>
    </row>
    <row r="33" spans="1:9">
      <c r="A33" s="147"/>
      <c r="B33" s="147"/>
      <c r="C33" s="145"/>
      <c r="D33" s="5">
        <v>2017</v>
      </c>
      <c r="E33" s="5">
        <v>36</v>
      </c>
      <c r="F33">
        <v>5.0999999999999996</v>
      </c>
      <c r="G33" s="149"/>
      <c r="H33" s="149"/>
      <c r="I33" s="124"/>
    </row>
    <row r="34" spans="1:9">
      <c r="A34" s="147"/>
      <c r="B34" s="147"/>
      <c r="C34" s="146"/>
      <c r="D34" s="5">
        <v>2018</v>
      </c>
      <c r="E34" s="5">
        <v>134</v>
      </c>
      <c r="F34">
        <v>5.0199999999999996</v>
      </c>
      <c r="G34" s="149"/>
      <c r="H34" s="149"/>
      <c r="I34" s="125"/>
    </row>
    <row r="35" spans="1:9">
      <c r="A35" s="147"/>
      <c r="B35" s="147">
        <v>13</v>
      </c>
      <c r="C35" s="144">
        <v>18</v>
      </c>
      <c r="D35" s="5">
        <v>2016</v>
      </c>
      <c r="E35" s="6">
        <v>0</v>
      </c>
      <c r="G35" s="148">
        <f>SUM(E36:E37)</f>
        <v>152</v>
      </c>
      <c r="H35" s="148">
        <f>(E36*F36+E37*F37)/SUM(E36:E37)</f>
        <v>4.894473684210527</v>
      </c>
      <c r="I35" s="123">
        <f t="shared" ref="I35" si="10">(((PI()*0.00085*H35/100)+(0.00085*H35/100*2))*G35/2)*4</f>
        <v>6.5027367599599262E-2</v>
      </c>
    </row>
    <row r="36" spans="1:9">
      <c r="A36" s="147"/>
      <c r="B36" s="147"/>
      <c r="C36" s="145"/>
      <c r="D36" s="5">
        <v>2017</v>
      </c>
      <c r="E36" s="5">
        <v>26</v>
      </c>
      <c r="F36">
        <v>8.26</v>
      </c>
      <c r="G36" s="149"/>
      <c r="H36" s="149"/>
      <c r="I36" s="124"/>
    </row>
    <row r="37" spans="1:9">
      <c r="A37" s="147"/>
      <c r="B37" s="147"/>
      <c r="C37" s="146"/>
      <c r="D37" s="5">
        <v>2018</v>
      </c>
      <c r="E37" s="5">
        <v>126</v>
      </c>
      <c r="F37">
        <v>4.2</v>
      </c>
      <c r="G37" s="149"/>
      <c r="H37" s="149"/>
      <c r="I37" s="125"/>
    </row>
    <row r="38" spans="1:9">
      <c r="A38" s="147"/>
      <c r="B38" s="147">
        <v>14</v>
      </c>
      <c r="C38" s="144">
        <v>80</v>
      </c>
      <c r="D38" s="5">
        <v>2016</v>
      </c>
      <c r="E38" s="5">
        <v>0</v>
      </c>
      <c r="F38">
        <v>6.46</v>
      </c>
      <c r="G38" s="148">
        <f>SUM(E38:E40)</f>
        <v>156</v>
      </c>
      <c r="H38" s="148">
        <f>(E38*F38+E39*F39+E40*F40)/SUM(E38:E40)</f>
        <v>5.3437179487179485</v>
      </c>
      <c r="I38" s="123">
        <f t="shared" ref="I38" si="11">(((PI()*0.00085*H38/100)+(0.00085*H38/100*2))*G38/2)*4</f>
        <v>7.2864285954053892E-2</v>
      </c>
    </row>
    <row r="39" spans="1:9">
      <c r="A39" s="147"/>
      <c r="B39" s="147"/>
      <c r="C39" s="145"/>
      <c r="D39" s="5">
        <v>2017</v>
      </c>
      <c r="E39" s="5">
        <v>94</v>
      </c>
      <c r="F39">
        <v>6.23</v>
      </c>
      <c r="G39" s="149"/>
      <c r="H39" s="149"/>
      <c r="I39" s="124"/>
    </row>
    <row r="40" spans="1:9">
      <c r="A40" s="147"/>
      <c r="B40" s="147"/>
      <c r="C40" s="146"/>
      <c r="D40" s="5">
        <v>2018</v>
      </c>
      <c r="E40" s="5">
        <v>62</v>
      </c>
      <c r="F40">
        <v>4</v>
      </c>
      <c r="G40" s="149"/>
      <c r="H40" s="149"/>
      <c r="I40" s="125"/>
    </row>
    <row r="41" spans="1:9">
      <c r="A41" s="147"/>
      <c r="B41" s="147">
        <v>15</v>
      </c>
      <c r="C41" s="144">
        <v>14</v>
      </c>
      <c r="D41" s="5">
        <v>2016</v>
      </c>
      <c r="E41" s="69">
        <v>30</v>
      </c>
      <c r="F41">
        <v>6.33</v>
      </c>
      <c r="G41" s="148">
        <f>SUM(E41:E43)</f>
        <v>188</v>
      </c>
      <c r="H41" s="148">
        <f>(E41*F41+E42*F42+E43*F43)/SUM(E41:E43)</f>
        <v>5.0986170212765956</v>
      </c>
      <c r="I41" s="123">
        <f t="shared" ref="I41" si="12">(((PI()*0.00085*H41/100)+(0.00085*H41/100*2))*G41/2)*4</f>
        <v>8.3783177776923318E-2</v>
      </c>
    </row>
    <row r="42" spans="1:9">
      <c r="A42" s="147"/>
      <c r="B42" s="147"/>
      <c r="C42" s="145"/>
      <c r="D42" s="5">
        <v>2017</v>
      </c>
      <c r="E42" s="5">
        <v>50</v>
      </c>
      <c r="F42">
        <v>7.1</v>
      </c>
      <c r="G42" s="149"/>
      <c r="H42" s="149"/>
      <c r="I42" s="124"/>
    </row>
    <row r="43" spans="1:9">
      <c r="A43" s="147"/>
      <c r="B43" s="147"/>
      <c r="C43" s="146"/>
      <c r="D43" s="5">
        <v>2018</v>
      </c>
      <c r="E43" s="5">
        <v>108</v>
      </c>
      <c r="F43">
        <v>3.83</v>
      </c>
      <c r="G43" s="149"/>
      <c r="H43" s="149"/>
      <c r="I43" s="125"/>
    </row>
  </sheetData>
  <mergeCells count="72">
    <mergeCell ref="C5:C7"/>
    <mergeCell ref="G5:G7"/>
    <mergeCell ref="H5:H7"/>
    <mergeCell ref="B8:B10"/>
    <mergeCell ref="C8:C10"/>
    <mergeCell ref="G8:G10"/>
    <mergeCell ref="H8:H10"/>
    <mergeCell ref="G11:G13"/>
    <mergeCell ref="H11:H13"/>
    <mergeCell ref="B14:B16"/>
    <mergeCell ref="C14:C16"/>
    <mergeCell ref="G14:G16"/>
    <mergeCell ref="H14:H16"/>
    <mergeCell ref="A23:A43"/>
    <mergeCell ref="B23:B25"/>
    <mergeCell ref="C23:C25"/>
    <mergeCell ref="G23:G25"/>
    <mergeCell ref="H23:H25"/>
    <mergeCell ref="B26:B28"/>
    <mergeCell ref="C26:C28"/>
    <mergeCell ref="G26:G28"/>
    <mergeCell ref="H26:H28"/>
    <mergeCell ref="B29:B31"/>
    <mergeCell ref="C29:C31"/>
    <mergeCell ref="G29:G31"/>
    <mergeCell ref="H29:H31"/>
    <mergeCell ref="B32:B34"/>
    <mergeCell ref="C32:C34"/>
    <mergeCell ref="G32:G34"/>
    <mergeCell ref="A2:A22"/>
    <mergeCell ref="B2:B4"/>
    <mergeCell ref="C2:C4"/>
    <mergeCell ref="G2:G4"/>
    <mergeCell ref="H2:H4"/>
    <mergeCell ref="B5:B7"/>
    <mergeCell ref="B17:B19"/>
    <mergeCell ref="C17:C19"/>
    <mergeCell ref="G17:G19"/>
    <mergeCell ref="H17:H19"/>
    <mergeCell ref="B20:B22"/>
    <mergeCell ref="C20:C22"/>
    <mergeCell ref="G20:G22"/>
    <mergeCell ref="H20:H22"/>
    <mergeCell ref="B11:B13"/>
    <mergeCell ref="C11:C13"/>
    <mergeCell ref="H32:H34"/>
    <mergeCell ref="B35:B37"/>
    <mergeCell ref="C35:C37"/>
    <mergeCell ref="G35:G37"/>
    <mergeCell ref="H35:H37"/>
    <mergeCell ref="B38:B40"/>
    <mergeCell ref="C38:C40"/>
    <mergeCell ref="G38:G40"/>
    <mergeCell ref="H38:H40"/>
    <mergeCell ref="B41:B43"/>
    <mergeCell ref="C41:C43"/>
    <mergeCell ref="G41:G43"/>
    <mergeCell ref="H41:H43"/>
    <mergeCell ref="I2:I4"/>
    <mergeCell ref="I5:I7"/>
    <mergeCell ref="I8:I10"/>
    <mergeCell ref="I11:I13"/>
    <mergeCell ref="I14:I16"/>
    <mergeCell ref="I32:I34"/>
    <mergeCell ref="I35:I37"/>
    <mergeCell ref="I38:I40"/>
    <mergeCell ref="I41:I43"/>
    <mergeCell ref="I17:I19"/>
    <mergeCell ref="I20:I22"/>
    <mergeCell ref="I23:I25"/>
    <mergeCell ref="I26:I28"/>
    <mergeCell ref="I29:I31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I29" sqref="I29:I31"/>
    </sheetView>
  </sheetViews>
  <sheetFormatPr defaultRowHeight="15"/>
  <cols>
    <col min="1" max="1" width="9.7109375" bestFit="1" customWidth="1"/>
  </cols>
  <sheetData>
    <row r="1" spans="1:19" ht="75">
      <c r="A1" s="2" t="s">
        <v>3</v>
      </c>
      <c r="B1" s="2" t="s">
        <v>0</v>
      </c>
      <c r="C1" s="2" t="s">
        <v>2</v>
      </c>
      <c r="D1" s="3" t="s">
        <v>1</v>
      </c>
      <c r="E1" s="2" t="s">
        <v>7</v>
      </c>
      <c r="F1" s="2" t="s">
        <v>8</v>
      </c>
      <c r="G1" s="7" t="s">
        <v>10</v>
      </c>
      <c r="H1" s="2" t="s">
        <v>9</v>
      </c>
      <c r="I1" s="8" t="s">
        <v>13</v>
      </c>
      <c r="J1" s="8" t="s">
        <v>14</v>
      </c>
      <c r="K1" s="8" t="s">
        <v>15</v>
      </c>
      <c r="L1" s="8" t="s">
        <v>26</v>
      </c>
      <c r="M1" s="8" t="s">
        <v>27</v>
      </c>
      <c r="O1" s="71" t="s">
        <v>22</v>
      </c>
      <c r="P1" s="70" t="s">
        <v>58</v>
      </c>
      <c r="Q1" s="70" t="s">
        <v>60</v>
      </c>
      <c r="R1" s="70" t="s">
        <v>59</v>
      </c>
      <c r="S1" s="70" t="s">
        <v>61</v>
      </c>
    </row>
    <row r="2" spans="1:19">
      <c r="A2" s="147" t="s">
        <v>4</v>
      </c>
      <c r="B2" s="147">
        <v>1</v>
      </c>
      <c r="C2" s="144">
        <v>95</v>
      </c>
      <c r="D2" s="83">
        <v>2016</v>
      </c>
      <c r="E2" s="6"/>
      <c r="F2" s="6"/>
      <c r="G2" s="148"/>
      <c r="H2" s="148"/>
      <c r="I2" s="123"/>
      <c r="J2" s="6">
        <f>AVERAGE(I8:I13)</f>
        <v>6.7854112408689854E-2</v>
      </c>
      <c r="K2" s="6">
        <f>AVERAGE(I29,I35,I41)</f>
        <v>5.7350695549514837E-2</v>
      </c>
      <c r="L2" s="6">
        <f>SUM(I2:I22)</f>
        <v>0.13570822481737971</v>
      </c>
      <c r="M2" s="6">
        <f>SUM(I23:I43)</f>
        <v>0.17205208664854452</v>
      </c>
      <c r="O2">
        <v>2015</v>
      </c>
      <c r="P2" s="79">
        <f>AVERAGE(E35,E29,E41)</f>
        <v>1.3333333333333333</v>
      </c>
      <c r="Q2" s="79">
        <f>AVERAGE(F35,F29,F41)</f>
        <v>5.25</v>
      </c>
      <c r="R2">
        <f>AVERAGE(E8,E11)</f>
        <v>3</v>
      </c>
      <c r="S2">
        <f>AVERAGE(F8,F11)</f>
        <v>6.7</v>
      </c>
    </row>
    <row r="3" spans="1:19">
      <c r="A3" s="147"/>
      <c r="B3" s="147"/>
      <c r="C3" s="145"/>
      <c r="D3" s="83">
        <v>2017</v>
      </c>
      <c r="E3" s="6"/>
      <c r="F3" s="6"/>
      <c r="G3" s="149"/>
      <c r="H3" s="149"/>
      <c r="I3" s="124"/>
      <c r="O3">
        <v>2016</v>
      </c>
      <c r="P3" s="79">
        <f>AVERAGE(E30,E42,E36)</f>
        <v>62.666666666666664</v>
      </c>
      <c r="Q3" s="79">
        <f>AVERAGE(F30,F42,F36)</f>
        <v>6.5333333333333341</v>
      </c>
      <c r="R3">
        <f>AVERAGE(E9,E12)</f>
        <v>43</v>
      </c>
      <c r="S3">
        <f>AVERAGE(F3,F6,F15,F21,F9,F12,F18)</f>
        <v>6</v>
      </c>
    </row>
    <row r="4" spans="1:19">
      <c r="A4" s="147"/>
      <c r="B4" s="147"/>
      <c r="C4" s="146"/>
      <c r="D4" s="83">
        <v>2018</v>
      </c>
      <c r="E4" s="6"/>
      <c r="F4" s="6"/>
      <c r="G4" s="149"/>
      <c r="H4" s="149"/>
      <c r="I4" s="125"/>
      <c r="O4">
        <v>2017</v>
      </c>
      <c r="P4" s="79">
        <f>AVERAGE(E31,E43,E37)</f>
        <v>38.666666666666664</v>
      </c>
      <c r="Q4" s="79">
        <f>AVERAGE(F31,F43,F37)</f>
        <v>6.05</v>
      </c>
      <c r="R4">
        <f>AVERAGE(E10,E13)</f>
        <v>42</v>
      </c>
      <c r="S4">
        <f>AVERAGE(F10,F13)</f>
        <v>11.85</v>
      </c>
    </row>
    <row r="5" spans="1:19">
      <c r="A5" s="147"/>
      <c r="B5" s="147">
        <v>2</v>
      </c>
      <c r="C5" s="144">
        <v>50</v>
      </c>
      <c r="D5" s="83">
        <v>2016</v>
      </c>
      <c r="E5" s="83"/>
      <c r="F5" s="6"/>
      <c r="G5" s="148"/>
      <c r="H5" s="148"/>
      <c r="I5" s="123"/>
    </row>
    <row r="6" spans="1:19">
      <c r="A6" s="147"/>
      <c r="B6" s="147"/>
      <c r="C6" s="145"/>
      <c r="D6" s="83">
        <v>2017</v>
      </c>
      <c r="E6" s="83"/>
      <c r="F6" s="6"/>
      <c r="G6" s="149"/>
      <c r="H6" s="149"/>
      <c r="I6" s="124"/>
    </row>
    <row r="7" spans="1:19">
      <c r="A7" s="147"/>
      <c r="B7" s="147"/>
      <c r="C7" s="146"/>
      <c r="D7" s="83">
        <v>2018</v>
      </c>
      <c r="E7" s="83"/>
      <c r="F7" s="6"/>
      <c r="G7" s="149"/>
      <c r="H7" s="149"/>
      <c r="I7" s="125"/>
    </row>
    <row r="8" spans="1:19">
      <c r="A8" s="147"/>
      <c r="B8" s="147">
        <v>3</v>
      </c>
      <c r="C8" s="144">
        <v>97</v>
      </c>
      <c r="D8" s="83">
        <v>2015</v>
      </c>
      <c r="E8" s="83">
        <v>0</v>
      </c>
      <c r="F8" s="6"/>
      <c r="G8" s="148">
        <f>SUM(E8:E10)</f>
        <v>60</v>
      </c>
      <c r="H8" s="148">
        <f>(E8*F8+E9*F9+E10*F10)/SUM(E8:E10)</f>
        <v>8.9</v>
      </c>
      <c r="I8" s="123">
        <f>(((PI()*0.00085*H8/100)+(0.00085*H8/100*2))*G8/2)*4</f>
        <v>4.6675378109288145E-2</v>
      </c>
    </row>
    <row r="9" spans="1:19">
      <c r="A9" s="147"/>
      <c r="B9" s="147"/>
      <c r="C9" s="145"/>
      <c r="D9" s="83">
        <v>2016</v>
      </c>
      <c r="E9" s="83">
        <v>30</v>
      </c>
      <c r="F9" s="6">
        <v>6.1</v>
      </c>
      <c r="G9" s="149"/>
      <c r="H9" s="149"/>
      <c r="I9" s="124"/>
    </row>
    <row r="10" spans="1:19">
      <c r="A10" s="147"/>
      <c r="B10" s="147"/>
      <c r="C10" s="146"/>
      <c r="D10" s="83">
        <v>2017</v>
      </c>
      <c r="E10" s="83">
        <v>30</v>
      </c>
      <c r="F10" s="6">
        <v>11.7</v>
      </c>
      <c r="G10" s="149"/>
      <c r="H10" s="149"/>
      <c r="I10" s="125"/>
    </row>
    <row r="11" spans="1:19">
      <c r="A11" s="147"/>
      <c r="B11" s="147">
        <v>4</v>
      </c>
      <c r="C11" s="144">
        <v>94</v>
      </c>
      <c r="D11" s="83">
        <v>2015</v>
      </c>
      <c r="E11" s="83">
        <v>6</v>
      </c>
      <c r="F11" s="6">
        <v>6.7</v>
      </c>
      <c r="G11" s="148">
        <f>SUM(E11:E13)</f>
        <v>116</v>
      </c>
      <c r="H11" s="148">
        <f>(E11*F11+E12*F12+E13*F13)/SUM(E11:E13)</f>
        <v>8.7810344827586206</v>
      </c>
      <c r="I11" s="123">
        <f>(((PI()*0.00085*H11/100)+(0.00085*H11/100*2))*G11/2)*4</f>
        <v>8.903284670809157E-2</v>
      </c>
    </row>
    <row r="12" spans="1:19">
      <c r="A12" s="147"/>
      <c r="B12" s="147"/>
      <c r="C12" s="145"/>
      <c r="D12" s="83">
        <v>2016</v>
      </c>
      <c r="E12" s="83">
        <v>56</v>
      </c>
      <c r="F12" s="6">
        <v>5.9</v>
      </c>
      <c r="G12" s="149"/>
      <c r="H12" s="149"/>
      <c r="I12" s="124"/>
    </row>
    <row r="13" spans="1:19">
      <c r="A13" s="147"/>
      <c r="B13" s="147"/>
      <c r="C13" s="146"/>
      <c r="D13" s="83">
        <v>2017</v>
      </c>
      <c r="E13" s="83">
        <v>54</v>
      </c>
      <c r="F13" s="6">
        <v>12</v>
      </c>
      <c r="G13" s="149"/>
      <c r="H13" s="149"/>
      <c r="I13" s="125"/>
    </row>
    <row r="14" spans="1:19">
      <c r="A14" s="147"/>
      <c r="B14" s="147">
        <v>5</v>
      </c>
      <c r="C14" s="144">
        <v>55</v>
      </c>
      <c r="D14" s="83">
        <v>2016</v>
      </c>
      <c r="E14" s="83"/>
      <c r="F14" s="6"/>
      <c r="G14" s="148"/>
      <c r="H14" s="148"/>
      <c r="I14" s="123"/>
    </row>
    <row r="15" spans="1:19">
      <c r="A15" s="147"/>
      <c r="B15" s="147"/>
      <c r="C15" s="145"/>
      <c r="D15" s="83">
        <v>2017</v>
      </c>
      <c r="E15" s="83"/>
      <c r="F15" s="6"/>
      <c r="G15" s="149"/>
      <c r="H15" s="149"/>
      <c r="I15" s="124"/>
    </row>
    <row r="16" spans="1:19">
      <c r="A16" s="147"/>
      <c r="B16" s="147"/>
      <c r="C16" s="146"/>
      <c r="D16" s="83">
        <v>2018</v>
      </c>
      <c r="E16" s="83"/>
      <c r="F16" s="6"/>
      <c r="G16" s="149"/>
      <c r="H16" s="149"/>
      <c r="I16" s="125"/>
    </row>
    <row r="17" spans="1:9">
      <c r="A17" s="147"/>
      <c r="B17" s="147">
        <v>6</v>
      </c>
      <c r="C17" s="144">
        <v>55</v>
      </c>
      <c r="D17" s="83">
        <v>2015</v>
      </c>
      <c r="E17" s="83"/>
      <c r="F17" s="6"/>
      <c r="G17" s="148"/>
      <c r="H17" s="148"/>
      <c r="I17" s="123"/>
    </row>
    <row r="18" spans="1:9">
      <c r="A18" s="147"/>
      <c r="B18" s="147"/>
      <c r="C18" s="145"/>
      <c r="D18" s="83">
        <v>2016</v>
      </c>
      <c r="E18" s="83"/>
      <c r="F18" s="6"/>
      <c r="G18" s="149"/>
      <c r="H18" s="149"/>
      <c r="I18" s="124"/>
    </row>
    <row r="19" spans="1:9">
      <c r="A19" s="147"/>
      <c r="B19" s="147"/>
      <c r="C19" s="146"/>
      <c r="D19" s="83">
        <v>2017</v>
      </c>
      <c r="E19" s="83"/>
      <c r="F19" s="6"/>
      <c r="G19" s="149"/>
      <c r="H19" s="149"/>
      <c r="I19" s="125"/>
    </row>
    <row r="20" spans="1:9">
      <c r="A20" s="147"/>
      <c r="B20" s="147">
        <v>7</v>
      </c>
      <c r="C20" s="144">
        <v>58</v>
      </c>
      <c r="D20" s="83">
        <v>2016</v>
      </c>
      <c r="E20" s="6"/>
      <c r="F20" s="6"/>
      <c r="G20" s="148"/>
      <c r="H20" s="148"/>
      <c r="I20" s="123"/>
    </row>
    <row r="21" spans="1:9">
      <c r="A21" s="147"/>
      <c r="B21" s="147"/>
      <c r="C21" s="145"/>
      <c r="D21" s="83">
        <v>2017</v>
      </c>
      <c r="E21" s="83"/>
      <c r="F21" s="6"/>
      <c r="G21" s="149"/>
      <c r="H21" s="149"/>
      <c r="I21" s="124"/>
    </row>
    <row r="22" spans="1:9">
      <c r="A22" s="147"/>
      <c r="B22" s="147"/>
      <c r="C22" s="146"/>
      <c r="D22" s="83">
        <v>2018</v>
      </c>
      <c r="E22" s="83"/>
      <c r="F22" s="6"/>
      <c r="G22" s="149"/>
      <c r="H22" s="149"/>
      <c r="I22" s="125"/>
    </row>
    <row r="23" spans="1:9">
      <c r="A23" s="147" t="s">
        <v>6</v>
      </c>
      <c r="B23" s="147">
        <v>9</v>
      </c>
      <c r="C23" s="144">
        <v>14</v>
      </c>
      <c r="D23" s="83">
        <v>2016</v>
      </c>
      <c r="E23" s="83"/>
      <c r="F23" s="6"/>
      <c r="G23" s="148"/>
      <c r="H23" s="148"/>
      <c r="I23" s="123"/>
    </row>
    <row r="24" spans="1:9">
      <c r="A24" s="147"/>
      <c r="B24" s="147"/>
      <c r="C24" s="145"/>
      <c r="D24" s="83">
        <v>2017</v>
      </c>
      <c r="E24" s="83"/>
      <c r="F24" s="6"/>
      <c r="G24" s="149"/>
      <c r="H24" s="149"/>
      <c r="I24" s="124"/>
    </row>
    <row r="25" spans="1:9">
      <c r="A25" s="147"/>
      <c r="B25" s="147"/>
      <c r="C25" s="146"/>
      <c r="D25" s="83">
        <v>2018</v>
      </c>
      <c r="E25" s="83"/>
      <c r="F25" s="6"/>
      <c r="G25" s="149"/>
      <c r="H25" s="149"/>
      <c r="I25" s="125"/>
    </row>
    <row r="26" spans="1:9">
      <c r="A26" s="147"/>
      <c r="B26" s="147">
        <v>10</v>
      </c>
      <c r="C26" s="144">
        <v>13</v>
      </c>
      <c r="D26" s="83">
        <v>2016</v>
      </c>
      <c r="E26" s="83"/>
      <c r="F26" s="6"/>
      <c r="G26" s="148"/>
      <c r="H26" s="148"/>
      <c r="I26" s="123"/>
    </row>
    <row r="27" spans="1:9">
      <c r="A27" s="147"/>
      <c r="B27" s="147"/>
      <c r="C27" s="145"/>
      <c r="D27" s="83">
        <v>2017</v>
      </c>
      <c r="E27" s="83"/>
      <c r="F27" s="6"/>
      <c r="G27" s="149"/>
      <c r="H27" s="149"/>
      <c r="I27" s="124"/>
    </row>
    <row r="28" spans="1:9">
      <c r="A28" s="147"/>
      <c r="B28" s="147"/>
      <c r="C28" s="146"/>
      <c r="D28" s="83">
        <v>2018</v>
      </c>
      <c r="E28" s="83"/>
      <c r="F28" s="6"/>
      <c r="G28" s="149"/>
      <c r="H28" s="149"/>
      <c r="I28" s="125"/>
    </row>
    <row r="29" spans="1:9">
      <c r="A29" s="147"/>
      <c r="B29" s="147">
        <v>11</v>
      </c>
      <c r="C29" s="144">
        <v>17</v>
      </c>
      <c r="D29" s="83">
        <v>2015</v>
      </c>
      <c r="E29" s="83">
        <v>4</v>
      </c>
      <c r="F29" s="6">
        <v>5.25</v>
      </c>
      <c r="G29" s="148">
        <f>SUM(E29:E31)</f>
        <v>78</v>
      </c>
      <c r="H29" s="148">
        <f>(E29*F29+E30*F30+E31*F31)/SUM(E29:E31)</f>
        <v>6.1615384615384619</v>
      </c>
      <c r="I29" s="123">
        <f>(((PI()*0.00085*H29/100)+(0.00085*H29/100*2))*G29/2)*4</f>
        <v>4.2007840298359321E-2</v>
      </c>
    </row>
    <row r="30" spans="1:9">
      <c r="A30" s="147"/>
      <c r="B30" s="147"/>
      <c r="C30" s="145"/>
      <c r="D30" s="83">
        <v>2016</v>
      </c>
      <c r="E30" s="83">
        <v>42</v>
      </c>
      <c r="F30" s="6">
        <v>6.6</v>
      </c>
      <c r="G30" s="149"/>
      <c r="H30" s="149"/>
      <c r="I30" s="124"/>
    </row>
    <row r="31" spans="1:9">
      <c r="A31" s="147"/>
      <c r="B31" s="147"/>
      <c r="C31" s="146"/>
      <c r="D31" s="83">
        <v>2017</v>
      </c>
      <c r="E31" s="83">
        <v>32</v>
      </c>
      <c r="F31" s="6">
        <v>5.7</v>
      </c>
      <c r="G31" s="149"/>
      <c r="H31" s="149"/>
      <c r="I31" s="125"/>
    </row>
    <row r="32" spans="1:9">
      <c r="A32" s="147"/>
      <c r="B32" s="147">
        <v>12</v>
      </c>
      <c r="C32" s="144">
        <v>80</v>
      </c>
      <c r="D32" s="83">
        <v>2016</v>
      </c>
      <c r="E32" s="83"/>
      <c r="F32" s="6"/>
      <c r="G32" s="148"/>
      <c r="H32" s="148"/>
      <c r="I32" s="123"/>
    </row>
    <row r="33" spans="1:9">
      <c r="A33" s="147"/>
      <c r="B33" s="147"/>
      <c r="C33" s="145"/>
      <c r="D33" s="83">
        <v>2017</v>
      </c>
      <c r="E33" s="83"/>
      <c r="F33" s="6"/>
      <c r="G33" s="149"/>
      <c r="H33" s="149"/>
      <c r="I33" s="124"/>
    </row>
    <row r="34" spans="1:9">
      <c r="A34" s="147"/>
      <c r="B34" s="147"/>
      <c r="C34" s="146"/>
      <c r="D34" s="83">
        <v>2018</v>
      </c>
      <c r="E34" s="83"/>
      <c r="F34" s="6"/>
      <c r="G34" s="149"/>
      <c r="H34" s="149"/>
      <c r="I34" s="125"/>
    </row>
    <row r="35" spans="1:9">
      <c r="A35" s="147"/>
      <c r="B35" s="147">
        <v>13</v>
      </c>
      <c r="C35" s="144">
        <v>18</v>
      </c>
      <c r="D35" s="83">
        <v>2015</v>
      </c>
      <c r="E35" s="6">
        <v>0</v>
      </c>
      <c r="F35" s="6"/>
      <c r="G35" s="148">
        <f>SUM(E36:E37)</f>
        <v>102</v>
      </c>
      <c r="H35" s="148">
        <f>(E36*F36+E37*F37)/SUM(E36:E37)</f>
        <v>6.1941176470588228</v>
      </c>
      <c r="I35" s="123">
        <f>(((PI()*0.00085*H35/100)+(0.00085*H35/100*2))*G35/2)*4</f>
        <v>5.5223790055146521E-2</v>
      </c>
    </row>
    <row r="36" spans="1:9">
      <c r="A36" s="147"/>
      <c r="B36" s="147"/>
      <c r="C36" s="145"/>
      <c r="D36" s="83">
        <v>2016</v>
      </c>
      <c r="E36" s="83">
        <v>58</v>
      </c>
      <c r="F36" s="6">
        <v>6</v>
      </c>
      <c r="G36" s="149"/>
      <c r="H36" s="149"/>
      <c r="I36" s="124"/>
    </row>
    <row r="37" spans="1:9">
      <c r="A37" s="147"/>
      <c r="B37" s="147"/>
      <c r="C37" s="146"/>
      <c r="D37" s="83">
        <v>2017</v>
      </c>
      <c r="E37" s="83">
        <v>44</v>
      </c>
      <c r="F37" s="6">
        <v>6.45</v>
      </c>
      <c r="G37" s="149"/>
      <c r="H37" s="149"/>
      <c r="I37" s="125"/>
    </row>
    <row r="38" spans="1:9">
      <c r="A38" s="147"/>
      <c r="B38" s="147">
        <v>14</v>
      </c>
      <c r="C38" s="144">
        <v>80</v>
      </c>
      <c r="D38" s="83">
        <v>2016</v>
      </c>
      <c r="E38" s="83"/>
      <c r="F38" s="6"/>
      <c r="G38" s="148"/>
      <c r="H38" s="148"/>
      <c r="I38" s="123"/>
    </row>
    <row r="39" spans="1:9">
      <c r="A39" s="147"/>
      <c r="B39" s="147"/>
      <c r="C39" s="145"/>
      <c r="D39" s="83">
        <v>2017</v>
      </c>
      <c r="E39" s="83"/>
      <c r="F39" s="6"/>
      <c r="G39" s="149"/>
      <c r="H39" s="149"/>
      <c r="I39" s="124"/>
    </row>
    <row r="40" spans="1:9">
      <c r="A40" s="147"/>
      <c r="B40" s="147"/>
      <c r="C40" s="146"/>
      <c r="D40" s="83">
        <v>2018</v>
      </c>
      <c r="E40" s="83"/>
      <c r="F40" s="6"/>
      <c r="G40" s="149"/>
      <c r="H40" s="149"/>
      <c r="I40" s="125"/>
    </row>
    <row r="41" spans="1:9">
      <c r="A41" s="147"/>
      <c r="B41" s="147">
        <v>15</v>
      </c>
      <c r="C41" s="144">
        <v>14</v>
      </c>
      <c r="D41" s="83">
        <v>2015</v>
      </c>
      <c r="E41" s="83">
        <v>0</v>
      </c>
      <c r="F41" s="6"/>
      <c r="G41" s="136">
        <f>SUM(E41:E43)</f>
        <v>128</v>
      </c>
      <c r="H41" s="136">
        <f>(E41*F41+E42*F42+E43*F43)/SUM(E41:E43)</f>
        <v>6.6875</v>
      </c>
      <c r="I41" s="123">
        <f>(((PI()*0.00085*H41/100)+(0.00085*H41/100*2))*G41/2)*4</f>
        <v>7.4820456295038668E-2</v>
      </c>
    </row>
    <row r="42" spans="1:9">
      <c r="A42" s="147"/>
      <c r="B42" s="147"/>
      <c r="C42" s="145"/>
      <c r="D42" s="83">
        <v>2016</v>
      </c>
      <c r="E42" s="83">
        <v>88</v>
      </c>
      <c r="F42" s="6">
        <v>7</v>
      </c>
      <c r="G42" s="136"/>
      <c r="H42" s="136"/>
      <c r="I42" s="124"/>
    </row>
    <row r="43" spans="1:9">
      <c r="A43" s="147"/>
      <c r="B43" s="147"/>
      <c r="C43" s="146"/>
      <c r="D43" s="83">
        <v>2017</v>
      </c>
      <c r="E43" s="83">
        <v>40</v>
      </c>
      <c r="F43" s="6">
        <v>6</v>
      </c>
      <c r="G43" s="136"/>
      <c r="H43" s="136"/>
      <c r="I43" s="125"/>
    </row>
  </sheetData>
  <mergeCells count="72">
    <mergeCell ref="I2:I4"/>
    <mergeCell ref="B5:B7"/>
    <mergeCell ref="C5:C7"/>
    <mergeCell ref="G5:G7"/>
    <mergeCell ref="H5:H7"/>
    <mergeCell ref="I5:I7"/>
    <mergeCell ref="A2:A22"/>
    <mergeCell ref="B2:B4"/>
    <mergeCell ref="C2:C4"/>
    <mergeCell ref="G2:G4"/>
    <mergeCell ref="H2:H4"/>
    <mergeCell ref="B8:B10"/>
    <mergeCell ref="C8:C10"/>
    <mergeCell ref="G8:G10"/>
    <mergeCell ref="H8:H10"/>
    <mergeCell ref="B20:B22"/>
    <mergeCell ref="C20:C22"/>
    <mergeCell ref="G20:G22"/>
    <mergeCell ref="H20:H22"/>
    <mergeCell ref="I8:I10"/>
    <mergeCell ref="B14:B16"/>
    <mergeCell ref="C14:C16"/>
    <mergeCell ref="G14:G16"/>
    <mergeCell ref="H14:H16"/>
    <mergeCell ref="I14:I16"/>
    <mergeCell ref="B11:B13"/>
    <mergeCell ref="C11:C13"/>
    <mergeCell ref="G11:G13"/>
    <mergeCell ref="H11:H13"/>
    <mergeCell ref="I11:I13"/>
    <mergeCell ref="I20:I22"/>
    <mergeCell ref="B17:B19"/>
    <mergeCell ref="C17:C19"/>
    <mergeCell ref="G17:G19"/>
    <mergeCell ref="H17:H19"/>
    <mergeCell ref="I17:I19"/>
    <mergeCell ref="I23:I25"/>
    <mergeCell ref="B26:B28"/>
    <mergeCell ref="C26:C28"/>
    <mergeCell ref="G26:G28"/>
    <mergeCell ref="H26:H28"/>
    <mergeCell ref="I26:I28"/>
    <mergeCell ref="A23:A43"/>
    <mergeCell ref="B23:B25"/>
    <mergeCell ref="C23:C25"/>
    <mergeCell ref="G23:G25"/>
    <mergeCell ref="H23:H25"/>
    <mergeCell ref="B29:B31"/>
    <mergeCell ref="C29:C31"/>
    <mergeCell ref="G29:G31"/>
    <mergeCell ref="H29:H31"/>
    <mergeCell ref="B41:B43"/>
    <mergeCell ref="C41:C43"/>
    <mergeCell ref="G41:G43"/>
    <mergeCell ref="H41:H43"/>
    <mergeCell ref="I29:I31"/>
    <mergeCell ref="B35:B37"/>
    <mergeCell ref="C35:C37"/>
    <mergeCell ref="G35:G37"/>
    <mergeCell ref="H35:H37"/>
    <mergeCell ref="I35:I37"/>
    <mergeCell ref="B32:B34"/>
    <mergeCell ref="C32:C34"/>
    <mergeCell ref="G32:G34"/>
    <mergeCell ref="H32:H34"/>
    <mergeCell ref="I32:I34"/>
    <mergeCell ref="I41:I43"/>
    <mergeCell ref="B38:B40"/>
    <mergeCell ref="C38:C40"/>
    <mergeCell ref="G38:G40"/>
    <mergeCell ref="H38:H40"/>
    <mergeCell ref="I38:I40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3"/>
  <sheetViews>
    <sheetView topLeftCell="A7" zoomScale="85" zoomScaleNormal="85" workbookViewId="0">
      <selection activeCell="K4" sqref="K4"/>
    </sheetView>
  </sheetViews>
  <sheetFormatPr defaultRowHeight="15"/>
  <cols>
    <col min="1" max="1" width="10.140625" customWidth="1"/>
    <col min="5" max="6" width="9.140625" style="82"/>
    <col min="7" max="7" width="11" customWidth="1"/>
    <col min="8" max="8" width="11.85546875" bestFit="1" customWidth="1"/>
  </cols>
  <sheetData>
    <row r="1" spans="1:19" ht="30">
      <c r="A1" s="2" t="s">
        <v>3</v>
      </c>
      <c r="B1" s="2" t="s">
        <v>0</v>
      </c>
      <c r="C1" s="2" t="s">
        <v>2</v>
      </c>
      <c r="D1" s="3" t="s">
        <v>1</v>
      </c>
      <c r="E1" s="8" t="s">
        <v>7</v>
      </c>
      <c r="F1" s="8" t="s">
        <v>8</v>
      </c>
      <c r="G1" s="7" t="s">
        <v>10</v>
      </c>
      <c r="H1" s="2" t="s">
        <v>9</v>
      </c>
      <c r="I1" s="8" t="s">
        <v>13</v>
      </c>
      <c r="J1" s="8" t="s">
        <v>14</v>
      </c>
      <c r="K1" s="8" t="s">
        <v>15</v>
      </c>
      <c r="L1" s="8" t="s">
        <v>26</v>
      </c>
      <c r="M1" s="8" t="s">
        <v>27</v>
      </c>
      <c r="O1" s="71" t="s">
        <v>62</v>
      </c>
      <c r="P1" s="70" t="s">
        <v>58</v>
      </c>
      <c r="Q1" s="70" t="s">
        <v>60</v>
      </c>
      <c r="R1" s="70" t="s">
        <v>59</v>
      </c>
      <c r="S1" s="70" t="s">
        <v>61</v>
      </c>
    </row>
    <row r="2" spans="1:19">
      <c r="A2" s="147" t="s">
        <v>4</v>
      </c>
      <c r="B2" s="147">
        <v>1</v>
      </c>
      <c r="C2" s="144">
        <v>95</v>
      </c>
      <c r="D2" s="5">
        <v>2015</v>
      </c>
      <c r="E2" s="81">
        <v>16</v>
      </c>
      <c r="F2" s="81">
        <v>7.5</v>
      </c>
      <c r="G2" s="148">
        <f>SUM(E2:E4)</f>
        <v>110</v>
      </c>
      <c r="H2" s="148">
        <f>(E2*F2+E3*F3+E4*F4)/SUM(E2:E4)</f>
        <v>8.827272727272728</v>
      </c>
      <c r="I2" s="123">
        <f>(((PI()*0.00085*H2/100)+(0.00085*H2/100*2))*G2/2)*4</f>
        <v>8.4872269932806707E-2</v>
      </c>
      <c r="J2" s="6">
        <f>AVERAGE(I2,I5,I14,I20)</f>
        <v>8.1763679600229081E-2</v>
      </c>
      <c r="K2" s="6">
        <f>AVERAGE(I32)</f>
        <v>6.6953819535046283E-2</v>
      </c>
      <c r="L2" s="6">
        <f>SUM(I2:I22)</f>
        <v>0.32705471840091632</v>
      </c>
      <c r="M2" s="6">
        <f>SUM(I23:I43)</f>
        <v>0.13390763907009257</v>
      </c>
      <c r="N2" t="s">
        <v>63</v>
      </c>
      <c r="O2">
        <v>2015</v>
      </c>
      <c r="P2">
        <f>AVERAGE(E32,E23,E26,E29,E35,E41)</f>
        <v>28</v>
      </c>
      <c r="Q2">
        <f t="shared" ref="P2:Q4" si="0">AVERAGE(F32)</f>
        <v>6.5</v>
      </c>
      <c r="R2">
        <f>AVERAGE(E2,E5,E14,E20)</f>
        <v>21.5</v>
      </c>
      <c r="S2">
        <f t="shared" ref="S2:S4" si="1">AVERAGE(F2,F5,F14,F20)</f>
        <v>6.75</v>
      </c>
    </row>
    <row r="3" spans="1:19">
      <c r="A3" s="147"/>
      <c r="B3" s="147"/>
      <c r="C3" s="145"/>
      <c r="D3" s="5">
        <v>2016</v>
      </c>
      <c r="E3" s="81">
        <v>62</v>
      </c>
      <c r="F3" s="81">
        <v>6.5</v>
      </c>
      <c r="G3" s="149"/>
      <c r="H3" s="149"/>
      <c r="I3" s="124"/>
      <c r="J3">
        <v>3.4863380789176085E-2</v>
      </c>
      <c r="K3">
        <v>3.1380449222353779E-2</v>
      </c>
      <c r="L3">
        <v>3.4863380789176085E-2</v>
      </c>
      <c r="M3">
        <v>1.5690224611176889E-2</v>
      </c>
      <c r="N3" t="s">
        <v>64</v>
      </c>
      <c r="O3">
        <v>2016</v>
      </c>
      <c r="P3">
        <f t="shared" si="0"/>
        <v>46</v>
      </c>
      <c r="Q3">
        <f t="shared" si="0"/>
        <v>6</v>
      </c>
      <c r="R3">
        <f>AVERAGE(E3,E6,E15,E21)</f>
        <v>46.5</v>
      </c>
      <c r="S3">
        <f t="shared" si="1"/>
        <v>5.875</v>
      </c>
    </row>
    <row r="4" spans="1:19">
      <c r="A4" s="147"/>
      <c r="B4" s="147"/>
      <c r="C4" s="146"/>
      <c r="D4" s="5">
        <v>2017</v>
      </c>
      <c r="E4" s="81">
        <v>32</v>
      </c>
      <c r="F4" s="81">
        <v>14</v>
      </c>
      <c r="G4" s="149"/>
      <c r="H4" s="149"/>
      <c r="I4" s="125"/>
      <c r="J4">
        <f>J2/J3</f>
        <v>2.3452596320094687</v>
      </c>
      <c r="K4">
        <f>K2/K3</f>
        <v>2.1336157127843762</v>
      </c>
      <c r="N4" t="s">
        <v>65</v>
      </c>
      <c r="O4">
        <v>2017</v>
      </c>
      <c r="P4">
        <f t="shared" si="0"/>
        <v>56</v>
      </c>
      <c r="Q4">
        <f t="shared" si="0"/>
        <v>5.5</v>
      </c>
      <c r="R4">
        <f>AVERAGE(E4,E7,E16,E22)</f>
        <v>37</v>
      </c>
      <c r="S4">
        <f t="shared" si="1"/>
        <v>13</v>
      </c>
    </row>
    <row r="5" spans="1:19">
      <c r="A5" s="147"/>
      <c r="B5" s="147">
        <v>2</v>
      </c>
      <c r="C5" s="144">
        <v>50</v>
      </c>
      <c r="D5" s="5">
        <v>2015</v>
      </c>
      <c r="E5" s="80">
        <v>6</v>
      </c>
      <c r="F5" s="81">
        <v>5.5</v>
      </c>
      <c r="G5" s="148">
        <f>SUM(E5:E7)</f>
        <v>80</v>
      </c>
      <c r="H5" s="148">
        <f>(E5*F5+E6*F6+E7*F7)/SUM(E5:E7)</f>
        <v>9.1125000000000007</v>
      </c>
      <c r="I5" s="123">
        <f>(((PI()*0.00085*H5/100)+(0.00085*H5/100*2))*G5/2)*4</f>
        <v>6.37197577559383E-2</v>
      </c>
    </row>
    <row r="6" spans="1:19">
      <c r="A6" s="147"/>
      <c r="B6" s="147"/>
      <c r="C6" s="145"/>
      <c r="D6" s="5">
        <v>2016</v>
      </c>
      <c r="E6" s="80">
        <v>34</v>
      </c>
      <c r="F6" s="81">
        <v>4</v>
      </c>
      <c r="G6" s="149"/>
      <c r="H6" s="149"/>
      <c r="I6" s="124"/>
    </row>
    <row r="7" spans="1:19">
      <c r="A7" s="147"/>
      <c r="B7" s="147"/>
      <c r="C7" s="146"/>
      <c r="D7" s="5">
        <v>2017</v>
      </c>
      <c r="E7" s="80">
        <v>40</v>
      </c>
      <c r="F7" s="81">
        <v>14</v>
      </c>
      <c r="G7" s="149"/>
      <c r="H7" s="149"/>
      <c r="I7" s="125"/>
    </row>
    <row r="8" spans="1:19">
      <c r="A8" s="147"/>
      <c r="B8" s="147">
        <v>3</v>
      </c>
      <c r="C8" s="144">
        <v>97</v>
      </c>
      <c r="D8" s="5">
        <v>2015</v>
      </c>
      <c r="E8" s="80"/>
      <c r="F8" s="81"/>
      <c r="G8" s="148">
        <f>SUM(E8:E10)</f>
        <v>0</v>
      </c>
      <c r="H8" s="148"/>
      <c r="I8" s="123"/>
    </row>
    <row r="9" spans="1:19">
      <c r="A9" s="147"/>
      <c r="B9" s="147"/>
      <c r="C9" s="145"/>
      <c r="D9" s="5">
        <v>2016</v>
      </c>
      <c r="E9" s="80"/>
      <c r="F9" s="81"/>
      <c r="G9" s="149"/>
      <c r="H9" s="149"/>
      <c r="I9" s="124"/>
    </row>
    <row r="10" spans="1:19">
      <c r="A10" s="147"/>
      <c r="B10" s="147"/>
      <c r="C10" s="146"/>
      <c r="D10" s="5">
        <v>2017</v>
      </c>
      <c r="E10" s="80"/>
      <c r="F10" s="81"/>
      <c r="G10" s="149"/>
      <c r="H10" s="149"/>
      <c r="I10" s="125"/>
    </row>
    <row r="11" spans="1:19">
      <c r="A11" s="147"/>
      <c r="B11" s="147">
        <v>4</v>
      </c>
      <c r="C11" s="144">
        <v>94</v>
      </c>
      <c r="D11" s="5">
        <v>2015</v>
      </c>
      <c r="E11" s="80"/>
      <c r="F11" s="81"/>
      <c r="G11" s="148">
        <f>SUM(E11:E13)</f>
        <v>0</v>
      </c>
      <c r="H11" s="148"/>
      <c r="I11" s="123"/>
    </row>
    <row r="12" spans="1:19">
      <c r="A12" s="147"/>
      <c r="B12" s="147"/>
      <c r="C12" s="145"/>
      <c r="D12" s="5">
        <v>2016</v>
      </c>
      <c r="E12" s="80"/>
      <c r="F12" s="81"/>
      <c r="G12" s="149"/>
      <c r="H12" s="149"/>
      <c r="I12" s="124"/>
    </row>
    <row r="13" spans="1:19">
      <c r="A13" s="147"/>
      <c r="B13" s="147"/>
      <c r="C13" s="146"/>
      <c r="D13" s="5">
        <v>2017</v>
      </c>
      <c r="E13" s="80"/>
      <c r="F13" s="81"/>
      <c r="G13" s="149"/>
      <c r="H13" s="149"/>
      <c r="I13" s="125"/>
    </row>
    <row r="14" spans="1:19">
      <c r="A14" s="147"/>
      <c r="B14" s="147">
        <v>5</v>
      </c>
      <c r="C14" s="144">
        <v>55</v>
      </c>
      <c r="D14" s="5">
        <v>2015</v>
      </c>
      <c r="E14" s="81">
        <v>24</v>
      </c>
      <c r="F14" s="81">
        <v>6.5</v>
      </c>
      <c r="G14" s="148">
        <f>SUM(E14:E16)</f>
        <v>128</v>
      </c>
      <c r="H14" s="148">
        <f>(E14*F14+E15*F15+E16*F16)/SUM(E14:E16)</f>
        <v>8.625</v>
      </c>
      <c r="I14" s="123">
        <f>(((PI()*0.00085*H14/100)+(0.00085*H14/100*2))*G14/2)*4</f>
        <v>9.6497410922573232E-2</v>
      </c>
    </row>
    <row r="15" spans="1:19">
      <c r="A15" s="147"/>
      <c r="B15" s="147"/>
      <c r="C15" s="145"/>
      <c r="D15" s="5">
        <v>2016</v>
      </c>
      <c r="E15" s="81">
        <v>64</v>
      </c>
      <c r="F15" s="81">
        <v>7</v>
      </c>
      <c r="G15" s="149"/>
      <c r="H15" s="149"/>
      <c r="I15" s="124"/>
    </row>
    <row r="16" spans="1:19">
      <c r="A16" s="147"/>
      <c r="B16" s="147"/>
      <c r="C16" s="146"/>
      <c r="D16" s="5">
        <v>2017</v>
      </c>
      <c r="E16" s="81">
        <v>40</v>
      </c>
      <c r="F16" s="81">
        <v>12.5</v>
      </c>
      <c r="G16" s="149"/>
      <c r="H16" s="149"/>
      <c r="I16" s="125"/>
    </row>
    <row r="17" spans="1:9">
      <c r="A17" s="147"/>
      <c r="B17" s="147">
        <v>6</v>
      </c>
      <c r="C17" s="144">
        <v>55</v>
      </c>
      <c r="D17" s="5">
        <v>2015</v>
      </c>
      <c r="E17" s="80"/>
      <c r="F17" s="81"/>
      <c r="G17" s="148">
        <f>SUM(E17:E19)</f>
        <v>0</v>
      </c>
      <c r="H17" s="148"/>
      <c r="I17" s="123"/>
    </row>
    <row r="18" spans="1:9">
      <c r="A18" s="147"/>
      <c r="B18" s="147"/>
      <c r="C18" s="145"/>
      <c r="D18" s="5">
        <v>2016</v>
      </c>
      <c r="E18" s="80"/>
      <c r="F18" s="81"/>
      <c r="G18" s="149"/>
      <c r="H18" s="149"/>
      <c r="I18" s="124"/>
    </row>
    <row r="19" spans="1:9">
      <c r="A19" s="147"/>
      <c r="B19" s="147"/>
      <c r="C19" s="146"/>
      <c r="D19" s="5">
        <v>2017</v>
      </c>
      <c r="E19" s="80"/>
      <c r="F19" s="81"/>
      <c r="G19" s="149"/>
      <c r="H19" s="149"/>
      <c r="I19" s="125"/>
    </row>
    <row r="20" spans="1:9">
      <c r="A20" s="147"/>
      <c r="B20" s="147">
        <v>7</v>
      </c>
      <c r="C20" s="144">
        <v>58</v>
      </c>
      <c r="D20" s="5">
        <v>2015</v>
      </c>
      <c r="E20" s="81">
        <v>40</v>
      </c>
      <c r="F20" s="81">
        <v>7.5</v>
      </c>
      <c r="G20" s="148">
        <f>SUM(E20:E22)</f>
        <v>102</v>
      </c>
      <c r="H20" s="148">
        <f>(E21*F21+E22*F22)/SUM(E21:E22)</f>
        <v>9.193548387096774</v>
      </c>
      <c r="I20" s="123">
        <f>(((PI()*0.00085*H20/100)+(0.00085*H20/100*2))*G20/2)*4</f>
        <v>8.1965279789598056E-2</v>
      </c>
    </row>
    <row r="21" spans="1:9">
      <c r="A21" s="147"/>
      <c r="B21" s="147"/>
      <c r="C21" s="145"/>
      <c r="D21" s="5">
        <v>2016</v>
      </c>
      <c r="E21" s="84">
        <v>26</v>
      </c>
      <c r="F21" s="81">
        <v>6</v>
      </c>
      <c r="G21" s="149"/>
      <c r="H21" s="149"/>
      <c r="I21" s="124"/>
    </row>
    <row r="22" spans="1:9">
      <c r="A22" s="147"/>
      <c r="B22" s="147"/>
      <c r="C22" s="146"/>
      <c r="D22" s="5">
        <v>2017</v>
      </c>
      <c r="E22" s="84">
        <v>36</v>
      </c>
      <c r="F22" s="81">
        <v>11.5</v>
      </c>
      <c r="G22" s="149"/>
      <c r="H22" s="149"/>
      <c r="I22" s="125"/>
    </row>
    <row r="23" spans="1:9">
      <c r="A23" s="147" t="s">
        <v>6</v>
      </c>
      <c r="B23" s="147">
        <v>9</v>
      </c>
      <c r="C23" s="144">
        <v>14</v>
      </c>
      <c r="D23" s="5">
        <v>2015</v>
      </c>
      <c r="E23" s="84"/>
      <c r="F23" s="81"/>
      <c r="G23" s="148">
        <f>SUM(E23:E25)</f>
        <v>0</v>
      </c>
      <c r="H23" s="148"/>
      <c r="I23" s="123"/>
    </row>
    <row r="24" spans="1:9">
      <c r="A24" s="147"/>
      <c r="B24" s="147"/>
      <c r="C24" s="145"/>
      <c r="D24" s="5">
        <v>2016</v>
      </c>
      <c r="E24" s="80"/>
      <c r="F24" s="81"/>
      <c r="G24" s="149"/>
      <c r="H24" s="149"/>
      <c r="I24" s="124"/>
    </row>
    <row r="25" spans="1:9">
      <c r="A25" s="147"/>
      <c r="B25" s="147"/>
      <c r="C25" s="146"/>
      <c r="D25" s="5">
        <v>2017</v>
      </c>
      <c r="E25" s="80"/>
      <c r="F25" s="81"/>
      <c r="G25" s="149"/>
      <c r="H25" s="149"/>
      <c r="I25" s="125"/>
    </row>
    <row r="26" spans="1:9">
      <c r="A26" s="147"/>
      <c r="B26" s="147">
        <v>10</v>
      </c>
      <c r="C26" s="144">
        <v>13</v>
      </c>
      <c r="D26" s="5">
        <v>2015</v>
      </c>
      <c r="E26" s="80"/>
      <c r="F26" s="81"/>
      <c r="G26" s="148">
        <f>SUM(E26:E28)</f>
        <v>0</v>
      </c>
      <c r="H26" s="148"/>
      <c r="I26" s="123"/>
    </row>
    <row r="27" spans="1:9">
      <c r="A27" s="147"/>
      <c r="B27" s="147"/>
      <c r="C27" s="145"/>
      <c r="D27" s="5">
        <v>2016</v>
      </c>
      <c r="E27" s="80"/>
      <c r="F27" s="81"/>
      <c r="G27" s="149"/>
      <c r="H27" s="149"/>
      <c r="I27" s="124"/>
    </row>
    <row r="28" spans="1:9">
      <c r="A28" s="147"/>
      <c r="B28" s="147"/>
      <c r="C28" s="146"/>
      <c r="D28" s="5">
        <v>2017</v>
      </c>
      <c r="E28" s="80"/>
      <c r="F28" s="81"/>
      <c r="G28" s="149"/>
      <c r="H28" s="149"/>
      <c r="I28" s="125"/>
    </row>
    <row r="29" spans="1:9">
      <c r="A29" s="147"/>
      <c r="B29" s="147">
        <v>11</v>
      </c>
      <c r="C29" s="144">
        <v>17</v>
      </c>
      <c r="D29" s="5">
        <v>2015</v>
      </c>
      <c r="E29" s="80"/>
      <c r="F29" s="81"/>
      <c r="G29" s="148">
        <f>SUM(E29:E31)</f>
        <v>0</v>
      </c>
      <c r="H29" s="148"/>
      <c r="I29" s="123"/>
    </row>
    <row r="30" spans="1:9">
      <c r="A30" s="147"/>
      <c r="B30" s="147"/>
      <c r="C30" s="145"/>
      <c r="D30" s="5">
        <v>2016</v>
      </c>
      <c r="E30" s="80"/>
      <c r="F30" s="81"/>
      <c r="G30" s="149"/>
      <c r="H30" s="149"/>
      <c r="I30" s="124"/>
    </row>
    <row r="31" spans="1:9">
      <c r="A31" s="147"/>
      <c r="B31" s="147"/>
      <c r="C31" s="146"/>
      <c r="D31" s="5">
        <v>2017</v>
      </c>
      <c r="E31" s="80"/>
      <c r="F31" s="81"/>
      <c r="G31" s="149"/>
      <c r="H31" s="149"/>
      <c r="I31" s="125"/>
    </row>
    <row r="32" spans="1:9">
      <c r="A32" s="147"/>
      <c r="B32" s="147">
        <v>12</v>
      </c>
      <c r="C32" s="144">
        <v>80</v>
      </c>
      <c r="D32" s="5">
        <v>2015</v>
      </c>
      <c r="E32" s="80">
        <v>28</v>
      </c>
      <c r="F32" s="81">
        <v>6.5</v>
      </c>
      <c r="G32" s="148">
        <f>SUM(E32:E34)</f>
        <v>130</v>
      </c>
      <c r="H32" s="148">
        <f>(E32*F32+E33*F33+E34*F34)/SUM(E32:E34)</f>
        <v>5.8923076923076927</v>
      </c>
      <c r="I32" s="123">
        <f>(((PI()*0.00085*H32/100)+(0.00085*H32/100*2))*G32/2)*4</f>
        <v>6.6953819535046283E-2</v>
      </c>
    </row>
    <row r="33" spans="1:12">
      <c r="A33" s="147"/>
      <c r="B33" s="147"/>
      <c r="C33" s="145"/>
      <c r="D33" s="5">
        <v>2016</v>
      </c>
      <c r="E33" s="80">
        <v>46</v>
      </c>
      <c r="F33" s="81">
        <v>6</v>
      </c>
      <c r="G33" s="149"/>
      <c r="H33" s="149"/>
      <c r="I33" s="124"/>
      <c r="L33" s="56"/>
    </row>
    <row r="34" spans="1:12">
      <c r="A34" s="147"/>
      <c r="B34" s="147"/>
      <c r="C34" s="146"/>
      <c r="D34" s="5">
        <v>2017</v>
      </c>
      <c r="E34" s="80">
        <v>56</v>
      </c>
      <c r="F34" s="81">
        <v>5.5</v>
      </c>
      <c r="G34" s="149"/>
      <c r="H34" s="149"/>
      <c r="I34" s="125"/>
      <c r="L34" s="57"/>
    </row>
    <row r="35" spans="1:12">
      <c r="A35" s="147"/>
      <c r="B35" s="147">
        <v>13</v>
      </c>
      <c r="C35" s="144">
        <v>18</v>
      </c>
      <c r="D35" s="5">
        <v>2015</v>
      </c>
      <c r="E35" s="81"/>
      <c r="F35" s="81"/>
      <c r="G35" s="148">
        <f>SUM(E36:E37)</f>
        <v>0</v>
      </c>
      <c r="H35" s="148"/>
      <c r="I35" s="123"/>
      <c r="L35" s="58"/>
    </row>
    <row r="36" spans="1:12">
      <c r="A36" s="147"/>
      <c r="B36" s="147"/>
      <c r="C36" s="145"/>
      <c r="D36" s="5">
        <v>2016</v>
      </c>
      <c r="E36" s="80"/>
      <c r="F36" s="81"/>
      <c r="G36" s="149"/>
      <c r="H36" s="149"/>
      <c r="I36" s="124"/>
    </row>
    <row r="37" spans="1:12">
      <c r="A37" s="147"/>
      <c r="B37" s="147"/>
      <c r="C37" s="146"/>
      <c r="D37" s="5">
        <v>2017</v>
      </c>
      <c r="E37" s="80"/>
      <c r="F37" s="81"/>
      <c r="G37" s="149"/>
      <c r="H37" s="149"/>
      <c r="I37" s="125"/>
    </row>
    <row r="38" spans="1:12">
      <c r="A38" s="147"/>
      <c r="B38" s="147">
        <v>14</v>
      </c>
      <c r="C38" s="144">
        <v>80</v>
      </c>
      <c r="D38" s="5">
        <v>2015</v>
      </c>
      <c r="E38" s="80">
        <v>28</v>
      </c>
      <c r="F38" s="81">
        <v>6.5</v>
      </c>
      <c r="G38" s="148">
        <v>130</v>
      </c>
      <c r="H38" s="123">
        <v>5.8923076923076927</v>
      </c>
      <c r="I38" s="123">
        <f>(((PI()*0.00085*H38/100)+(0.00085*H38/100*2))*G38/2)*4</f>
        <v>6.6953819535046283E-2</v>
      </c>
    </row>
    <row r="39" spans="1:12">
      <c r="A39" s="147"/>
      <c r="B39" s="147"/>
      <c r="C39" s="145"/>
      <c r="D39" s="5">
        <v>2016</v>
      </c>
      <c r="E39" s="80">
        <v>46</v>
      </c>
      <c r="F39" s="81">
        <v>6</v>
      </c>
      <c r="G39" s="149"/>
      <c r="H39" s="124"/>
      <c r="I39" s="124"/>
    </row>
    <row r="40" spans="1:12">
      <c r="A40" s="147"/>
      <c r="B40" s="147"/>
      <c r="C40" s="146"/>
      <c r="D40" s="5">
        <v>2017</v>
      </c>
      <c r="E40" s="80">
        <v>56</v>
      </c>
      <c r="F40" s="81">
        <v>5.5</v>
      </c>
      <c r="G40" s="149"/>
      <c r="H40" s="125"/>
      <c r="I40" s="125"/>
    </row>
    <row r="41" spans="1:12">
      <c r="A41" s="147"/>
      <c r="B41" s="147">
        <v>15</v>
      </c>
      <c r="C41" s="144">
        <v>14</v>
      </c>
      <c r="D41" s="5">
        <v>2015</v>
      </c>
      <c r="E41" s="80"/>
      <c r="F41" s="81"/>
      <c r="G41" s="148">
        <f>SUM(E41:E43)</f>
        <v>0</v>
      </c>
      <c r="H41" s="148"/>
      <c r="I41" s="123"/>
    </row>
    <row r="42" spans="1:12">
      <c r="A42" s="147"/>
      <c r="B42" s="147"/>
      <c r="C42" s="145"/>
      <c r="D42" s="5">
        <v>2016</v>
      </c>
      <c r="E42" s="80"/>
      <c r="F42" s="81"/>
      <c r="G42" s="149"/>
      <c r="H42" s="149"/>
      <c r="I42" s="124"/>
    </row>
    <row r="43" spans="1:12">
      <c r="A43" s="147"/>
      <c r="B43" s="147"/>
      <c r="C43" s="146"/>
      <c r="D43" s="5">
        <v>2017</v>
      </c>
      <c r="E43" s="80"/>
      <c r="F43" s="81"/>
      <c r="G43" s="149"/>
      <c r="H43" s="149"/>
      <c r="I43" s="125"/>
    </row>
  </sheetData>
  <mergeCells count="72">
    <mergeCell ref="H17:H19"/>
    <mergeCell ref="C8:C10"/>
    <mergeCell ref="G8:G10"/>
    <mergeCell ref="H8:H10"/>
    <mergeCell ref="B11:B13"/>
    <mergeCell ref="C11:C13"/>
    <mergeCell ref="G11:G13"/>
    <mergeCell ref="H11:H13"/>
    <mergeCell ref="G14:G16"/>
    <mergeCell ref="H14:H16"/>
    <mergeCell ref="B8:B10"/>
    <mergeCell ref="B14:B16"/>
    <mergeCell ref="C14:C16"/>
    <mergeCell ref="B17:B19"/>
    <mergeCell ref="C17:C19"/>
    <mergeCell ref="G17:G19"/>
    <mergeCell ref="H20:H22"/>
    <mergeCell ref="A23:A43"/>
    <mergeCell ref="B23:B25"/>
    <mergeCell ref="C23:C25"/>
    <mergeCell ref="G23:G25"/>
    <mergeCell ref="H23:H25"/>
    <mergeCell ref="B26:B28"/>
    <mergeCell ref="A2:A22"/>
    <mergeCell ref="B2:B4"/>
    <mergeCell ref="C2:C4"/>
    <mergeCell ref="B5:B7"/>
    <mergeCell ref="C5:C7"/>
    <mergeCell ref="G5:G7"/>
    <mergeCell ref="H5:H7"/>
    <mergeCell ref="B41:B43"/>
    <mergeCell ref="C41:C43"/>
    <mergeCell ref="G41:G43"/>
    <mergeCell ref="H41:H43"/>
    <mergeCell ref="B32:B34"/>
    <mergeCell ref="C32:C34"/>
    <mergeCell ref="G32:G34"/>
    <mergeCell ref="H32:H34"/>
    <mergeCell ref="B35:B37"/>
    <mergeCell ref="C35:C37"/>
    <mergeCell ref="G35:G37"/>
    <mergeCell ref="H35:H37"/>
    <mergeCell ref="G2:G4"/>
    <mergeCell ref="H2:H4"/>
    <mergeCell ref="B38:B40"/>
    <mergeCell ref="C38:C40"/>
    <mergeCell ref="G38:G40"/>
    <mergeCell ref="H38:H40"/>
    <mergeCell ref="C26:C28"/>
    <mergeCell ref="G26:G28"/>
    <mergeCell ref="H26:H28"/>
    <mergeCell ref="B29:B31"/>
    <mergeCell ref="C29:C31"/>
    <mergeCell ref="G29:G31"/>
    <mergeCell ref="H29:H31"/>
    <mergeCell ref="B20:B22"/>
    <mergeCell ref="C20:C22"/>
    <mergeCell ref="G20:G22"/>
    <mergeCell ref="I2:I4"/>
    <mergeCell ref="I5:I7"/>
    <mergeCell ref="I8:I10"/>
    <mergeCell ref="I11:I13"/>
    <mergeCell ref="I14:I16"/>
    <mergeCell ref="I32:I34"/>
    <mergeCell ref="I35:I37"/>
    <mergeCell ref="I38:I40"/>
    <mergeCell ref="I41:I43"/>
    <mergeCell ref="I17:I19"/>
    <mergeCell ref="I20:I22"/>
    <mergeCell ref="I23:I25"/>
    <mergeCell ref="I26:I28"/>
    <mergeCell ref="I29:I3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1"/>
  <sheetViews>
    <sheetView workbookViewId="0">
      <selection activeCell="I15" sqref="I15:I17"/>
    </sheetView>
  </sheetViews>
  <sheetFormatPr defaultRowHeight="15"/>
  <sheetData>
    <row r="1" spans="1:12" ht="30">
      <c r="A1" s="8" t="s">
        <v>3</v>
      </c>
      <c r="B1" s="8" t="s">
        <v>0</v>
      </c>
      <c r="C1" s="8" t="s">
        <v>2</v>
      </c>
      <c r="D1" s="8" t="s">
        <v>1</v>
      </c>
      <c r="E1" s="8" t="s">
        <v>7</v>
      </c>
      <c r="F1" s="8" t="s">
        <v>8</v>
      </c>
      <c r="G1" s="10" t="s">
        <v>10</v>
      </c>
      <c r="H1" s="8" t="s">
        <v>9</v>
      </c>
      <c r="I1" s="8" t="s">
        <v>13</v>
      </c>
      <c r="J1" s="8" t="s">
        <v>14</v>
      </c>
      <c r="K1" s="8" t="s">
        <v>15</v>
      </c>
      <c r="L1" s="8" t="s">
        <v>26</v>
      </c>
    </row>
    <row r="2" spans="1:12">
      <c r="A2" s="126" t="s">
        <v>4</v>
      </c>
      <c r="B2" s="126">
        <v>1</v>
      </c>
      <c r="C2" s="127">
        <v>95</v>
      </c>
      <c r="D2" s="115">
        <v>2018</v>
      </c>
      <c r="E2" s="116">
        <v>44</v>
      </c>
      <c r="F2" s="116">
        <v>8.5</v>
      </c>
      <c r="G2" s="130">
        <f>SUM(E2:E4)</f>
        <v>128</v>
      </c>
      <c r="H2" s="130">
        <f>(F2*E2+F3*E3+E4*F4)/G2</f>
        <v>7.3046875</v>
      </c>
      <c r="I2" s="123">
        <f t="shared" ref="I2" si="0">(((PI()*0.00085*H2/100)+(0.00085*H2/100*2))*G2/2)*4</f>
        <v>8.1725615228809764E-2</v>
      </c>
      <c r="J2" s="21">
        <f>AVERAGE(I2,I5,I8,I15,I21,I18)</f>
        <v>0.10351911262315903</v>
      </c>
      <c r="K2" s="21">
        <f>AVERAGE(I24:I51)</f>
        <v>9.5748207421621573E-2</v>
      </c>
      <c r="L2" s="21">
        <f>SUM(I2:I23)</f>
        <v>0.62111467573895418</v>
      </c>
    </row>
    <row r="3" spans="1:12">
      <c r="A3" s="126"/>
      <c r="B3" s="126"/>
      <c r="C3" s="128"/>
      <c r="D3" s="115">
        <v>2019</v>
      </c>
      <c r="E3" s="116">
        <v>38</v>
      </c>
      <c r="F3" s="116">
        <v>7.5</v>
      </c>
      <c r="G3" s="130"/>
      <c r="H3" s="130"/>
      <c r="I3" s="124"/>
      <c r="J3" s="21"/>
      <c r="K3" s="21"/>
    </row>
    <row r="4" spans="1:12">
      <c r="A4" s="126"/>
      <c r="B4" s="126"/>
      <c r="C4" s="129"/>
      <c r="D4" s="115">
        <v>2020</v>
      </c>
      <c r="E4" s="116">
        <v>46</v>
      </c>
      <c r="F4" s="116">
        <v>6</v>
      </c>
      <c r="G4" s="130"/>
      <c r="H4" s="130"/>
      <c r="I4" s="125"/>
      <c r="J4" s="21"/>
      <c r="K4" s="21"/>
    </row>
    <row r="5" spans="1:12">
      <c r="A5" s="126"/>
      <c r="B5" s="126">
        <v>2</v>
      </c>
      <c r="C5" s="127">
        <v>50</v>
      </c>
      <c r="D5" s="115">
        <v>2018</v>
      </c>
      <c r="E5" s="115">
        <v>6</v>
      </c>
      <c r="F5" s="67">
        <v>8.5</v>
      </c>
      <c r="G5" s="130">
        <f>SUM(E5:E7)</f>
        <v>160</v>
      </c>
      <c r="H5" s="130">
        <f>(F6*E6+F7*E7+E5*F5)/G5</f>
        <v>6.9874999999999998</v>
      </c>
      <c r="I5" s="123">
        <f t="shared" ref="I5" si="1">(((PI()*0.00085*H5/100)+(0.00085*H5/100*2))*G5/2)*4</f>
        <v>9.7721109974127612E-2</v>
      </c>
      <c r="J5" s="21"/>
      <c r="K5" s="21"/>
    </row>
    <row r="6" spans="1:12">
      <c r="A6" s="126"/>
      <c r="B6" s="126"/>
      <c r="C6" s="128"/>
      <c r="D6" s="115">
        <v>2019</v>
      </c>
      <c r="E6" s="115">
        <v>88</v>
      </c>
      <c r="F6" s="116">
        <v>7.25</v>
      </c>
      <c r="G6" s="130"/>
      <c r="H6" s="130"/>
      <c r="I6" s="124"/>
      <c r="J6" s="21"/>
      <c r="K6" s="21"/>
    </row>
    <row r="7" spans="1:12">
      <c r="A7" s="126"/>
      <c r="B7" s="126"/>
      <c r="C7" s="129"/>
      <c r="D7" s="115">
        <v>2020</v>
      </c>
      <c r="E7" s="115">
        <v>66</v>
      </c>
      <c r="F7" s="116">
        <v>6.5</v>
      </c>
      <c r="G7" s="130"/>
      <c r="H7" s="130"/>
      <c r="I7" s="125"/>
      <c r="J7" s="21"/>
      <c r="K7" s="21"/>
    </row>
    <row r="8" spans="1:12">
      <c r="A8" s="126"/>
      <c r="B8" s="126">
        <v>3</v>
      </c>
      <c r="C8" s="127">
        <v>97</v>
      </c>
      <c r="D8" s="115">
        <v>2018</v>
      </c>
      <c r="E8" s="115">
        <v>32</v>
      </c>
      <c r="F8" s="116">
        <v>9.5</v>
      </c>
      <c r="G8" s="130">
        <f t="shared" ref="G8" si="2">SUM(E8:E10)</f>
        <v>188</v>
      </c>
      <c r="H8" s="130">
        <f>(F8*E8+F9*E9+F10*E10)/G8</f>
        <v>7.1595744680851068</v>
      </c>
      <c r="I8" s="123">
        <f t="shared" ref="I8" si="3">(((PI()*0.00085*H8/100)+(0.00085*H8/100*2))*G8/2)*4</f>
        <v>0.11764992309944165</v>
      </c>
      <c r="J8" s="21"/>
      <c r="K8" s="21"/>
    </row>
    <row r="9" spans="1:12">
      <c r="A9" s="126"/>
      <c r="B9" s="126"/>
      <c r="C9" s="128"/>
      <c r="D9" s="115">
        <v>2019</v>
      </c>
      <c r="E9" s="115">
        <v>56</v>
      </c>
      <c r="F9" s="116">
        <v>7</v>
      </c>
      <c r="G9" s="130"/>
      <c r="H9" s="130"/>
      <c r="I9" s="124"/>
      <c r="J9" s="21"/>
      <c r="K9" s="21"/>
    </row>
    <row r="10" spans="1:12">
      <c r="A10" s="126"/>
      <c r="B10" s="126"/>
      <c r="C10" s="129"/>
      <c r="D10" s="115">
        <v>2020</v>
      </c>
      <c r="E10" s="115">
        <v>100</v>
      </c>
      <c r="F10" s="116">
        <v>6.5</v>
      </c>
      <c r="G10" s="130"/>
      <c r="H10" s="130"/>
      <c r="I10" s="125"/>
      <c r="J10" s="21"/>
      <c r="K10" s="21"/>
    </row>
    <row r="11" spans="1:12">
      <c r="A11" s="126"/>
      <c r="B11" s="126">
        <v>4</v>
      </c>
      <c r="C11" s="127">
        <v>94</v>
      </c>
      <c r="D11" s="115">
        <v>2017</v>
      </c>
      <c r="E11" s="115"/>
      <c r="F11" s="116"/>
      <c r="G11" s="130"/>
      <c r="H11" s="130"/>
      <c r="I11" s="131"/>
      <c r="J11" s="21"/>
      <c r="K11" s="21"/>
    </row>
    <row r="12" spans="1:12">
      <c r="A12" s="126"/>
      <c r="B12" s="126"/>
      <c r="C12" s="128"/>
      <c r="D12" s="115">
        <v>2018</v>
      </c>
      <c r="E12" s="115"/>
      <c r="F12" s="116"/>
      <c r="G12" s="130"/>
      <c r="H12" s="130"/>
      <c r="I12" s="132"/>
      <c r="J12" s="21"/>
      <c r="K12" s="21"/>
    </row>
    <row r="13" spans="1:12">
      <c r="A13" s="126"/>
      <c r="B13" s="126"/>
      <c r="C13" s="128"/>
      <c r="D13" s="115">
        <v>2019</v>
      </c>
      <c r="E13" s="115"/>
      <c r="F13" s="116"/>
      <c r="G13" s="130"/>
      <c r="H13" s="130"/>
      <c r="I13" s="132"/>
      <c r="J13" s="21"/>
      <c r="K13" s="21"/>
    </row>
    <row r="14" spans="1:12">
      <c r="A14" s="126"/>
      <c r="B14" s="126"/>
      <c r="C14" s="129"/>
      <c r="D14" s="115">
        <v>2020</v>
      </c>
      <c r="E14" s="115"/>
      <c r="F14" s="116"/>
      <c r="G14" s="130"/>
      <c r="H14" s="130"/>
      <c r="I14" s="133"/>
      <c r="J14" s="21"/>
      <c r="K14" s="21"/>
    </row>
    <row r="15" spans="1:12">
      <c r="A15" s="126"/>
      <c r="B15" s="126">
        <v>5</v>
      </c>
      <c r="C15" s="127">
        <v>55</v>
      </c>
      <c r="D15" s="115">
        <v>2018</v>
      </c>
      <c r="E15" s="116">
        <v>46</v>
      </c>
      <c r="F15" s="116">
        <v>8</v>
      </c>
      <c r="G15" s="130">
        <f t="shared" ref="G15" si="4">SUM(E15:E17)</f>
        <v>198</v>
      </c>
      <c r="H15" s="130">
        <f>(F15*E15+F16*E16+F17*E17)/G15</f>
        <v>6.7272727272727275</v>
      </c>
      <c r="I15" s="123">
        <f>(((PI()*0.00085*H15/100)+(0.00085*H15/100*2))*G15/2)*4</f>
        <v>0.11642622404788727</v>
      </c>
      <c r="J15" s="21"/>
      <c r="K15" s="21"/>
    </row>
    <row r="16" spans="1:12">
      <c r="A16" s="126"/>
      <c r="B16" s="126"/>
      <c r="C16" s="128"/>
      <c r="D16" s="115">
        <v>2019</v>
      </c>
      <c r="E16" s="116">
        <v>52</v>
      </c>
      <c r="F16" s="116">
        <v>7</v>
      </c>
      <c r="G16" s="130"/>
      <c r="H16" s="130"/>
      <c r="I16" s="124"/>
      <c r="J16" s="21"/>
      <c r="K16" s="21"/>
    </row>
    <row r="17" spans="1:11">
      <c r="A17" s="126"/>
      <c r="B17" s="126"/>
      <c r="C17" s="129"/>
      <c r="D17" s="115">
        <v>2020</v>
      </c>
      <c r="E17" s="116">
        <v>100</v>
      </c>
      <c r="F17" s="116">
        <v>6</v>
      </c>
      <c r="G17" s="130"/>
      <c r="H17" s="130"/>
      <c r="I17" s="125"/>
      <c r="J17" s="21"/>
      <c r="K17" s="21"/>
    </row>
    <row r="18" spans="1:11">
      <c r="A18" s="126"/>
      <c r="B18" s="126">
        <v>6</v>
      </c>
      <c r="C18" s="127">
        <v>55</v>
      </c>
      <c r="D18" s="115">
        <v>2018</v>
      </c>
      <c r="E18" s="116">
        <v>28</v>
      </c>
      <c r="F18" s="116">
        <v>8</v>
      </c>
      <c r="G18" s="130">
        <f>SUM(E18:E20)</f>
        <v>166</v>
      </c>
      <c r="H18" s="130">
        <f>(F18*E18+F19*E19+F20*E20)/G18</f>
        <v>6.8433734939759034</v>
      </c>
      <c r="I18" s="123">
        <f>(((PI()*0.00085*H18/100)+(0.00085*H18/100*2))*G18/2)*4</f>
        <v>9.929443732612607E-2</v>
      </c>
      <c r="J18" s="21"/>
      <c r="K18" s="21"/>
    </row>
    <row r="19" spans="1:11">
      <c r="A19" s="126"/>
      <c r="B19" s="126"/>
      <c r="C19" s="128"/>
      <c r="D19" s="115">
        <v>2019</v>
      </c>
      <c r="E19" s="116">
        <v>42</v>
      </c>
      <c r="F19" s="116">
        <v>8</v>
      </c>
      <c r="G19" s="130"/>
      <c r="H19" s="130"/>
      <c r="I19" s="124"/>
      <c r="J19" s="21"/>
      <c r="K19" s="21"/>
    </row>
    <row r="20" spans="1:11">
      <c r="A20" s="126"/>
      <c r="B20" s="126"/>
      <c r="C20" s="129"/>
      <c r="D20" s="115">
        <v>2020</v>
      </c>
      <c r="E20" s="116">
        <v>96</v>
      </c>
      <c r="F20" s="116">
        <v>6</v>
      </c>
      <c r="G20" s="130"/>
      <c r="H20" s="130"/>
      <c r="I20" s="125"/>
      <c r="K20" s="21"/>
    </row>
    <row r="21" spans="1:11">
      <c r="A21" s="126"/>
      <c r="B21" s="126">
        <v>7</v>
      </c>
      <c r="C21" s="127">
        <v>58</v>
      </c>
      <c r="D21" s="115">
        <v>2018</v>
      </c>
      <c r="E21" s="116">
        <v>38</v>
      </c>
      <c r="F21" s="116">
        <v>6.5</v>
      </c>
      <c r="G21" s="130">
        <f t="shared" ref="G21" si="5">SUM(E21:E23)</f>
        <v>180</v>
      </c>
      <c r="H21" s="130">
        <f>(F21*E21+F22*E22+F23*E23)/G21</f>
        <v>6.8833333333333337</v>
      </c>
      <c r="I21" s="123">
        <f>(((PI()*0.00085*H21/100)+(0.00085*H21/100*2))*G21/2)*4</f>
        <v>0.10829736606256181</v>
      </c>
      <c r="J21" s="21"/>
      <c r="K21" s="21"/>
    </row>
    <row r="22" spans="1:11">
      <c r="A22" s="126"/>
      <c r="B22" s="126"/>
      <c r="C22" s="128"/>
      <c r="D22" s="115">
        <v>2019</v>
      </c>
      <c r="E22" s="115">
        <v>46</v>
      </c>
      <c r="F22" s="116">
        <v>8</v>
      </c>
      <c r="G22" s="130"/>
      <c r="H22" s="130"/>
      <c r="I22" s="124"/>
      <c r="J22" s="21"/>
      <c r="K22" s="21"/>
    </row>
    <row r="23" spans="1:11">
      <c r="A23" s="126"/>
      <c r="B23" s="126"/>
      <c r="C23" s="129"/>
      <c r="D23" s="115">
        <v>2020</v>
      </c>
      <c r="E23" s="115">
        <v>96</v>
      </c>
      <c r="F23" s="116">
        <v>6.5</v>
      </c>
      <c r="G23" s="130"/>
      <c r="H23" s="130"/>
      <c r="I23" s="125"/>
      <c r="K23" s="21"/>
    </row>
    <row r="24" spans="1:11">
      <c r="A24" s="126" t="s">
        <v>6</v>
      </c>
      <c r="B24" s="134">
        <v>9</v>
      </c>
      <c r="C24" s="127">
        <v>14</v>
      </c>
      <c r="D24" s="115">
        <v>2017</v>
      </c>
      <c r="E24" s="115">
        <v>0</v>
      </c>
      <c r="F24" s="116">
        <v>0</v>
      </c>
      <c r="G24" s="130">
        <f t="shared" ref="G24" si="6">SUM(E24:E27)</f>
        <v>190</v>
      </c>
      <c r="H24" s="130">
        <f>(F24*E24+F26*E26+F27*E27+E25*F25)/G24</f>
        <v>5.6105263157894738</v>
      </c>
      <c r="I24" s="131">
        <f>(((PI()*0.00085*H24/100)+(0.00085*H24/100*2))*G24/2)*4</f>
        <v>9.3175942068354237E-2</v>
      </c>
      <c r="J24" s="21"/>
      <c r="K24" s="21"/>
    </row>
    <row r="25" spans="1:11">
      <c r="A25" s="126"/>
      <c r="B25" s="134"/>
      <c r="C25" s="128"/>
      <c r="D25" s="115">
        <v>2018</v>
      </c>
      <c r="E25" s="115">
        <v>24</v>
      </c>
      <c r="F25" s="116">
        <v>8.5</v>
      </c>
      <c r="G25" s="130"/>
      <c r="H25" s="130"/>
      <c r="I25" s="132"/>
      <c r="J25" s="21"/>
      <c r="K25" s="21"/>
    </row>
    <row r="26" spans="1:11">
      <c r="A26" s="126"/>
      <c r="B26" s="134"/>
      <c r="C26" s="128"/>
      <c r="D26" s="115">
        <v>2019</v>
      </c>
      <c r="E26" s="115">
        <v>100</v>
      </c>
      <c r="F26" s="116">
        <v>4</v>
      </c>
      <c r="G26" s="130"/>
      <c r="H26" s="130"/>
      <c r="I26" s="132"/>
      <c r="J26" s="21"/>
      <c r="K26" s="21"/>
    </row>
    <row r="27" spans="1:11">
      <c r="A27" s="126"/>
      <c r="B27" s="134"/>
      <c r="C27" s="129"/>
      <c r="D27" s="115">
        <v>2020</v>
      </c>
      <c r="E27" s="115">
        <v>66</v>
      </c>
      <c r="F27" s="116">
        <v>7</v>
      </c>
      <c r="G27" s="130"/>
      <c r="H27" s="130"/>
      <c r="I27" s="133"/>
      <c r="J27" s="21"/>
      <c r="K27" s="21"/>
    </row>
    <row r="28" spans="1:11">
      <c r="A28" s="126"/>
      <c r="B28" s="126">
        <v>10</v>
      </c>
      <c r="C28" s="127">
        <v>13</v>
      </c>
      <c r="D28" s="115">
        <v>2017</v>
      </c>
      <c r="E28" s="115">
        <v>0</v>
      </c>
      <c r="F28" s="116">
        <v>0</v>
      </c>
      <c r="G28" s="130">
        <f t="shared" ref="G28" si="7">SUM(E28:E31)</f>
        <v>172</v>
      </c>
      <c r="H28" s="130">
        <f>(F30*E30+F31*E31+E29*F29)/G28</f>
        <v>6.5406976744186043</v>
      </c>
      <c r="I28" s="131">
        <f>(((PI()*0.00085*H28/100)+(0.00085*H28/100*2))*G28/2)*4</f>
        <v>9.8332959499904782E-2</v>
      </c>
      <c r="J28" s="21"/>
      <c r="K28" s="21"/>
    </row>
    <row r="29" spans="1:11">
      <c r="A29" s="126"/>
      <c r="B29" s="126"/>
      <c r="C29" s="128"/>
      <c r="D29" s="115">
        <v>2018</v>
      </c>
      <c r="E29" s="115">
        <v>56</v>
      </c>
      <c r="F29" s="116">
        <v>7</v>
      </c>
      <c r="G29" s="130"/>
      <c r="H29" s="130"/>
      <c r="I29" s="132"/>
      <c r="J29" s="21"/>
      <c r="K29" s="21"/>
    </row>
    <row r="30" spans="1:11">
      <c r="A30" s="126"/>
      <c r="B30" s="126"/>
      <c r="C30" s="128"/>
      <c r="D30" s="115">
        <v>2019</v>
      </c>
      <c r="E30" s="115">
        <v>32</v>
      </c>
      <c r="F30" s="116">
        <v>6.5</v>
      </c>
      <c r="G30" s="130"/>
      <c r="H30" s="130"/>
      <c r="I30" s="132"/>
      <c r="J30" s="21"/>
      <c r="K30" s="21"/>
    </row>
    <row r="31" spans="1:11">
      <c r="A31" s="126"/>
      <c r="B31" s="126"/>
      <c r="C31" s="129"/>
      <c r="D31" s="115">
        <v>2020</v>
      </c>
      <c r="E31" s="115">
        <v>84</v>
      </c>
      <c r="F31" s="116">
        <v>6.25</v>
      </c>
      <c r="G31" s="130"/>
      <c r="H31" s="130"/>
      <c r="I31" s="133"/>
      <c r="J31" s="21"/>
      <c r="K31" s="21"/>
    </row>
    <row r="32" spans="1:11">
      <c r="A32" s="126"/>
      <c r="B32" s="126">
        <v>11</v>
      </c>
      <c r="C32" s="127">
        <v>17</v>
      </c>
      <c r="D32" s="115">
        <v>2017</v>
      </c>
      <c r="E32" s="115">
        <v>0</v>
      </c>
      <c r="F32" s="116">
        <v>0</v>
      </c>
      <c r="G32" s="130">
        <f>SUM(E32:E35)</f>
        <v>144</v>
      </c>
      <c r="H32" s="130">
        <f>(F32*E32+F33*E33+F35*E35+E34*F34)/G32</f>
        <v>5.791666666666667</v>
      </c>
      <c r="I32" s="131">
        <f>(((PI()*0.00085*H32/100)+(0.00085*H32/100*2))*G32/2)*4</f>
        <v>7.2897500642596091E-2</v>
      </c>
      <c r="J32" s="21"/>
      <c r="K32" s="21"/>
    </row>
    <row r="33" spans="1:11">
      <c r="A33" s="126"/>
      <c r="B33" s="126"/>
      <c r="C33" s="128"/>
      <c r="D33" s="115">
        <v>2018</v>
      </c>
      <c r="E33" s="115">
        <v>34</v>
      </c>
      <c r="F33" s="116">
        <v>5.5</v>
      </c>
      <c r="G33" s="130"/>
      <c r="H33" s="130"/>
      <c r="I33" s="132"/>
      <c r="J33" s="21"/>
      <c r="K33" s="21"/>
    </row>
    <row r="34" spans="1:11">
      <c r="A34" s="126"/>
      <c r="B34" s="126"/>
      <c r="C34" s="128"/>
      <c r="D34" s="115">
        <v>2019</v>
      </c>
      <c r="E34" s="115">
        <v>34</v>
      </c>
      <c r="F34" s="116">
        <v>4.5</v>
      </c>
      <c r="G34" s="130"/>
      <c r="H34" s="130"/>
      <c r="I34" s="132"/>
      <c r="J34" s="21"/>
      <c r="K34" s="21"/>
    </row>
    <row r="35" spans="1:11">
      <c r="A35" s="126"/>
      <c r="B35" s="126"/>
      <c r="C35" s="129"/>
      <c r="D35" s="115">
        <v>2020</v>
      </c>
      <c r="E35" s="115">
        <v>76</v>
      </c>
      <c r="F35" s="116">
        <v>6.5</v>
      </c>
      <c r="G35" s="130"/>
      <c r="H35" s="130"/>
      <c r="I35" s="133"/>
      <c r="J35" s="21"/>
      <c r="K35" s="21"/>
    </row>
    <row r="36" spans="1:11">
      <c r="A36" s="126"/>
      <c r="B36" s="126">
        <v>12</v>
      </c>
      <c r="C36" s="127">
        <v>80</v>
      </c>
      <c r="D36" s="115">
        <v>2017</v>
      </c>
      <c r="E36" s="116">
        <v>0</v>
      </c>
      <c r="F36" s="116">
        <v>0</v>
      </c>
      <c r="G36" s="130">
        <f>SUM(E36:E39)</f>
        <v>190</v>
      </c>
      <c r="H36" s="130">
        <f>(F36*E36+F37*E37+F39*E39)/G36</f>
        <v>6.5736842105263156</v>
      </c>
      <c r="I36" s="123">
        <f>(((PI()*0.00085*H36/100)+(0.00085*H36/100*2))*G36/2)*4</f>
        <v>0.10917143681367206</v>
      </c>
      <c r="J36" s="21"/>
      <c r="K36" s="21"/>
    </row>
    <row r="37" spans="1:11">
      <c r="A37" s="126"/>
      <c r="B37" s="126"/>
      <c r="C37" s="128"/>
      <c r="D37" s="115">
        <v>2018</v>
      </c>
      <c r="E37" s="116">
        <v>10</v>
      </c>
      <c r="F37" s="116">
        <v>9</v>
      </c>
      <c r="G37" s="130"/>
      <c r="H37" s="130"/>
      <c r="I37" s="124"/>
      <c r="J37" s="21"/>
      <c r="K37" s="21"/>
    </row>
    <row r="38" spans="1:11">
      <c r="A38" s="126"/>
      <c r="B38" s="126"/>
      <c r="C38" s="128"/>
      <c r="D38" s="115">
        <v>2019</v>
      </c>
      <c r="E38" s="116">
        <v>58</v>
      </c>
      <c r="F38" s="116">
        <v>4.5</v>
      </c>
      <c r="G38" s="130"/>
      <c r="H38" s="130"/>
      <c r="I38" s="124"/>
      <c r="J38" s="21"/>
      <c r="K38" s="21"/>
    </row>
    <row r="39" spans="1:11">
      <c r="A39" s="126"/>
      <c r="B39" s="126"/>
      <c r="C39" s="129"/>
      <c r="D39" s="115">
        <v>2020</v>
      </c>
      <c r="E39" s="116">
        <v>122</v>
      </c>
      <c r="F39" s="116">
        <v>9.5</v>
      </c>
      <c r="G39" s="130"/>
      <c r="H39" s="130"/>
      <c r="I39" s="125"/>
      <c r="J39" s="21"/>
      <c r="K39" s="21"/>
    </row>
    <row r="40" spans="1:11">
      <c r="A40" s="126"/>
      <c r="B40" s="126">
        <v>13</v>
      </c>
      <c r="C40" s="127">
        <v>18</v>
      </c>
      <c r="D40" s="115">
        <v>2017</v>
      </c>
      <c r="E40" s="116">
        <v>0</v>
      </c>
      <c r="F40" s="116">
        <v>0</v>
      </c>
      <c r="G40" s="130">
        <f>SUM(E40:E43)</f>
        <v>166</v>
      </c>
      <c r="H40" s="130">
        <f>(F40*E40+F42*E42+F43*E43)/G40</f>
        <v>5.4698795180722888</v>
      </c>
      <c r="I40" s="123">
        <f>(((PI()*0.00085*H40/100)+(0.00085*H40/100*2))*G40/2)*4</f>
        <v>7.9365624200812029E-2</v>
      </c>
      <c r="J40" s="21"/>
      <c r="K40" s="21"/>
    </row>
    <row r="41" spans="1:11">
      <c r="A41" s="126"/>
      <c r="B41" s="126"/>
      <c r="C41" s="128"/>
      <c r="D41" s="115">
        <v>2018</v>
      </c>
      <c r="E41" s="116">
        <v>28</v>
      </c>
      <c r="F41" s="116">
        <v>6.5</v>
      </c>
      <c r="G41" s="130"/>
      <c r="H41" s="130"/>
      <c r="I41" s="124"/>
      <c r="J41" s="21"/>
      <c r="K41" s="21"/>
    </row>
    <row r="42" spans="1:11">
      <c r="A42" s="126"/>
      <c r="B42" s="126"/>
      <c r="C42" s="128"/>
      <c r="D42" s="115">
        <v>2019</v>
      </c>
      <c r="E42" s="115">
        <v>56</v>
      </c>
      <c r="F42" s="116">
        <v>4.5</v>
      </c>
      <c r="G42" s="130"/>
      <c r="H42" s="130"/>
      <c r="I42" s="124"/>
      <c r="J42" s="21"/>
      <c r="K42" s="21"/>
    </row>
    <row r="43" spans="1:11">
      <c r="A43" s="126"/>
      <c r="B43" s="126"/>
      <c r="C43" s="129"/>
      <c r="D43" s="115">
        <v>2020</v>
      </c>
      <c r="E43" s="115">
        <v>82</v>
      </c>
      <c r="F43" s="116">
        <v>8</v>
      </c>
      <c r="G43" s="130"/>
      <c r="H43" s="130"/>
      <c r="I43" s="125"/>
      <c r="J43" s="21"/>
      <c r="K43" s="21"/>
    </row>
    <row r="44" spans="1:11">
      <c r="A44" s="126"/>
      <c r="B44" s="126">
        <v>14</v>
      </c>
      <c r="C44" s="127">
        <v>80</v>
      </c>
      <c r="D44" s="115">
        <v>2017</v>
      </c>
      <c r="E44" s="116">
        <v>0</v>
      </c>
      <c r="F44" s="116">
        <v>0</v>
      </c>
      <c r="G44" s="130">
        <f>SUM(E44:E47)</f>
        <v>190</v>
      </c>
      <c r="H44" s="130">
        <f>(F44*E44+F46*E46+F47*E47)/G44</f>
        <v>7.4736842105263159</v>
      </c>
      <c r="I44" s="123">
        <f>(((PI()*0.00085*H44/100)+(0.00085*H44/100*2))*G44/2)*4</f>
        <v>0.12411804665765759</v>
      </c>
      <c r="J44" s="21"/>
      <c r="K44" s="21"/>
    </row>
    <row r="45" spans="1:11">
      <c r="A45" s="126"/>
      <c r="B45" s="126"/>
      <c r="C45" s="128"/>
      <c r="D45" s="115">
        <v>2018</v>
      </c>
      <c r="E45" s="116">
        <v>10</v>
      </c>
      <c r="F45" s="116">
        <v>9</v>
      </c>
      <c r="G45" s="130"/>
      <c r="H45" s="130"/>
      <c r="I45" s="124"/>
      <c r="J45" s="21"/>
      <c r="K45" s="21"/>
    </row>
    <row r="46" spans="1:11">
      <c r="A46" s="126"/>
      <c r="B46" s="126"/>
      <c r="C46" s="128"/>
      <c r="D46" s="115">
        <v>2019</v>
      </c>
      <c r="E46" s="116">
        <v>58</v>
      </c>
      <c r="F46" s="116">
        <v>4.5</v>
      </c>
      <c r="G46" s="130"/>
      <c r="H46" s="130"/>
      <c r="I46" s="124"/>
      <c r="J46" s="21"/>
      <c r="K46" s="21"/>
    </row>
    <row r="47" spans="1:11">
      <c r="A47" s="126"/>
      <c r="B47" s="126"/>
      <c r="C47" s="129"/>
      <c r="D47" s="115">
        <v>2020</v>
      </c>
      <c r="E47" s="116">
        <v>122</v>
      </c>
      <c r="F47" s="116">
        <v>9.5</v>
      </c>
      <c r="G47" s="130"/>
      <c r="H47" s="130"/>
      <c r="I47" s="125"/>
      <c r="J47" s="21"/>
      <c r="K47" s="21"/>
    </row>
    <row r="48" spans="1:11">
      <c r="A48" s="126"/>
      <c r="B48" s="126">
        <v>15</v>
      </c>
      <c r="C48" s="127">
        <v>14</v>
      </c>
      <c r="D48" s="115">
        <v>2017</v>
      </c>
      <c r="E48" s="115">
        <v>0</v>
      </c>
      <c r="F48" s="116">
        <v>0</v>
      </c>
      <c r="G48" s="130">
        <f>SUM(E48:E51)</f>
        <v>190</v>
      </c>
      <c r="H48" s="130">
        <f>(F48*E48+F50*E50+F51*E51+E49*F49)/G48</f>
        <v>5.6105263157894738</v>
      </c>
      <c r="I48" s="131">
        <f>(((PI()*0.00085*H48/100)+(0.00085*H48/100*2))*G48/2)*4</f>
        <v>9.3175942068354237E-2</v>
      </c>
      <c r="J48" s="21"/>
      <c r="K48" s="21"/>
    </row>
    <row r="49" spans="1:11">
      <c r="A49" s="126"/>
      <c r="B49" s="126"/>
      <c r="C49" s="128"/>
      <c r="D49" s="115">
        <v>2018</v>
      </c>
      <c r="E49" s="115">
        <v>24</v>
      </c>
      <c r="F49" s="116">
        <v>8.5</v>
      </c>
      <c r="G49" s="130"/>
      <c r="H49" s="130"/>
      <c r="I49" s="132"/>
      <c r="J49" s="21"/>
      <c r="K49" s="21"/>
    </row>
    <row r="50" spans="1:11">
      <c r="A50" s="126"/>
      <c r="B50" s="126"/>
      <c r="C50" s="128"/>
      <c r="D50" s="115">
        <v>2019</v>
      </c>
      <c r="E50" s="115">
        <v>100</v>
      </c>
      <c r="F50" s="116">
        <v>4</v>
      </c>
      <c r="G50" s="130"/>
      <c r="H50" s="130"/>
      <c r="I50" s="132"/>
      <c r="J50" s="21"/>
      <c r="K50" s="21"/>
    </row>
    <row r="51" spans="1:11">
      <c r="A51" s="126"/>
      <c r="B51" s="126"/>
      <c r="C51" s="129"/>
      <c r="D51" s="115">
        <v>2020</v>
      </c>
      <c r="E51" s="115">
        <v>66</v>
      </c>
      <c r="F51" s="116">
        <v>7</v>
      </c>
      <c r="G51" s="130"/>
      <c r="H51" s="130"/>
      <c r="I51" s="133"/>
      <c r="J51" s="21"/>
      <c r="K51" s="21"/>
    </row>
  </sheetData>
  <mergeCells count="72">
    <mergeCell ref="I48:I51"/>
    <mergeCell ref="B44:B47"/>
    <mergeCell ref="C44:C47"/>
    <mergeCell ref="G44:G47"/>
    <mergeCell ref="H44:H47"/>
    <mergeCell ref="I44:I47"/>
    <mergeCell ref="I32:I35"/>
    <mergeCell ref="B40:B43"/>
    <mergeCell ref="C40:C43"/>
    <mergeCell ref="G40:G43"/>
    <mergeCell ref="H40:H43"/>
    <mergeCell ref="I40:I43"/>
    <mergeCell ref="B36:B39"/>
    <mergeCell ref="C36:C39"/>
    <mergeCell ref="G36:G39"/>
    <mergeCell ref="H36:H39"/>
    <mergeCell ref="I36:I39"/>
    <mergeCell ref="A24:A51"/>
    <mergeCell ref="B24:B27"/>
    <mergeCell ref="C24:C27"/>
    <mergeCell ref="G24:G27"/>
    <mergeCell ref="H24:H27"/>
    <mergeCell ref="B32:B35"/>
    <mergeCell ref="C32:C35"/>
    <mergeCell ref="G32:G35"/>
    <mergeCell ref="H32:H35"/>
    <mergeCell ref="B48:B51"/>
    <mergeCell ref="C48:C51"/>
    <mergeCell ref="G48:G51"/>
    <mergeCell ref="H48:H51"/>
    <mergeCell ref="I24:I27"/>
    <mergeCell ref="B28:B31"/>
    <mergeCell ref="C28:C31"/>
    <mergeCell ref="G28:G31"/>
    <mergeCell ref="H28:H31"/>
    <mergeCell ref="I28:I31"/>
    <mergeCell ref="I21:I23"/>
    <mergeCell ref="B18:B20"/>
    <mergeCell ref="C18:C20"/>
    <mergeCell ref="G18:G20"/>
    <mergeCell ref="H18:H20"/>
    <mergeCell ref="I18:I20"/>
    <mergeCell ref="I8:I10"/>
    <mergeCell ref="B15:B17"/>
    <mergeCell ref="C15:C17"/>
    <mergeCell ref="G15:G17"/>
    <mergeCell ref="H15:H17"/>
    <mergeCell ref="I15:I17"/>
    <mergeCell ref="B11:B14"/>
    <mergeCell ref="C11:C14"/>
    <mergeCell ref="G11:G14"/>
    <mergeCell ref="H11:H14"/>
    <mergeCell ref="I11:I14"/>
    <mergeCell ref="A2:A23"/>
    <mergeCell ref="B2:B4"/>
    <mergeCell ref="C2:C4"/>
    <mergeCell ref="G2:G4"/>
    <mergeCell ref="H2:H4"/>
    <mergeCell ref="B8:B10"/>
    <mergeCell ref="C8:C10"/>
    <mergeCell ref="G8:G10"/>
    <mergeCell ref="H8:H10"/>
    <mergeCell ref="B21:B23"/>
    <mergeCell ref="C21:C23"/>
    <mergeCell ref="G21:G23"/>
    <mergeCell ref="H21:H23"/>
    <mergeCell ref="I2:I4"/>
    <mergeCell ref="B5:B7"/>
    <mergeCell ref="C5:C7"/>
    <mergeCell ref="G5:G7"/>
    <mergeCell ref="H5:H7"/>
    <mergeCell ref="I5:I7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G29" sqref="G29"/>
    </sheetView>
  </sheetViews>
  <sheetFormatPr defaultRowHeight="15"/>
  <cols>
    <col min="4" max="4" width="11.7109375" bestFit="1" customWidth="1"/>
    <col min="5" max="5" width="11.28515625" bestFit="1" customWidth="1"/>
    <col min="7" max="7" width="6.85546875" bestFit="1" customWidth="1"/>
    <col min="9" max="9" width="14.5703125" customWidth="1"/>
  </cols>
  <sheetData>
    <row r="1" spans="1:8">
      <c r="A1" t="s">
        <v>16</v>
      </c>
      <c r="B1" t="s">
        <v>19</v>
      </c>
      <c r="C1" t="s">
        <v>20</v>
      </c>
      <c r="D1" t="s">
        <v>17</v>
      </c>
      <c r="E1" t="s">
        <v>18</v>
      </c>
    </row>
    <row r="2" spans="1:8">
      <c r="A2">
        <v>1</v>
      </c>
      <c r="B2">
        <f>0.0296*EXP(0.0698*A2)</f>
        <v>3.1739893551574298E-2</v>
      </c>
      <c r="C2">
        <f>0.0296*EXP(0.0698*B2)</f>
        <v>2.9665649854223711E-2</v>
      </c>
      <c r="D2">
        <f>0.05/B2</f>
        <v>1.5753045900659615</v>
      </c>
      <c r="E2">
        <f>0.05/C2</f>
        <v>1.6854510265474985</v>
      </c>
      <c r="H2" t="s">
        <v>12</v>
      </c>
    </row>
    <row r="3" spans="1:8">
      <c r="A3">
        <v>2</v>
      </c>
      <c r="B3">
        <v>3.4863380789176085E-2</v>
      </c>
      <c r="C3">
        <v>3.1380449222353779E-2</v>
      </c>
      <c r="D3">
        <f t="shared" ref="D3:D13" si="0">0.05/B3</f>
        <v>1.4341695747282011</v>
      </c>
      <c r="E3">
        <f t="shared" ref="E3:E13" si="1">0.05/C3</f>
        <v>1.5933487645671636</v>
      </c>
    </row>
    <row r="4" spans="1:8">
      <c r="A4">
        <v>3</v>
      </c>
      <c r="B4">
        <f>0.0296*EXP(0.0698*A4)</f>
        <v>3.6494967024097061E-2</v>
      </c>
      <c r="C4">
        <f>0.0259*EXP(0.0644*A4)</f>
        <v>3.1419947713330801E-2</v>
      </c>
      <c r="D4">
        <f t="shared" si="0"/>
        <v>1.3700519298177685</v>
      </c>
      <c r="E4">
        <f t="shared" si="1"/>
        <v>1.5913457417622019</v>
      </c>
    </row>
    <row r="5" spans="1:8">
      <c r="A5">
        <v>4</v>
      </c>
      <c r="B5">
        <f>0.0296*EXP(0.0698*A5)</f>
        <v>3.913332326057619E-2</v>
      </c>
      <c r="C5">
        <f>0.0259*EXP(0.0644*A5)</f>
        <v>3.3509968733719295E-2</v>
      </c>
      <c r="D5">
        <f t="shared" si="0"/>
        <v>1.2776834634530299</v>
      </c>
      <c r="E5">
        <f t="shared" si="1"/>
        <v>1.4920933050494813</v>
      </c>
    </row>
    <row r="6" spans="1:8">
      <c r="A6">
        <v>5</v>
      </c>
      <c r="B6">
        <f>0.0296*EXP(0.0698*A6)</f>
        <v>4.196241603412279E-2</v>
      </c>
      <c r="C6">
        <f>0.0259*EXP(0.0644*A6)</f>
        <v>3.5739015697292688E-2</v>
      </c>
      <c r="D6">
        <f t="shared" si="0"/>
        <v>1.1915424497803284</v>
      </c>
      <c r="E6">
        <f t="shared" si="1"/>
        <v>1.3990312554631328</v>
      </c>
    </row>
    <row r="7" spans="1:8">
      <c r="A7">
        <v>6</v>
      </c>
      <c r="B7">
        <v>4.1567479517526436E-2</v>
      </c>
      <c r="C7">
        <v>3.6773329293349685E-2</v>
      </c>
      <c r="D7">
        <f t="shared" si="0"/>
        <v>1.2028634062096091</v>
      </c>
      <c r="E7">
        <f t="shared" si="1"/>
        <v>1.3596810775858228</v>
      </c>
    </row>
    <row r="8" spans="1:8">
      <c r="A8">
        <v>7</v>
      </c>
      <c r="B8">
        <f>0.0296*EXP(0.0698*A8)</f>
        <v>4.8248964254664135E-2</v>
      </c>
      <c r="C8">
        <f>0.0259*EXP(0.0644*A8)</f>
        <v>4.0651794034316992E-2</v>
      </c>
      <c r="D8">
        <f t="shared" si="0"/>
        <v>1.0362916753216438</v>
      </c>
      <c r="E8">
        <f t="shared" si="1"/>
        <v>1.2299580175426339</v>
      </c>
    </row>
    <row r="9" spans="1:8">
      <c r="A9">
        <v>8</v>
      </c>
      <c r="B9">
        <v>5.4366674640506561E-2</v>
      </c>
      <c r="C9">
        <v>4.4980005762008231E-2</v>
      </c>
      <c r="D9">
        <f t="shared" si="0"/>
        <v>0.91968104230430325</v>
      </c>
      <c r="E9">
        <f t="shared" si="1"/>
        <v>1.1116050154495944</v>
      </c>
    </row>
    <row r="10" spans="1:8">
      <c r="A10">
        <v>9</v>
      </c>
      <c r="B10">
        <v>5.1201235508404191E-2</v>
      </c>
      <c r="C10">
        <v>4.1814566629905861E-2</v>
      </c>
      <c r="D10">
        <f t="shared" si="0"/>
        <v>0.97653893511598922</v>
      </c>
      <c r="E10">
        <f t="shared" si="1"/>
        <v>1.1957555471647505</v>
      </c>
    </row>
    <row r="11" spans="1:8">
      <c r="A11">
        <v>10</v>
      </c>
      <c r="B11">
        <v>4.8035796376301822E-2</v>
      </c>
      <c r="C11">
        <v>3.8649127497803491E-2</v>
      </c>
      <c r="D11">
        <f t="shared" si="0"/>
        <v>1.0408904144798816</v>
      </c>
      <c r="E11">
        <f t="shared" si="1"/>
        <v>1.2936902651383684</v>
      </c>
    </row>
    <row r="12" spans="1:8">
      <c r="A12">
        <v>11</v>
      </c>
      <c r="B12">
        <v>4.4870357244199452E-2</v>
      </c>
      <c r="C12">
        <v>3.5483688365701122E-2</v>
      </c>
      <c r="D12">
        <f t="shared" si="0"/>
        <v>1.1143214155368393</v>
      </c>
      <c r="E12">
        <f t="shared" si="1"/>
        <v>1.4090981603910853</v>
      </c>
    </row>
    <row r="13" spans="1:8">
      <c r="A13">
        <v>12</v>
      </c>
      <c r="B13">
        <v>4.1704918112097082E-2</v>
      </c>
      <c r="C13">
        <v>3.2318249233598752E-2</v>
      </c>
      <c r="D13">
        <f t="shared" si="0"/>
        <v>1.1988993687892369</v>
      </c>
      <c r="E13">
        <f t="shared" si="1"/>
        <v>1.5471135097262299</v>
      </c>
    </row>
    <row r="17" spans="6:9">
      <c r="H17" s="150" t="s">
        <v>25</v>
      </c>
      <c r="I17" s="150"/>
    </row>
    <row r="18" spans="6:9">
      <c r="F18" t="s">
        <v>22</v>
      </c>
      <c r="G18" t="s">
        <v>21</v>
      </c>
      <c r="H18" t="s">
        <v>23</v>
      </c>
      <c r="I18" t="s">
        <v>24</v>
      </c>
    </row>
    <row r="19" spans="6:9">
      <c r="F19">
        <v>2016</v>
      </c>
      <c r="G19">
        <v>2</v>
      </c>
      <c r="H19">
        <v>5.875</v>
      </c>
      <c r="I19">
        <v>6</v>
      </c>
    </row>
    <row r="20" spans="6:9">
      <c r="F20">
        <v>2016</v>
      </c>
      <c r="G20">
        <v>6</v>
      </c>
      <c r="H20">
        <v>7.0475000000000003</v>
      </c>
      <c r="I20">
        <v>6.46</v>
      </c>
    </row>
    <row r="21" spans="6:9">
      <c r="F21">
        <v>2016</v>
      </c>
      <c r="G21">
        <v>8</v>
      </c>
      <c r="H21">
        <v>7.0449999999999999</v>
      </c>
      <c r="I21">
        <v>6.208333333333333</v>
      </c>
    </row>
    <row r="22" spans="6:9">
      <c r="F22">
        <v>2016</v>
      </c>
      <c r="G22">
        <v>12</v>
      </c>
    </row>
    <row r="23" spans="6:9">
      <c r="F23">
        <v>2019</v>
      </c>
      <c r="G23">
        <v>3</v>
      </c>
      <c r="H23">
        <v>7.2658333333333331</v>
      </c>
      <c r="I23">
        <v>5.9866666666666672</v>
      </c>
    </row>
    <row r="24" spans="6:9">
      <c r="F24">
        <v>2017</v>
      </c>
      <c r="G24">
        <v>2</v>
      </c>
      <c r="H24">
        <v>13</v>
      </c>
      <c r="I24">
        <v>5.5</v>
      </c>
    </row>
    <row r="25" spans="6:9">
      <c r="F25">
        <v>2017</v>
      </c>
      <c r="G25">
        <v>6</v>
      </c>
      <c r="H25">
        <v>11.227142857142857</v>
      </c>
      <c r="I25">
        <v>6.3842857142857143</v>
      </c>
    </row>
    <row r="26" spans="6:9">
      <c r="F26">
        <v>2017</v>
      </c>
      <c r="G26">
        <v>8</v>
      </c>
      <c r="H26">
        <v>11.075000000000001</v>
      </c>
      <c r="I26">
        <v>6.0657142857142849</v>
      </c>
    </row>
    <row r="27" spans="6:9">
      <c r="F27">
        <v>2017</v>
      </c>
      <c r="G27">
        <v>12</v>
      </c>
    </row>
    <row r="28" spans="6:9">
      <c r="F28">
        <v>2019</v>
      </c>
      <c r="G28">
        <v>3</v>
      </c>
      <c r="H28">
        <v>11.704999999999998</v>
      </c>
      <c r="I28">
        <v>7.05</v>
      </c>
    </row>
    <row r="29" spans="6:9">
      <c r="F29">
        <v>2018</v>
      </c>
      <c r="G29">
        <v>2</v>
      </c>
    </row>
    <row r="30" spans="6:9">
      <c r="F30">
        <v>2018</v>
      </c>
      <c r="G30">
        <v>6</v>
      </c>
      <c r="H30">
        <v>4.0271428571428576</v>
      </c>
      <c r="I30">
        <v>4.1971428571428566</v>
      </c>
    </row>
    <row r="31" spans="6:9">
      <c r="F31">
        <v>2018</v>
      </c>
      <c r="G31">
        <v>8</v>
      </c>
      <c r="H31">
        <v>7.2700000000000005</v>
      </c>
      <c r="I31">
        <v>5.8742857142857137</v>
      </c>
    </row>
    <row r="32" spans="6:9">
      <c r="F32">
        <v>2018</v>
      </c>
      <c r="G32">
        <v>12</v>
      </c>
    </row>
    <row r="33" spans="6:9">
      <c r="F33">
        <v>2019</v>
      </c>
      <c r="G33">
        <v>3</v>
      </c>
      <c r="H33">
        <v>8.1721666666666675</v>
      </c>
      <c r="I33">
        <v>6.8935000000000004</v>
      </c>
    </row>
  </sheetData>
  <mergeCells count="1">
    <mergeCell ref="H17:I17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6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H20" sqref="H20"/>
    </sheetView>
  </sheetViews>
  <sheetFormatPr defaultRowHeight="15"/>
  <cols>
    <col min="1" max="2" width="12" bestFit="1" customWidth="1"/>
    <col min="3" max="3" width="11.140625" bestFit="1" customWidth="1"/>
    <col min="4" max="4" width="11.140625" customWidth="1"/>
    <col min="5" max="5" width="11.140625" bestFit="1" customWidth="1"/>
    <col min="6" max="6" width="11.140625" customWidth="1"/>
    <col min="7" max="7" width="11.140625" bestFit="1" customWidth="1"/>
    <col min="8" max="8" width="11.140625" customWidth="1"/>
    <col min="9" max="9" width="10.5703125" bestFit="1" customWidth="1"/>
    <col min="10" max="10" width="10.5703125" customWidth="1"/>
    <col min="11" max="11" width="11.140625" bestFit="1" customWidth="1"/>
    <col min="12" max="12" width="11.140625" customWidth="1"/>
    <col min="13" max="13" width="12" bestFit="1" customWidth="1"/>
    <col min="14" max="14" width="12" customWidth="1"/>
    <col min="15" max="15" width="11.140625" bestFit="1" customWidth="1"/>
    <col min="16" max="16" width="11.140625" customWidth="1"/>
    <col min="17" max="18" width="11.140625" bestFit="1" customWidth="1"/>
    <col min="19" max="19" width="11.140625" customWidth="1"/>
    <col min="20" max="20" width="11.140625" bestFit="1" customWidth="1"/>
    <col min="21" max="21" width="11.140625" customWidth="1"/>
    <col min="22" max="22" width="11.85546875" bestFit="1" customWidth="1"/>
    <col min="23" max="23" width="11.5703125" customWidth="1"/>
    <col min="24" max="24" width="11.5703125" bestFit="1" customWidth="1"/>
    <col min="25" max="25" width="11.5703125" customWidth="1"/>
    <col min="26" max="26" width="11.5703125" bestFit="1" customWidth="1"/>
    <col min="27" max="27" width="11.5703125" customWidth="1"/>
    <col min="28" max="28" width="12" bestFit="1" customWidth="1"/>
    <col min="29" max="29" width="12" customWidth="1"/>
    <col min="30" max="30" width="12" bestFit="1" customWidth="1"/>
    <col min="31" max="31" width="12" customWidth="1"/>
    <col min="32" max="32" width="12.5703125" bestFit="1" customWidth="1"/>
  </cols>
  <sheetData>
    <row r="1" spans="1:35">
      <c r="H1" s="47"/>
    </row>
    <row r="2" spans="1:35">
      <c r="A2" s="41" t="s">
        <v>22</v>
      </c>
      <c r="B2" s="41" t="s">
        <v>21</v>
      </c>
      <c r="C2" s="47" t="s">
        <v>28</v>
      </c>
      <c r="D2" s="47" t="s">
        <v>50</v>
      </c>
      <c r="E2" s="47" t="s">
        <v>29</v>
      </c>
      <c r="F2" s="47" t="s">
        <v>51</v>
      </c>
      <c r="G2" s="47" t="s">
        <v>30</v>
      </c>
      <c r="H2" s="47" t="s">
        <v>52</v>
      </c>
      <c r="I2" s="47" t="s">
        <v>31</v>
      </c>
      <c r="J2" s="47" t="s">
        <v>53</v>
      </c>
      <c r="K2" s="47" t="s">
        <v>32</v>
      </c>
      <c r="L2" s="47" t="s">
        <v>54</v>
      </c>
      <c r="M2" s="47" t="s">
        <v>33</v>
      </c>
      <c r="N2" s="47" t="s">
        <v>55</v>
      </c>
      <c r="O2" s="47" t="s">
        <v>34</v>
      </c>
      <c r="P2" s="47" t="s">
        <v>56</v>
      </c>
      <c r="Q2" s="42" t="s">
        <v>14</v>
      </c>
      <c r="R2" s="47" t="s">
        <v>35</v>
      </c>
      <c r="S2" s="47" t="s">
        <v>43</v>
      </c>
      <c r="T2" s="47" t="s">
        <v>36</v>
      </c>
      <c r="U2" s="47" t="s">
        <v>44</v>
      </c>
      <c r="V2" s="47" t="s">
        <v>37</v>
      </c>
      <c r="W2" s="47" t="s">
        <v>46</v>
      </c>
      <c r="X2" s="47" t="s">
        <v>38</v>
      </c>
      <c r="Y2" s="47" t="s">
        <v>45</v>
      </c>
      <c r="Z2" s="47" t="s">
        <v>39</v>
      </c>
      <c r="AA2" s="47" t="s">
        <v>47</v>
      </c>
      <c r="AB2" s="47" t="s">
        <v>40</v>
      </c>
      <c r="AC2" s="47" t="s">
        <v>48</v>
      </c>
      <c r="AD2" s="47" t="s">
        <v>41</v>
      </c>
      <c r="AE2" s="47" t="s">
        <v>49</v>
      </c>
      <c r="AF2" s="42" t="s">
        <v>42</v>
      </c>
      <c r="AI2" s="39"/>
    </row>
    <row r="3" spans="1:35">
      <c r="A3">
        <v>2018</v>
      </c>
      <c r="B3" s="53">
        <v>12</v>
      </c>
      <c r="C3">
        <v>3.8235580837545323E-2</v>
      </c>
      <c r="D3">
        <f>0.06/C3</f>
        <v>1.5692190019272092</v>
      </c>
      <c r="E3">
        <v>3.8773461869541039E-2</v>
      </c>
      <c r="F3">
        <f>0.06/E3</f>
        <v>1.5474501658345272</v>
      </c>
      <c r="G3">
        <v>3.3952518747759834E-2</v>
      </c>
      <c r="H3">
        <f>0.06/G3</f>
        <v>1.7671737536102166</v>
      </c>
      <c r="I3">
        <v>2.3332886475943705E-2</v>
      </c>
      <c r="J3">
        <f>0.06/I3</f>
        <v>2.5714778178799365</v>
      </c>
      <c r="K3">
        <v>6.4449511175510718E-2</v>
      </c>
      <c r="L3">
        <f>0.06/K3</f>
        <v>0.93096128900972286</v>
      </c>
      <c r="M3">
        <v>4.4143933268863976E-2</v>
      </c>
      <c r="N3">
        <f>0.06/M3</f>
        <v>1.3591901662808958</v>
      </c>
      <c r="O3">
        <v>4.1294135045177816E-2</v>
      </c>
      <c r="P3">
        <f>0.06/O3</f>
        <v>1.4529908408144896</v>
      </c>
      <c r="Q3" s="43">
        <f>AVERAGE(O3,M3,K3,I3,G3,E3,C3)</f>
        <v>4.0597432488620341E-2</v>
      </c>
      <c r="R3">
        <v>4.3526050077689324E-2</v>
      </c>
      <c r="S3">
        <f>0.06/R3</f>
        <v>1.3784848359294364</v>
      </c>
      <c r="T3">
        <v>5.7571521712917129E-2</v>
      </c>
      <c r="U3">
        <f>0.06/T3</f>
        <v>1.0421819367428324</v>
      </c>
      <c r="V3">
        <v>1.9173992223742959E-2</v>
      </c>
      <c r="W3">
        <f>0.06/V3</f>
        <v>3.1292387782291167</v>
      </c>
      <c r="X3">
        <v>3.1358870428841459E-2</v>
      </c>
      <c r="Y3">
        <f>0.06/X3</f>
        <v>1.9133342234424568</v>
      </c>
      <c r="Z3">
        <v>2.4765202233784554E-2</v>
      </c>
      <c r="AA3">
        <f>0.06/Z3</f>
        <v>2.4227542918324456</v>
      </c>
      <c r="AB3">
        <v>2.9114944101196281E-2</v>
      </c>
      <c r="AC3">
        <f>0.06/AB3</f>
        <v>2.0607973620507383</v>
      </c>
      <c r="AD3">
        <v>4.6298409955249149E-2</v>
      </c>
      <c r="AE3">
        <f>0.06/AD3</f>
        <v>1.2959408337779732</v>
      </c>
      <c r="AF3" s="43">
        <f>AVERAGE(R3,T3,V3,X3,Z3,AB3,AD3)</f>
        <v>3.5972712961917265E-2</v>
      </c>
      <c r="AI3" s="39"/>
    </row>
    <row r="4" spans="1:35">
      <c r="A4">
        <v>2019</v>
      </c>
      <c r="B4" s="54">
        <v>1</v>
      </c>
      <c r="C4">
        <v>3.8399999999999997E-2</v>
      </c>
      <c r="D4">
        <f t="shared" ref="D4:D15" si="0">0.06/C4</f>
        <v>1.5625</v>
      </c>
      <c r="E4">
        <v>3.8800000000000001E-2</v>
      </c>
      <c r="F4">
        <f t="shared" ref="F4:F15" si="1">0.06/E4</f>
        <v>1.5463917525773194</v>
      </c>
      <c r="G4">
        <v>3.5200000000000002E-2</v>
      </c>
      <c r="H4">
        <f t="shared" ref="H4:H15" si="2">0.06/G4</f>
        <v>1.7045454545454544</v>
      </c>
      <c r="I4">
        <v>2.5600000000000001E-2</v>
      </c>
      <c r="J4">
        <f t="shared" ref="J4:J15" si="3">0.06/I4</f>
        <v>2.34375</v>
      </c>
      <c r="K4">
        <v>6.4399999999999999E-2</v>
      </c>
      <c r="L4">
        <f t="shared" ref="L4:L15" si="4">0.06/K4</f>
        <v>0.93167701863354035</v>
      </c>
      <c r="M4">
        <v>4.4400000000000002E-2</v>
      </c>
      <c r="N4">
        <f t="shared" ref="N4:N15" si="5">0.06/M4</f>
        <v>1.3513513513513513</v>
      </c>
      <c r="O4">
        <v>3.9280000000000002E-2</v>
      </c>
      <c r="P4">
        <f t="shared" ref="P4:P15" si="6">0.06/O4</f>
        <v>1.5274949083503053</v>
      </c>
      <c r="Q4" s="43">
        <f t="shared" ref="Q4:Q15" si="7">AVERAGE(O4,M4,K4,I4,G4,E4,C4)</f>
        <v>4.0868571428571428E-2</v>
      </c>
      <c r="R4">
        <v>4.2520000000000002E-2</v>
      </c>
      <c r="S4">
        <f t="shared" ref="S4:S15" si="8">0.06/R4</f>
        <v>1.4111006585136405</v>
      </c>
      <c r="T4">
        <v>5.7599999999999998E-2</v>
      </c>
      <c r="U4">
        <f t="shared" ref="U4:U15" si="9">0.06/T4</f>
        <v>1.0416666666666667</v>
      </c>
      <c r="V4">
        <v>1.9E-2</v>
      </c>
      <c r="W4">
        <f t="shared" ref="W4:W15" si="10">0.06/V4</f>
        <v>3.1578947368421053</v>
      </c>
      <c r="X4">
        <v>3.1199999999999999E-2</v>
      </c>
      <c r="Y4">
        <f t="shared" ref="Y4:Y15" si="11">0.06/X4</f>
        <v>1.9230769230769231</v>
      </c>
      <c r="Z4">
        <v>2.52E-2</v>
      </c>
      <c r="AA4">
        <f t="shared" ref="AA4:AA15" si="12">0.06/Z4</f>
        <v>2.3809523809523809</v>
      </c>
      <c r="AB4">
        <v>2.8799999999999999E-2</v>
      </c>
      <c r="AC4">
        <f t="shared" ref="AC4:AC15" si="13">0.06/AB4</f>
        <v>2.0833333333333335</v>
      </c>
      <c r="AD4">
        <v>4.6399999999999997E-2</v>
      </c>
      <c r="AE4">
        <f t="shared" ref="AE4:AE15" si="14">0.06/AD4</f>
        <v>1.2931034482758621</v>
      </c>
      <c r="AF4" s="43">
        <f t="shared" ref="AF4:AF15" si="15">AVERAGE(R4,T4,V4,X4,Z4,AB4,AD4)</f>
        <v>3.581714285714286E-2</v>
      </c>
      <c r="AI4" s="39"/>
    </row>
    <row r="5" spans="1:35">
      <c r="A5">
        <v>2019</v>
      </c>
      <c r="B5" s="54">
        <v>2</v>
      </c>
      <c r="C5">
        <v>3.7600000000000001E-2</v>
      </c>
      <c r="D5">
        <f t="shared" si="0"/>
        <v>1.5957446808510638</v>
      </c>
      <c r="E5">
        <v>3.9600000000000003E-2</v>
      </c>
      <c r="F5">
        <f t="shared" si="1"/>
        <v>1.5151515151515149</v>
      </c>
      <c r="G5">
        <v>3.7999999999999999E-2</v>
      </c>
      <c r="H5">
        <f t="shared" si="2"/>
        <v>1.5789473684210527</v>
      </c>
      <c r="I5">
        <v>4.2000000000000003E-2</v>
      </c>
      <c r="J5">
        <f t="shared" si="3"/>
        <v>1.4285714285714284</v>
      </c>
      <c r="K5">
        <v>5.9200000000000003E-2</v>
      </c>
      <c r="L5">
        <f t="shared" si="4"/>
        <v>1.0135135135135134</v>
      </c>
      <c r="M5">
        <v>4.4400000000000002E-2</v>
      </c>
      <c r="N5">
        <f t="shared" si="5"/>
        <v>1.3513513513513513</v>
      </c>
      <c r="O5">
        <v>3.7920000000000002E-2</v>
      </c>
      <c r="P5">
        <f t="shared" si="6"/>
        <v>1.582278481012658</v>
      </c>
      <c r="Q5" s="43">
        <f t="shared" si="7"/>
        <v>4.267428571428572E-2</v>
      </c>
      <c r="R5">
        <v>3.2079999999999997E-2</v>
      </c>
      <c r="S5">
        <f t="shared" si="8"/>
        <v>1.8703241895261846</v>
      </c>
      <c r="T5">
        <v>5.28E-2</v>
      </c>
      <c r="U5">
        <f t="shared" si="9"/>
        <v>1.1363636363636362</v>
      </c>
      <c r="V5">
        <v>2.1600000000000001E-2</v>
      </c>
      <c r="W5">
        <f t="shared" si="10"/>
        <v>2.7777777777777777</v>
      </c>
      <c r="X5">
        <v>3.6335214121181576E-2</v>
      </c>
      <c r="Y5">
        <f t="shared" si="11"/>
        <v>1.6512906680525947</v>
      </c>
      <c r="Z5">
        <v>3.2399999999999998E-2</v>
      </c>
      <c r="AA5">
        <f t="shared" si="12"/>
        <v>1.8518518518518519</v>
      </c>
      <c r="AB5">
        <v>3.4194119274908327E-2</v>
      </c>
      <c r="AC5">
        <f t="shared" si="13"/>
        <v>1.7546876852601976</v>
      </c>
      <c r="AD5">
        <v>3.7600000000000001E-2</v>
      </c>
      <c r="AE5">
        <f t="shared" si="14"/>
        <v>1.5957446808510638</v>
      </c>
      <c r="AF5" s="43">
        <f t="shared" si="15"/>
        <v>3.5287047628012845E-2</v>
      </c>
      <c r="AI5" s="39"/>
    </row>
    <row r="6" spans="1:35">
      <c r="A6">
        <v>2019</v>
      </c>
      <c r="B6" s="53">
        <v>3</v>
      </c>
      <c r="C6">
        <v>3.5513735857437868E-2</v>
      </c>
      <c r="D6">
        <f t="shared" si="0"/>
        <v>1.689487139310178</v>
      </c>
      <c r="E6">
        <v>4.0887176100090197E-2</v>
      </c>
      <c r="F6">
        <f t="shared" si="1"/>
        <v>1.4674527742664927</v>
      </c>
      <c r="G6">
        <v>4.5495096709390032E-2</v>
      </c>
      <c r="H6">
        <f t="shared" si="2"/>
        <v>1.3188234411998998</v>
      </c>
      <c r="I6">
        <v>5.4232542678391268E-2</v>
      </c>
      <c r="J6">
        <f t="shared" si="3"/>
        <v>1.1063467991130489</v>
      </c>
      <c r="K6">
        <v>5.2658831812708862E-2</v>
      </c>
      <c r="L6">
        <f t="shared" si="4"/>
        <v>1.1394100084369778</v>
      </c>
      <c r="M6">
        <v>4.7653223735070041E-2</v>
      </c>
      <c r="N6">
        <f t="shared" si="5"/>
        <v>1.2590963485193014</v>
      </c>
      <c r="O6">
        <v>4.3443555230972389E-2</v>
      </c>
      <c r="P6">
        <f t="shared" si="6"/>
        <v>1.3811024369668521</v>
      </c>
      <c r="Q6" s="43">
        <f t="shared" si="7"/>
        <v>4.5697737446294386E-2</v>
      </c>
      <c r="R6">
        <v>2.7508440353631265E-2</v>
      </c>
      <c r="S6">
        <f t="shared" si="8"/>
        <v>2.18114873939335</v>
      </c>
      <c r="T6">
        <v>4.739983922916257E-2</v>
      </c>
      <c r="U6">
        <f t="shared" si="9"/>
        <v>1.2658270782295233</v>
      </c>
      <c r="V6">
        <v>2.6642373241810659E-2</v>
      </c>
      <c r="W6">
        <f t="shared" si="10"/>
        <v>2.2520516267612463</v>
      </c>
      <c r="X6">
        <v>4.1470428242363154E-2</v>
      </c>
      <c r="Y6">
        <f t="shared" si="11"/>
        <v>1.4468140924261879</v>
      </c>
      <c r="Z6">
        <v>3.9762540710045473E-2</v>
      </c>
      <c r="AA6">
        <f t="shared" si="12"/>
        <v>1.5089579017983075</v>
      </c>
      <c r="AB6">
        <v>3.9588238549816648E-2</v>
      </c>
      <c r="AC6">
        <f t="shared" si="13"/>
        <v>1.5156016584192753</v>
      </c>
      <c r="AD6">
        <v>2.7508440353631265E-2</v>
      </c>
      <c r="AE6">
        <f t="shared" si="14"/>
        <v>2.18114873939335</v>
      </c>
      <c r="AF6" s="43">
        <f t="shared" si="15"/>
        <v>3.5697185811494433E-2</v>
      </c>
      <c r="AI6" s="39"/>
    </row>
    <row r="7" spans="1:35">
      <c r="A7">
        <v>2019</v>
      </c>
      <c r="B7" s="54">
        <v>4</v>
      </c>
      <c r="C7">
        <v>3.4489494584150564E-2</v>
      </c>
      <c r="D7">
        <f t="shared" si="0"/>
        <v>1.7396601696672189</v>
      </c>
      <c r="E7">
        <v>4.15235880500451E-2</v>
      </c>
      <c r="F7">
        <f t="shared" si="1"/>
        <v>1.4449618353714215</v>
      </c>
      <c r="G7">
        <v>4.5869548354695019E-2</v>
      </c>
      <c r="H7">
        <f t="shared" si="2"/>
        <v>1.3080573529095725</v>
      </c>
      <c r="I7">
        <v>4.6317094655294128E-2</v>
      </c>
      <c r="J7">
        <f t="shared" si="3"/>
        <v>1.2954180404996947</v>
      </c>
      <c r="K7">
        <v>5.2587517731742223E-2</v>
      </c>
      <c r="L7">
        <f t="shared" si="4"/>
        <v>1.1409551655598216</v>
      </c>
      <c r="M7">
        <v>5.4182371024490278E-2</v>
      </c>
      <c r="N7">
        <f t="shared" si="5"/>
        <v>1.1073712513038636</v>
      </c>
      <c r="O7">
        <v>4.4513329441131726E-2</v>
      </c>
      <c r="P7">
        <f t="shared" si="6"/>
        <v>1.347910856215534</v>
      </c>
      <c r="Q7" s="43">
        <f t="shared" si="7"/>
        <v>4.5640420548792714E-2</v>
      </c>
      <c r="R7">
        <v>2.7956220176815632E-2</v>
      </c>
      <c r="S7">
        <f t="shared" si="8"/>
        <v>2.146212886453033</v>
      </c>
      <c r="T7">
        <v>4.8079919614581287E-2</v>
      </c>
      <c r="U7">
        <f t="shared" si="9"/>
        <v>1.2479222195247532</v>
      </c>
      <c r="V7">
        <v>2.8403186620905331E-2</v>
      </c>
      <c r="W7">
        <f t="shared" si="10"/>
        <v>2.1124390301980682</v>
      </c>
      <c r="X7">
        <v>4.2675214121181582E-2</v>
      </c>
      <c r="Y7">
        <f t="shared" si="11"/>
        <v>1.4059683410052151</v>
      </c>
      <c r="Z7">
        <v>3.9921270355022735E-2</v>
      </c>
      <c r="AA7">
        <f t="shared" si="12"/>
        <v>1.5029581841062589</v>
      </c>
      <c r="AB7">
        <v>3.9854119274908326E-2</v>
      </c>
      <c r="AC7">
        <f t="shared" si="13"/>
        <v>1.5054905513311714</v>
      </c>
      <c r="AD7">
        <v>2.7956220176815632E-2</v>
      </c>
      <c r="AE7">
        <f t="shared" si="14"/>
        <v>2.146212886453033</v>
      </c>
      <c r="AF7" s="43">
        <f t="shared" si="15"/>
        <v>3.6406592905747222E-2</v>
      </c>
      <c r="AI7" s="39"/>
    </row>
    <row r="8" spans="1:35">
      <c r="A8">
        <v>2019</v>
      </c>
      <c r="B8" s="53">
        <v>5</v>
      </c>
      <c r="C8">
        <v>3.3465253310863259E-2</v>
      </c>
      <c r="D8">
        <f t="shared" si="0"/>
        <v>1.7929044027443</v>
      </c>
      <c r="E8">
        <v>4.2160000000000003E-2</v>
      </c>
      <c r="F8">
        <f t="shared" si="1"/>
        <v>1.4231499051233396</v>
      </c>
      <c r="G8">
        <v>4.6244E-2</v>
      </c>
      <c r="H8">
        <f t="shared" si="2"/>
        <v>1.2974656171611452</v>
      </c>
      <c r="I8">
        <v>3.8401646632196994E-2</v>
      </c>
      <c r="J8">
        <f t="shared" si="3"/>
        <v>1.5624330012373571</v>
      </c>
      <c r="K8">
        <v>5.2516203650775584E-2</v>
      </c>
      <c r="L8">
        <f t="shared" si="4"/>
        <v>1.1425045191573724</v>
      </c>
      <c r="M8">
        <v>6.0711518313910508E-2</v>
      </c>
      <c r="N8">
        <f t="shared" si="5"/>
        <v>0.98828034063929049</v>
      </c>
      <c r="O8">
        <v>4.5583103651291063E-2</v>
      </c>
      <c r="P8">
        <f t="shared" si="6"/>
        <v>1.3162771990910846</v>
      </c>
      <c r="Q8" s="43">
        <f t="shared" si="7"/>
        <v>4.5583103651291056E-2</v>
      </c>
      <c r="R8">
        <v>2.8403999999999999E-2</v>
      </c>
      <c r="S8">
        <f t="shared" si="8"/>
        <v>2.1123785382340516</v>
      </c>
      <c r="T8">
        <v>4.8759999999999998E-2</v>
      </c>
      <c r="U8">
        <f t="shared" si="9"/>
        <v>1.2305168170631666</v>
      </c>
      <c r="V8">
        <v>3.0164E-2</v>
      </c>
      <c r="W8">
        <f t="shared" si="10"/>
        <v>1.9891261105954117</v>
      </c>
      <c r="X8">
        <v>4.3880000000000002E-2</v>
      </c>
      <c r="Y8">
        <f t="shared" si="11"/>
        <v>1.3673655423883317</v>
      </c>
      <c r="Z8">
        <v>4.0079999999999998E-2</v>
      </c>
      <c r="AA8">
        <f t="shared" si="12"/>
        <v>1.4970059880239521</v>
      </c>
      <c r="AB8">
        <v>4.0120000000000003E-2</v>
      </c>
      <c r="AC8">
        <f t="shared" si="13"/>
        <v>1.4955134596211364</v>
      </c>
      <c r="AD8">
        <v>2.8403999999999999E-2</v>
      </c>
      <c r="AE8">
        <f t="shared" si="14"/>
        <v>2.1123785382340516</v>
      </c>
      <c r="AF8" s="43">
        <f t="shared" si="15"/>
        <v>3.7115999999999996E-2</v>
      </c>
      <c r="AI8" s="40"/>
    </row>
    <row r="9" spans="1:35">
      <c r="A9">
        <v>2019</v>
      </c>
      <c r="B9" s="54">
        <v>6</v>
      </c>
      <c r="C9">
        <v>3.4000000000000002E-2</v>
      </c>
      <c r="D9">
        <f t="shared" si="0"/>
        <v>1.7647058823529409</v>
      </c>
      <c r="E9">
        <v>4.7817856416917499E-2</v>
      </c>
      <c r="F9">
        <f t="shared" si="1"/>
        <v>1.2547613903238994</v>
      </c>
      <c r="G9">
        <v>4.6399999999999997E-2</v>
      </c>
      <c r="H9">
        <f t="shared" si="2"/>
        <v>1.2931034482758621</v>
      </c>
      <c r="I9">
        <v>0.04</v>
      </c>
      <c r="J9">
        <f t="shared" si="3"/>
        <v>1.5</v>
      </c>
      <c r="K9">
        <v>4.7199999999999999E-2</v>
      </c>
      <c r="L9">
        <f t="shared" si="4"/>
        <v>1.271186440677966</v>
      </c>
      <c r="M9">
        <v>7.1199999999999999E-2</v>
      </c>
      <c r="N9">
        <f t="shared" si="5"/>
        <v>0.84269662921348309</v>
      </c>
      <c r="O9">
        <v>5.4399999999999997E-2</v>
      </c>
      <c r="P9">
        <f t="shared" si="6"/>
        <v>1.1029411764705883</v>
      </c>
      <c r="Q9" s="43">
        <f t="shared" si="7"/>
        <v>4.8716836630988213E-2</v>
      </c>
      <c r="R9">
        <v>2.8000000000000001E-2</v>
      </c>
      <c r="S9">
        <f t="shared" si="8"/>
        <v>2.1428571428571428</v>
      </c>
      <c r="T9">
        <v>4.48E-2</v>
      </c>
      <c r="U9">
        <f t="shared" si="9"/>
        <v>1.3392857142857142</v>
      </c>
      <c r="V9">
        <v>3.4000000000000002E-2</v>
      </c>
      <c r="W9">
        <f t="shared" si="10"/>
        <v>1.7647058823529409</v>
      </c>
      <c r="X9">
        <v>4.36E-2</v>
      </c>
      <c r="Y9">
        <f t="shared" si="11"/>
        <v>1.3761467889908257</v>
      </c>
      <c r="Z9">
        <v>4.36E-2</v>
      </c>
      <c r="AA9">
        <f t="shared" si="12"/>
        <v>1.3761467889908257</v>
      </c>
      <c r="AB9">
        <v>3.44E-2</v>
      </c>
      <c r="AC9">
        <f t="shared" si="13"/>
        <v>1.7441860465116279</v>
      </c>
      <c r="AD9">
        <v>2.904E-2</v>
      </c>
      <c r="AE9">
        <f t="shared" si="14"/>
        <v>2.0661157024793386</v>
      </c>
      <c r="AF9" s="43">
        <f t="shared" si="15"/>
        <v>3.6777142857142855E-2</v>
      </c>
      <c r="AI9" s="40"/>
    </row>
    <row r="10" spans="1:35">
      <c r="A10">
        <v>2019</v>
      </c>
      <c r="B10" s="54">
        <v>7</v>
      </c>
      <c r="C10">
        <v>2.8483688456371559E-2</v>
      </c>
      <c r="D10">
        <f t="shared" si="0"/>
        <v>2.1064687634082904</v>
      </c>
      <c r="E10">
        <v>5.3475712833834996E-2</v>
      </c>
      <c r="F10">
        <f t="shared" si="1"/>
        <v>1.1220046787676849</v>
      </c>
      <c r="G10">
        <v>4.6800000000000001E-2</v>
      </c>
      <c r="H10">
        <f t="shared" si="2"/>
        <v>1.2820512820512819</v>
      </c>
      <c r="I10">
        <v>4.1200000000000001E-2</v>
      </c>
      <c r="J10">
        <f t="shared" si="3"/>
        <v>1.4563106796116505</v>
      </c>
      <c r="K10">
        <v>4.24E-2</v>
      </c>
      <c r="L10">
        <f t="shared" si="4"/>
        <v>1.4150943396226414</v>
      </c>
      <c r="M10">
        <v>7.3999999999999996E-2</v>
      </c>
      <c r="N10">
        <f t="shared" si="5"/>
        <v>0.81081081081081086</v>
      </c>
      <c r="O10">
        <v>6.08E-2</v>
      </c>
      <c r="P10">
        <f t="shared" si="6"/>
        <v>0.98684210526315785</v>
      </c>
      <c r="Q10" s="43">
        <f t="shared" si="7"/>
        <v>4.9594200184315221E-2</v>
      </c>
      <c r="R10">
        <v>2.52E-2</v>
      </c>
      <c r="S10">
        <f t="shared" si="8"/>
        <v>2.3809523809523809</v>
      </c>
      <c r="T10">
        <v>3.7600000000000001E-2</v>
      </c>
      <c r="U10">
        <f t="shared" si="9"/>
        <v>1.5957446808510638</v>
      </c>
      <c r="V10">
        <v>3.2800000000000003E-2</v>
      </c>
      <c r="W10">
        <f t="shared" si="10"/>
        <v>1.8292682926829267</v>
      </c>
      <c r="X10">
        <v>3.952E-2</v>
      </c>
      <c r="Y10">
        <f t="shared" si="11"/>
        <v>1.5182186234817814</v>
      </c>
      <c r="Z10">
        <v>3.9120000000000002E-2</v>
      </c>
      <c r="AA10">
        <f t="shared" si="12"/>
        <v>1.5337423312883434</v>
      </c>
      <c r="AB10">
        <v>2.9600000000000001E-2</v>
      </c>
      <c r="AC10">
        <f t="shared" si="13"/>
        <v>2.0270270270270268</v>
      </c>
      <c r="AD10">
        <v>2.76E-2</v>
      </c>
      <c r="AE10">
        <f t="shared" si="14"/>
        <v>2.1739130434782608</v>
      </c>
      <c r="AF10" s="43">
        <f t="shared" si="15"/>
        <v>3.3062857142857151E-2</v>
      </c>
      <c r="AI10" s="39"/>
    </row>
    <row r="11" spans="1:35">
      <c r="A11">
        <v>2019</v>
      </c>
      <c r="B11" s="53">
        <v>8</v>
      </c>
      <c r="C11">
        <v>2.2967376912743115E-2</v>
      </c>
      <c r="D11">
        <f t="shared" si="0"/>
        <v>2.6124010690445836</v>
      </c>
      <c r="E11">
        <v>6.4791425667669988E-2</v>
      </c>
      <c r="F11">
        <f t="shared" si="1"/>
        <v>0.92604846060578594</v>
      </c>
      <c r="G11">
        <v>4.7889760048068636E-2</v>
      </c>
      <c r="H11">
        <f t="shared" si="2"/>
        <v>1.2528774406005769</v>
      </c>
      <c r="I11">
        <v>3.782081587591736E-2</v>
      </c>
      <c r="J11">
        <f t="shared" si="3"/>
        <v>1.5864279659341081</v>
      </c>
      <c r="K11">
        <v>4.1218484069954112E-2</v>
      </c>
      <c r="L11">
        <f t="shared" si="4"/>
        <v>1.4556576097794078</v>
      </c>
      <c r="M11">
        <v>6.5485216942902935E-2</v>
      </c>
      <c r="N11">
        <f t="shared" si="5"/>
        <v>0.91623732501817101</v>
      </c>
      <c r="O11">
        <v>5.8588944781569167E-2</v>
      </c>
      <c r="P11">
        <f t="shared" si="6"/>
        <v>1.0240839841661513</v>
      </c>
      <c r="Q11" s="43">
        <f t="shared" si="7"/>
        <v>4.8394574899832184E-2</v>
      </c>
      <c r="R11">
        <v>3.0049055666226E-2</v>
      </c>
      <c r="S11">
        <f t="shared" si="8"/>
        <v>1.9967349612067087</v>
      </c>
      <c r="T11">
        <v>3.5206137798283903E-2</v>
      </c>
      <c r="U11">
        <f t="shared" si="9"/>
        <v>1.7042482860168959</v>
      </c>
      <c r="V11">
        <v>3.9418534154892798E-2</v>
      </c>
      <c r="W11">
        <f t="shared" si="10"/>
        <v>1.5221266159779951</v>
      </c>
      <c r="X11">
        <v>3.7963380626830898E-2</v>
      </c>
      <c r="Y11">
        <f t="shared" si="11"/>
        <v>1.5804704167361365</v>
      </c>
      <c r="Z11">
        <v>3.48487667911931E-2</v>
      </c>
      <c r="AA11">
        <f t="shared" si="12"/>
        <v>1.7217252007655852</v>
      </c>
      <c r="AB11">
        <v>3.7963380626830898E-2</v>
      </c>
      <c r="AC11">
        <f t="shared" si="13"/>
        <v>1.5804704167361365</v>
      </c>
      <c r="AD11">
        <v>3.3776252351084203E-2</v>
      </c>
      <c r="AE11">
        <f t="shared" si="14"/>
        <v>1.7763960126877139</v>
      </c>
      <c r="AF11" s="43">
        <f t="shared" si="15"/>
        <v>3.5603644002191688E-2</v>
      </c>
      <c r="AI11" s="39"/>
    </row>
    <row r="12" spans="1:35">
      <c r="A12">
        <v>2019</v>
      </c>
      <c r="B12" s="53">
        <v>9</v>
      </c>
      <c r="C12">
        <v>3.6516476921504296E-2</v>
      </c>
      <c r="D12">
        <f t="shared" si="0"/>
        <v>1.6430938868767599</v>
      </c>
      <c r="E12">
        <v>6.0621875109679611E-2</v>
      </c>
      <c r="F12">
        <f t="shared" si="1"/>
        <v>0.98974173747422867</v>
      </c>
      <c r="G12">
        <v>5.3128808624352285E-2</v>
      </c>
      <c r="H12">
        <f t="shared" si="2"/>
        <v>1.129330801001591</v>
      </c>
      <c r="I12">
        <v>2.9142477796076937E-2</v>
      </c>
      <c r="J12">
        <f t="shared" si="3"/>
        <v>2.0588503290573663</v>
      </c>
      <c r="K12">
        <v>4.8093893722612829E-2</v>
      </c>
      <c r="L12">
        <f t="shared" si="4"/>
        <v>1.247559624638775</v>
      </c>
      <c r="M12">
        <v>5.6821781984778851E-2</v>
      </c>
      <c r="N12">
        <f t="shared" si="5"/>
        <v>1.055933092983119</v>
      </c>
      <c r="O12">
        <v>5.0492887099116354E-2</v>
      </c>
      <c r="P12">
        <f t="shared" si="6"/>
        <v>1.1882861814223735</v>
      </c>
      <c r="Q12" s="43">
        <f t="shared" si="7"/>
        <v>4.7831171608303018E-2</v>
      </c>
      <c r="R12">
        <v>3.12149516135455E-2</v>
      </c>
      <c r="S12">
        <f t="shared" si="8"/>
        <v>1.9221557906872884</v>
      </c>
      <c r="T12">
        <v>3.3221541849747169E-2</v>
      </c>
      <c r="U12">
        <f t="shared" si="9"/>
        <v>1.8060570539249858</v>
      </c>
      <c r="V12">
        <v>3.3007705871473003E-2</v>
      </c>
      <c r="W12">
        <f t="shared" si="10"/>
        <v>1.8177573513782173</v>
      </c>
      <c r="X12">
        <v>3.2892133661082297E-2</v>
      </c>
      <c r="Y12">
        <f t="shared" si="11"/>
        <v>1.8241443567703699</v>
      </c>
      <c r="Z12">
        <v>2.5207784391660909E-2</v>
      </c>
      <c r="AA12">
        <f t="shared" si="12"/>
        <v>2.3802171213368855</v>
      </c>
      <c r="AB12">
        <v>3.2892133661082297E-2</v>
      </c>
      <c r="AC12">
        <f t="shared" si="13"/>
        <v>1.8241443567703699</v>
      </c>
      <c r="AD12">
        <v>3.3763098884590503E-2</v>
      </c>
      <c r="AE12">
        <f t="shared" si="14"/>
        <v>1.7770880630682875</v>
      </c>
      <c r="AF12" s="43">
        <f t="shared" si="15"/>
        <v>3.174276427616881E-2</v>
      </c>
      <c r="AI12" s="39"/>
    </row>
    <row r="13" spans="1:35">
      <c r="A13">
        <v>2019</v>
      </c>
      <c r="B13" s="54">
        <v>10</v>
      </c>
      <c r="C13">
        <v>3.3538749331751896E-2</v>
      </c>
      <c r="D13">
        <f t="shared" si="0"/>
        <v>1.7889754745027606</v>
      </c>
      <c r="E13">
        <v>5.5619830923552403E-2</v>
      </c>
      <c r="F13">
        <f t="shared" si="1"/>
        <v>1.07875193080806</v>
      </c>
      <c r="G13">
        <v>4.3957208897631342E-2</v>
      </c>
      <c r="H13">
        <f t="shared" si="2"/>
        <v>1.3649638251539016</v>
      </c>
      <c r="I13">
        <v>3.3005903227090995E-2</v>
      </c>
      <c r="J13">
        <f t="shared" si="3"/>
        <v>1.8178566296817005</v>
      </c>
      <c r="K13">
        <v>4.7376318506602476E-2</v>
      </c>
      <c r="L13">
        <f t="shared" si="4"/>
        <v>1.2664555181010584</v>
      </c>
      <c r="M13">
        <v>0.10996172385601147</v>
      </c>
      <c r="N13">
        <f t="shared" si="5"/>
        <v>0.54564441058205426</v>
      </c>
      <c r="O13">
        <v>5.4508634174941013E-2</v>
      </c>
      <c r="P13">
        <f t="shared" si="6"/>
        <v>1.100743045724369</v>
      </c>
      <c r="Q13" s="43">
        <f t="shared" si="7"/>
        <v>5.3995481273940223E-2</v>
      </c>
      <c r="R13">
        <v>3.4818632324302962E-2</v>
      </c>
      <c r="S13">
        <f t="shared" si="8"/>
        <v>1.7232153015418921</v>
      </c>
      <c r="T13">
        <v>3.953240383661482E-2</v>
      </c>
      <c r="U13">
        <f t="shared" si="9"/>
        <v>1.5177422614616756</v>
      </c>
      <c r="V13">
        <v>2.629780297080057E-2</v>
      </c>
      <c r="W13">
        <f t="shared" si="10"/>
        <v>2.281559416450881</v>
      </c>
      <c r="X13">
        <v>2.8064300827868215E-2</v>
      </c>
      <c r="Y13">
        <f t="shared" si="11"/>
        <v>2.1379474360686448</v>
      </c>
      <c r="Z13">
        <v>4.1318470226366685E-2</v>
      </c>
      <c r="AA13">
        <f t="shared" si="12"/>
        <v>1.4521350783628966</v>
      </c>
      <c r="AB13">
        <v>2.8064300827868215E-2</v>
      </c>
      <c r="AC13">
        <f t="shared" si="13"/>
        <v>2.1379474360686448</v>
      </c>
      <c r="AD13">
        <v>3.4818632324302955E-2</v>
      </c>
      <c r="AE13">
        <f t="shared" si="14"/>
        <v>1.7232153015418923</v>
      </c>
      <c r="AF13" s="43">
        <f t="shared" si="15"/>
        <v>3.327350619116063E-2</v>
      </c>
    </row>
    <row r="14" spans="1:35">
      <c r="A14">
        <v>2019</v>
      </c>
      <c r="B14" s="53">
        <v>11</v>
      </c>
      <c r="C14">
        <v>3.3538749331751896E-2</v>
      </c>
      <c r="D14">
        <f t="shared" si="0"/>
        <v>1.7889754745027606</v>
      </c>
      <c r="E14">
        <v>5.5619830923552403E-2</v>
      </c>
      <c r="F14">
        <f t="shared" si="1"/>
        <v>1.07875193080806</v>
      </c>
      <c r="G14">
        <v>4.3957208897631342E-2</v>
      </c>
      <c r="H14">
        <f t="shared" si="2"/>
        <v>1.3649638251539016</v>
      </c>
      <c r="I14">
        <v>3.3005903227090995E-2</v>
      </c>
      <c r="J14">
        <f t="shared" si="3"/>
        <v>1.8178566296817005</v>
      </c>
      <c r="K14">
        <v>4.7376318506602476E-2</v>
      </c>
      <c r="L14">
        <f t="shared" si="4"/>
        <v>1.2664555181010584</v>
      </c>
      <c r="M14">
        <v>0.10996172385601147</v>
      </c>
      <c r="N14">
        <f t="shared" si="5"/>
        <v>0.54564441058205426</v>
      </c>
      <c r="O14">
        <v>5.4508634174941013E-2</v>
      </c>
      <c r="P14">
        <f t="shared" si="6"/>
        <v>1.100743045724369</v>
      </c>
      <c r="Q14" s="43">
        <f t="shared" si="7"/>
        <v>5.3995481273940223E-2</v>
      </c>
      <c r="R14">
        <v>3.4818632324302962E-2</v>
      </c>
      <c r="S14">
        <f t="shared" si="8"/>
        <v>1.7232153015418921</v>
      </c>
      <c r="T14">
        <v>3.953240383661482E-2</v>
      </c>
      <c r="U14">
        <f t="shared" si="9"/>
        <v>1.5177422614616756</v>
      </c>
      <c r="V14">
        <v>2.629780297080057E-2</v>
      </c>
      <c r="W14">
        <f t="shared" si="10"/>
        <v>2.281559416450881</v>
      </c>
      <c r="X14">
        <v>2.8064300827868215E-2</v>
      </c>
      <c r="Y14">
        <f t="shared" si="11"/>
        <v>2.1379474360686448</v>
      </c>
      <c r="Z14">
        <v>4.1318470226366685E-2</v>
      </c>
      <c r="AA14">
        <f t="shared" si="12"/>
        <v>1.4521350783628966</v>
      </c>
      <c r="AB14">
        <v>2.8064300827868215E-2</v>
      </c>
      <c r="AC14">
        <f t="shared" si="13"/>
        <v>2.1379474360686448</v>
      </c>
      <c r="AD14">
        <v>3.4818632324302955E-2</v>
      </c>
      <c r="AE14">
        <f t="shared" si="14"/>
        <v>1.7232153015418923</v>
      </c>
      <c r="AF14" s="43">
        <f t="shared" si="15"/>
        <v>3.327350619116063E-2</v>
      </c>
    </row>
    <row r="15" spans="1:35">
      <c r="A15">
        <v>2019</v>
      </c>
      <c r="B15" s="53">
        <v>12</v>
      </c>
      <c r="C15">
        <v>4.8361367333842303E-2</v>
      </c>
      <c r="D15">
        <f t="shared" si="0"/>
        <v>1.2406597105870747</v>
      </c>
      <c r="E15">
        <v>5.0085790451970071E-2</v>
      </c>
      <c r="F15">
        <f t="shared" si="1"/>
        <v>1.1979445559022812</v>
      </c>
      <c r="G15">
        <v>4.203455112267418E-2</v>
      </c>
      <c r="H15">
        <f t="shared" si="2"/>
        <v>1.4273971863026493</v>
      </c>
      <c r="I15">
        <v>4.9455662399823297E-2</v>
      </c>
      <c r="J15">
        <f t="shared" si="3"/>
        <v>1.213207893464882</v>
      </c>
      <c r="K15">
        <v>4.0405884566714401E-2</v>
      </c>
      <c r="L15">
        <f t="shared" si="4"/>
        <v>1.4849322231996589</v>
      </c>
      <c r="M15">
        <v>4.0405884566714401E-2</v>
      </c>
      <c r="N15">
        <f t="shared" si="5"/>
        <v>1.4849322231996589</v>
      </c>
      <c r="O15">
        <v>4.6728484630102603E-2</v>
      </c>
      <c r="P15">
        <f t="shared" si="6"/>
        <v>1.2840133908675448</v>
      </c>
      <c r="Q15" s="43">
        <f t="shared" si="7"/>
        <v>4.5353946438834468E-2</v>
      </c>
      <c r="R15">
        <v>2.6842030124504694E-2</v>
      </c>
      <c r="S15">
        <f t="shared" si="8"/>
        <v>2.2353003748857523</v>
      </c>
      <c r="T15">
        <v>3.0583223710386982E-2</v>
      </c>
      <c r="U15">
        <f t="shared" si="9"/>
        <v>1.9618598931289966</v>
      </c>
      <c r="V15">
        <v>2.3076650725388573E-2</v>
      </c>
      <c r="W15">
        <f t="shared" si="10"/>
        <v>2.6000306853016988</v>
      </c>
      <c r="X15">
        <v>3.6372750827054788E-2</v>
      </c>
      <c r="Y15">
        <f t="shared" si="11"/>
        <v>1.6495865348564944</v>
      </c>
      <c r="Z15">
        <v>2.8582548607475909E-2</v>
      </c>
      <c r="AA15">
        <f t="shared" si="12"/>
        <v>2.0991829953297692</v>
      </c>
      <c r="AB15">
        <v>3.6372750827054788E-2</v>
      </c>
      <c r="AC15">
        <f t="shared" si="13"/>
        <v>1.6495865348564944</v>
      </c>
      <c r="AD15">
        <v>2.6842030124504694E-2</v>
      </c>
      <c r="AE15">
        <f t="shared" si="14"/>
        <v>2.2353003748857523</v>
      </c>
      <c r="AF15" s="43">
        <f t="shared" si="15"/>
        <v>2.981028356376721E-2</v>
      </c>
    </row>
    <row r="16" spans="1:35">
      <c r="E16" s="49"/>
      <c r="F16" s="49"/>
    </row>
    <row r="17" spans="5:6">
      <c r="E17" s="49"/>
      <c r="F17" s="49"/>
    </row>
    <row r="18" spans="5:6">
      <c r="E18" s="49"/>
      <c r="F18" s="49"/>
    </row>
    <row r="19" spans="5:6">
      <c r="E19" s="49"/>
      <c r="F19" s="49"/>
    </row>
    <row r="20" spans="5:6">
      <c r="E20" s="49"/>
      <c r="F20" s="49"/>
    </row>
    <row r="21" spans="5:6">
      <c r="E21" s="49"/>
      <c r="F21" s="49"/>
    </row>
    <row r="22" spans="5:6">
      <c r="E22" s="49"/>
      <c r="F22" s="49"/>
    </row>
    <row r="23" spans="5:6">
      <c r="E23" s="49"/>
      <c r="F23" s="49"/>
    </row>
    <row r="24" spans="5:6">
      <c r="E24" s="49"/>
      <c r="F24" s="49"/>
    </row>
    <row r="25" spans="5:6">
      <c r="F25" s="54"/>
    </row>
    <row r="26" spans="5:6">
      <c r="F26" s="54"/>
    </row>
    <row r="27" spans="5:6">
      <c r="F27" s="53"/>
    </row>
    <row r="28" spans="5:6">
      <c r="F28" s="54"/>
    </row>
    <row r="29" spans="5:6">
      <c r="F29" s="53"/>
    </row>
    <row r="30" spans="5:6">
      <c r="F30" s="54"/>
    </row>
    <row r="31" spans="5:6">
      <c r="F31" s="54"/>
    </row>
    <row r="32" spans="5:6">
      <c r="F32" s="53"/>
    </row>
    <row r="33" spans="6:6">
      <c r="F33" s="53"/>
    </row>
    <row r="34" spans="6:6">
      <c r="F34" s="54"/>
    </row>
    <row r="35" spans="6:6">
      <c r="F35" s="53"/>
    </row>
    <row r="36" spans="6:6">
      <c r="F36" s="53"/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58"/>
  <sheetViews>
    <sheetView workbookViewId="0">
      <selection activeCell="C2" sqref="C2"/>
    </sheetView>
  </sheetViews>
  <sheetFormatPr defaultRowHeight="15"/>
  <cols>
    <col min="3" max="3" width="10.42578125" bestFit="1" customWidth="1"/>
    <col min="4" max="4" width="10.7109375" bestFit="1" customWidth="1"/>
    <col min="5" max="5" width="10.42578125" bestFit="1" customWidth="1"/>
    <col min="6" max="6" width="10.7109375" bestFit="1" customWidth="1"/>
    <col min="7" max="7" width="10.42578125" bestFit="1" customWidth="1"/>
    <col min="8" max="8" width="10.7109375" bestFit="1" customWidth="1"/>
    <col min="9" max="9" width="10.42578125" bestFit="1" customWidth="1"/>
    <col min="10" max="10" width="10.7109375" bestFit="1" customWidth="1"/>
    <col min="11" max="11" width="10.42578125" bestFit="1" customWidth="1"/>
    <col min="12" max="12" width="10.7109375" bestFit="1" customWidth="1"/>
    <col min="13" max="13" width="10.42578125" bestFit="1" customWidth="1"/>
    <col min="14" max="14" width="10.7109375" bestFit="1" customWidth="1"/>
    <col min="15" max="15" width="10.42578125" bestFit="1" customWidth="1"/>
    <col min="16" max="16" width="10.7109375" bestFit="1" customWidth="1"/>
    <col min="17" max="17" width="10.5703125" bestFit="1" customWidth="1"/>
    <col min="18" max="18" width="10.42578125" bestFit="1" customWidth="1"/>
    <col min="19" max="29" width="11.85546875" bestFit="1" customWidth="1"/>
    <col min="30" max="30" width="11.42578125" bestFit="1" customWidth="1"/>
    <col min="31" max="31" width="11.85546875" bestFit="1" customWidth="1"/>
    <col min="32" max="32" width="12.28515625" bestFit="1" customWidth="1"/>
  </cols>
  <sheetData>
    <row r="1" spans="1:35">
      <c r="A1" s="41" t="s">
        <v>22</v>
      </c>
      <c r="B1" s="41" t="s">
        <v>21</v>
      </c>
      <c r="C1" s="47" t="s">
        <v>28</v>
      </c>
      <c r="D1" s="47" t="s">
        <v>50</v>
      </c>
      <c r="E1" s="47" t="s">
        <v>29</v>
      </c>
      <c r="F1" s="47" t="s">
        <v>51</v>
      </c>
      <c r="G1" s="47" t="s">
        <v>30</v>
      </c>
      <c r="H1" s="47" t="s">
        <v>52</v>
      </c>
      <c r="I1" s="47" t="s">
        <v>31</v>
      </c>
      <c r="J1" s="47" t="s">
        <v>53</v>
      </c>
      <c r="K1" s="47" t="s">
        <v>32</v>
      </c>
      <c r="L1" s="47" t="s">
        <v>54</v>
      </c>
      <c r="M1" s="47" t="s">
        <v>33</v>
      </c>
      <c r="N1" s="47" t="s">
        <v>55</v>
      </c>
      <c r="O1" s="47" t="s">
        <v>34</v>
      </c>
      <c r="P1" s="47" t="s">
        <v>56</v>
      </c>
      <c r="Q1" s="42" t="s">
        <v>14</v>
      </c>
      <c r="R1" s="47" t="s">
        <v>35</v>
      </c>
      <c r="S1" s="47" t="s">
        <v>43</v>
      </c>
      <c r="T1" s="47" t="s">
        <v>36</v>
      </c>
      <c r="U1" s="47" t="s">
        <v>44</v>
      </c>
      <c r="V1" s="47" t="s">
        <v>37</v>
      </c>
      <c r="W1" s="47" t="s">
        <v>46</v>
      </c>
      <c r="X1" s="47" t="s">
        <v>38</v>
      </c>
      <c r="Y1" s="47" t="s">
        <v>45</v>
      </c>
      <c r="Z1" s="47" t="s">
        <v>39</v>
      </c>
      <c r="AA1" s="47" t="s">
        <v>47</v>
      </c>
      <c r="AB1" s="47" t="s">
        <v>40</v>
      </c>
      <c r="AC1" s="47" t="s">
        <v>48</v>
      </c>
      <c r="AD1" s="47" t="s">
        <v>41</v>
      </c>
      <c r="AE1" s="47" t="s">
        <v>49</v>
      </c>
      <c r="AF1" s="42" t="s">
        <v>42</v>
      </c>
      <c r="AI1" s="39"/>
    </row>
    <row r="2" spans="1:35">
      <c r="A2">
        <v>2020</v>
      </c>
      <c r="B2" s="38">
        <v>1</v>
      </c>
      <c r="C2">
        <v>4.2240683666921151E-2</v>
      </c>
      <c r="D2">
        <v>1.2090788661222447</v>
      </c>
      <c r="E2">
        <v>4.9863895225985035E-2</v>
      </c>
      <c r="F2">
        <v>1.0027493826136895</v>
      </c>
      <c r="G2">
        <v>4.0688275561337091E-2</v>
      </c>
      <c r="H2">
        <v>1.2302020328520711</v>
      </c>
      <c r="I2">
        <v>4.4398831199911649E-2</v>
      </c>
      <c r="J2">
        <v>1.1409564941696679</v>
      </c>
      <c r="K2">
        <v>3.2485792283357198E-2</v>
      </c>
      <c r="L2">
        <v>1.6364008813687354</v>
      </c>
      <c r="M2">
        <v>4.8551442283357199E-2</v>
      </c>
      <c r="N2">
        <v>1.0596621974321911</v>
      </c>
      <c r="O2">
        <v>3.8724242315051303E-2</v>
      </c>
      <c r="P2">
        <v>1.3488076628614771</v>
      </c>
      <c r="Q2" s="43">
        <v>4.2421880362274379E-2</v>
      </c>
      <c r="R2">
        <v>2.3877515062252348E-2</v>
      </c>
      <c r="S2">
        <v>2.126803836927305</v>
      </c>
      <c r="T2">
        <v>3.2717611855193493E-2</v>
      </c>
      <c r="U2">
        <v>1.5347605708344307</v>
      </c>
      <c r="V2">
        <v>2.3193325362694285E-2</v>
      </c>
      <c r="W2">
        <v>2.1558471913767807</v>
      </c>
      <c r="X2">
        <v>4.151887541352739E-2</v>
      </c>
      <c r="Y2">
        <v>1.2230611419075532</v>
      </c>
      <c r="Z2">
        <v>2.5326774303737955E-2</v>
      </c>
      <c r="AA2">
        <v>2.0073676598614196</v>
      </c>
      <c r="AB2">
        <v>4.151887541352739E-2</v>
      </c>
      <c r="AC2">
        <v>1.2230611419075532</v>
      </c>
      <c r="AD2">
        <v>2.6843515062252347E-2</v>
      </c>
      <c r="AE2">
        <v>1.8626472739151927</v>
      </c>
      <c r="AF2" s="43">
        <v>3.0713784639026458E-2</v>
      </c>
    </row>
    <row r="3" spans="1:35">
      <c r="A3">
        <v>2020</v>
      </c>
      <c r="B3" s="52">
        <v>2</v>
      </c>
      <c r="C3">
        <v>3.6119999999999999E-2</v>
      </c>
      <c r="D3">
        <f>0.05/C3</f>
        <v>1.3842746400885937</v>
      </c>
      <c r="E3">
        <v>4.9641999999999999E-2</v>
      </c>
      <c r="F3">
        <f>0.05/E3</f>
        <v>1.0072116353088112</v>
      </c>
      <c r="G3">
        <v>3.9342000000000002E-2</v>
      </c>
      <c r="H3">
        <f>0.05/G3</f>
        <v>1.2709064104519343</v>
      </c>
      <c r="I3">
        <v>3.9342000000000002E-2</v>
      </c>
      <c r="J3">
        <f>0.05/I3</f>
        <v>1.2709064104519343</v>
      </c>
      <c r="K3">
        <v>2.4565699999999999E-2</v>
      </c>
      <c r="L3">
        <f>0.05/K3</f>
        <v>2.035358243404422</v>
      </c>
      <c r="M3">
        <v>5.6696999999999997E-2</v>
      </c>
      <c r="N3">
        <f>0.05/M3</f>
        <v>0.88188087553133332</v>
      </c>
      <c r="O3">
        <v>3.0720000000000001E-2</v>
      </c>
      <c r="P3">
        <f>0.05/O3</f>
        <v>1.6276041666666667</v>
      </c>
      <c r="Q3" s="43">
        <f>AVERAGE(O3,M3,K3,I3,G3,E3,C3)</f>
        <v>3.9489814285714284E-2</v>
      </c>
      <c r="R3">
        <v>2.0913000000000001E-2</v>
      </c>
      <c r="S3">
        <f>0.05/R3</f>
        <v>2.3908573614498159</v>
      </c>
      <c r="T3">
        <v>3.4852000000000001E-2</v>
      </c>
      <c r="U3">
        <f>0.05/T3</f>
        <v>1.4346378973946976</v>
      </c>
      <c r="V3">
        <v>2.3310000000000001E-2</v>
      </c>
      <c r="W3">
        <f>0.05/V3</f>
        <v>2.1450021450021453</v>
      </c>
      <c r="X3">
        <v>4.6664999999999998E-2</v>
      </c>
      <c r="Y3">
        <f>0.05/X3</f>
        <v>1.0714668381013608</v>
      </c>
      <c r="Z3">
        <v>2.2071E-2</v>
      </c>
      <c r="AA3">
        <f>0.05/Z3</f>
        <v>2.2654161569480316</v>
      </c>
      <c r="AB3">
        <v>4.6664999999999998E-2</v>
      </c>
      <c r="AC3">
        <f>0.05/AB3</f>
        <v>1.0714668381013608</v>
      </c>
      <c r="AD3">
        <v>2.6845000000000001E-2</v>
      </c>
      <c r="AE3">
        <f>0.05/AD3</f>
        <v>1.8625442354255914</v>
      </c>
      <c r="AF3" s="43">
        <f t="shared" ref="AF3:AF13" si="0">AVERAGE(R3,T3,V3,X3,Z3,AB3,AD3)</f>
        <v>3.1617285714285723E-2</v>
      </c>
    </row>
    <row r="4" spans="1:35">
      <c r="A4">
        <v>2020</v>
      </c>
      <c r="B4" s="52">
        <v>3</v>
      </c>
      <c r="C4">
        <v>5.1313999999999999E-2</v>
      </c>
      <c r="D4">
        <f>0.05/C4</f>
        <v>0.97439295319016261</v>
      </c>
      <c r="E4">
        <v>4.8478E-2</v>
      </c>
      <c r="F4">
        <f>0.05/E4</f>
        <v>1.0313956846404555</v>
      </c>
      <c r="G4">
        <v>4.0578999999999997E-2</v>
      </c>
      <c r="H4">
        <f>0.05/G4</f>
        <v>1.2321644200202078</v>
      </c>
      <c r="I4">
        <v>4.5938E-2</v>
      </c>
      <c r="J4">
        <f>0.05/I4</f>
        <v>1.0884235273629674</v>
      </c>
      <c r="K4">
        <v>5.8569999999999997E-2</v>
      </c>
      <c r="L4">
        <f>0.05/K4</f>
        <v>0.85367935803312289</v>
      </c>
      <c r="M4">
        <v>4.8570000000000002E-2</v>
      </c>
      <c r="N4">
        <f>0.05/M4</f>
        <v>1.0294420424130122</v>
      </c>
      <c r="O4">
        <v>5.9593E-2</v>
      </c>
      <c r="P4">
        <f>0.05/O4</f>
        <v>0.83902471766818254</v>
      </c>
      <c r="Q4" s="43">
        <f>AVERAGE(O4,M4,K4,I4,G4,E4,C4)</f>
        <v>5.043457142857144E-2</v>
      </c>
      <c r="R4">
        <v>3.5247000000000001E-2</v>
      </c>
      <c r="S4">
        <f>0.05/R4</f>
        <v>1.4185604448605555</v>
      </c>
      <c r="T4">
        <v>4.5102000000000003E-2</v>
      </c>
      <c r="U4">
        <f>0.05/T4</f>
        <v>1.1085982883242429</v>
      </c>
      <c r="V4">
        <v>2.222E-2</v>
      </c>
      <c r="W4">
        <f>0.05/V4</f>
        <v>2.2502250225022502</v>
      </c>
      <c r="X4">
        <v>3.8358999999999997E-2</v>
      </c>
      <c r="Y4">
        <f>0.05/X4</f>
        <v>1.3034750645220159</v>
      </c>
      <c r="Z4">
        <v>3.3141999999999998E-2</v>
      </c>
      <c r="AA4">
        <f>0.05/Z4</f>
        <v>1.5086597067165533</v>
      </c>
      <c r="AB4">
        <v>2.8178000000000002E-2</v>
      </c>
      <c r="AC4">
        <f>0.05/AB4</f>
        <v>1.7744339555681738</v>
      </c>
      <c r="AD4">
        <v>3.5247000000000001E-2</v>
      </c>
      <c r="AE4">
        <f>0.05/AD4</f>
        <v>1.4185604448605555</v>
      </c>
      <c r="AF4" s="43">
        <f t="shared" si="0"/>
        <v>3.3927857142857142E-2</v>
      </c>
    </row>
    <row r="5" spans="1:35">
      <c r="A5">
        <v>2020</v>
      </c>
      <c r="B5" s="52">
        <v>4</v>
      </c>
      <c r="C5">
        <v>4.6325999999999999E-2</v>
      </c>
      <c r="D5">
        <f>0.05/C5</f>
        <v>1.0793075162975436</v>
      </c>
      <c r="E5">
        <v>3.8717000000000001E-2</v>
      </c>
      <c r="F5">
        <f>0.05/E5</f>
        <v>1.2914223726011829</v>
      </c>
      <c r="G5">
        <v>3.0610999999999999E-2</v>
      </c>
      <c r="H5">
        <f>0.05/G5</f>
        <v>1.6333997582568358</v>
      </c>
      <c r="I5">
        <v>3.0942000000000001E-2</v>
      </c>
      <c r="J5">
        <f>0.05/I5</f>
        <v>1.6159265722965548</v>
      </c>
      <c r="K5">
        <v>4.4746000000000001E-2</v>
      </c>
      <c r="L5">
        <f>0.05/K5</f>
        <v>1.1174183167210476</v>
      </c>
      <c r="M5">
        <v>4.4746000000000001E-2</v>
      </c>
      <c r="N5">
        <f>0.05/M5</f>
        <v>1.1174183167210476</v>
      </c>
      <c r="O5">
        <v>5.0201999999999997E-2</v>
      </c>
      <c r="P5">
        <f>0.05/O5</f>
        <v>0.99597625592605887</v>
      </c>
      <c r="Q5" s="43">
        <f t="shared" ref="Q5:Q12" si="1">AVERAGE(O5,M5,K5,I5,G5,E5,C5)</f>
        <v>4.089857142857143E-2</v>
      </c>
      <c r="R5">
        <v>2.6301000000000001E-2</v>
      </c>
      <c r="S5">
        <f>0.05/R5</f>
        <v>1.9010684004410479</v>
      </c>
      <c r="T5">
        <v>4.6366999999999998E-2</v>
      </c>
      <c r="U5">
        <f>0.05/T5</f>
        <v>1.078353139085988</v>
      </c>
      <c r="V5">
        <v>3.0081E-2</v>
      </c>
      <c r="W5">
        <f>0.05/V5</f>
        <v>1.6621787839500017</v>
      </c>
      <c r="X5">
        <v>4.1676999999999999E-2</v>
      </c>
      <c r="Y5">
        <f>0.05/X5</f>
        <v>1.199702473786501</v>
      </c>
      <c r="Z5">
        <v>3.8177999999999997E-2</v>
      </c>
      <c r="AA5">
        <f>0.05/Z5</f>
        <v>1.3096547750013099</v>
      </c>
      <c r="AB5">
        <v>4.1676999999999999E-2</v>
      </c>
      <c r="AC5">
        <f>0.05/AB5</f>
        <v>1.199702473786501</v>
      </c>
      <c r="AD5">
        <v>3.6301E-2</v>
      </c>
      <c r="AE5">
        <f>0.05/AD5</f>
        <v>1.3773725241728878</v>
      </c>
      <c r="AF5" s="43">
        <f t="shared" si="0"/>
        <v>3.7225999999999995E-2</v>
      </c>
    </row>
    <row r="6" spans="1:35">
      <c r="A6">
        <v>2020</v>
      </c>
      <c r="B6" s="52">
        <v>5</v>
      </c>
      <c r="C6">
        <v>4.7631140859645947E-2</v>
      </c>
      <c r="D6">
        <f>0.05/C6</f>
        <v>1.0497334117470405</v>
      </c>
      <c r="E6">
        <v>4.6223652380405052E-2</v>
      </c>
      <c r="F6">
        <f>0.05/E6</f>
        <v>1.0816973005187234</v>
      </c>
      <c r="G6">
        <v>3.4730944973083502E-2</v>
      </c>
      <c r="H6">
        <f>0.05/G6</f>
        <v>1.4396383409305455</v>
      </c>
      <c r="I6">
        <v>4.141180283925576E-2</v>
      </c>
      <c r="J6">
        <f>0.05/I6</f>
        <v>1.2073852518346093</v>
      </c>
      <c r="K6">
        <v>4.5337310447171375E-2</v>
      </c>
      <c r="L6">
        <f>0.05/K6</f>
        <v>1.1028444234304935</v>
      </c>
      <c r="M6">
        <v>4.5354598322388702E-2</v>
      </c>
      <c r="N6">
        <f>0.05/M6</f>
        <v>1.1024240506903169</v>
      </c>
      <c r="O6">
        <v>5.077064720577653E-2</v>
      </c>
      <c r="P6">
        <f>0.05/O6</f>
        <v>0.98482100882714674</v>
      </c>
      <c r="Q6" s="43">
        <f>AVERAGE(C6,E6,G6,I6,K6,M6,O6)</f>
        <v>4.449429957538955E-2</v>
      </c>
      <c r="R6">
        <v>2.0582737213602924E-2</v>
      </c>
      <c r="S6">
        <f>0.05/R6</f>
        <v>2.4292201509017715</v>
      </c>
      <c r="T6">
        <v>4.5067512001651613E-2</v>
      </c>
      <c r="U6">
        <f>0.05/T6</f>
        <v>1.1094466452500777</v>
      </c>
      <c r="V6">
        <v>3.0560998688141036E-2</v>
      </c>
      <c r="W6">
        <f>0.05/V6</f>
        <v>1.6360721882888638</v>
      </c>
      <c r="X6">
        <v>3.2285454490646633E-2</v>
      </c>
      <c r="Y6">
        <f>0.05/X6</f>
        <v>1.5486850282527516</v>
      </c>
      <c r="Z6">
        <v>4.2649295530276805E-2</v>
      </c>
      <c r="AA6">
        <f>0.05/Z6</f>
        <v>1.1723523068395096</v>
      </c>
      <c r="AB6">
        <v>3.2285454490646633E-2</v>
      </c>
      <c r="AC6">
        <f>0.05/AB6</f>
        <v>1.5486850282527516</v>
      </c>
      <c r="AD6">
        <v>3.1390492712708572E-2</v>
      </c>
      <c r="AE6">
        <f>0.05/AD6</f>
        <v>1.592838967441798</v>
      </c>
      <c r="AF6" s="43">
        <f>AVERAGE(R6,T6,V6,X6,Z6,AB6,AD6)</f>
        <v>3.3545992161096314E-2</v>
      </c>
    </row>
    <row r="7" spans="1:35">
      <c r="A7">
        <v>2020</v>
      </c>
      <c r="B7" s="52">
        <v>6</v>
      </c>
      <c r="Q7" s="43" t="e">
        <f t="shared" si="1"/>
        <v>#DIV/0!</v>
      </c>
      <c r="AF7" s="43" t="e">
        <f>AVERAGE(#REF!,#REF!,V7,X7,Z7,AB7,AD7)</f>
        <v>#REF!</v>
      </c>
    </row>
    <row r="8" spans="1:35">
      <c r="A8">
        <v>2020</v>
      </c>
      <c r="B8" s="52">
        <v>7</v>
      </c>
      <c r="Q8" s="43" t="e">
        <f t="shared" si="1"/>
        <v>#DIV/0!</v>
      </c>
      <c r="AF8" s="43">
        <f>AVERAGE(R8,T8,V8,X8,Z8,AB8,AD6)</f>
        <v>3.1390492712708572E-2</v>
      </c>
    </row>
    <row r="9" spans="1:35">
      <c r="A9">
        <v>2020</v>
      </c>
      <c r="B9" s="52">
        <v>8</v>
      </c>
      <c r="Q9" s="43" t="e">
        <f t="shared" si="1"/>
        <v>#DIV/0!</v>
      </c>
      <c r="AF9" s="43" t="e">
        <f t="shared" si="0"/>
        <v>#DIV/0!</v>
      </c>
    </row>
    <row r="10" spans="1:35">
      <c r="A10">
        <v>2020</v>
      </c>
      <c r="B10" s="52">
        <v>9</v>
      </c>
      <c r="Q10" s="43">
        <f>AVERAGE(O10,M10,K6,I10,G10,E10,C10)</f>
        <v>4.5337310447171375E-2</v>
      </c>
      <c r="AF10" s="43">
        <f>AVERAGE(R6,T10,V10,X10,Z10,AB10,AD10)</f>
        <v>2.0582737213602924E-2</v>
      </c>
    </row>
    <row r="11" spans="1:35">
      <c r="A11">
        <v>2020</v>
      </c>
      <c r="B11" s="52">
        <v>10</v>
      </c>
      <c r="Q11" s="43" t="e">
        <f t="shared" si="1"/>
        <v>#DIV/0!</v>
      </c>
      <c r="AF11" s="43" t="e">
        <f t="shared" si="0"/>
        <v>#DIV/0!</v>
      </c>
    </row>
    <row r="12" spans="1:35">
      <c r="A12">
        <v>2020</v>
      </c>
      <c r="B12" s="52">
        <v>11</v>
      </c>
      <c r="Q12" s="43" t="e">
        <f t="shared" si="1"/>
        <v>#DIV/0!</v>
      </c>
      <c r="AF12" s="43" t="e">
        <f t="shared" si="0"/>
        <v>#DIV/0!</v>
      </c>
    </row>
    <row r="13" spans="1:35">
      <c r="A13">
        <v>2020</v>
      </c>
      <c r="B13" s="52">
        <v>12</v>
      </c>
      <c r="Q13" s="43">
        <f>AVERAGE(O13,M13,M6,I13,G13,E13,C13)</f>
        <v>4.5354598322388702E-2</v>
      </c>
      <c r="AF13" s="43" t="e">
        <f t="shared" si="0"/>
        <v>#DIV/0!</v>
      </c>
    </row>
    <row r="37" spans="2:2">
      <c r="B37">
        <v>2.0582737213602924E-2</v>
      </c>
    </row>
    <row r="41" spans="2:2">
      <c r="B41">
        <v>4.5067512001651613E-2</v>
      </c>
    </row>
    <row r="45" spans="2:2">
      <c r="B45">
        <v>3.0560998688141036E-2</v>
      </c>
    </row>
    <row r="49" spans="2:2">
      <c r="B49">
        <v>3.2285454490646633E-2</v>
      </c>
    </row>
    <row r="52" spans="2:2">
      <c r="B52">
        <v>4.2649295530276805E-2</v>
      </c>
    </row>
    <row r="55" spans="2:2">
      <c r="B55">
        <v>3.2285454490646633E-2</v>
      </c>
    </row>
    <row r="58" spans="2:2">
      <c r="B58">
        <v>2.0582737213602924E-2</v>
      </c>
    </row>
  </sheetData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4"/>
  <sheetViews>
    <sheetView tabSelected="1" zoomScale="75" zoomScaleNormal="75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" sqref="C2:C51 R5:R51 AG5:AG51"/>
    </sheetView>
  </sheetViews>
  <sheetFormatPr defaultRowHeight="15"/>
  <cols>
    <col min="1" max="2" width="9.28515625" bestFit="1" customWidth="1"/>
    <col min="3" max="3" width="11.85546875" customWidth="1"/>
    <col min="4" max="4" width="18.42578125" style="90" bestFit="1" customWidth="1"/>
    <col min="5" max="5" width="12" style="92" bestFit="1" customWidth="1"/>
    <col min="6" max="6" width="15.140625" style="90" bestFit="1" customWidth="1"/>
    <col min="7" max="7" width="12" style="92" bestFit="1" customWidth="1"/>
    <col min="8" max="8" width="15.85546875" style="90" bestFit="1" customWidth="1"/>
    <col min="9" max="9" width="12" style="92" bestFit="1" customWidth="1"/>
    <col min="10" max="10" width="15.85546875" style="90" bestFit="1" customWidth="1"/>
    <col min="11" max="11" width="12" style="92" bestFit="1" customWidth="1"/>
    <col min="12" max="12" width="15.85546875" style="90" bestFit="1" customWidth="1"/>
    <col min="13" max="13" width="12" style="92" bestFit="1" customWidth="1"/>
    <col min="14" max="14" width="15.85546875" style="90" bestFit="1" customWidth="1"/>
    <col min="15" max="15" width="12" style="92" bestFit="1" customWidth="1"/>
    <col min="16" max="16" width="17.140625" style="90" bestFit="1" customWidth="1"/>
    <col min="17" max="17" width="12" style="92" bestFit="1" customWidth="1"/>
    <col min="18" max="18" width="12" bestFit="1" customWidth="1"/>
    <col min="19" max="19" width="17.140625" style="90" bestFit="1" customWidth="1"/>
    <col min="20" max="20" width="12" style="92" bestFit="1" customWidth="1"/>
    <col min="21" max="21" width="16.7109375" style="90" bestFit="1" customWidth="1"/>
    <col min="22" max="22" width="12" style="92" bestFit="1" customWidth="1"/>
    <col min="23" max="23" width="16.7109375" style="90" bestFit="1" customWidth="1"/>
    <col min="24" max="24" width="12" style="92" bestFit="1" customWidth="1"/>
    <col min="25" max="25" width="16.7109375" style="90" bestFit="1" customWidth="1"/>
    <col min="26" max="26" width="12" style="92" bestFit="1" customWidth="1"/>
    <col min="27" max="27" width="16.7109375" style="90" bestFit="1" customWidth="1"/>
    <col min="28" max="28" width="12" style="92" bestFit="1" customWidth="1"/>
    <col min="29" max="29" width="16.7109375" style="90" bestFit="1" customWidth="1"/>
    <col min="30" max="30" width="12" style="92" bestFit="1" customWidth="1"/>
    <col min="31" max="31" width="18.42578125" style="90" bestFit="1" customWidth="1"/>
    <col min="32" max="32" width="12" style="92" bestFit="1" customWidth="1"/>
    <col min="33" max="33" width="12.28515625" bestFit="1" customWidth="1"/>
    <col min="35" max="35" width="10.28515625" bestFit="1" customWidth="1"/>
    <col min="36" max="36" width="10.28515625" customWidth="1"/>
  </cols>
  <sheetData>
    <row r="1" spans="1:38">
      <c r="A1" s="41" t="s">
        <v>22</v>
      </c>
      <c r="B1" s="41" t="s">
        <v>21</v>
      </c>
      <c r="C1" s="47" t="s">
        <v>57</v>
      </c>
      <c r="D1" s="47" t="s">
        <v>28</v>
      </c>
      <c r="E1" s="92" t="s">
        <v>50</v>
      </c>
      <c r="F1" s="47" t="s">
        <v>29</v>
      </c>
      <c r="G1" s="92" t="s">
        <v>51</v>
      </c>
      <c r="H1" s="47" t="s">
        <v>30</v>
      </c>
      <c r="I1" s="92" t="s">
        <v>52</v>
      </c>
      <c r="J1" s="47" t="s">
        <v>31</v>
      </c>
      <c r="K1" s="92" t="s">
        <v>53</v>
      </c>
      <c r="L1" s="47" t="s">
        <v>32</v>
      </c>
      <c r="M1" s="92" t="s">
        <v>54</v>
      </c>
      <c r="N1" s="47" t="s">
        <v>33</v>
      </c>
      <c r="O1" s="92" t="s">
        <v>55</v>
      </c>
      <c r="P1" s="47" t="s">
        <v>34</v>
      </c>
      <c r="Q1" s="92" t="s">
        <v>56</v>
      </c>
      <c r="R1" s="42" t="s">
        <v>14</v>
      </c>
      <c r="S1" s="47" t="s">
        <v>35</v>
      </c>
      <c r="T1" s="92" t="s">
        <v>43</v>
      </c>
      <c r="U1" s="47" t="s">
        <v>36</v>
      </c>
      <c r="V1" s="92" t="s">
        <v>44</v>
      </c>
      <c r="W1" s="47" t="s">
        <v>37</v>
      </c>
      <c r="X1" s="92" t="s">
        <v>46</v>
      </c>
      <c r="Y1" s="47" t="s">
        <v>38</v>
      </c>
      <c r="Z1" s="92" t="s">
        <v>45</v>
      </c>
      <c r="AA1" s="47" t="s">
        <v>39</v>
      </c>
      <c r="AB1" s="92" t="s">
        <v>47</v>
      </c>
      <c r="AC1" s="47" t="s">
        <v>40</v>
      </c>
      <c r="AD1" s="92" t="s">
        <v>48</v>
      </c>
      <c r="AE1" s="47" t="s">
        <v>41</v>
      </c>
      <c r="AF1" s="92" t="s">
        <v>49</v>
      </c>
      <c r="AG1" s="42" t="s">
        <v>42</v>
      </c>
      <c r="AI1" s="60"/>
      <c r="AJ1" s="60"/>
      <c r="AK1" s="49"/>
    </row>
    <row r="2" spans="1:38">
      <c r="A2">
        <v>2016</v>
      </c>
      <c r="B2" s="53">
        <v>9</v>
      </c>
      <c r="C2" s="99">
        <f t="shared" ref="C2:C5" si="0">DATE(A2,B2,B2)</f>
        <v>42622</v>
      </c>
      <c r="D2">
        <v>7.9955104119463896E-2</v>
      </c>
      <c r="F2">
        <v>7.9955104119463896E-2</v>
      </c>
      <c r="H2">
        <v>7.9955104119463896E-2</v>
      </c>
      <c r="J2">
        <v>7.9955104119463896E-2</v>
      </c>
      <c r="L2">
        <v>7.9955104119463896E-2</v>
      </c>
      <c r="N2">
        <v>7.9955104119463896E-2</v>
      </c>
      <c r="P2">
        <v>7.9955104119463896E-2</v>
      </c>
      <c r="R2" s="108">
        <f t="shared" ref="R2:R17" si="1">AVERAGE(P2,N2,L2,J1,H2,F2,D2)</f>
        <v>7.9955104119463896E-2</v>
      </c>
      <c r="S2">
        <v>8.4705552664903996E-2</v>
      </c>
      <c r="U2">
        <v>8.4705552664903996E-2</v>
      </c>
      <c r="W2">
        <v>8.4705552664903996E-2</v>
      </c>
      <c r="Y2">
        <v>8.4705552664903996E-2</v>
      </c>
      <c r="AA2">
        <v>8.4705552664903996E-2</v>
      </c>
      <c r="AC2">
        <v>8.4705552664903996E-2</v>
      </c>
      <c r="AE2">
        <v>8.4705552664903996E-2</v>
      </c>
      <c r="AG2" s="108">
        <f t="shared" ref="AG2:AG17" si="2">AVERAGE(S2,U2,W2,Y2,AA2,AC2,AE2)</f>
        <v>8.4705552664903996E-2</v>
      </c>
      <c r="AI2" s="60"/>
      <c r="AJ2" s="60"/>
      <c r="AK2" s="49"/>
    </row>
    <row r="3" spans="1:38">
      <c r="A3">
        <v>2016</v>
      </c>
      <c r="B3" s="53">
        <v>10</v>
      </c>
      <c r="C3" s="99">
        <f t="shared" si="0"/>
        <v>42653</v>
      </c>
      <c r="D3">
        <v>7.5563631510913595E-2</v>
      </c>
      <c r="F3">
        <v>7.5563631510913595E-2</v>
      </c>
      <c r="H3">
        <v>7.5563631510913595E-2</v>
      </c>
      <c r="J3">
        <v>7.5563631510913595E-2</v>
      </c>
      <c r="L3">
        <v>7.5563631510913595E-2</v>
      </c>
      <c r="N3">
        <v>7.5563631510913595E-2</v>
      </c>
      <c r="P3">
        <v>7.5563631510913595E-2</v>
      </c>
      <c r="R3" s="108">
        <f t="shared" si="1"/>
        <v>7.6190984740706499E-2</v>
      </c>
      <c r="S3">
        <v>7.8913494563303696E-2</v>
      </c>
      <c r="U3">
        <v>7.8913494563303696E-2</v>
      </c>
      <c r="W3">
        <v>7.8913494563303696E-2</v>
      </c>
      <c r="Y3">
        <v>7.8913494563303696E-2</v>
      </c>
      <c r="AA3">
        <v>7.8913494563303696E-2</v>
      </c>
      <c r="AC3">
        <v>7.8913494563303696E-2</v>
      </c>
      <c r="AE3">
        <v>7.8913494563303696E-2</v>
      </c>
      <c r="AG3" s="108">
        <f t="shared" si="2"/>
        <v>7.8913494563303696E-2</v>
      </c>
      <c r="AI3" s="60"/>
      <c r="AJ3" s="60"/>
      <c r="AK3" s="49"/>
    </row>
    <row r="4" spans="1:38">
      <c r="A4">
        <v>2016</v>
      </c>
      <c r="B4" s="53">
        <v>11</v>
      </c>
      <c r="C4" s="99">
        <f t="shared" si="0"/>
        <v>42685</v>
      </c>
      <c r="D4">
        <v>7.0702793536421504E-2</v>
      </c>
      <c r="F4">
        <v>7.0702793536421504E-2</v>
      </c>
      <c r="H4">
        <v>7.0702793536421504E-2</v>
      </c>
      <c r="J4">
        <v>7.0702793536421504E-2</v>
      </c>
      <c r="L4">
        <v>7.0702793536421504E-2</v>
      </c>
      <c r="N4">
        <v>7.0702793536421504E-2</v>
      </c>
      <c r="P4">
        <v>7.0702793536421504E-2</v>
      </c>
      <c r="R4" s="108">
        <f t="shared" si="1"/>
        <v>7.1397198961348954E-2</v>
      </c>
      <c r="S4">
        <v>7.2649554274097999E-2</v>
      </c>
      <c r="U4">
        <v>7.2649554274097999E-2</v>
      </c>
      <c r="W4">
        <v>7.2649554274097999E-2</v>
      </c>
      <c r="Y4">
        <v>7.2649554274097999E-2</v>
      </c>
      <c r="AA4">
        <v>7.2649554274097999E-2</v>
      </c>
      <c r="AC4">
        <v>7.2649554274097999E-2</v>
      </c>
      <c r="AE4">
        <v>7.2649554274097999E-2</v>
      </c>
      <c r="AG4" s="108">
        <f t="shared" si="2"/>
        <v>7.2649554274098013E-2</v>
      </c>
      <c r="AI4" s="60"/>
      <c r="AJ4" s="60"/>
      <c r="AK4" s="49"/>
    </row>
    <row r="5" spans="1:38">
      <c r="A5">
        <v>2016</v>
      </c>
      <c r="B5" s="53">
        <v>12</v>
      </c>
      <c r="C5" s="99">
        <f t="shared" si="0"/>
        <v>42716</v>
      </c>
      <c r="D5">
        <v>6.8893955097910603E-2</v>
      </c>
      <c r="F5">
        <v>6.8893955097910603E-2</v>
      </c>
      <c r="H5">
        <v>6.8893955097910603E-2</v>
      </c>
      <c r="J5">
        <v>6.8893955097910603E-2</v>
      </c>
      <c r="L5">
        <v>6.8893955097910603E-2</v>
      </c>
      <c r="N5">
        <v>6.8893955097910603E-2</v>
      </c>
      <c r="P5">
        <v>6.8893955097910603E-2</v>
      </c>
      <c r="R5" s="108">
        <f t="shared" si="1"/>
        <v>6.9152360589126452E-2</v>
      </c>
      <c r="S5">
        <v>6.8723657503548197E-2</v>
      </c>
      <c r="U5">
        <v>6.8723657503548197E-2</v>
      </c>
      <c r="W5">
        <v>6.8723657503548197E-2</v>
      </c>
      <c r="Y5">
        <v>6.8723657503548197E-2</v>
      </c>
      <c r="AA5">
        <v>6.8723657503548197E-2</v>
      </c>
      <c r="AC5">
        <v>6.8723657503548197E-2</v>
      </c>
      <c r="AE5">
        <v>6.8723657503548197E-2</v>
      </c>
      <c r="AG5" s="108">
        <f t="shared" si="2"/>
        <v>6.8723657503548197E-2</v>
      </c>
      <c r="AI5" s="60"/>
      <c r="AJ5" s="60"/>
      <c r="AK5" s="49"/>
    </row>
    <row r="6" spans="1:38">
      <c r="A6">
        <v>2017</v>
      </c>
      <c r="B6" s="54">
        <v>1</v>
      </c>
      <c r="C6" s="99">
        <f t="shared" ref="C6:C53" si="3">DATE(A6,B6,B6)</f>
        <v>42736</v>
      </c>
      <c r="D6">
        <v>6.8540276201095401E-2</v>
      </c>
      <c r="F6">
        <v>6.8540276201095401E-2</v>
      </c>
      <c r="H6">
        <v>6.8540276201095401E-2</v>
      </c>
      <c r="J6">
        <v>6.8540276201095401E-2</v>
      </c>
      <c r="L6">
        <v>6.8540276201095401E-2</v>
      </c>
      <c r="N6">
        <v>6.8540276201095401E-2</v>
      </c>
      <c r="P6">
        <v>6.8540276201095401E-2</v>
      </c>
      <c r="R6" s="108">
        <f t="shared" si="1"/>
        <v>6.8590801757783287E-2</v>
      </c>
      <c r="S6">
        <v>6.7976073659159794E-2</v>
      </c>
      <c r="U6">
        <v>6.7976073659159794E-2</v>
      </c>
      <c r="W6">
        <v>6.7976073659159794E-2</v>
      </c>
      <c r="Y6">
        <v>6.7976073659159794E-2</v>
      </c>
      <c r="AA6">
        <v>6.7976073659159794E-2</v>
      </c>
      <c r="AC6">
        <v>6.7976073659159794E-2</v>
      </c>
      <c r="AE6">
        <v>6.7976073659159794E-2</v>
      </c>
      <c r="AG6" s="108">
        <f t="shared" si="2"/>
        <v>6.7976073659159794E-2</v>
      </c>
      <c r="AK6" s="61"/>
    </row>
    <row r="7" spans="1:38">
      <c r="A7">
        <v>2017</v>
      </c>
      <c r="B7" s="53">
        <v>2</v>
      </c>
      <c r="C7" s="99">
        <f t="shared" si="3"/>
        <v>42768</v>
      </c>
      <c r="D7">
        <v>6.6849183254918398E-2</v>
      </c>
      <c r="F7">
        <v>6.6849183254918398E-2</v>
      </c>
      <c r="H7">
        <v>6.6849183254918398E-2</v>
      </c>
      <c r="J7">
        <v>6.6849183254918398E-2</v>
      </c>
      <c r="L7">
        <v>6.6849183254918398E-2</v>
      </c>
      <c r="N7">
        <v>6.6849183254918398E-2</v>
      </c>
      <c r="P7">
        <v>6.6849183254918398E-2</v>
      </c>
      <c r="R7" s="108">
        <f t="shared" si="1"/>
        <v>6.7090767961515113E-2</v>
      </c>
      <c r="S7">
        <v>6.7310400418184299E-2</v>
      </c>
      <c r="U7">
        <v>6.7310400418184299E-2</v>
      </c>
      <c r="W7">
        <v>6.7310400418184299E-2</v>
      </c>
      <c r="Y7">
        <v>6.7310400418184299E-2</v>
      </c>
      <c r="AA7">
        <v>6.7310400418184299E-2</v>
      </c>
      <c r="AC7">
        <v>6.7310400418184299E-2</v>
      </c>
      <c r="AE7">
        <v>6.7310400418184299E-2</v>
      </c>
      <c r="AG7" s="108">
        <f t="shared" si="2"/>
        <v>6.7310400418184299E-2</v>
      </c>
      <c r="AI7" s="61"/>
      <c r="AK7" s="61"/>
      <c r="AL7" s="28"/>
    </row>
    <row r="8" spans="1:38">
      <c r="A8">
        <v>2017</v>
      </c>
      <c r="B8" s="53">
        <v>3</v>
      </c>
      <c r="C8" s="99">
        <f t="shared" si="3"/>
        <v>42797</v>
      </c>
      <c r="D8">
        <v>6.4078282174156995E-2</v>
      </c>
      <c r="F8">
        <v>6.4078282174156995E-2</v>
      </c>
      <c r="H8">
        <v>6.4078282174156995E-2</v>
      </c>
      <c r="J8">
        <v>6.4078282174156995E-2</v>
      </c>
      <c r="L8">
        <v>6.4078282174156995E-2</v>
      </c>
      <c r="N8">
        <v>6.4078282174156995E-2</v>
      </c>
      <c r="P8">
        <v>6.4078282174156995E-2</v>
      </c>
      <c r="R8" s="108">
        <f t="shared" si="1"/>
        <v>6.4474125185694342E-2</v>
      </c>
      <c r="S8">
        <v>6.67650347982406E-2</v>
      </c>
      <c r="U8">
        <v>6.67650347982406E-2</v>
      </c>
      <c r="W8">
        <v>6.67650347982406E-2</v>
      </c>
      <c r="Y8">
        <v>6.67650347982406E-2</v>
      </c>
      <c r="AA8">
        <v>6.67650347982406E-2</v>
      </c>
      <c r="AC8">
        <v>6.67650347982406E-2</v>
      </c>
      <c r="AE8">
        <v>6.67650347982406E-2</v>
      </c>
      <c r="AG8" s="108">
        <f t="shared" si="2"/>
        <v>6.67650347982406E-2</v>
      </c>
      <c r="AK8" s="61"/>
      <c r="AL8" s="28"/>
    </row>
    <row r="9" spans="1:38">
      <c r="A9">
        <v>2017</v>
      </c>
      <c r="B9" s="53">
        <v>4</v>
      </c>
      <c r="C9" s="99">
        <f t="shared" si="3"/>
        <v>42829</v>
      </c>
      <c r="D9">
        <v>6.1803957883854101E-2</v>
      </c>
      <c r="F9">
        <v>6.1803957883854101E-2</v>
      </c>
      <c r="H9">
        <v>6.1803957883854101E-2</v>
      </c>
      <c r="J9">
        <v>6.1803957883854101E-2</v>
      </c>
      <c r="L9">
        <v>6.1803957883854101E-2</v>
      </c>
      <c r="N9">
        <v>6.1803957883854101E-2</v>
      </c>
      <c r="P9">
        <v>6.1803957883854101E-2</v>
      </c>
      <c r="R9" s="108">
        <f t="shared" si="1"/>
        <v>6.2128861353897384E-2</v>
      </c>
      <c r="S9">
        <v>6.6671302551396694E-2</v>
      </c>
      <c r="U9">
        <v>6.6671302551396694E-2</v>
      </c>
      <c r="W9">
        <v>6.6671302551396694E-2</v>
      </c>
      <c r="Y9">
        <v>6.6671302551396694E-2</v>
      </c>
      <c r="AA9">
        <v>6.6671302551396694E-2</v>
      </c>
      <c r="AC9">
        <v>6.6671302551396694E-2</v>
      </c>
      <c r="AE9">
        <v>6.6671302551396694E-2</v>
      </c>
      <c r="AG9" s="108">
        <f t="shared" si="2"/>
        <v>6.6671302551396694E-2</v>
      </c>
      <c r="AK9" s="61"/>
    </row>
    <row r="10" spans="1:38">
      <c r="A10">
        <v>2017</v>
      </c>
      <c r="B10" s="53">
        <v>5</v>
      </c>
      <c r="C10" s="99">
        <f t="shared" si="3"/>
        <v>42860</v>
      </c>
      <c r="D10">
        <v>6.1441855254933599E-2</v>
      </c>
      <c r="F10">
        <v>6.1441855254933599E-2</v>
      </c>
      <c r="H10">
        <v>6.1441855254933599E-2</v>
      </c>
      <c r="J10">
        <v>6.1441855254933599E-2</v>
      </c>
      <c r="L10">
        <v>6.1441855254933599E-2</v>
      </c>
      <c r="N10">
        <v>6.1441855254933599E-2</v>
      </c>
      <c r="P10">
        <v>6.1441855254933599E-2</v>
      </c>
      <c r="R10" s="108">
        <f t="shared" si="1"/>
        <v>6.1493584201922247E-2</v>
      </c>
      <c r="S10">
        <v>6.80078658801372E-2</v>
      </c>
      <c r="U10">
        <v>6.80078658801372E-2</v>
      </c>
      <c r="W10">
        <v>6.80078658801372E-2</v>
      </c>
      <c r="Y10">
        <v>6.80078658801372E-2</v>
      </c>
      <c r="AA10">
        <v>6.80078658801372E-2</v>
      </c>
      <c r="AC10">
        <v>6.80078658801372E-2</v>
      </c>
      <c r="AE10">
        <v>6.80078658801372E-2</v>
      </c>
      <c r="AG10" s="108">
        <f t="shared" si="2"/>
        <v>6.80078658801372E-2</v>
      </c>
      <c r="AK10" s="61"/>
      <c r="AL10" s="28"/>
    </row>
    <row r="11" spans="1:38">
      <c r="A11">
        <v>2017</v>
      </c>
      <c r="B11" s="53">
        <v>6</v>
      </c>
      <c r="C11" s="99">
        <f t="shared" si="3"/>
        <v>42892</v>
      </c>
      <c r="D11">
        <v>6.5445240290296303E-2</v>
      </c>
      <c r="F11">
        <v>6.5445240290296303E-2</v>
      </c>
      <c r="H11">
        <v>6.5445240290296303E-2</v>
      </c>
      <c r="J11">
        <v>6.5445240290296303E-2</v>
      </c>
      <c r="L11">
        <v>6.5445240290296303E-2</v>
      </c>
      <c r="N11">
        <v>6.5445240290296303E-2</v>
      </c>
      <c r="P11">
        <v>6.5445240290296303E-2</v>
      </c>
      <c r="R11" s="108">
        <f t="shared" si="1"/>
        <v>6.4873328142387346E-2</v>
      </c>
      <c r="S11">
        <v>7.17567896763847E-2</v>
      </c>
      <c r="U11">
        <v>7.17567896763847E-2</v>
      </c>
      <c r="W11">
        <v>7.17567896763847E-2</v>
      </c>
      <c r="Y11">
        <v>7.17567896763847E-2</v>
      </c>
      <c r="AA11">
        <v>7.17567896763847E-2</v>
      </c>
      <c r="AC11">
        <v>7.17567896763847E-2</v>
      </c>
      <c r="AE11">
        <v>7.17567896763847E-2</v>
      </c>
      <c r="AG11" s="108">
        <f t="shared" si="2"/>
        <v>7.17567896763847E-2</v>
      </c>
      <c r="AK11" s="61"/>
      <c r="AL11" s="28"/>
    </row>
    <row r="12" spans="1:38">
      <c r="A12">
        <v>2017</v>
      </c>
      <c r="B12" s="53">
        <v>7</v>
      </c>
      <c r="C12" s="99">
        <f t="shared" si="3"/>
        <v>42923</v>
      </c>
      <c r="D12">
        <v>7.4933490373569903E-2</v>
      </c>
      <c r="F12">
        <v>7.4933490373569903E-2</v>
      </c>
      <c r="H12">
        <v>7.4933490373569903E-2</v>
      </c>
      <c r="J12">
        <v>7.4933490373569903E-2</v>
      </c>
      <c r="L12">
        <v>7.4933490373569903E-2</v>
      </c>
      <c r="N12">
        <v>7.4933490373569903E-2</v>
      </c>
      <c r="P12">
        <v>7.4933490373569903E-2</v>
      </c>
      <c r="R12" s="108">
        <f t="shared" si="1"/>
        <v>7.3578026075959396E-2</v>
      </c>
      <c r="S12">
        <v>7.6709358226289104E-2</v>
      </c>
      <c r="U12">
        <v>7.6709358226289104E-2</v>
      </c>
      <c r="W12">
        <v>7.6709358226289104E-2</v>
      </c>
      <c r="Y12">
        <v>7.6709358226289104E-2</v>
      </c>
      <c r="AA12">
        <v>7.6709358226289104E-2</v>
      </c>
      <c r="AC12">
        <v>7.6709358226289104E-2</v>
      </c>
      <c r="AE12">
        <v>7.6709358226289104E-2</v>
      </c>
      <c r="AG12" s="108">
        <f t="shared" si="2"/>
        <v>7.6709358226289104E-2</v>
      </c>
      <c r="AK12" s="61"/>
      <c r="AL12" s="28"/>
    </row>
    <row r="13" spans="1:38">
      <c r="A13">
        <v>2017</v>
      </c>
      <c r="B13" s="53">
        <v>8</v>
      </c>
      <c r="C13" s="99">
        <f t="shared" si="3"/>
        <v>42955</v>
      </c>
      <c r="D13">
        <v>8.2497339196589997E-2</v>
      </c>
      <c r="F13">
        <v>8.2497339196589997E-2</v>
      </c>
      <c r="H13">
        <v>8.2497339196589997E-2</v>
      </c>
      <c r="J13">
        <v>8.2497339196589997E-2</v>
      </c>
      <c r="L13">
        <v>8.2497339196589997E-2</v>
      </c>
      <c r="N13">
        <v>8.2497339196589997E-2</v>
      </c>
      <c r="P13">
        <v>8.2497339196589997E-2</v>
      </c>
      <c r="R13" s="108">
        <f t="shared" si="1"/>
        <v>8.1416789364729972E-2</v>
      </c>
      <c r="S13">
        <v>7.9598775615289302E-2</v>
      </c>
      <c r="U13">
        <v>7.9598775615289302E-2</v>
      </c>
      <c r="W13">
        <v>7.9598775615289302E-2</v>
      </c>
      <c r="Y13">
        <v>7.9598775615289302E-2</v>
      </c>
      <c r="AA13">
        <v>7.9598775615289302E-2</v>
      </c>
      <c r="AC13">
        <v>7.9598775615289302E-2</v>
      </c>
      <c r="AE13">
        <v>7.9598775615289302E-2</v>
      </c>
      <c r="AG13" s="108">
        <f t="shared" si="2"/>
        <v>7.9598775615289288E-2</v>
      </c>
      <c r="AK13" s="61"/>
      <c r="AL13" s="28"/>
    </row>
    <row r="14" spans="1:38">
      <c r="A14">
        <v>2017</v>
      </c>
      <c r="B14" s="53">
        <v>9</v>
      </c>
      <c r="C14" s="99">
        <f t="shared" si="3"/>
        <v>42987</v>
      </c>
      <c r="D14">
        <v>8.29954886447095E-2</v>
      </c>
      <c r="F14">
        <v>8.29954886447095E-2</v>
      </c>
      <c r="H14">
        <v>8.29954886447095E-2</v>
      </c>
      <c r="J14">
        <v>8.29954886447095E-2</v>
      </c>
      <c r="L14">
        <v>8.29954886447095E-2</v>
      </c>
      <c r="N14">
        <v>8.29954886447095E-2</v>
      </c>
      <c r="P14">
        <v>8.29954886447095E-2</v>
      </c>
      <c r="R14" s="108">
        <f t="shared" si="1"/>
        <v>8.292432443783529E-2</v>
      </c>
      <c r="S14">
        <v>7.7166264068976406E-2</v>
      </c>
      <c r="U14">
        <v>7.7166264068976406E-2</v>
      </c>
      <c r="W14">
        <v>7.7166264068976406E-2</v>
      </c>
      <c r="Y14">
        <v>7.7166264068976406E-2</v>
      </c>
      <c r="AA14">
        <v>7.7166264068976406E-2</v>
      </c>
      <c r="AC14">
        <v>7.7166264068976406E-2</v>
      </c>
      <c r="AE14">
        <v>7.7166264068976406E-2</v>
      </c>
      <c r="AG14" s="108">
        <f t="shared" si="2"/>
        <v>7.7166264068976406E-2</v>
      </c>
      <c r="AK14" s="61"/>
      <c r="AL14" s="28"/>
    </row>
    <row r="15" spans="1:38">
      <c r="A15">
        <v>2017</v>
      </c>
      <c r="B15" s="53">
        <v>10</v>
      </c>
      <c r="C15" s="99">
        <f t="shared" si="3"/>
        <v>43018</v>
      </c>
      <c r="D15">
        <v>7.9408065258866095E-2</v>
      </c>
      <c r="F15">
        <v>7.9408065258866095E-2</v>
      </c>
      <c r="H15">
        <v>7.9408065258866095E-2</v>
      </c>
      <c r="J15">
        <v>7.9408065258866095E-2</v>
      </c>
      <c r="L15">
        <v>7.9408065258866095E-2</v>
      </c>
      <c r="N15">
        <v>7.9408065258866095E-2</v>
      </c>
      <c r="P15">
        <v>7.9408065258866095E-2</v>
      </c>
      <c r="R15" s="108">
        <f t="shared" si="1"/>
        <v>7.9920554313986591E-2</v>
      </c>
      <c r="S15">
        <v>7.1845111027422998E-2</v>
      </c>
      <c r="U15">
        <v>7.1845111027422998E-2</v>
      </c>
      <c r="W15">
        <v>7.1845111027422998E-2</v>
      </c>
      <c r="Y15">
        <v>7.1845111027422998E-2</v>
      </c>
      <c r="AA15">
        <v>7.1845111027422998E-2</v>
      </c>
      <c r="AC15">
        <v>7.1845111027422998E-2</v>
      </c>
      <c r="AE15">
        <v>7.1845111027422998E-2</v>
      </c>
      <c r="AG15" s="108">
        <f t="shared" si="2"/>
        <v>7.1845111027422984E-2</v>
      </c>
      <c r="AK15" s="61"/>
      <c r="AL15" s="28"/>
    </row>
    <row r="16" spans="1:38">
      <c r="A16">
        <v>2017</v>
      </c>
      <c r="B16" s="53">
        <v>11</v>
      </c>
      <c r="C16" s="99">
        <f t="shared" si="3"/>
        <v>43050</v>
      </c>
      <c r="D16">
        <v>7.4659706309968904E-2</v>
      </c>
      <c r="F16">
        <v>7.4659706309968904E-2</v>
      </c>
      <c r="H16">
        <v>7.4659706309968904E-2</v>
      </c>
      <c r="J16">
        <v>7.4659706309968904E-2</v>
      </c>
      <c r="L16">
        <v>7.4659706309968904E-2</v>
      </c>
      <c r="N16">
        <v>7.4659706309968904E-2</v>
      </c>
      <c r="P16">
        <v>7.4659706309968904E-2</v>
      </c>
      <c r="R16" s="108">
        <f t="shared" si="1"/>
        <v>7.5338043302668495E-2</v>
      </c>
      <c r="S16">
        <v>6.5802357360646893E-2</v>
      </c>
      <c r="U16">
        <v>6.5802357360646893E-2</v>
      </c>
      <c r="W16">
        <v>6.5802357360646893E-2</v>
      </c>
      <c r="Y16">
        <v>6.5802357360646893E-2</v>
      </c>
      <c r="AA16">
        <v>6.5802357360646893E-2</v>
      </c>
      <c r="AC16">
        <v>6.5802357360646893E-2</v>
      </c>
      <c r="AE16">
        <v>6.5802357360646893E-2</v>
      </c>
      <c r="AG16" s="108">
        <f t="shared" si="2"/>
        <v>6.5802357360646893E-2</v>
      </c>
      <c r="AK16" s="61"/>
      <c r="AL16" s="28"/>
    </row>
    <row r="17" spans="1:38">
      <c r="A17">
        <v>2017</v>
      </c>
      <c r="B17" s="53">
        <v>12</v>
      </c>
      <c r="C17" s="99">
        <f t="shared" si="3"/>
        <v>43081</v>
      </c>
      <c r="D17">
        <v>7.2796142495930194E-2</v>
      </c>
      <c r="F17">
        <v>7.2796142495930194E-2</v>
      </c>
      <c r="H17">
        <v>7.2796142495930194E-2</v>
      </c>
      <c r="J17">
        <v>7.2796142495930194E-2</v>
      </c>
      <c r="L17">
        <v>7.2796142495930194E-2</v>
      </c>
      <c r="N17">
        <v>7.2796142495930194E-2</v>
      </c>
      <c r="P17">
        <v>7.2796142495930194E-2</v>
      </c>
      <c r="R17" s="108">
        <f t="shared" si="1"/>
        <v>7.3062365897935716E-2</v>
      </c>
      <c r="S17">
        <v>6.1838883355668103E-2</v>
      </c>
      <c r="U17">
        <v>6.1838883355668103E-2</v>
      </c>
      <c r="W17">
        <v>6.1838883355668103E-2</v>
      </c>
      <c r="Y17">
        <v>6.1838883355668103E-2</v>
      </c>
      <c r="AA17">
        <v>6.1838883355668103E-2</v>
      </c>
      <c r="AC17">
        <v>6.1838883355668103E-2</v>
      </c>
      <c r="AE17">
        <v>6.1838883355668103E-2</v>
      </c>
      <c r="AG17" s="108">
        <f t="shared" si="2"/>
        <v>6.183888335566811E-2</v>
      </c>
      <c r="AK17" s="61"/>
      <c r="AL17" s="28"/>
    </row>
    <row r="18" spans="1:38" s="53" customFormat="1">
      <c r="A18" s="53">
        <v>2018</v>
      </c>
      <c r="B18" s="62">
        <v>1</v>
      </c>
      <c r="C18" s="99">
        <f t="shared" si="3"/>
        <v>43101</v>
      </c>
      <c r="D18" s="104">
        <f>D19*0.95</f>
        <v>8.0628656436166374E-2</v>
      </c>
      <c r="E18" s="107">
        <f t="shared" ref="E18" si="4">0.05/D18</f>
        <v>0.62012691529326114</v>
      </c>
      <c r="F18" s="104">
        <f>F19*0.95</f>
        <v>6.0533769868141379E-2</v>
      </c>
      <c r="G18" s="107">
        <f t="shared" ref="G18:G22" si="5">0.05/F18</f>
        <v>0.82598523285288983</v>
      </c>
      <c r="H18" s="104">
        <f>H19*0.95</f>
        <v>5.4756562008606159E-2</v>
      </c>
      <c r="I18" s="107">
        <f t="shared" ref="I18:I22" si="6">0.05/H18</f>
        <v>0.91313256650666708</v>
      </c>
      <c r="J18" s="104">
        <f>J19*0.95</f>
        <v>4.863174395658635E-2</v>
      </c>
      <c r="K18" s="107">
        <f t="shared" ref="K18" si="7">0.05/J18</f>
        <v>1.0281350396283362</v>
      </c>
      <c r="L18" s="104">
        <f>L19*0.95</f>
        <v>9.1672540376444567E-2</v>
      </c>
      <c r="M18" s="107">
        <f t="shared" ref="M18:M22" si="8">0.05/L18</f>
        <v>0.54541959669362017</v>
      </c>
      <c r="N18" s="104">
        <f>N19*0.95</f>
        <v>7.2313159731677026E-2</v>
      </c>
      <c r="O18" s="107">
        <f t="shared" ref="O18:O22" si="9">0.05/N18</f>
        <v>0.6914370798555679</v>
      </c>
      <c r="P18" s="104">
        <f>P19*0.95</f>
        <v>4.7330931172620834E-2</v>
      </c>
      <c r="Q18" s="107">
        <f t="shared" ref="Q18:Q22" si="10">0.05/P18</f>
        <v>1.0563916399118538</v>
      </c>
      <c r="R18" s="108">
        <f>AVERAGE(P18,N18,L18,J17,H18,F18,D18)</f>
        <v>6.857596601279807E-2</v>
      </c>
      <c r="S18" s="104">
        <f>S19*0.95</f>
        <v>7.1512018740479508E-2</v>
      </c>
      <c r="T18" s="107">
        <f t="shared" ref="T18:T22" si="11">0.05/S18</f>
        <v>0.69918317061433222</v>
      </c>
      <c r="U18" s="104">
        <f>U19*0.95</f>
        <v>4.1544316169620399E-2</v>
      </c>
      <c r="V18" s="107">
        <f t="shared" ref="V18:V22" si="12">0.05/U18</f>
        <v>1.2035340718055407</v>
      </c>
      <c r="W18" s="104">
        <f>W19*0.95</f>
        <v>3.7912075869269285E-2</v>
      </c>
      <c r="X18" s="107">
        <f t="shared" ref="X18:X22" si="13">0.05/W18</f>
        <v>1.3188409986415155</v>
      </c>
      <c r="Y18" s="104">
        <f>Y19*0.95</f>
        <v>6.3606128558293965E-2</v>
      </c>
      <c r="Z18" s="107">
        <f t="shared" ref="Z18:Z22" si="14">0.05/Y18</f>
        <v>0.78608777382474759</v>
      </c>
      <c r="AA18" s="104">
        <f>AA19*0.95</f>
        <v>4.9839470524769731E-2</v>
      </c>
      <c r="AB18" s="107">
        <f t="shared" ref="AB18:AB22" si="15">0.05/AA18</f>
        <v>1.0032209305905546</v>
      </c>
      <c r="AC18" s="104">
        <f>AC19*0.95</f>
        <v>6.3606128558293965E-2</v>
      </c>
      <c r="AD18" s="107">
        <f t="shared" ref="AD18:AD22" si="16">0.05/AC18</f>
        <v>0.78608777382474759</v>
      </c>
      <c r="AE18" s="104">
        <f>AE19*0.95</f>
        <v>5.7273878775524922E-2</v>
      </c>
      <c r="AF18" s="107">
        <f t="shared" ref="AF18:AF22" si="17">0.05/AE18</f>
        <v>0.87299832085698903</v>
      </c>
      <c r="AG18" s="108">
        <f t="shared" ref="AG18:AG22" si="18">AVERAGE(S18,U18,W18,Y18,AA18,AC18,AE18)</f>
        <v>5.504200245660739E-2</v>
      </c>
      <c r="AK18" s="100"/>
      <c r="AL18" s="98"/>
    </row>
    <row r="19" spans="1:38" s="53" customFormat="1">
      <c r="A19" s="53">
        <v>2018</v>
      </c>
      <c r="B19" s="41">
        <v>2</v>
      </c>
      <c r="C19" s="99">
        <f t="shared" si="3"/>
        <v>43133</v>
      </c>
      <c r="D19" s="105">
        <v>8.4872269932806707E-2</v>
      </c>
      <c r="E19" s="107">
        <f>0.05/D19</f>
        <v>0.58912056952859815</v>
      </c>
      <c r="F19" s="105">
        <v>6.37197577559383E-2</v>
      </c>
      <c r="G19" s="107">
        <f t="shared" si="5"/>
        <v>0.7846859712102453</v>
      </c>
      <c r="H19" s="105">
        <v>5.7638486324848588E-2</v>
      </c>
      <c r="I19" s="107">
        <f t="shared" si="6"/>
        <v>0.86747593818133373</v>
      </c>
      <c r="J19" s="105">
        <v>5.119130942798563E-2</v>
      </c>
      <c r="K19" s="107">
        <f>0.05/J19</f>
        <v>0.97672828764691932</v>
      </c>
      <c r="L19" s="104">
        <v>9.6497410922573232E-2</v>
      </c>
      <c r="M19" s="107">
        <f t="shared" si="8"/>
        <v>0.51814861685893909</v>
      </c>
      <c r="N19" s="104">
        <v>7.6119115507028448E-2</v>
      </c>
      <c r="O19" s="107">
        <f t="shared" si="9"/>
        <v>0.6568652258627895</v>
      </c>
      <c r="P19" s="104">
        <v>4.9822032813285094E-2</v>
      </c>
      <c r="Q19" s="107">
        <f t="shared" si="10"/>
        <v>1.003572057916261</v>
      </c>
      <c r="R19" s="108">
        <f>AVERAGE(P19,N19,L19,J18,H19,F19,D19)</f>
        <v>6.8185831030438113E-2</v>
      </c>
      <c r="S19" s="104">
        <v>7.5275809200504751E-2</v>
      </c>
      <c r="T19" s="107">
        <f t="shared" si="11"/>
        <v>0.66422401208361548</v>
      </c>
      <c r="U19" s="104">
        <v>4.3730859125916212E-2</v>
      </c>
      <c r="V19" s="107">
        <f t="shared" si="12"/>
        <v>1.1433573682152636</v>
      </c>
      <c r="W19" s="104">
        <f>W20*0.95</f>
        <v>3.9907448283441352E-2</v>
      </c>
      <c r="X19" s="107">
        <f t="shared" si="13"/>
        <v>1.2528989487094397</v>
      </c>
      <c r="Y19" s="104">
        <v>6.6953819535046283E-2</v>
      </c>
      <c r="Z19" s="107">
        <f t="shared" si="14"/>
        <v>0.74678338513351017</v>
      </c>
      <c r="AA19" s="104">
        <f>AA20*0.95</f>
        <v>5.2462600552389195E-2</v>
      </c>
      <c r="AB19" s="107">
        <f t="shared" si="15"/>
        <v>0.95305988406102671</v>
      </c>
      <c r="AC19" s="104">
        <v>6.6953819535046283E-2</v>
      </c>
      <c r="AD19" s="107">
        <f t="shared" si="16"/>
        <v>0.74678338513351017</v>
      </c>
      <c r="AE19" s="104">
        <v>6.0288293447920971E-2</v>
      </c>
      <c r="AF19" s="107">
        <f t="shared" si="17"/>
        <v>0.82934840481413963</v>
      </c>
      <c r="AG19" s="108">
        <f t="shared" si="18"/>
        <v>5.7938949954323582E-2</v>
      </c>
      <c r="AK19" s="100"/>
    </row>
    <row r="20" spans="1:38" s="93" customFormat="1">
      <c r="A20" s="93">
        <v>2018</v>
      </c>
      <c r="B20" s="62">
        <v>3</v>
      </c>
      <c r="C20" s="99">
        <f t="shared" si="3"/>
        <v>43162</v>
      </c>
      <c r="D20" s="105">
        <v>8.7900000000000006E-2</v>
      </c>
      <c r="E20" s="107">
        <f t="shared" ref="E20:E22" si="19">0.05/D20</f>
        <v>0.56882821387940841</v>
      </c>
      <c r="F20" s="105">
        <v>7.0950443459880622E-2</v>
      </c>
      <c r="G20" s="107">
        <f t="shared" si="5"/>
        <v>0.70471723024920652</v>
      </c>
      <c r="H20" s="105">
        <v>6.4002074981297022E-2</v>
      </c>
      <c r="I20" s="107">
        <f t="shared" si="6"/>
        <v>0.78122467145965546</v>
      </c>
      <c r="J20" s="104">
        <v>5.6009107983967341E-2</v>
      </c>
      <c r="K20" s="107">
        <f t="shared" ref="K20:K22" si="20">0.05/J20</f>
        <v>0.89271194989058833</v>
      </c>
      <c r="L20" s="104">
        <v>0.10049999999999999</v>
      </c>
      <c r="M20" s="107">
        <f t="shared" si="8"/>
        <v>0.49751243781094534</v>
      </c>
      <c r="N20" s="104">
        <v>8.8499999999999995E-2</v>
      </c>
      <c r="O20" s="107">
        <f t="shared" si="9"/>
        <v>0.56497175141242939</v>
      </c>
      <c r="P20" s="104">
        <v>5.28E-2</v>
      </c>
      <c r="Q20" s="107">
        <f t="shared" si="10"/>
        <v>0.94696969696969702</v>
      </c>
      <c r="R20" s="109">
        <f>AVERAGE(P20,N20,L20,J20,H20,F20,D20)</f>
        <v>7.4380232346449277E-2</v>
      </c>
      <c r="S20" s="104">
        <f>0.0004*(B20^3)-0.0041*(B20^2)+0.0122*B20+0.0634</f>
        <v>7.3899999999999993E-2</v>
      </c>
      <c r="T20" s="107">
        <f t="shared" si="11"/>
        <v>0.67658998646820034</v>
      </c>
      <c r="U20" s="104">
        <f>0.0062*(B20) + 0.0333</f>
        <v>5.1900000000000002E-2</v>
      </c>
      <c r="V20" s="107">
        <f t="shared" si="12"/>
        <v>0.96339113680154143</v>
      </c>
      <c r="W20" s="104">
        <v>4.2007840298359321E-2</v>
      </c>
      <c r="X20" s="107">
        <f t="shared" si="13"/>
        <v>1.1902540012739675</v>
      </c>
      <c r="Y20" s="104">
        <f>-0.0002*(B20^3)+0.0019*(B20^2)-0.0008*B20+0.0626</f>
        <v>7.1900000000000006E-2</v>
      </c>
      <c r="Z20" s="107">
        <f t="shared" si="14"/>
        <v>0.69541029207232263</v>
      </c>
      <c r="AA20" s="104">
        <v>5.5223790055146521E-2</v>
      </c>
      <c r="AB20" s="107">
        <f t="shared" si="15"/>
        <v>0.90540688985797535</v>
      </c>
      <c r="AC20" s="104">
        <f>0.0025*(B20) + 0.0611</f>
        <v>6.8599999999999994E-2</v>
      </c>
      <c r="AD20" s="107">
        <f t="shared" si="16"/>
        <v>0.72886297376093301</v>
      </c>
      <c r="AE20" s="104">
        <f>0.0052*(B20) + 0.0512</f>
        <v>6.6799999999999998E-2</v>
      </c>
      <c r="AF20" s="107">
        <f t="shared" si="17"/>
        <v>0.74850299401197606</v>
      </c>
      <c r="AG20" s="109">
        <f t="shared" si="18"/>
        <v>6.1475947193357978E-2</v>
      </c>
      <c r="AK20" s="95"/>
      <c r="AL20" s="94"/>
    </row>
    <row r="21" spans="1:38" s="93" customFormat="1">
      <c r="A21" s="93">
        <v>2018</v>
      </c>
      <c r="B21" s="62">
        <v>4</v>
      </c>
      <c r="C21" s="99">
        <f t="shared" si="3"/>
        <v>43194</v>
      </c>
      <c r="D21" s="105">
        <v>9.1700000000000004E-2</v>
      </c>
      <c r="E21" s="107">
        <f t="shared" si="19"/>
        <v>0.54525627044711011</v>
      </c>
      <c r="F21" s="105">
        <v>7.7951095859840766E-2</v>
      </c>
      <c r="G21" s="107">
        <f t="shared" si="5"/>
        <v>0.64142780096256802</v>
      </c>
      <c r="H21" s="105">
        <v>7.0493147352267166E-2</v>
      </c>
      <c r="I21" s="107">
        <f t="shared" si="6"/>
        <v>0.70928880150776707</v>
      </c>
      <c r="J21" s="104">
        <v>6.0746794784581178E-2</v>
      </c>
      <c r="K21" s="107">
        <f t="shared" si="20"/>
        <v>0.82308869426459119</v>
      </c>
      <c r="L21" s="104">
        <v>0.10529999999999999</v>
      </c>
      <c r="M21" s="107">
        <f t="shared" si="8"/>
        <v>0.47483380816714155</v>
      </c>
      <c r="N21" s="104">
        <v>9.4899999999999998E-2</v>
      </c>
      <c r="O21" s="107">
        <f t="shared" si="9"/>
        <v>0.52687038988408852</v>
      </c>
      <c r="P21" s="104">
        <v>5.7900000000000007E-2</v>
      </c>
      <c r="Q21" s="107">
        <f t="shared" si="10"/>
        <v>0.86355785837651122</v>
      </c>
      <c r="R21" s="109">
        <f t="shared" ref="R21:R41" si="21">AVERAGE(P21,N21,L21,J21,H21,F21,D21)</f>
        <v>7.9855862570955588E-2</v>
      </c>
      <c r="S21" s="104">
        <f t="shared" ref="S21:S22" si="22">0.0004*(B21^3)-0.0041*(B21^2)+0.0122*B21+0.0634</f>
        <v>7.2199999999999986E-2</v>
      </c>
      <c r="T21" s="107">
        <f t="shared" si="11"/>
        <v>0.69252077562326886</v>
      </c>
      <c r="U21" s="104">
        <f t="shared" ref="U21:U22" si="23">0.0062*(B21) + 0.0333</f>
        <v>5.8099999999999999E-2</v>
      </c>
      <c r="V21" s="107">
        <f t="shared" si="12"/>
        <v>0.86058519793459554</v>
      </c>
      <c r="W21" s="104">
        <f>-0.0003*(B20^3)+0.0032*(B20^2)-0.0068*B20+0.042</f>
        <v>4.2300000000000004E-2</v>
      </c>
      <c r="X21" s="107">
        <f t="shared" si="13"/>
        <v>1.1820330969267139</v>
      </c>
      <c r="Y21" s="104">
        <f t="shared" ref="Y21:Y22" si="24">-0.0002*(B21^3)+0.0019*(B21^2)-0.0008*B21+0.0626</f>
        <v>7.6999999999999999E-2</v>
      </c>
      <c r="Z21" s="107">
        <f t="shared" si="14"/>
        <v>0.64935064935064934</v>
      </c>
      <c r="AA21" s="104">
        <f>0.0029*(B20)+ 0.0469</f>
        <v>5.5599999999999997E-2</v>
      </c>
      <c r="AB21" s="107">
        <f t="shared" si="15"/>
        <v>0.89928057553956842</v>
      </c>
      <c r="AC21" s="104">
        <f t="shared" ref="AC21:AC22" si="25">0.0025*(B21) + 0.0611</f>
        <v>7.1099999999999997E-2</v>
      </c>
      <c r="AD21" s="107">
        <f t="shared" si="16"/>
        <v>0.70323488045007043</v>
      </c>
      <c r="AE21" s="104">
        <f t="shared" ref="AE21:AE22" si="26">0.0052*(B21) + 0.0512</f>
        <v>7.2000000000000008E-2</v>
      </c>
      <c r="AF21" s="107">
        <f t="shared" si="17"/>
        <v>0.69444444444444442</v>
      </c>
      <c r="AG21" s="109">
        <f t="shared" si="18"/>
        <v>6.4042857142857137E-2</v>
      </c>
      <c r="AK21" s="95"/>
      <c r="AL21" s="94"/>
    </row>
    <row r="22" spans="1:38" s="93" customFormat="1">
      <c r="A22" s="93">
        <v>2018</v>
      </c>
      <c r="B22" s="62">
        <v>5</v>
      </c>
      <c r="C22" s="99">
        <f t="shared" si="3"/>
        <v>43225</v>
      </c>
      <c r="D22" s="105">
        <v>9.5500000000000002E-2</v>
      </c>
      <c r="E22" s="107">
        <f t="shared" si="19"/>
        <v>0.52356020942408377</v>
      </c>
      <c r="F22" s="105">
        <v>8.5642499883542056E-2</v>
      </c>
      <c r="G22" s="107">
        <f t="shared" si="5"/>
        <v>0.58382228529048952</v>
      </c>
      <c r="H22" s="105">
        <v>7.7642542450078358E-2</v>
      </c>
      <c r="I22" s="107">
        <f t="shared" si="6"/>
        <v>0.6439768511206132</v>
      </c>
      <c r="J22" s="104">
        <v>6.5885232052907083E-2</v>
      </c>
      <c r="K22" s="107">
        <f t="shared" si="20"/>
        <v>0.75889540708984771</v>
      </c>
      <c r="L22" s="104">
        <v>0.11009999999999999</v>
      </c>
      <c r="M22" s="107">
        <f t="shared" si="8"/>
        <v>0.45413260672116262</v>
      </c>
      <c r="N22" s="104">
        <v>9.9299999999999999E-2</v>
      </c>
      <c r="O22" s="107">
        <f t="shared" si="9"/>
        <v>0.50352467270896273</v>
      </c>
      <c r="P22" s="104">
        <v>6.4600000000000005E-2</v>
      </c>
      <c r="Q22" s="107">
        <f t="shared" si="10"/>
        <v>0.77399380804953555</v>
      </c>
      <c r="R22" s="109">
        <f t="shared" si="21"/>
        <v>8.552432491236106E-2</v>
      </c>
      <c r="S22" s="104">
        <f t="shared" si="22"/>
        <v>7.1899999999999992E-2</v>
      </c>
      <c r="T22" s="107">
        <f t="shared" si="11"/>
        <v>0.69541029207232274</v>
      </c>
      <c r="U22" s="104">
        <f t="shared" si="23"/>
        <v>6.4299999999999996E-2</v>
      </c>
      <c r="V22" s="107">
        <f t="shared" si="12"/>
        <v>0.7776049766718508</v>
      </c>
      <c r="W22" s="104">
        <f>-0.0003*(B21^3)+0.0032*(B21^2)-0.0068*B21+0.042</f>
        <v>4.6800000000000008E-2</v>
      </c>
      <c r="X22" s="107">
        <f t="shared" si="13"/>
        <v>1.0683760683760684</v>
      </c>
      <c r="Y22" s="104">
        <f t="shared" si="24"/>
        <v>8.1100000000000005E-2</v>
      </c>
      <c r="Z22" s="107">
        <f t="shared" si="14"/>
        <v>0.61652281134401976</v>
      </c>
      <c r="AA22" s="104">
        <f>0.0029*(B21)+ 0.0469</f>
        <v>5.8499999999999996E-2</v>
      </c>
      <c r="AB22" s="107">
        <f t="shared" si="15"/>
        <v>0.85470085470085477</v>
      </c>
      <c r="AC22" s="104">
        <f t="shared" si="25"/>
        <v>7.3599999999999999E-2</v>
      </c>
      <c r="AD22" s="107">
        <f t="shared" si="16"/>
        <v>0.67934782608695654</v>
      </c>
      <c r="AE22" s="104">
        <f t="shared" si="26"/>
        <v>7.7200000000000005E-2</v>
      </c>
      <c r="AF22" s="107">
        <f t="shared" si="17"/>
        <v>0.64766839378238339</v>
      </c>
      <c r="AG22" s="109">
        <f t="shared" si="18"/>
        <v>6.7628571428571427E-2</v>
      </c>
      <c r="AK22" s="95"/>
    </row>
    <row r="23" spans="1:38" s="98" customFormat="1">
      <c r="A23" s="98">
        <v>2018</v>
      </c>
      <c r="B23" s="63">
        <v>6</v>
      </c>
      <c r="C23" s="99">
        <f t="shared" si="3"/>
        <v>43257</v>
      </c>
      <c r="D23" s="104">
        <v>9.64694406585377E-2</v>
      </c>
      <c r="E23" s="107">
        <f t="shared" ref="E23:E24" si="27">0.05/D23</f>
        <v>0.51829884840920271</v>
      </c>
      <c r="F23" s="104">
        <v>8.8462952578367698E-2</v>
      </c>
      <c r="G23" s="107">
        <f>0.05/F23</f>
        <v>0.56520835607093178</v>
      </c>
      <c r="H23" s="104">
        <v>7.7248624841622981E-2</v>
      </c>
      <c r="I23" s="107">
        <f t="shared" ref="I23:I28" si="28">0.05/H23</f>
        <v>0.6472607130872714</v>
      </c>
      <c r="J23" s="105">
        <v>6.8222970265658392E-2</v>
      </c>
      <c r="K23" s="107">
        <f t="shared" ref="K23:K28" si="29">0.05/J23</f>
        <v>0.73289098679376408</v>
      </c>
      <c r="L23" s="105">
        <v>0.11011018880036452</v>
      </c>
      <c r="M23" s="107">
        <f t="shared" ref="M23:M28" si="30">0.05/L23</f>
        <v>0.454090584574808</v>
      </c>
      <c r="N23" s="104">
        <v>0.10285365342464708</v>
      </c>
      <c r="O23" s="107">
        <f t="shared" ref="O23:O28" si="31">0.05/N23</f>
        <v>0.48612760300859059</v>
      </c>
      <c r="P23" s="110">
        <v>7.3869467317830714E-2</v>
      </c>
      <c r="Q23" s="107">
        <f t="shared" ref="Q23:Q28" si="32">0.05/P23</f>
        <v>0.67686964337877298</v>
      </c>
      <c r="R23" s="108">
        <f>AVERAGE(P23,N23,L23,J23,H23,F23,D23)</f>
        <v>8.817675684100415E-2</v>
      </c>
      <c r="S23" s="110">
        <v>7.2766390029929545E-2</v>
      </c>
      <c r="T23" s="107">
        <f t="shared" ref="T23:T28" si="33">0.05/S23</f>
        <v>0.68713041803275521</v>
      </c>
      <c r="U23" s="104">
        <v>6.9764831070616873E-2</v>
      </c>
      <c r="V23" s="107">
        <f t="shared" ref="V23:V28" si="34">0.05/U23</f>
        <v>0.71669348628378893</v>
      </c>
      <c r="W23" s="104">
        <v>5.8947331454876253E-2</v>
      </c>
      <c r="X23" s="107">
        <f t="shared" ref="X23:X28" si="35">0.05/W23</f>
        <v>0.84821481763385054</v>
      </c>
      <c r="Y23" s="104">
        <v>9.178442143258668E-2</v>
      </c>
      <c r="Z23" s="107">
        <f t="shared" ref="Z23:Z28" si="36">0.05/Y23</f>
        <v>0.54475475488750269</v>
      </c>
      <c r="AA23" s="104">
        <v>6.5027367599599262E-2</v>
      </c>
      <c r="AB23" s="107">
        <f t="shared" ref="AB23:AB28" si="37">0.05/AA23</f>
        <v>0.76890702862017946</v>
      </c>
      <c r="AC23" s="104">
        <v>7.2864285954053892E-2</v>
      </c>
      <c r="AD23" s="107">
        <f t="shared" ref="AD23:AD28" si="38">0.05/AC23</f>
        <v>0.68620723232680214</v>
      </c>
      <c r="AE23" s="104">
        <v>8.3783177776923318E-2</v>
      </c>
      <c r="AF23" s="107">
        <f t="shared" ref="AF23:AF24" si="39">0.05/AE23</f>
        <v>0.59677851003846349</v>
      </c>
      <c r="AG23" s="108">
        <f t="shared" ref="AG23:AG28" si="40">AVERAGE(S23,U23,W23,Y23,AA23,AC23,AE23)</f>
        <v>7.356254361694084E-2</v>
      </c>
      <c r="AI23" s="53"/>
      <c r="AK23" s="100"/>
    </row>
    <row r="24" spans="1:38" s="98" customFormat="1">
      <c r="A24" s="98">
        <v>2018</v>
      </c>
      <c r="B24" s="64">
        <v>7</v>
      </c>
      <c r="C24" s="99">
        <f t="shared" si="3"/>
        <v>43288</v>
      </c>
      <c r="D24" s="105">
        <f>AVERAGE(D25,D23)</f>
        <v>0.1029908825325714</v>
      </c>
      <c r="E24" s="107">
        <f t="shared" si="27"/>
        <v>0.4854798674454241</v>
      </c>
      <c r="F24" s="105">
        <f>AVERAGE(F25,F23)</f>
        <v>0.10364031710064633</v>
      </c>
      <c r="G24" s="107">
        <f t="shared" ref="G24" si="41">0.05/F24</f>
        <v>0.48243773657547201</v>
      </c>
      <c r="H24" s="105">
        <f>AVERAGE(H25,H23)</f>
        <v>9.4440722445210776E-2</v>
      </c>
      <c r="I24" s="107">
        <f t="shared" si="28"/>
        <v>0.52943262933007751</v>
      </c>
      <c r="J24" s="105">
        <f>AVERAGE(J25,J23)</f>
        <v>7.7577275444040444E-2</v>
      </c>
      <c r="K24" s="107">
        <f t="shared" si="29"/>
        <v>0.64451863917374852</v>
      </c>
      <c r="L24" s="105">
        <f>AVERAGE(L25,L23)</f>
        <v>0.11915070257909799</v>
      </c>
      <c r="M24" s="107">
        <f t="shared" si="30"/>
        <v>0.41963663593848799</v>
      </c>
      <c r="N24" s="105">
        <f>AVERAGE(N25,N23)</f>
        <v>9.9990197644009848E-2</v>
      </c>
      <c r="O24" s="107">
        <f t="shared" si="31"/>
        <v>0.50004901658473089</v>
      </c>
      <c r="P24" s="105">
        <f>AVERAGE(P25,P23)</f>
        <v>8.5235883365268605E-2</v>
      </c>
      <c r="Q24" s="107">
        <f t="shared" si="32"/>
        <v>0.58660740084936691</v>
      </c>
      <c r="R24" s="108">
        <f t="shared" si="21"/>
        <v>9.7575140158692189E-2</v>
      </c>
      <c r="S24" s="105">
        <f>AVERAGE(S25,S23)</f>
        <v>8.6806588505013729E-2</v>
      </c>
      <c r="T24" s="107">
        <f t="shared" si="33"/>
        <v>0.57599314592477191</v>
      </c>
      <c r="U24" s="105">
        <f>AVERAGE(U25,U23)</f>
        <v>7.7010003526569865E-2</v>
      </c>
      <c r="V24" s="107">
        <f t="shared" si="34"/>
        <v>0.64926629931589452</v>
      </c>
      <c r="W24" s="105">
        <f>AVERAGE(W25,W23)</f>
        <v>5.6086497886492365E-2</v>
      </c>
      <c r="X24" s="107">
        <f t="shared" si="35"/>
        <v>0.89148015804427305</v>
      </c>
      <c r="Y24" s="105">
        <f>AVERAGE(Y25,Y23)</f>
        <v>9.3519451873540549E-2</v>
      </c>
      <c r="Z24" s="107">
        <f t="shared" si="36"/>
        <v>0.53464812932833816</v>
      </c>
      <c r="AA24" s="105">
        <f>AVERAGE(AA25,AA23)</f>
        <v>6.7035982185650642E-2</v>
      </c>
      <c r="AB24" s="107">
        <f t="shared" si="37"/>
        <v>0.74586809008823218</v>
      </c>
      <c r="AC24" s="105">
        <f>AVERAGE(AC25,AC23)</f>
        <v>7.7952251796266747E-2</v>
      </c>
      <c r="AD24" s="107">
        <f t="shared" si="38"/>
        <v>0.6414182893738366</v>
      </c>
      <c r="AE24" s="105">
        <f>AVERAGE(AE25,AE23)</f>
        <v>8.7961235967230378E-2</v>
      </c>
      <c r="AF24" s="107">
        <f t="shared" si="39"/>
        <v>0.5684322127832232</v>
      </c>
      <c r="AG24" s="108">
        <f t="shared" si="40"/>
        <v>7.8053144534394908E-2</v>
      </c>
      <c r="AK24" s="100"/>
    </row>
    <row r="25" spans="1:38" s="101" customFormat="1">
      <c r="A25" s="101">
        <v>2018</v>
      </c>
      <c r="B25" s="74">
        <v>8</v>
      </c>
      <c r="C25" s="102">
        <f t="shared" si="3"/>
        <v>43320</v>
      </c>
      <c r="D25" s="106">
        <v>0.10951232440660509</v>
      </c>
      <c r="E25" s="111">
        <f>0.05/D25</f>
        <v>0.4565696168986102</v>
      </c>
      <c r="F25" s="106">
        <v>0.11881768162292497</v>
      </c>
      <c r="G25" s="111">
        <f>0.05/F25</f>
        <v>0.42081278911566378</v>
      </c>
      <c r="H25" s="106">
        <v>0.11163282004879857</v>
      </c>
      <c r="I25" s="111">
        <f t="shared" si="28"/>
        <v>0.447896953406205</v>
      </c>
      <c r="J25" s="106">
        <v>8.6931580622422483E-2</v>
      </c>
      <c r="K25" s="111">
        <f t="shared" si="29"/>
        <v>0.57516497045152515</v>
      </c>
      <c r="L25" s="106">
        <v>0.12819121635783146</v>
      </c>
      <c r="M25" s="111">
        <f t="shared" si="30"/>
        <v>0.39004232443220282</v>
      </c>
      <c r="N25" s="106">
        <v>9.7126741863372626E-2</v>
      </c>
      <c r="O25" s="111">
        <f t="shared" si="31"/>
        <v>0.51479128240844918</v>
      </c>
      <c r="P25" s="112">
        <v>9.6602299412706483E-2</v>
      </c>
      <c r="Q25" s="111">
        <f t="shared" si="32"/>
        <v>0.51758602335529191</v>
      </c>
      <c r="R25" s="108">
        <f>AVERAGE(P25,N25,L25,J25,H25,F25,D25)</f>
        <v>0.10697352347638023</v>
      </c>
      <c r="S25" s="106">
        <v>0.10084678698009791</v>
      </c>
      <c r="T25" s="111">
        <f t="shared" si="33"/>
        <v>0.49580161646466225</v>
      </c>
      <c r="U25" s="106">
        <v>8.4255175982522856E-2</v>
      </c>
      <c r="V25" s="111">
        <f t="shared" si="34"/>
        <v>0.59343535179810858</v>
      </c>
      <c r="W25" s="106">
        <v>5.3225664318108476E-2</v>
      </c>
      <c r="X25" s="111">
        <f t="shared" si="35"/>
        <v>0.93939644794605159</v>
      </c>
      <c r="Y25" s="106">
        <v>9.5254482314494418E-2</v>
      </c>
      <c r="Z25" s="111">
        <f t="shared" si="36"/>
        <v>0.52490968178189068</v>
      </c>
      <c r="AA25" s="106">
        <v>6.9044596771702021E-2</v>
      </c>
      <c r="AB25" s="111">
        <f t="shared" si="37"/>
        <v>0.72416962858551359</v>
      </c>
      <c r="AC25" s="106">
        <v>8.3040217638479602E-2</v>
      </c>
      <c r="AD25" s="111">
        <f t="shared" si="38"/>
        <v>0.60211788241786524</v>
      </c>
      <c r="AE25" s="106">
        <v>9.2139294157537438E-2</v>
      </c>
      <c r="AF25" s="111">
        <v>9.2139294157537438E-2</v>
      </c>
      <c r="AG25" s="108">
        <f t="shared" si="40"/>
        <v>8.2543745451848949E-2</v>
      </c>
      <c r="AI25" s="103"/>
      <c r="AK25" s="100"/>
    </row>
    <row r="26" spans="1:38" s="93" customFormat="1">
      <c r="A26" s="93">
        <v>2018</v>
      </c>
      <c r="B26" s="62">
        <v>9</v>
      </c>
      <c r="C26" s="99">
        <f t="shared" si="3"/>
        <v>43352</v>
      </c>
      <c r="D26" s="104">
        <f>0.0001*(B26^3)-0.004*(B26^2)+0.0475*B26-0.0649</f>
        <v>0.1115</v>
      </c>
      <c r="E26" s="111">
        <f t="shared" ref="E26:E28" si="42">0.05/D26</f>
        <v>0.44843049327354262</v>
      </c>
      <c r="F26" s="104">
        <f>0.0005*(B26^3)-0.0166*(B26^2)+0.172*B26-0.454</f>
        <v>0.11389999999999983</v>
      </c>
      <c r="G26" s="111">
        <f t="shared" ref="G26:G28" si="43">0.05/F26</f>
        <v>0.43898156277436412</v>
      </c>
      <c r="H26" s="104">
        <f>0.0005*(B26^3)-0.0176*(B26^2)+0.1831*B26-0.5038</f>
        <v>8.3000000000000185E-2</v>
      </c>
      <c r="I26" s="111">
        <f t="shared" si="28"/>
        <v>0.60240963855421559</v>
      </c>
      <c r="J26" s="104">
        <f>AVERAGE(J25,J24)</f>
        <v>8.2254428033231464E-2</v>
      </c>
      <c r="K26" s="111">
        <f t="shared" si="29"/>
        <v>0.6078700101081439</v>
      </c>
      <c r="L26" s="104">
        <f>0.00005*(B26^3)-0.0031*(B26^2)+0.0446*B26-0.0565</f>
        <v>0.13025</v>
      </c>
      <c r="M26" s="111">
        <f t="shared" si="30"/>
        <v>0.38387715930902111</v>
      </c>
      <c r="N26" s="104">
        <f>-0.0021*B26 + 0.1155</f>
        <v>9.6600000000000005E-2</v>
      </c>
      <c r="O26" s="111">
        <f t="shared" si="31"/>
        <v>0.51759834368530022</v>
      </c>
      <c r="P26" s="104">
        <f>P25*0.97</f>
        <v>9.3704230430325289E-2</v>
      </c>
      <c r="Q26" s="111">
        <f t="shared" si="32"/>
        <v>0.53359383851061026</v>
      </c>
      <c r="R26" s="109">
        <f t="shared" si="21"/>
        <v>0.10160123692336524</v>
      </c>
      <c r="S26" s="104">
        <f>S25*0.98</f>
        <v>9.8829851240495953E-2</v>
      </c>
      <c r="T26" s="111">
        <f t="shared" si="33"/>
        <v>0.50592001680067578</v>
      </c>
      <c r="U26" s="104">
        <f>U25*0.97</f>
        <v>8.1727520703047174E-2</v>
      </c>
      <c r="V26" s="111">
        <f t="shared" si="34"/>
        <v>0.61178902247227684</v>
      </c>
      <c r="W26" s="104">
        <f>W25*0.92</f>
        <v>4.8967611172659797E-2</v>
      </c>
      <c r="X26" s="111">
        <f t="shared" si="35"/>
        <v>1.0210830955935344</v>
      </c>
      <c r="Y26" s="104">
        <f>Y25*0.97</f>
        <v>9.2396847845059582E-2</v>
      </c>
      <c r="Z26" s="111">
        <f t="shared" si="36"/>
        <v>0.54114400183700073</v>
      </c>
      <c r="AA26" s="104">
        <f>AA25*0.93</f>
        <v>6.4211474997682885E-2</v>
      </c>
      <c r="AB26" s="111">
        <f t="shared" si="37"/>
        <v>0.77867701998442318</v>
      </c>
      <c r="AC26" s="104">
        <f>AC25*0.98</f>
        <v>8.1379413285710009E-2</v>
      </c>
      <c r="AD26" s="111">
        <f t="shared" si="38"/>
        <v>0.61440600246720944</v>
      </c>
      <c r="AE26" s="104">
        <f>AE25*0.98</f>
        <v>9.0296508274386691E-2</v>
      </c>
      <c r="AF26" s="111">
        <v>9.2139294157537438E-2</v>
      </c>
      <c r="AG26" s="109">
        <f t="shared" si="40"/>
        <v>7.9687032502720287E-2</v>
      </c>
      <c r="AK26" s="95"/>
      <c r="AL26" s="94"/>
    </row>
    <row r="27" spans="1:38" s="93" customFormat="1">
      <c r="A27" s="93">
        <v>2018</v>
      </c>
      <c r="B27" s="62">
        <v>10</v>
      </c>
      <c r="C27" s="99">
        <f t="shared" si="3"/>
        <v>43383</v>
      </c>
      <c r="D27" s="104">
        <f t="shared" ref="D27:D28" si="44">0.0001*(B27^3)-0.004*(B27^2)+0.0475*B27-0.0649</f>
        <v>0.11009999999999993</v>
      </c>
      <c r="E27" s="111">
        <f t="shared" si="42"/>
        <v>0.4541326067211629</v>
      </c>
      <c r="F27" s="104">
        <f t="shared" ref="F27:F28" si="45">0.0005*(B27^3)-0.0166*(B27^2)+0.172*B27-0.454</f>
        <v>0.10599999999999982</v>
      </c>
      <c r="G27" s="111">
        <f t="shared" si="43"/>
        <v>0.47169811320754801</v>
      </c>
      <c r="H27" s="104">
        <f t="shared" ref="H27:H28" si="46">0.0005*(B27^3)-0.0176*(B27^2)+0.1831*B27-0.5038</f>
        <v>6.7200000000000149E-2</v>
      </c>
      <c r="I27" s="111">
        <f t="shared" si="28"/>
        <v>0.7440476190476174</v>
      </c>
      <c r="J27" s="104">
        <f>J24*0.98</f>
        <v>7.6025729935159631E-2</v>
      </c>
      <c r="K27" s="111">
        <f t="shared" si="29"/>
        <v>0.65767208078953932</v>
      </c>
      <c r="L27" s="104">
        <f t="shared" ref="L27:L28" si="47">0.00005*(B27^3)-0.0031*(B27^2)+0.0446*B27-0.0565</f>
        <v>0.1295</v>
      </c>
      <c r="M27" s="111">
        <f t="shared" si="30"/>
        <v>0.38610038610038611</v>
      </c>
      <c r="N27" s="104">
        <f t="shared" ref="N27:N28" si="48">-0.0021*B27 + 0.1155</f>
        <v>9.4500000000000001E-2</v>
      </c>
      <c r="O27" s="111">
        <f t="shared" si="31"/>
        <v>0.52910052910052907</v>
      </c>
      <c r="P27" s="104">
        <f>P24*1.02</f>
        <v>8.6940601032573978E-2</v>
      </c>
      <c r="Q27" s="111">
        <f t="shared" si="32"/>
        <v>0.57510529495035967</v>
      </c>
      <c r="R27" s="109">
        <f t="shared" si="21"/>
        <v>9.5752332995390516E-2</v>
      </c>
      <c r="S27" s="104">
        <f>S24*1.02</f>
        <v>8.8542720275114006E-2</v>
      </c>
      <c r="T27" s="111">
        <f t="shared" si="33"/>
        <v>0.56469916267134501</v>
      </c>
      <c r="U27" s="104">
        <f t="shared" ref="U27:U28" si="49">U26*0.97</f>
        <v>7.9275695081955755E-2</v>
      </c>
      <c r="V27" s="111">
        <f t="shared" si="34"/>
        <v>0.63071033244564634</v>
      </c>
      <c r="W27" s="104">
        <f>W26*0.92</f>
        <v>4.5050202278847012E-2</v>
      </c>
      <c r="X27" s="111">
        <f t="shared" si="35"/>
        <v>1.1098729299929722</v>
      </c>
      <c r="Y27" s="104">
        <f>Y26*0.93</f>
        <v>8.5929068495905411E-2</v>
      </c>
      <c r="Z27" s="111">
        <f t="shared" si="36"/>
        <v>0.58187527079247392</v>
      </c>
      <c r="AA27" s="104">
        <f>AA26*0.93</f>
        <v>5.9716671747845083E-2</v>
      </c>
      <c r="AB27" s="111">
        <f t="shared" si="37"/>
        <v>0.83728711826282054</v>
      </c>
      <c r="AC27" s="104">
        <f>AC26*0.92</f>
        <v>7.4869060222853209E-2</v>
      </c>
      <c r="AD27" s="111">
        <f t="shared" si="38"/>
        <v>0.66783261137740157</v>
      </c>
      <c r="AE27" s="104">
        <f>AE26*0.93</f>
        <v>8.3975752695179623E-2</v>
      </c>
      <c r="AF27" s="111">
        <v>9.2139294157537438E-2</v>
      </c>
      <c r="AG27" s="109">
        <f t="shared" si="40"/>
        <v>7.3908452971100019E-2</v>
      </c>
      <c r="AK27" s="95"/>
      <c r="AL27" s="94"/>
    </row>
    <row r="28" spans="1:38" s="93" customFormat="1">
      <c r="A28" s="93">
        <v>2018</v>
      </c>
      <c r="B28" s="62">
        <v>11</v>
      </c>
      <c r="C28" s="99">
        <f t="shared" si="3"/>
        <v>43415</v>
      </c>
      <c r="D28" s="104">
        <f t="shared" si="44"/>
        <v>0.10669999999999998</v>
      </c>
      <c r="E28" s="111">
        <f t="shared" si="42"/>
        <v>0.46860356138706666</v>
      </c>
      <c r="F28" s="104">
        <f t="shared" si="45"/>
        <v>9.4899999999999929E-2</v>
      </c>
      <c r="G28" s="111">
        <f t="shared" si="43"/>
        <v>0.52687038988408896</v>
      </c>
      <c r="H28" s="104">
        <f t="shared" si="46"/>
        <v>4.6200000000000019E-2</v>
      </c>
      <c r="I28" s="111">
        <f t="shared" si="28"/>
        <v>1.0822510822510818</v>
      </c>
      <c r="J28" s="104">
        <f>AVERAGE(J27,J29)</f>
        <v>7.1059731925556702E-2</v>
      </c>
      <c r="K28" s="111">
        <f t="shared" si="29"/>
        <v>0.70363338905332196</v>
      </c>
      <c r="L28" s="104">
        <f t="shared" si="47"/>
        <v>0.12555000000000005</v>
      </c>
      <c r="M28" s="111">
        <f t="shared" si="30"/>
        <v>0.39824771007566695</v>
      </c>
      <c r="N28" s="104">
        <f t="shared" si="48"/>
        <v>9.240000000000001E-2</v>
      </c>
      <c r="O28" s="111">
        <f t="shared" si="31"/>
        <v>0.54112554112554112</v>
      </c>
      <c r="P28" s="104">
        <f>AVERAGE(P27,P29)</f>
        <v>8.055887062739775E-2</v>
      </c>
      <c r="Q28" s="111">
        <f t="shared" si="32"/>
        <v>0.62066411322051485</v>
      </c>
      <c r="R28" s="109">
        <f t="shared" si="21"/>
        <v>8.819551465042208E-2</v>
      </c>
      <c r="S28" s="104">
        <f>AVERAGE(S27,S29)</f>
        <v>8.1835424737271747E-2</v>
      </c>
      <c r="T28" s="111">
        <f t="shared" si="33"/>
        <v>0.61098234854309519</v>
      </c>
      <c r="U28" s="104">
        <f t="shared" si="49"/>
        <v>7.689742422949708E-2</v>
      </c>
      <c r="V28" s="111">
        <f t="shared" si="34"/>
        <v>0.65021683757283122</v>
      </c>
      <c r="W28" s="104">
        <f>AVERAGE(W27,W29)</f>
        <v>3.9969805190082169E-2</v>
      </c>
      <c r="X28" s="111">
        <f t="shared" si="35"/>
        <v>1.2509443006343863</v>
      </c>
      <c r="Y28" s="104">
        <f>AVERAGE(Y27,Y29)</f>
        <v>8.225226636885688E-2</v>
      </c>
      <c r="Z28" s="111">
        <f t="shared" si="36"/>
        <v>0.60788598548491146</v>
      </c>
      <c r="AA28" s="104">
        <f>AVERAGE(AA27,AA29)</f>
        <v>5.7258705779727123E-2</v>
      </c>
      <c r="AB28" s="111">
        <f t="shared" si="37"/>
        <v>0.87322965685513065</v>
      </c>
      <c r="AC28" s="104">
        <f>AVERAGE(AC27,AC29)</f>
        <v>6.7390682893477605E-2</v>
      </c>
      <c r="AD28" s="111">
        <f t="shared" si="38"/>
        <v>0.74194232575196595</v>
      </c>
      <c r="AE28" s="104">
        <f>AVERAGE(AE27,AE29)</f>
        <v>7.6639537204605146E-2</v>
      </c>
      <c r="AF28" s="111">
        <v>9.2139294157537438E-2</v>
      </c>
      <c r="AG28" s="109">
        <f t="shared" si="40"/>
        <v>6.8891978057645395E-2</v>
      </c>
      <c r="AK28" s="95"/>
    </row>
    <row r="29" spans="1:38" s="53" customFormat="1">
      <c r="A29" s="53">
        <v>2018</v>
      </c>
      <c r="B29" s="53">
        <v>12</v>
      </c>
      <c r="C29" s="99">
        <f t="shared" si="3"/>
        <v>43446</v>
      </c>
      <c r="D29" s="104">
        <v>9.3672414254984848E-2</v>
      </c>
      <c r="E29" s="107">
        <f>0.05/D29</f>
        <v>0.53377507559371162</v>
      </c>
      <c r="F29" s="104">
        <v>7.5128129199429489E-2</v>
      </c>
      <c r="G29" s="107">
        <f>0.05/F29</f>
        <v>0.66552968286051362</v>
      </c>
      <c r="H29" s="104">
        <v>7.3325207494023312E-2</v>
      </c>
      <c r="I29" s="107">
        <f>0.05/H29</f>
        <v>0.6818937403494626</v>
      </c>
      <c r="J29" s="104">
        <v>6.6093733915953787E-2</v>
      </c>
      <c r="K29" s="107">
        <f>0.05/J29</f>
        <v>0.75650136612921703</v>
      </c>
      <c r="L29" s="104">
        <v>0.11839812766239204</v>
      </c>
      <c r="M29" s="107">
        <f>0.05/L29</f>
        <v>0.42230397546972354</v>
      </c>
      <c r="N29" s="104">
        <v>9.3910161499286882E-2</v>
      </c>
      <c r="O29" s="107">
        <f>0.05/N29</f>
        <v>0.53242374628841083</v>
      </c>
      <c r="P29" s="104">
        <v>7.4177140222221508E-2</v>
      </c>
      <c r="Q29" s="107">
        <f>0.05/P29</f>
        <v>0.67406211469205879</v>
      </c>
      <c r="R29" s="108">
        <f t="shared" si="21"/>
        <v>8.4957844892613127E-2</v>
      </c>
      <c r="S29" s="104">
        <v>7.5128129199429489E-2</v>
      </c>
      <c r="T29" s="107">
        <f>0.05/S29</f>
        <v>0.66552968286051362</v>
      </c>
      <c r="U29" s="104">
        <v>5.8947331454876267E-2</v>
      </c>
      <c r="V29" s="107">
        <f>0.05/U29</f>
        <v>0.84821481763385032</v>
      </c>
      <c r="W29" s="104">
        <v>3.4889408101317333E-2</v>
      </c>
      <c r="X29" s="107">
        <f>0.05/W29</f>
        <v>1.4330996918836274</v>
      </c>
      <c r="Y29" s="104">
        <v>7.8575464241808363E-2</v>
      </c>
      <c r="Z29" s="107">
        <f>0.05/Y29</f>
        <v>0.63633095244757143</v>
      </c>
      <c r="AA29" s="104">
        <v>5.480073981160917E-2</v>
      </c>
      <c r="AB29" s="107">
        <f>0.05/AA29</f>
        <v>0.91239644157883859</v>
      </c>
      <c r="AC29" s="104">
        <v>5.9912305564102E-2</v>
      </c>
      <c r="AD29" s="107">
        <f>0.05/AC29</f>
        <v>0.83455309438064407</v>
      </c>
      <c r="AE29" s="104">
        <v>6.9303321714030669E-2</v>
      </c>
      <c r="AF29" s="107">
        <f>0.05/AE29</f>
        <v>0.72146613991053987</v>
      </c>
      <c r="AG29" s="108">
        <f>AVERAGE(S29,U29,W29,Y29,AA29,AC29,AE29)</f>
        <v>6.1650957155310472E-2</v>
      </c>
      <c r="AK29" s="100"/>
      <c r="AL29" s="98"/>
    </row>
    <row r="30" spans="1:38" s="93" customFormat="1">
      <c r="A30" s="93">
        <v>2019</v>
      </c>
      <c r="B30" s="54">
        <v>1</v>
      </c>
      <c r="C30" s="99">
        <f t="shared" si="3"/>
        <v>43466</v>
      </c>
      <c r="D30" s="104">
        <f>D29*0.95</f>
        <v>8.89887935422356E-2</v>
      </c>
      <c r="E30" s="107">
        <f>0.05/D30</f>
        <v>0.56186850062495963</v>
      </c>
      <c r="F30" s="104">
        <f>F29*0.98</f>
        <v>7.3625566615440896E-2</v>
      </c>
      <c r="G30" s="107">
        <f t="shared" ref="G30:G31" si="50">0.05/F30</f>
        <v>0.67911192128623843</v>
      </c>
      <c r="H30" s="104">
        <f>H29*0.98</f>
        <v>7.1858703344142849E-2</v>
      </c>
      <c r="I30" s="107">
        <f t="shared" ref="I30:I31" si="51">0.05/H30</f>
        <v>0.69580993913210465</v>
      </c>
      <c r="J30" s="104">
        <f>J29*1.08</f>
        <v>7.1381232629230087E-2</v>
      </c>
      <c r="K30" s="107">
        <f t="shared" ref="K30:K31" si="52">0.05/J30</f>
        <v>0.70046422789742313</v>
      </c>
      <c r="L30" s="104">
        <f>L29*0.95</f>
        <v>0.11247822127927243</v>
      </c>
      <c r="M30" s="107">
        <f t="shared" ref="M30:M31" si="53">0.05/L30</f>
        <v>0.44453050049444587</v>
      </c>
      <c r="N30" s="104">
        <f>N29*0.95</f>
        <v>8.9214653424322526E-2</v>
      </c>
      <c r="O30" s="107">
        <f t="shared" ref="O30:O31" si="54">0.05/N30</f>
        <v>0.56044604872464299</v>
      </c>
      <c r="P30" s="104">
        <f>P29*1.03</f>
        <v>7.6402454428888156E-2</v>
      </c>
      <c r="Q30" s="107">
        <f t="shared" ref="Q30:Q31" si="55">0.05/P30</f>
        <v>0.65442923756510563</v>
      </c>
      <c r="R30" s="109">
        <f t="shared" si="21"/>
        <v>8.3421375037647502E-2</v>
      </c>
      <c r="S30" s="104">
        <f>S29*0.92</f>
        <v>6.9117878863475132E-2</v>
      </c>
      <c r="T30" s="107">
        <f t="shared" ref="T30:T31" si="56">0.05/S30</f>
        <v>0.72340182919621043</v>
      </c>
      <c r="U30" s="104">
        <f>U29*0.99</f>
        <v>5.8357858140327505E-2</v>
      </c>
      <c r="V30" s="107">
        <f t="shared" ref="V30:V31" si="57">0.05/U30</f>
        <v>0.85678264407459626</v>
      </c>
      <c r="W30" s="104">
        <f>W29*0.98</f>
        <v>3.4191619939290985E-2</v>
      </c>
      <c r="X30" s="107">
        <f t="shared" ref="X30:X31" si="58">0.05/W30</f>
        <v>1.4623466243710483</v>
      </c>
      <c r="Y30" s="104">
        <f>Y29*0.99</f>
        <v>7.7789709599390272E-2</v>
      </c>
      <c r="Z30" s="107">
        <f t="shared" ref="Z30:Z31" si="59">0.05/Y30</f>
        <v>0.6427585378258297</v>
      </c>
      <c r="AA30" s="104">
        <f>AVERAGE(AA29,AA32)</f>
        <v>5.5851372854443707E-2</v>
      </c>
      <c r="AB30" s="107">
        <f t="shared" ref="AB30:AB31" si="60">0.05/AA30</f>
        <v>0.89523314190157544</v>
      </c>
      <c r="AC30" s="104">
        <f>AVERAGE(AC29,AC32)</f>
        <v>6.4637532044604082E-2</v>
      </c>
      <c r="AD30" s="107">
        <f t="shared" ref="AD30:AD31" si="61">0.05/AC30</f>
        <v>0.77354438541212811</v>
      </c>
      <c r="AE30" s="104">
        <f>AVERAGE(AE29,AE32)</f>
        <v>6.682900223178774E-2</v>
      </c>
      <c r="AF30" s="107">
        <f t="shared" ref="AF30:AF31" si="62">0.05/AE30</f>
        <v>0.74817816113102331</v>
      </c>
      <c r="AG30" s="109">
        <f t="shared" ref="AG30:AG43" si="63">AVERAGE(S30,U30,W30,Y30,AA30,AC30,AE30)</f>
        <v>6.0967853381902769E-2</v>
      </c>
      <c r="AJ30" s="96"/>
      <c r="AK30" s="95"/>
      <c r="AL30" s="94"/>
    </row>
    <row r="31" spans="1:38" s="93" customFormat="1">
      <c r="A31" s="93">
        <v>2019</v>
      </c>
      <c r="B31" s="54">
        <v>2</v>
      </c>
      <c r="C31" s="99">
        <f t="shared" si="3"/>
        <v>43498</v>
      </c>
      <c r="D31" s="104">
        <f>D30*0.95</f>
        <v>8.4539353865123817E-2</v>
      </c>
      <c r="E31" s="107">
        <f>0.05/D31</f>
        <v>0.59144052697364169</v>
      </c>
      <c r="F31" s="104">
        <f>F30*0.98</f>
        <v>7.2153055283132081E-2</v>
      </c>
      <c r="G31" s="107">
        <f t="shared" si="50"/>
        <v>0.69297134825126372</v>
      </c>
      <c r="H31" s="104">
        <f>AVERAGE(H30,H32)</f>
        <v>7.319710628715978E-2</v>
      </c>
      <c r="I31" s="107">
        <f t="shared" si="51"/>
        <v>0.68308711281351553</v>
      </c>
      <c r="J31" s="104">
        <f>AVERAGE(J30,J32)</f>
        <v>7.2622727761277067E-2</v>
      </c>
      <c r="K31" s="107">
        <f t="shared" si="52"/>
        <v>0.68848969931779869</v>
      </c>
      <c r="L31" s="104">
        <f>AVERAGE(L30,L32)</f>
        <v>0.10008512172758043</v>
      </c>
      <c r="M31" s="107">
        <f t="shared" si="53"/>
        <v>0.49957475333940188</v>
      </c>
      <c r="N31" s="104">
        <f>AVERAGE(N30,N32)</f>
        <v>8.5063691427299859E-2</v>
      </c>
      <c r="O31" s="107">
        <f t="shared" si="54"/>
        <v>0.5877948530217828</v>
      </c>
      <c r="P31" s="104">
        <f>AVERAGE(P30,P32)</f>
        <v>7.7235478817526293E-2</v>
      </c>
      <c r="Q31" s="107">
        <f t="shared" si="55"/>
        <v>0.64737088143297672</v>
      </c>
      <c r="R31" s="109">
        <f t="shared" si="21"/>
        <v>8.0699505024157042E-2</v>
      </c>
      <c r="S31" s="104">
        <f>AVERAGE(S30,S32)</f>
        <v>6.3698884946401801E-2</v>
      </c>
      <c r="T31" s="107">
        <f t="shared" si="56"/>
        <v>0.78494309660320649</v>
      </c>
      <c r="U31" s="104">
        <f>AVERAGE(U30,U32)</f>
        <v>5.8215559422046752E-2</v>
      </c>
      <c r="V31" s="107">
        <f t="shared" si="57"/>
        <v>0.85887691360163343</v>
      </c>
      <c r="W31" s="104">
        <f>AVERAGE(W30,W32)</f>
        <v>3.7837508893492078E-2</v>
      </c>
      <c r="X31" s="107">
        <f t="shared" si="58"/>
        <v>1.3214400594062321</v>
      </c>
      <c r="Y31" s="104">
        <f>AVERAGE(Y30,Y32)</f>
        <v>7.3696855825901436E-2</v>
      </c>
      <c r="Z31" s="107">
        <f t="shared" si="59"/>
        <v>0.67845499566654566</v>
      </c>
      <c r="AA31" s="104">
        <f>AVERAGE(AA30,AA32)</f>
        <v>5.6376689375860975E-2</v>
      </c>
      <c r="AB31" s="107">
        <f t="shared" si="60"/>
        <v>0.8868913828311582</v>
      </c>
      <c r="AC31" s="104">
        <f>AVERAGE(AC30,AC32)</f>
        <v>6.7000145284855123E-2</v>
      </c>
      <c r="AD31" s="107">
        <f t="shared" si="61"/>
        <v>0.74626703848808107</v>
      </c>
      <c r="AE31" s="104">
        <f>AVERAGE(AE30,AE32)</f>
        <v>6.5591842490666269E-2</v>
      </c>
      <c r="AF31" s="107">
        <f t="shared" si="62"/>
        <v>0.76228991443737859</v>
      </c>
      <c r="AG31" s="109">
        <f t="shared" si="63"/>
        <v>6.0345355177032066E-2</v>
      </c>
      <c r="AI31" s="95"/>
      <c r="AJ31" s="96"/>
      <c r="AK31" s="95"/>
    </row>
    <row r="32" spans="1:38" s="53" customFormat="1">
      <c r="A32" s="53">
        <v>2019</v>
      </c>
      <c r="B32" s="53">
        <v>3</v>
      </c>
      <c r="C32" s="99">
        <f t="shared" si="3"/>
        <v>43527</v>
      </c>
      <c r="D32" s="104">
        <v>7.3180699565955798E-2</v>
      </c>
      <c r="E32" s="107">
        <f t="shared" ref="E32:E47" si="64">0.05/D32</f>
        <v>0.68324025728855386</v>
      </c>
      <c r="F32" s="104">
        <v>7.0653411396195603E-2</v>
      </c>
      <c r="G32" s="107">
        <f t="shared" ref="G32:G47" si="65">0.05/F32</f>
        <v>0.70767991257520935</v>
      </c>
      <c r="H32" s="104">
        <v>7.4535509230176725E-2</v>
      </c>
      <c r="I32" s="107">
        <f t="shared" ref="I32:I47" si="66">0.05/H32</f>
        <v>0.67082120342926177</v>
      </c>
      <c r="J32" s="104">
        <v>7.3864222893324047E-2</v>
      </c>
      <c r="K32" s="107">
        <f t="shared" ref="K32:K47" si="67">0.05/J32</f>
        <v>0.67691770171617249</v>
      </c>
      <c r="L32" s="104">
        <v>8.7692022175888423E-2</v>
      </c>
      <c r="M32" s="107">
        <f t="shared" ref="M32:M47" si="68">0.05/L32</f>
        <v>0.57017729503046943</v>
      </c>
      <c r="N32" s="104">
        <v>8.0912729430277205E-2</v>
      </c>
      <c r="O32" s="107">
        <f t="shared" ref="O32:O47" si="69">0.05/N32</f>
        <v>0.61794973858946611</v>
      </c>
      <c r="P32" s="104">
        <v>7.8068503206164416E-2</v>
      </c>
      <c r="Q32" s="107">
        <f t="shared" ref="Q32:Q47" si="70">0.05/P32</f>
        <v>0.64046315667099818</v>
      </c>
      <c r="R32" s="108">
        <f t="shared" si="21"/>
        <v>7.6986728271140309E-2</v>
      </c>
      <c r="S32" s="104">
        <v>5.8279891029328457E-2</v>
      </c>
      <c r="T32" s="107">
        <f t="shared" ref="T32:T47" si="71">0.05/S32</f>
        <v>0.85792885190602486</v>
      </c>
      <c r="U32" s="104">
        <v>5.8073260703765998E-2</v>
      </c>
      <c r="V32" s="107">
        <f t="shared" ref="V32:V47" si="72">0.05/U32</f>
        <v>0.86098144643628638</v>
      </c>
      <c r="W32" s="104">
        <v>4.1483397847693164E-2</v>
      </c>
      <c r="X32" s="107">
        <f t="shared" ref="X32:X47" si="73">0.05/W32</f>
        <v>1.205301460202842</v>
      </c>
      <c r="Y32" s="104">
        <v>6.9604002052412586E-2</v>
      </c>
      <c r="Z32" s="107">
        <f t="shared" ref="Z32:Z47" si="74">0.05/Y32</f>
        <v>0.71834949896055467</v>
      </c>
      <c r="AA32" s="104">
        <v>5.6902005897278236E-2</v>
      </c>
      <c r="AB32" s="107">
        <f t="shared" ref="AB32:AB47" si="75">0.05/AA32</f>
        <v>0.87870364518013633</v>
      </c>
      <c r="AC32" s="104">
        <v>6.9362758525106163E-2</v>
      </c>
      <c r="AD32" s="107">
        <f t="shared" ref="AD32:AD47" si="76">0.05/AC32</f>
        <v>0.72084791699716322</v>
      </c>
      <c r="AE32" s="104">
        <v>6.4354682749544811E-2</v>
      </c>
      <c r="AF32" s="107">
        <f t="shared" ref="AF32:AF47" si="77">0.05/AE32</f>
        <v>0.77694423876798091</v>
      </c>
      <c r="AG32" s="108">
        <f t="shared" si="63"/>
        <v>5.9722856972161342E-2</v>
      </c>
      <c r="AJ32" s="101"/>
      <c r="AK32" s="100"/>
      <c r="AL32" s="98"/>
    </row>
    <row r="33" spans="1:38" s="93" customFormat="1">
      <c r="A33" s="93">
        <v>2019</v>
      </c>
      <c r="B33" s="54">
        <v>4</v>
      </c>
      <c r="C33" s="99">
        <f t="shared" si="3"/>
        <v>43559</v>
      </c>
      <c r="D33" s="104">
        <f>AVERAGE(D32,D34)</f>
        <v>7.5636838376575644E-2</v>
      </c>
      <c r="E33" s="107">
        <f t="shared" si="64"/>
        <v>0.66105354313017872</v>
      </c>
      <c r="F33" s="104">
        <f>AVERAGE(F32,F34)</f>
        <v>7.8465935458402955E-2</v>
      </c>
      <c r="G33" s="107">
        <f t="shared" si="65"/>
        <v>0.637219192097779</v>
      </c>
      <c r="H33" s="104">
        <f>AVERAGE(H32,H34)</f>
        <v>7.6648460047620409E-2</v>
      </c>
      <c r="I33" s="107">
        <f t="shared" si="66"/>
        <v>0.65232882655353852</v>
      </c>
      <c r="J33" s="104">
        <f>AVERAGE(J32,J34)</f>
        <v>7.7385853949547306E-2</v>
      </c>
      <c r="K33" s="107">
        <f t="shared" si="67"/>
        <v>0.64611291919836067</v>
      </c>
      <c r="L33" s="104">
        <f>AVERAGE(L32,L34)</f>
        <v>9.4334959884326441E-2</v>
      </c>
      <c r="M33" s="107">
        <f t="shared" si="68"/>
        <v>0.53002619666463013</v>
      </c>
      <c r="N33" s="104">
        <f>AVERAGE(N32,N34)</f>
        <v>8.3250868689497173E-2</v>
      </c>
      <c r="O33" s="107">
        <f t="shared" si="69"/>
        <v>0.60059433357369807</v>
      </c>
      <c r="P33" s="104">
        <f>AVERAGE(P32,P34)</f>
        <v>7.9052228561692917E-2</v>
      </c>
      <c r="Q33" s="107">
        <f t="shared" si="70"/>
        <v>0.63249323782162126</v>
      </c>
      <c r="R33" s="109">
        <f t="shared" si="21"/>
        <v>8.0682163566808976E-2</v>
      </c>
      <c r="S33" s="104">
        <f>AVERAGE(S32,S34)</f>
        <v>5.9732945514664224E-2</v>
      </c>
      <c r="T33" s="107">
        <f t="shared" si="71"/>
        <v>0.83705900603420236</v>
      </c>
      <c r="U33" s="104">
        <f>AVERAGE(U32,U34)</f>
        <v>6.3416630351882997E-2</v>
      </c>
      <c r="V33" s="107">
        <f t="shared" si="72"/>
        <v>0.78843671955703931</v>
      </c>
      <c r="W33" s="104">
        <f>AVERAGE(W32,W34)</f>
        <v>4.4323698923846577E-2</v>
      </c>
      <c r="X33" s="107">
        <f t="shared" si="73"/>
        <v>1.1280646970801329</v>
      </c>
      <c r="Y33" s="104">
        <f>AVERAGE(Y32,Y34)</f>
        <v>7.3742001026206289E-2</v>
      </c>
      <c r="Z33" s="107">
        <f t="shared" si="74"/>
        <v>0.6780396423231192</v>
      </c>
      <c r="AA33" s="104">
        <f>AVERAGE(AA32,AA34)</f>
        <v>6.0991002948639114E-2</v>
      </c>
      <c r="AB33" s="107">
        <f t="shared" si="75"/>
        <v>0.81979304459225399</v>
      </c>
      <c r="AC33" s="104">
        <f>AVERAGE(AC32,AC34)</f>
        <v>6.9741379262553083E-2</v>
      </c>
      <c r="AD33" s="107">
        <f t="shared" si="76"/>
        <v>0.71693448751230804</v>
      </c>
      <c r="AE33" s="104">
        <f>AVERAGE(AE32,AE34)</f>
        <v>6.6379341374772416E-2</v>
      </c>
      <c r="AF33" s="107">
        <f t="shared" si="77"/>
        <v>0.75324640113109931</v>
      </c>
      <c r="AG33" s="109">
        <f t="shared" si="63"/>
        <v>6.2618142771794963E-2</v>
      </c>
      <c r="AJ33" s="96"/>
      <c r="AK33" s="95"/>
      <c r="AL33" s="94"/>
    </row>
    <row r="34" spans="1:38" s="93" customFormat="1">
      <c r="A34" s="93">
        <v>2019</v>
      </c>
      <c r="B34" s="53">
        <v>5</v>
      </c>
      <c r="C34" s="99">
        <f t="shared" si="3"/>
        <v>43590</v>
      </c>
      <c r="D34" s="104">
        <v>7.8092977187195489E-2</v>
      </c>
      <c r="E34" s="107">
        <f t="shared" si="64"/>
        <v>0.64026243845391839</v>
      </c>
      <c r="F34" s="104">
        <v>8.6278459520610307E-2</v>
      </c>
      <c r="G34" s="107">
        <f t="shared" si="65"/>
        <v>0.57951892370141289</v>
      </c>
      <c r="H34" s="104">
        <v>7.8761410865064094E-2</v>
      </c>
      <c r="I34" s="107">
        <f t="shared" si="66"/>
        <v>0.63482864832958852</v>
      </c>
      <c r="J34" s="104">
        <v>8.0907485005770552E-2</v>
      </c>
      <c r="K34" s="107">
        <f t="shared" si="67"/>
        <v>0.61798979410166888</v>
      </c>
      <c r="L34" s="104">
        <v>0.10097789759276446</v>
      </c>
      <c r="M34" s="107">
        <f t="shared" si="68"/>
        <v>0.49515786317562166</v>
      </c>
      <c r="N34" s="104">
        <v>8.5589007948717141E-2</v>
      </c>
      <c r="O34" s="107">
        <f t="shared" si="69"/>
        <v>0.58418716606645082</v>
      </c>
      <c r="P34" s="104">
        <v>8.0035953917221403E-2</v>
      </c>
      <c r="Q34" s="107">
        <f t="shared" si="70"/>
        <v>0.62471923620368641</v>
      </c>
      <c r="R34" s="109">
        <f t="shared" si="21"/>
        <v>8.4377598862477629E-2</v>
      </c>
      <c r="S34" s="104">
        <v>6.1185999999999997E-2</v>
      </c>
      <c r="T34" s="107">
        <f t="shared" si="71"/>
        <v>0.81718040074526865</v>
      </c>
      <c r="U34" s="104">
        <v>6.8760000000000002E-2</v>
      </c>
      <c r="V34" s="107">
        <f t="shared" si="72"/>
        <v>0.72716695753344973</v>
      </c>
      <c r="W34" s="104">
        <v>4.7163999999999998E-2</v>
      </c>
      <c r="X34" s="107">
        <f t="shared" si="73"/>
        <v>1.060130608090917</v>
      </c>
      <c r="Y34" s="104">
        <v>7.7880000000000005E-2</v>
      </c>
      <c r="Z34" s="107">
        <f t="shared" si="74"/>
        <v>0.64201335387776071</v>
      </c>
      <c r="AA34" s="104">
        <v>6.5079999999999999E-2</v>
      </c>
      <c r="AB34" s="107">
        <f t="shared" si="75"/>
        <v>0.76828518746158581</v>
      </c>
      <c r="AC34" s="104">
        <v>7.0120000000000002E-2</v>
      </c>
      <c r="AD34" s="107">
        <f t="shared" si="76"/>
        <v>0.71306332002281803</v>
      </c>
      <c r="AE34" s="104">
        <v>6.8404000000000006E-2</v>
      </c>
      <c r="AF34" s="107">
        <f t="shared" si="77"/>
        <v>0.73095140635050582</v>
      </c>
      <c r="AG34" s="109">
        <f t="shared" si="63"/>
        <v>6.551342857142857E-2</v>
      </c>
    </row>
    <row r="35" spans="1:38" s="93" customFormat="1">
      <c r="A35" s="93">
        <v>2019</v>
      </c>
      <c r="B35" s="54">
        <v>6</v>
      </c>
      <c r="C35" s="99">
        <f t="shared" si="3"/>
        <v>43622</v>
      </c>
      <c r="D35" s="104">
        <f>D34*1.09</f>
        <v>8.5121345134043083E-2</v>
      </c>
      <c r="E35" s="107">
        <f t="shared" si="64"/>
        <v>0.58739673252653057</v>
      </c>
      <c r="F35" s="104">
        <f>F34*1.15</f>
        <v>9.9220228448701847E-2</v>
      </c>
      <c r="G35" s="107">
        <f t="shared" si="65"/>
        <v>0.50392949887079386</v>
      </c>
      <c r="H35" s="104">
        <f>H34*1.15</f>
        <v>9.0575622494823704E-2</v>
      </c>
      <c r="I35" s="107">
        <f t="shared" si="66"/>
        <v>0.55202491159094658</v>
      </c>
      <c r="J35" s="104">
        <f>J34*1.15</f>
        <v>9.3043607756636129E-2</v>
      </c>
      <c r="K35" s="107">
        <f t="shared" si="67"/>
        <v>0.53738242965362515</v>
      </c>
      <c r="L35" s="104">
        <f>L34*1.15</f>
        <v>0.11612458223167912</v>
      </c>
      <c r="M35" s="107">
        <f t="shared" si="68"/>
        <v>0.43057205493532325</v>
      </c>
      <c r="N35" s="104">
        <f>N34*1.15</f>
        <v>9.8427359141024712E-2</v>
      </c>
      <c r="O35" s="107">
        <f t="shared" si="69"/>
        <v>0.50798884005778333</v>
      </c>
      <c r="P35" s="104">
        <f>P34*1.15</f>
        <v>9.2041347004804611E-2</v>
      </c>
      <c r="Q35" s="107">
        <f t="shared" si="70"/>
        <v>0.5432341184379883</v>
      </c>
      <c r="R35" s="109">
        <f t="shared" si="21"/>
        <v>9.6364870315959042E-2</v>
      </c>
      <c r="S35" s="104">
        <f>S34*1.15</f>
        <v>7.0363899999999993E-2</v>
      </c>
      <c r="T35" s="107">
        <f t="shared" si="71"/>
        <v>0.71059165282197279</v>
      </c>
      <c r="U35" s="104">
        <f>U34*1.15</f>
        <v>7.9073999999999992E-2</v>
      </c>
      <c r="V35" s="107">
        <f t="shared" si="72"/>
        <v>0.63231909350734761</v>
      </c>
      <c r="W35" s="104">
        <f>W34*1.15</f>
        <v>5.4238599999999991E-2</v>
      </c>
      <c r="X35" s="107">
        <f t="shared" si="73"/>
        <v>0.92185270268775399</v>
      </c>
      <c r="Y35" s="104">
        <f>Y34*1.15</f>
        <v>8.9562000000000003E-2</v>
      </c>
      <c r="Z35" s="107">
        <f t="shared" si="74"/>
        <v>0.55827248163283538</v>
      </c>
      <c r="AA35" s="104">
        <f>AA34*1.15</f>
        <v>7.4841999999999992E-2</v>
      </c>
      <c r="AB35" s="107">
        <f t="shared" si="75"/>
        <v>0.66807407605355296</v>
      </c>
      <c r="AC35" s="104">
        <f>AC34*1.15</f>
        <v>8.0638000000000001E-2</v>
      </c>
      <c r="AD35" s="107">
        <f t="shared" si="76"/>
        <v>0.62005506088940698</v>
      </c>
      <c r="AE35" s="104">
        <f>AE34*1.15</f>
        <v>7.8664600000000001E-2</v>
      </c>
      <c r="AF35" s="107">
        <f t="shared" si="77"/>
        <v>0.63560991856565729</v>
      </c>
      <c r="AG35" s="109">
        <f t="shared" si="63"/>
        <v>7.5340442857142836E-2</v>
      </c>
    </row>
    <row r="36" spans="1:38" s="93" customFormat="1">
      <c r="A36" s="93">
        <v>2019</v>
      </c>
      <c r="B36" s="54">
        <v>7</v>
      </c>
      <c r="C36" s="99">
        <f t="shared" si="3"/>
        <v>43653</v>
      </c>
      <c r="D36" s="104">
        <f>D35*1.03</f>
        <v>8.7674985488064378E-2</v>
      </c>
      <c r="E36" s="107">
        <f t="shared" si="64"/>
        <v>0.57028808983158308</v>
      </c>
      <c r="F36" s="104">
        <f>F35*1.03</f>
        <v>0.10219683530216291</v>
      </c>
      <c r="G36" s="107">
        <f t="shared" si="65"/>
        <v>0.4892519406512561</v>
      </c>
      <c r="H36" s="104">
        <f>H35*1.15</f>
        <v>0.10416196586904725</v>
      </c>
      <c r="I36" s="107">
        <f t="shared" si="66"/>
        <v>0.48002166225299703</v>
      </c>
      <c r="J36" s="104">
        <f>J35*1.15</f>
        <v>0.10700014892013154</v>
      </c>
      <c r="K36" s="107">
        <f t="shared" si="67"/>
        <v>0.46728906926402186</v>
      </c>
      <c r="L36" s="104">
        <f>L35*1.15</f>
        <v>0.13354326956643098</v>
      </c>
      <c r="M36" s="107">
        <f t="shared" si="68"/>
        <v>0.37441048255245502</v>
      </c>
      <c r="N36" s="104">
        <f>N35*1.15</f>
        <v>0.1131914630121784</v>
      </c>
      <c r="O36" s="107">
        <f t="shared" si="69"/>
        <v>0.44172942613720295</v>
      </c>
      <c r="P36" s="104">
        <f>P35*1.15</f>
        <v>0.10584754905552529</v>
      </c>
      <c r="Q36" s="107">
        <f t="shared" si="70"/>
        <v>0.47237749429390286</v>
      </c>
      <c r="R36" s="109">
        <f t="shared" si="21"/>
        <v>0.10765945960193442</v>
      </c>
      <c r="S36" s="104">
        <f>S35*1.15</f>
        <v>8.0918484999999984E-2</v>
      </c>
      <c r="T36" s="107">
        <f t="shared" si="71"/>
        <v>0.61790578506258509</v>
      </c>
      <c r="U36" s="104">
        <f>U35*1.15</f>
        <v>9.0935099999999977E-2</v>
      </c>
      <c r="V36" s="107">
        <f t="shared" si="72"/>
        <v>0.5498426900063893</v>
      </c>
      <c r="W36" s="104">
        <f>W35*1.15</f>
        <v>6.2374389999999988E-2</v>
      </c>
      <c r="X36" s="107">
        <f t="shared" si="73"/>
        <v>0.80161104581543818</v>
      </c>
      <c r="Y36" s="104">
        <f>Y35*1.15</f>
        <v>0.1029963</v>
      </c>
      <c r="Z36" s="107">
        <f t="shared" si="74"/>
        <v>0.48545433185463949</v>
      </c>
      <c r="AA36" s="104">
        <f>AA35*1.15</f>
        <v>8.6068299999999986E-2</v>
      </c>
      <c r="AB36" s="107">
        <f t="shared" si="75"/>
        <v>0.58093397917700262</v>
      </c>
      <c r="AC36" s="104">
        <f>AC35*1.15</f>
        <v>9.2733699999999988E-2</v>
      </c>
      <c r="AD36" s="107">
        <f t="shared" si="76"/>
        <v>0.53917831381687575</v>
      </c>
      <c r="AE36" s="104">
        <f>AE35*1.15</f>
        <v>9.0464289999999989E-2</v>
      </c>
      <c r="AF36" s="107">
        <f t="shared" si="77"/>
        <v>0.55270427701361513</v>
      </c>
      <c r="AG36" s="109">
        <f t="shared" si="63"/>
        <v>8.6641509285714277E-2</v>
      </c>
    </row>
    <row r="37" spans="1:38" s="93" customFormat="1">
      <c r="A37" s="93">
        <v>2019</v>
      </c>
      <c r="B37" s="53">
        <v>8</v>
      </c>
      <c r="C37" s="99">
        <f t="shared" si="3"/>
        <v>43685</v>
      </c>
      <c r="D37" s="104">
        <v>7.837792425205746E-2</v>
      </c>
      <c r="E37" s="107">
        <f t="shared" si="64"/>
        <v>0.6379347306928389</v>
      </c>
      <c r="F37" s="104">
        <v>0.11467808254566675</v>
      </c>
      <c r="G37" s="107">
        <f t="shared" si="65"/>
        <v>0.43600310443008289</v>
      </c>
      <c r="H37" s="104">
        <v>0.10252849910523405</v>
      </c>
      <c r="I37" s="107">
        <f t="shared" si="66"/>
        <v>0.48766928645547214</v>
      </c>
      <c r="J37" s="104">
        <v>8.0501916177255384E-2</v>
      </c>
      <c r="K37" s="107">
        <f t="shared" si="67"/>
        <v>0.62110322802635043</v>
      </c>
      <c r="L37" s="104">
        <v>8.7844110486581611E-2</v>
      </c>
      <c r="M37" s="107">
        <f t="shared" si="68"/>
        <v>0.56919012240026745</v>
      </c>
      <c r="N37" s="104">
        <v>0.12525433863410096</v>
      </c>
      <c r="O37" s="107">
        <f t="shared" si="69"/>
        <v>0.39918776902461178</v>
      </c>
      <c r="P37" s="104">
        <v>0.12599729877254467</v>
      </c>
      <c r="Q37" s="107">
        <f t="shared" si="70"/>
        <v>0.39683390427490028</v>
      </c>
      <c r="R37" s="109">
        <f t="shared" si="21"/>
        <v>0.10216888142477727</v>
      </c>
      <c r="S37" s="104">
        <v>5.1089435402394974E-2</v>
      </c>
      <c r="T37" s="107">
        <f t="shared" si="71"/>
        <v>0.9786759161886549</v>
      </c>
      <c r="U37" s="104">
        <v>5.6290156371501046E-2</v>
      </c>
      <c r="V37" s="107">
        <f t="shared" si="72"/>
        <v>0.88825477175818146</v>
      </c>
      <c r="W37" s="104">
        <v>4.104636247213804E-2</v>
      </c>
      <c r="X37" s="107">
        <f t="shared" si="73"/>
        <v>1.2181347381010832</v>
      </c>
      <c r="Y37" s="104">
        <v>5.939310753794249E-2</v>
      </c>
      <c r="Z37" s="107">
        <f t="shared" si="74"/>
        <v>0.84184852540436905</v>
      </c>
      <c r="AA37" s="104">
        <v>5.2750169829504485E-2</v>
      </c>
      <c r="AB37" s="107">
        <f t="shared" si="75"/>
        <v>0.94786424691345272</v>
      </c>
      <c r="AC37" s="104">
        <v>5.939310753794249E-2</v>
      </c>
      <c r="AD37" s="107">
        <f t="shared" si="76"/>
        <v>0.84184852540436905</v>
      </c>
      <c r="AE37" s="104">
        <v>5.4332237889014062E-2</v>
      </c>
      <c r="AF37" s="107">
        <f t="shared" si="77"/>
        <v>0.92026395272243999</v>
      </c>
      <c r="AG37" s="109">
        <f>AVERAGE(S37,U37,W37,Y37,AA37,AC37,AE37)</f>
        <v>5.3470653862919652E-2</v>
      </c>
    </row>
    <row r="38" spans="1:38" s="97" customFormat="1">
      <c r="A38" s="97">
        <v>2019</v>
      </c>
      <c r="B38" s="103">
        <v>9</v>
      </c>
      <c r="C38" s="102">
        <f t="shared" si="3"/>
        <v>43717</v>
      </c>
      <c r="D38" s="106">
        <v>7.691822609770331E-2</v>
      </c>
      <c r="E38" s="107">
        <f t="shared" si="64"/>
        <v>0.65004099205939625</v>
      </c>
      <c r="F38" s="106">
        <v>0.11032521020513761</v>
      </c>
      <c r="G38" s="107">
        <f t="shared" si="65"/>
        <v>0.45320557202683315</v>
      </c>
      <c r="H38" s="106">
        <v>0.10462626890789868</v>
      </c>
      <c r="I38" s="107">
        <f t="shared" si="66"/>
        <v>0.47789145615060052</v>
      </c>
      <c r="J38" s="106">
        <v>6.1621987953273664E-2</v>
      </c>
      <c r="K38" s="107">
        <f t="shared" si="67"/>
        <v>0.81139868512378555</v>
      </c>
      <c r="L38" s="106">
        <v>6.3632350680827274E-2</v>
      </c>
      <c r="M38" s="107">
        <f t="shared" si="68"/>
        <v>0.78576383655531423</v>
      </c>
      <c r="N38" s="106">
        <v>0.10515071135856485</v>
      </c>
      <c r="O38" s="107">
        <f t="shared" si="69"/>
        <v>0.47550795761618353</v>
      </c>
      <c r="P38" s="106">
        <v>0.10579752371438644</v>
      </c>
      <c r="Q38" s="107">
        <f t="shared" si="70"/>
        <v>0.47260085344701652</v>
      </c>
      <c r="R38" s="109">
        <f t="shared" si="21"/>
        <v>8.9724611273970259E-2</v>
      </c>
      <c r="S38" s="106">
        <v>3.7628745835296906E-2</v>
      </c>
      <c r="T38" s="107">
        <f t="shared" si="71"/>
        <v>1.3287713658821572</v>
      </c>
      <c r="U38" s="106">
        <v>4.2392431428847847E-2</v>
      </c>
      <c r="V38" s="107">
        <f t="shared" si="72"/>
        <v>1.179455820643853</v>
      </c>
      <c r="W38" s="106">
        <v>3.9228295309828687E-2</v>
      </c>
      <c r="X38" s="107">
        <f t="shared" si="73"/>
        <v>1.2745901805086202</v>
      </c>
      <c r="Y38" s="106">
        <v>5.0433882339062278E-2</v>
      </c>
      <c r="Z38" s="107">
        <f t="shared" si="74"/>
        <v>0.99139700695367206</v>
      </c>
      <c r="AA38" s="106">
        <v>4.7811670085731485E-2</v>
      </c>
      <c r="AB38" s="107">
        <f t="shared" si="75"/>
        <v>1.0457697861284621</v>
      </c>
      <c r="AC38" s="106">
        <v>5.5459789157946304E-2</v>
      </c>
      <c r="AD38" s="107">
        <f t="shared" si="76"/>
        <v>0.90155409458198377</v>
      </c>
      <c r="AE38" s="106">
        <v>4.8738185081908351E-2</v>
      </c>
      <c r="AF38" s="107">
        <f t="shared" si="77"/>
        <v>1.0258896574825482</v>
      </c>
      <c r="AG38" s="109">
        <f t="shared" si="63"/>
        <v>4.5956142748374555E-2</v>
      </c>
    </row>
    <row r="39" spans="1:38" s="93" customFormat="1">
      <c r="A39" s="93">
        <v>2019</v>
      </c>
      <c r="B39" s="54">
        <v>10</v>
      </c>
      <c r="C39" s="99">
        <f t="shared" si="3"/>
        <v>43748</v>
      </c>
      <c r="D39" s="104">
        <f>AVERAGE(D38,D40)</f>
        <v>7.3609868304750956E-2</v>
      </c>
      <c r="E39" s="107">
        <f t="shared" si="64"/>
        <v>0.67925675118716233</v>
      </c>
      <c r="F39" s="104">
        <f>AVERAGE(F38,F40)</f>
        <v>0.10759810946167359</v>
      </c>
      <c r="G39" s="107">
        <f t="shared" si="65"/>
        <v>0.46469217953880487</v>
      </c>
      <c r="H39" s="104">
        <f>AVERAGE(H38,H40)</f>
        <v>9.9207030251015044E-2</v>
      </c>
      <c r="I39" s="107">
        <f t="shared" si="66"/>
        <v>0.50399654009891526</v>
      </c>
      <c r="J39" s="104">
        <f>AVERAGE(J38,J40)</f>
        <v>6.0756657909674508E-2</v>
      </c>
      <c r="K39" s="107">
        <f t="shared" si="67"/>
        <v>0.82295507554635128</v>
      </c>
      <c r="L39" s="104">
        <f>AVERAGE(L38,L40)</f>
        <v>6.5441677135625514E-2</v>
      </c>
      <c r="M39" s="107">
        <f t="shared" si="68"/>
        <v>0.76403909845367823</v>
      </c>
      <c r="N39" s="104">
        <f>AVERAGE(N38,N40)</f>
        <v>0.11083217124078158</v>
      </c>
      <c r="O39" s="107">
        <f t="shared" si="69"/>
        <v>0.45113254969421823</v>
      </c>
      <c r="P39" s="104">
        <f>AVERAGE(P38,P40)</f>
        <v>0.11150520571913647</v>
      </c>
      <c r="Q39" s="107">
        <f t="shared" si="70"/>
        <v>0.44840955789940334</v>
      </c>
      <c r="R39" s="109">
        <f t="shared" si="21"/>
        <v>8.9850102860379658E-2</v>
      </c>
      <c r="S39" s="104">
        <f>AVERAGE(S38,S40)</f>
        <v>4.3358279608824685E-2</v>
      </c>
      <c r="T39" s="107">
        <f t="shared" si="71"/>
        <v>1.1531822860846059</v>
      </c>
      <c r="U39" s="104">
        <f>AVERAGE(U38,U40)</f>
        <v>5.206839464363848E-2</v>
      </c>
      <c r="V39" s="107">
        <f t="shared" si="72"/>
        <v>0.96027542892776341</v>
      </c>
      <c r="W39" s="104">
        <f>AVERAGE(W38,W40)</f>
        <v>4.2130210203514762E-2</v>
      </c>
      <c r="X39" s="107">
        <f t="shared" si="73"/>
        <v>1.1867968319756614</v>
      </c>
      <c r="Y39" s="104">
        <f>AVERAGE(Y38,Y40)</f>
        <v>5.1596396438038927E-2</v>
      </c>
      <c r="Z39" s="107">
        <f t="shared" si="74"/>
        <v>0.96905992378835981</v>
      </c>
      <c r="AA39" s="104">
        <f>AVERAGE(AA38,AA40)</f>
        <v>4.8904258524619312E-2</v>
      </c>
      <c r="AB39" s="107">
        <f t="shared" si="75"/>
        <v>1.0224058498878799</v>
      </c>
      <c r="AC39" s="104">
        <f>AVERAGE(AC38,AC40)</f>
        <v>5.7658077096988614E-2</v>
      </c>
      <c r="AD39" s="107">
        <f t="shared" si="76"/>
        <v>0.86718119155956763</v>
      </c>
      <c r="AE39" s="104">
        <f>AVERAGE(AE38,AE40)</f>
        <v>4.9787069983240673E-2</v>
      </c>
      <c r="AF39" s="107">
        <f t="shared" si="77"/>
        <v>1.0042768135749103</v>
      </c>
      <c r="AG39" s="109">
        <f t="shared" si="63"/>
        <v>4.9357526642695063E-2</v>
      </c>
    </row>
    <row r="40" spans="1:38" s="97" customFormat="1">
      <c r="A40" s="97">
        <v>2019</v>
      </c>
      <c r="B40" s="103">
        <v>11</v>
      </c>
      <c r="C40" s="102">
        <f t="shared" si="3"/>
        <v>43780</v>
      </c>
      <c r="D40" s="106">
        <v>7.0301510511798601E-2</v>
      </c>
      <c r="E40" s="107">
        <f t="shared" si="64"/>
        <v>0.71122227155572393</v>
      </c>
      <c r="F40" s="106">
        <v>0.10487100871820955</v>
      </c>
      <c r="G40" s="107">
        <f t="shared" si="65"/>
        <v>0.47677619020859219</v>
      </c>
      <c r="H40" s="106">
        <v>9.378779159413142E-2</v>
      </c>
      <c r="I40" s="107">
        <f t="shared" si="66"/>
        <v>0.53311842778403418</v>
      </c>
      <c r="J40" s="106">
        <v>5.9891327866075351E-2</v>
      </c>
      <c r="K40" s="107">
        <f t="shared" si="67"/>
        <v>0.83484540719829059</v>
      </c>
      <c r="L40" s="106">
        <v>6.7251003590423769E-2</v>
      </c>
      <c r="M40" s="107">
        <f t="shared" si="68"/>
        <v>0.74348332858366106</v>
      </c>
      <c r="N40" s="106">
        <v>0.11651363112299831</v>
      </c>
      <c r="O40" s="107">
        <f t="shared" si="69"/>
        <v>0.42913433834378745</v>
      </c>
      <c r="P40" s="106">
        <v>0.11721288772388651</v>
      </c>
      <c r="Q40" s="107">
        <f t="shared" si="70"/>
        <v>0.42657425280556954</v>
      </c>
      <c r="R40" s="109">
        <f t="shared" si="21"/>
        <v>8.997559444678907E-2</v>
      </c>
      <c r="S40" s="106">
        <v>4.908781338235247E-2</v>
      </c>
      <c r="T40" s="107">
        <f t="shared" si="71"/>
        <v>1.0185827510902221</v>
      </c>
      <c r="U40" s="106">
        <v>6.1744357858429105E-2</v>
      </c>
      <c r="V40" s="107">
        <f t="shared" si="72"/>
        <v>0.80979059033446876</v>
      </c>
      <c r="W40" s="106">
        <v>4.5032125097200837E-2</v>
      </c>
      <c r="X40" s="107">
        <f t="shared" si="73"/>
        <v>1.1103184646977267</v>
      </c>
      <c r="Y40" s="106">
        <v>5.2758910537015584E-2</v>
      </c>
      <c r="Z40" s="107">
        <f t="shared" si="74"/>
        <v>0.94770721174994821</v>
      </c>
      <c r="AA40" s="106">
        <v>4.9996846963507147E-2</v>
      </c>
      <c r="AB40" s="107">
        <f t="shared" si="75"/>
        <v>1.0000630647067636</v>
      </c>
      <c r="AC40" s="106">
        <v>5.985636503603093E-2</v>
      </c>
      <c r="AD40" s="107">
        <f t="shared" si="76"/>
        <v>0.83533305054361684</v>
      </c>
      <c r="AE40" s="106">
        <v>5.0835954884573001E-2</v>
      </c>
      <c r="AF40" s="107">
        <f t="shared" si="77"/>
        <v>0.98355583392755974</v>
      </c>
      <c r="AG40" s="109">
        <f t="shared" si="63"/>
        <v>5.2758910537015584E-2</v>
      </c>
    </row>
    <row r="41" spans="1:38" s="97" customFormat="1">
      <c r="A41" s="97">
        <v>2019</v>
      </c>
      <c r="B41" s="103">
        <v>12</v>
      </c>
      <c r="C41" s="102">
        <f t="shared" si="3"/>
        <v>43811</v>
      </c>
      <c r="D41" s="106">
        <v>8.0694211742499633E-2</v>
      </c>
      <c r="E41" s="107">
        <f t="shared" si="64"/>
        <v>0.61962312934604513</v>
      </c>
      <c r="F41" s="106">
        <v>0.10015102666221413</v>
      </c>
      <c r="G41" s="107">
        <f t="shared" si="65"/>
        <v>0.49924600542177411</v>
      </c>
      <c r="H41" s="106">
        <v>8.9836991799113031E-2</v>
      </c>
      <c r="I41" s="107">
        <f t="shared" si="66"/>
        <v>0.55656360479886036</v>
      </c>
      <c r="J41" s="106">
        <v>9.9574139966481373E-2</v>
      </c>
      <c r="K41" s="107">
        <f t="shared" si="67"/>
        <v>0.50213840678745503</v>
      </c>
      <c r="L41" s="106">
        <v>8.2250057679475921E-2</v>
      </c>
      <c r="M41" s="107">
        <f t="shared" si="68"/>
        <v>0.60790230925852151</v>
      </c>
      <c r="N41" s="106">
        <v>0.10943365803900515</v>
      </c>
      <c r="O41" s="107">
        <f t="shared" si="69"/>
        <v>0.45689782189478334</v>
      </c>
      <c r="P41" s="106">
        <v>0.11532489490148835</v>
      </c>
      <c r="Q41" s="107">
        <f t="shared" si="70"/>
        <v>0.43355773306978074</v>
      </c>
      <c r="R41" s="109">
        <f t="shared" si="21"/>
        <v>9.675214011289679E-2</v>
      </c>
      <c r="S41" s="106">
        <v>5.6902005897278243E-2</v>
      </c>
      <c r="T41" s="107">
        <f t="shared" si="71"/>
        <v>0.87870364518013622</v>
      </c>
      <c r="U41" s="106">
        <v>6.5363010768025587E-2</v>
      </c>
      <c r="V41" s="107">
        <f t="shared" si="72"/>
        <v>0.76495864270161662</v>
      </c>
      <c r="W41" s="106">
        <v>4.8947962062174832E-2</v>
      </c>
      <c r="X41" s="107">
        <f t="shared" si="73"/>
        <v>1.0214929875219083</v>
      </c>
      <c r="Y41" s="106">
        <v>6.1254878237807356E-2</v>
      </c>
      <c r="Z41" s="107">
        <f t="shared" si="74"/>
        <v>0.81626151970928762</v>
      </c>
      <c r="AA41" s="106">
        <v>4.6203379903688599E-2</v>
      </c>
      <c r="AB41" s="107">
        <f t="shared" si="75"/>
        <v>1.0821719126225289</v>
      </c>
      <c r="AC41" s="106">
        <v>5.802081645869938E-2</v>
      </c>
      <c r="AD41" s="107">
        <f t="shared" si="76"/>
        <v>0.86175967612574378</v>
      </c>
      <c r="AE41" s="106">
        <v>5.6902005897278243E-2</v>
      </c>
      <c r="AF41" s="107">
        <f t="shared" si="77"/>
        <v>0.87870364518013622</v>
      </c>
      <c r="AG41" s="109">
        <f t="shared" si="63"/>
        <v>5.6227722746421745E-2</v>
      </c>
    </row>
    <row r="42" spans="1:38" s="93" customFormat="1">
      <c r="A42" s="93">
        <v>2020</v>
      </c>
      <c r="B42" s="54">
        <v>1</v>
      </c>
      <c r="C42" s="99">
        <f t="shared" si="3"/>
        <v>43831</v>
      </c>
      <c r="D42" s="104">
        <f>AVERAGE(D41,D43)</f>
        <v>7.8587701232323906E-2</v>
      </c>
      <c r="E42" s="107">
        <f t="shared" si="64"/>
        <v>0.6362318685488475</v>
      </c>
      <c r="F42" s="104">
        <f>AVERAGE(F41,F43)</f>
        <v>0.10314908933852235</v>
      </c>
      <c r="G42" s="107">
        <f t="shared" si="65"/>
        <v>0.48473525380244792</v>
      </c>
      <c r="H42" s="104">
        <f>AVERAGE(H41,H43)</f>
        <v>8.6873891952849225E-2</v>
      </c>
      <c r="I42" s="107">
        <f t="shared" si="66"/>
        <v>0.57554690915813334</v>
      </c>
      <c r="J42" s="104">
        <f>AVERAGE(J41,J43)</f>
        <v>9.1742466036533396E-2</v>
      </c>
      <c r="K42" s="107">
        <f t="shared" si="67"/>
        <v>0.54500388053760362</v>
      </c>
      <c r="L42" s="104">
        <f>AVERAGE(L41,L43)</f>
        <v>7.6542375674725882E-2</v>
      </c>
      <c r="M42" s="107">
        <f t="shared" si="68"/>
        <v>0.65323292567348268</v>
      </c>
      <c r="N42" s="104">
        <f>AVERAGE(N41,N43)</f>
        <v>0.10822307004871745</v>
      </c>
      <c r="O42" s="107">
        <f t="shared" si="69"/>
        <v>0.46200870089429286</v>
      </c>
      <c r="P42" s="104">
        <f>AVERAGE(P41,P43)</f>
        <v>9.77123692666165E-2</v>
      </c>
      <c r="Q42" s="107">
        <f t="shared" si="70"/>
        <v>0.51170594240295986</v>
      </c>
      <c r="R42" s="109">
        <f>AVERAGE(P42,N42,L42,J42,H42,F42,D42)</f>
        <v>9.1832994792898401E-2</v>
      </c>
      <c r="S42" s="104">
        <f>AVERAGE(S41,S43)</f>
        <v>4.9800181044507341E-2</v>
      </c>
      <c r="T42" s="107">
        <f t="shared" si="71"/>
        <v>1.0040124142382951</v>
      </c>
      <c r="U42" s="104">
        <f>AVERAGE(U41,U43)</f>
        <v>5.9283848694053703E-2</v>
      </c>
      <c r="V42" s="107">
        <f t="shared" si="72"/>
        <v>0.84340003392888874</v>
      </c>
      <c r="W42" s="104">
        <f>AVERAGE(W41,W43)</f>
        <v>4.9166479749952398E-2</v>
      </c>
      <c r="X42" s="107">
        <f t="shared" si="73"/>
        <v>1.0169530186884777</v>
      </c>
      <c r="Y42" s="104">
        <f>AVERAGE(Y41,Y43)</f>
        <v>6.8037667266423005E-2</v>
      </c>
      <c r="Z42" s="107">
        <f t="shared" si="74"/>
        <v>0.73488704138266803</v>
      </c>
      <c r="AA42" s="104">
        <f>AVERAGE(AA41,AA43)</f>
        <v>4.4472719816490272E-2</v>
      </c>
      <c r="AB42" s="107">
        <f t="shared" si="75"/>
        <v>1.1242847346939244</v>
      </c>
      <c r="AC42" s="104">
        <f>AVERAGE(AC41,AC43)</f>
        <v>5.7330300565322269E-2</v>
      </c>
      <c r="AD42" s="107">
        <f t="shared" si="76"/>
        <v>0.87213915690237653</v>
      </c>
      <c r="AE42" s="104">
        <f>AVERAGE(AE41,AE43)</f>
        <v>5.67534138695895E-2</v>
      </c>
      <c r="AF42" s="107">
        <f t="shared" si="77"/>
        <v>0.88100427077201404</v>
      </c>
      <c r="AG42" s="109">
        <f t="shared" si="63"/>
        <v>5.4977801572334069E-2</v>
      </c>
    </row>
    <row r="43" spans="1:38" s="97" customFormat="1">
      <c r="A43" s="97">
        <v>2020</v>
      </c>
      <c r="B43" s="113">
        <v>2</v>
      </c>
      <c r="C43" s="102">
        <f t="shared" si="3"/>
        <v>43863</v>
      </c>
      <c r="D43" s="106">
        <v>7.6481190722148179E-2</v>
      </c>
      <c r="E43" s="107">
        <f t="shared" si="64"/>
        <v>0.65375551201402138</v>
      </c>
      <c r="F43" s="106">
        <v>0.10614715201483055</v>
      </c>
      <c r="G43" s="107">
        <f t="shared" si="65"/>
        <v>0.47104419714449014</v>
      </c>
      <c r="H43" s="106">
        <v>8.3910792106585419E-2</v>
      </c>
      <c r="I43" s="107">
        <f t="shared" si="66"/>
        <v>0.59587090938777998</v>
      </c>
      <c r="J43" s="106">
        <v>8.3910792106585419E-2</v>
      </c>
      <c r="K43" s="107">
        <f t="shared" si="67"/>
        <v>0.59587090938777998</v>
      </c>
      <c r="L43" s="106">
        <v>7.0834693669975857E-2</v>
      </c>
      <c r="M43" s="107">
        <f t="shared" si="68"/>
        <v>0.7058687969055637</v>
      </c>
      <c r="N43" s="106">
        <v>0.10701248205842974</v>
      </c>
      <c r="O43" s="107">
        <f t="shared" si="69"/>
        <v>0.46723521441825422</v>
      </c>
      <c r="P43" s="106">
        <v>8.009984363174466E-2</v>
      </c>
      <c r="Q43" s="107">
        <f t="shared" si="70"/>
        <v>0.62422094392434391</v>
      </c>
      <c r="R43" s="109">
        <f t="shared" ref="R43:R52" si="78">AVERAGE(P43,N43,L43,J43,H43,F43,D43)</f>
        <v>8.6913849472899971E-2</v>
      </c>
      <c r="S43" s="106">
        <v>4.2698356191736439E-2</v>
      </c>
      <c r="T43" s="107">
        <f t="shared" si="71"/>
        <v>1.1710052671694344</v>
      </c>
      <c r="U43" s="106">
        <v>5.3204686620081827E-2</v>
      </c>
      <c r="V43" s="107">
        <f t="shared" si="72"/>
        <v>0.93976683589989918</v>
      </c>
      <c r="W43" s="106">
        <v>4.9384997437729963E-2</v>
      </c>
      <c r="X43" s="107">
        <f t="shared" si="73"/>
        <v>1.0124532265703872</v>
      </c>
      <c r="Y43" s="106">
        <v>7.4820456295038654E-2</v>
      </c>
      <c r="Z43" s="107">
        <f t="shared" si="74"/>
        <v>0.66826644043489347</v>
      </c>
      <c r="AA43" s="106">
        <v>4.2742059729291952E-2</v>
      </c>
      <c r="AB43" s="107">
        <f t="shared" si="75"/>
        <v>1.1698079202704881</v>
      </c>
      <c r="AC43" s="106">
        <v>5.6639784671945158E-2</v>
      </c>
      <c r="AD43" s="107">
        <f t="shared" si="76"/>
        <v>0.88277171761152584</v>
      </c>
      <c r="AE43" s="106">
        <v>5.6604821841900757E-2</v>
      </c>
      <c r="AF43" s="107">
        <f t="shared" si="77"/>
        <v>0.88331697500350315</v>
      </c>
      <c r="AG43" s="109">
        <f t="shared" si="63"/>
        <v>5.3727880398246386E-2</v>
      </c>
    </row>
    <row r="44" spans="1:38" s="97" customFormat="1">
      <c r="A44" s="97">
        <v>2020</v>
      </c>
      <c r="B44" s="113">
        <v>3</v>
      </c>
      <c r="C44" s="102">
        <f t="shared" si="3"/>
        <v>43893</v>
      </c>
      <c r="D44" s="106">
        <v>7.2547872342151973E-2</v>
      </c>
      <c r="E44" s="107">
        <f t="shared" si="64"/>
        <v>0.68920008796658894</v>
      </c>
      <c r="F44" s="106">
        <v>0.1033151627812333</v>
      </c>
      <c r="G44" s="107">
        <f t="shared" si="65"/>
        <v>0.48395606853829842</v>
      </c>
      <c r="H44" s="106">
        <v>8.9050328123113781E-2</v>
      </c>
      <c r="I44" s="107">
        <f t="shared" si="66"/>
        <v>0.56148024441722488</v>
      </c>
      <c r="J44" s="106">
        <v>8.5029602668006563E-2</v>
      </c>
      <c r="K44" s="107">
        <f t="shared" si="67"/>
        <v>0.5880305026853091</v>
      </c>
      <c r="L44" s="106">
        <v>6.1219915407762948E-2</v>
      </c>
      <c r="M44" s="107">
        <f t="shared" si="68"/>
        <v>0.81672768848125177</v>
      </c>
      <c r="N44" s="106">
        <v>0.10798270059216213</v>
      </c>
      <c r="O44" s="107">
        <f t="shared" si="69"/>
        <v>0.46303713211289355</v>
      </c>
      <c r="P44" s="106">
        <v>8.9784547554046398E-2</v>
      </c>
      <c r="Q44" s="107">
        <f t="shared" si="70"/>
        <v>0.55688870036241123</v>
      </c>
      <c r="R44" s="109">
        <f t="shared" si="78"/>
        <v>8.6990018495496729E-2</v>
      </c>
      <c r="S44" s="106">
        <v>4.6762785184399171E-2</v>
      </c>
      <c r="T44" s="107">
        <f t="shared" si="71"/>
        <v>1.0692263046958295</v>
      </c>
      <c r="U44" s="106">
        <v>5.8597703154432162E-2</v>
      </c>
      <c r="V44" s="107">
        <f t="shared" si="72"/>
        <v>0.85327576523309767</v>
      </c>
      <c r="W44" s="106">
        <v>3.6850822866808769E-2</v>
      </c>
      <c r="X44" s="107">
        <f t="shared" si="73"/>
        <v>1.3568218050575633</v>
      </c>
      <c r="Y44" s="106">
        <v>6.0118586261364015E-2</v>
      </c>
      <c r="Z44" s="107">
        <f t="shared" si="74"/>
        <v>0.83168955075933226</v>
      </c>
      <c r="AA44" s="106">
        <v>5.4734310434524792E-2</v>
      </c>
      <c r="AB44" s="107">
        <f t="shared" si="75"/>
        <v>0.91350378954370592</v>
      </c>
      <c r="AC44" s="106">
        <v>5.973399513087551E-2</v>
      </c>
      <c r="AD44" s="107">
        <f t="shared" si="76"/>
        <v>0.83704429764745192</v>
      </c>
      <c r="AE44" s="106">
        <v>5.5765713920834903E-2</v>
      </c>
      <c r="AF44" s="107">
        <f t="shared" si="77"/>
        <v>0.89660826490951206</v>
      </c>
      <c r="AG44" s="109">
        <f t="shared" ref="AG44:AG46" si="79">AVERAGE(S44,U44,W44,Y44,AA44,AC44,AE44)</f>
        <v>5.3223416707605616E-2</v>
      </c>
    </row>
    <row r="45" spans="1:38" s="97" customFormat="1">
      <c r="A45" s="97">
        <v>2020</v>
      </c>
      <c r="B45" s="113">
        <v>4</v>
      </c>
      <c r="C45" s="102">
        <f t="shared" si="3"/>
        <v>43925</v>
      </c>
      <c r="D45" s="106">
        <v>8.1813022303920777E-2</v>
      </c>
      <c r="E45" s="107">
        <f t="shared" si="64"/>
        <v>0.6111496506541334</v>
      </c>
      <c r="F45" s="106">
        <v>8.2075243529253855E-2</v>
      </c>
      <c r="G45" s="107">
        <f t="shared" si="65"/>
        <v>0.60919709585971116</v>
      </c>
      <c r="H45" s="106">
        <v>6.4681235582159588E-2</v>
      </c>
      <c r="I45" s="107">
        <f t="shared" si="66"/>
        <v>0.77302172028684979</v>
      </c>
      <c r="J45" s="106">
        <v>6.5555306333269864E-2</v>
      </c>
      <c r="K45" s="107">
        <f t="shared" si="67"/>
        <v>0.76271476401635829</v>
      </c>
      <c r="L45" s="106">
        <v>8.0414509102144358E-2</v>
      </c>
      <c r="M45" s="107">
        <f t="shared" si="68"/>
        <v>0.62177834023072698</v>
      </c>
      <c r="N45" s="106">
        <v>9.8595180725237874E-2</v>
      </c>
      <c r="O45" s="107">
        <f t="shared" si="69"/>
        <v>0.50712417820236588</v>
      </c>
      <c r="P45" s="106">
        <v>8.4959677007917747E-2</v>
      </c>
      <c r="Q45" s="107">
        <f t="shared" si="70"/>
        <v>0.58851447840768389</v>
      </c>
      <c r="R45" s="109">
        <f t="shared" si="78"/>
        <v>7.9727739226271993E-2</v>
      </c>
      <c r="S45" s="106">
        <v>5.6115342221279001E-2</v>
      </c>
      <c r="T45" s="107">
        <f t="shared" si="71"/>
        <v>0.89102192057985785</v>
      </c>
      <c r="U45" s="106">
        <v>5.8650147399498767E-2</v>
      </c>
      <c r="V45" s="107">
        <f t="shared" si="72"/>
        <v>0.8525127764713395</v>
      </c>
      <c r="W45" s="106">
        <v>5.0940843374706231E-2</v>
      </c>
      <c r="X45" s="107">
        <f t="shared" si="73"/>
        <v>0.98153066748845019</v>
      </c>
      <c r="Y45" s="106">
        <v>7.805451807414665E-2</v>
      </c>
      <c r="Z45" s="107">
        <f t="shared" si="74"/>
        <v>0.64057790930825165</v>
      </c>
      <c r="AA45" s="106">
        <v>5.244424506661588E-2</v>
      </c>
      <c r="AB45" s="107">
        <f t="shared" si="75"/>
        <v>0.95339345502044803</v>
      </c>
      <c r="AC45" s="106">
        <v>6.0555621636919139E-2</v>
      </c>
      <c r="AD45" s="107">
        <f t="shared" si="76"/>
        <v>0.82568717236181988</v>
      </c>
      <c r="AE45" s="106">
        <v>5.0870917714617415E-2</v>
      </c>
      <c r="AF45" s="107">
        <f t="shared" si="77"/>
        <v>0.98287985053654414</v>
      </c>
      <c r="AG45" s="109">
        <f t="shared" si="79"/>
        <v>5.8233090783969009E-2</v>
      </c>
    </row>
    <row r="46" spans="1:38" s="93" customFormat="1">
      <c r="A46" s="93">
        <v>2020</v>
      </c>
      <c r="B46" s="55">
        <v>5</v>
      </c>
      <c r="C46" s="99">
        <f t="shared" si="3"/>
        <v>43956</v>
      </c>
      <c r="D46" s="104">
        <v>9.7406444503727929E-2</v>
      </c>
      <c r="E46" s="107">
        <f t="shared" si="64"/>
        <v>0.51331305905623537</v>
      </c>
      <c r="F46" s="104">
        <v>9.9119623175904031E-2</v>
      </c>
      <c r="G46" s="107">
        <f t="shared" si="65"/>
        <v>0.50444098149230043</v>
      </c>
      <c r="H46" s="104">
        <v>8.4872269932806707E-2</v>
      </c>
      <c r="I46" s="107">
        <f t="shared" si="66"/>
        <v>0.58912056952859815</v>
      </c>
      <c r="J46" s="104">
        <v>8.4872269932806707E-2</v>
      </c>
      <c r="K46" s="107">
        <f t="shared" si="67"/>
        <v>0.58912056952859815</v>
      </c>
      <c r="L46" s="104">
        <v>8.2879388620275302E-2</v>
      </c>
      <c r="M46" s="107">
        <f t="shared" si="68"/>
        <v>0.60328630353540269</v>
      </c>
      <c r="N46" s="104">
        <v>9.7388963088705705E-2</v>
      </c>
      <c r="O46" s="107">
        <f t="shared" si="69"/>
        <v>0.51340519925710715</v>
      </c>
      <c r="P46" s="104">
        <v>9.9294437326126084E-2</v>
      </c>
      <c r="Q46" s="107">
        <f t="shared" si="70"/>
        <v>0.50355288117277175</v>
      </c>
      <c r="R46" s="109">
        <f t="shared" si="78"/>
        <v>9.2261913797193215E-2</v>
      </c>
      <c r="S46" s="104">
        <v>5.0870917714617415E-2</v>
      </c>
      <c r="T46" s="107">
        <f t="shared" si="71"/>
        <v>0.98287985053654414</v>
      </c>
      <c r="U46" s="104">
        <v>8.3176572675652802E-2</v>
      </c>
      <c r="V46" s="107">
        <f t="shared" si="72"/>
        <v>0.60113080392209828</v>
      </c>
      <c r="W46" s="104">
        <v>5.9873846451053141E-2</v>
      </c>
      <c r="X46" s="107">
        <f t="shared" si="73"/>
        <v>0.83508915768214409</v>
      </c>
      <c r="Y46" s="104">
        <v>6.9138996412821951E-2</v>
      </c>
      <c r="Z46" s="107">
        <f t="shared" si="74"/>
        <v>0.72318087612170512</v>
      </c>
      <c r="AA46" s="104">
        <v>9.2039650091910882E-2</v>
      </c>
      <c r="AB46" s="107">
        <f t="shared" si="75"/>
        <v>0.5432441339147851</v>
      </c>
      <c r="AC46" s="104">
        <v>6.9138996412821951E-2</v>
      </c>
      <c r="AD46" s="107">
        <f t="shared" si="76"/>
        <v>0.72318087612170512</v>
      </c>
      <c r="AE46" s="104">
        <v>4.8161298386175597E-2</v>
      </c>
      <c r="AF46" s="107">
        <f t="shared" si="77"/>
        <v>1.0381779909478561</v>
      </c>
      <c r="AG46" s="109">
        <f t="shared" si="79"/>
        <v>6.7485754020721975E-2</v>
      </c>
    </row>
    <row r="47" spans="1:38">
      <c r="A47" s="114">
        <v>2020</v>
      </c>
      <c r="B47" s="55">
        <v>6</v>
      </c>
      <c r="C47" s="99">
        <v>43988</v>
      </c>
      <c r="D47" s="119">
        <v>0.10796958953089547</v>
      </c>
      <c r="E47" s="107">
        <f t="shared" si="64"/>
        <v>0.46309336005850532</v>
      </c>
      <c r="F47" s="119">
        <v>0.10980513810822701</v>
      </c>
      <c r="G47" s="107">
        <f t="shared" si="65"/>
        <v>0.45535209792021397</v>
      </c>
      <c r="H47" s="119">
        <v>9.8354811268682549E-2</v>
      </c>
      <c r="I47" s="107">
        <f t="shared" si="66"/>
        <v>0.50836353966875691</v>
      </c>
      <c r="J47" s="119">
        <v>9.8354811268682549E-2</v>
      </c>
      <c r="K47" s="107">
        <f t="shared" si="67"/>
        <v>0.50836353966875691</v>
      </c>
      <c r="L47" s="119">
        <v>9.8660736031571147E-2</v>
      </c>
      <c r="M47" s="107">
        <f t="shared" si="68"/>
        <v>0.50678721861552045</v>
      </c>
      <c r="N47" s="119">
        <v>9.6257041466017906E-2</v>
      </c>
      <c r="O47" s="107">
        <f t="shared" si="69"/>
        <v>0.51944251805881392</v>
      </c>
      <c r="P47" s="119">
        <v>0.10928069565756088</v>
      </c>
      <c r="Q47" s="107">
        <f t="shared" si="70"/>
        <v>0.457537350939627</v>
      </c>
      <c r="R47" s="121">
        <f>AVERAGE(D47,F47,H47,J47,L47,N47,P47)</f>
        <v>0.10266897476166251</v>
      </c>
      <c r="S47" s="122">
        <v>7.237305819192992E-2</v>
      </c>
      <c r="T47" s="107">
        <f t="shared" si="71"/>
        <v>0.69086482247858549</v>
      </c>
      <c r="U47" s="120">
        <v>0.12101509549121615</v>
      </c>
      <c r="V47" s="107">
        <f t="shared" si="72"/>
        <v>0.41317159480842819</v>
      </c>
      <c r="W47" s="120">
        <v>7.9015995900367939E-2</v>
      </c>
      <c r="X47" s="107">
        <f t="shared" si="73"/>
        <v>0.63278326660649198</v>
      </c>
      <c r="Y47" s="120">
        <v>9.5623340171462984E-2</v>
      </c>
      <c r="Z47" s="107">
        <f t="shared" si="74"/>
        <v>0.52288489306423092</v>
      </c>
      <c r="AA47" s="120">
        <v>9.077224750280101E-2</v>
      </c>
      <c r="AB47" s="107">
        <f t="shared" si="75"/>
        <v>0.5508291507099361</v>
      </c>
      <c r="AC47" s="120">
        <v>0.10226627787990097</v>
      </c>
      <c r="AD47" s="107">
        <f t="shared" si="76"/>
        <v>0.48891972052330668</v>
      </c>
      <c r="AE47" s="120">
        <v>8.9364993593513478E-2</v>
      </c>
      <c r="AF47" s="107">
        <f t="shared" si="77"/>
        <v>0.55950320130307973</v>
      </c>
      <c r="AG47" s="121">
        <f>AVERAGE(S47,U47,W47,Y47,AA47,AC47,AE47)</f>
        <v>9.2918715533027482E-2</v>
      </c>
      <c r="AH47" s="117"/>
      <c r="AI47" s="118"/>
    </row>
    <row r="48" spans="1:38">
      <c r="A48" s="89">
        <v>2020</v>
      </c>
      <c r="B48" s="55">
        <v>7</v>
      </c>
      <c r="C48" s="99">
        <f t="shared" si="3"/>
        <v>44019</v>
      </c>
      <c r="D48" s="92">
        <v>8.1725615228809764E-2</v>
      </c>
      <c r="F48" s="92">
        <v>9.7721109974127612E-2</v>
      </c>
      <c r="H48" s="92">
        <v>0.11764992309944165</v>
      </c>
      <c r="L48" s="90">
        <v>0.11642622404788727</v>
      </c>
      <c r="N48" s="90">
        <v>9.929443732612607E-2</v>
      </c>
      <c r="P48" s="90">
        <v>0.10829736606256181</v>
      </c>
      <c r="R48" s="121">
        <f>AVERAGE(D48,F48,H48,J48,L48,N48,P48)</f>
        <v>0.10351911262315903</v>
      </c>
      <c r="S48" s="90">
        <v>9.3175942068354237E-2</v>
      </c>
      <c r="U48" s="90">
        <v>9.8332959499904782E-2</v>
      </c>
      <c r="W48" s="90">
        <v>7.2897500642596091E-2</v>
      </c>
      <c r="Y48" s="90">
        <v>0.10917143681367206</v>
      </c>
      <c r="AA48" s="90">
        <v>7.9365624200812029E-2</v>
      </c>
      <c r="AC48" s="90">
        <v>0.12411804665765759</v>
      </c>
      <c r="AE48" s="90">
        <v>9.3175942068354237E-2</v>
      </c>
      <c r="AG48" s="121">
        <f>AVERAGE(S48,U48,W48,Y48,AA48,AC48,AE48)</f>
        <v>9.5748207421621573E-2</v>
      </c>
    </row>
    <row r="49" spans="1:33">
      <c r="A49" s="89">
        <v>2020</v>
      </c>
      <c r="B49" s="55">
        <v>8</v>
      </c>
      <c r="C49" s="99">
        <f t="shared" si="3"/>
        <v>44051</v>
      </c>
      <c r="D49" s="90">
        <v>7.4601938607261095E-2</v>
      </c>
      <c r="F49" s="90">
        <v>8.4347827482140564E-2</v>
      </c>
      <c r="H49" s="90">
        <v>0.13982946840886462</v>
      </c>
      <c r="L49" s="90">
        <v>0.11004550756478232</v>
      </c>
      <c r="N49" s="90">
        <v>0.11004550756478232</v>
      </c>
      <c r="P49" s="90">
        <v>0.14328641822950572</v>
      </c>
      <c r="R49" s="43">
        <f t="shared" si="78"/>
        <v>0.11035944464288944</v>
      </c>
      <c r="S49" s="90">
        <v>9.7633702899016572E-2</v>
      </c>
      <c r="U49" s="90">
        <v>7.7180447323036389E-2</v>
      </c>
      <c r="W49" s="90">
        <v>9.5055194183241279E-2</v>
      </c>
      <c r="Y49" s="90">
        <v>8.7844110486581611E-2</v>
      </c>
      <c r="AA49" s="90">
        <v>6.5293085107936785E-2</v>
      </c>
      <c r="AC49" s="90">
        <v>9.2214464242132949E-2</v>
      </c>
      <c r="AE49" s="90">
        <v>9.7633702899016572E-2</v>
      </c>
      <c r="AG49" s="121">
        <f>AVERAGE(S49,U49,W49,Y49,AA49,AC49,AE49)</f>
        <v>8.7550672448708886E-2</v>
      </c>
    </row>
    <row r="50" spans="1:33">
      <c r="A50" s="89">
        <v>2020</v>
      </c>
      <c r="B50" s="55">
        <v>9</v>
      </c>
      <c r="C50" s="99">
        <f t="shared" si="3"/>
        <v>44083</v>
      </c>
      <c r="D50" s="90">
        <v>9.8700069215371097E-2</v>
      </c>
      <c r="F50" s="90">
        <v>9.3036090748176578E-2</v>
      </c>
      <c r="H50" s="90">
        <v>0.10981824916949369</v>
      </c>
      <c r="L50" s="90">
        <v>0.12514945014396772</v>
      </c>
      <c r="N50" s="90">
        <v>0.12514945014396772</v>
      </c>
      <c r="P50" s="90">
        <v>0.17437711484649782</v>
      </c>
      <c r="R50" s="43">
        <f t="shared" si="78"/>
        <v>0.12103840404457911</v>
      </c>
      <c r="S50" s="90">
        <v>7.5030233275305128E-2</v>
      </c>
      <c r="U50" s="90">
        <v>8.455760446240701E-2</v>
      </c>
      <c r="W50" s="90">
        <v>8.1026358627921541E-2</v>
      </c>
      <c r="Y50" s="90">
        <v>9.8717550630393294E-2</v>
      </c>
      <c r="Z50" s="90"/>
      <c r="AA50" s="90">
        <v>7.6026673931570837E-2</v>
      </c>
      <c r="AC50" s="90">
        <v>9.8717550630393294E-2</v>
      </c>
      <c r="AD50" s="90"/>
      <c r="AE50" s="90">
        <v>8.7599370676270744E-2</v>
      </c>
      <c r="AG50" s="121">
        <f>AVERAGE(S50,U50,W50,Y50,AA50,AC50,AE50)</f>
        <v>8.5953620319180274E-2</v>
      </c>
    </row>
    <row r="51" spans="1:33">
      <c r="A51" s="89">
        <v>2020</v>
      </c>
      <c r="B51" s="55">
        <v>10</v>
      </c>
      <c r="C51" s="99">
        <f t="shared" si="3"/>
        <v>44114</v>
      </c>
      <c r="D51">
        <v>0.1013922071287907</v>
      </c>
      <c r="F51" s="92">
        <v>9.0169138684534911E-2</v>
      </c>
      <c r="H51" s="90">
        <v>0.10212642655972334</v>
      </c>
      <c r="L51" s="90">
        <v>0.12340130864174717</v>
      </c>
      <c r="N51" s="90">
        <v>9.9748954116703425E-2</v>
      </c>
      <c r="P51" s="90">
        <v>0.12602352089507798</v>
      </c>
      <c r="R51" s="43">
        <f t="shared" si="78"/>
        <v>0.10714359267109626</v>
      </c>
      <c r="S51" s="90">
        <v>8.4767381442673484E-2</v>
      </c>
      <c r="U51" s="90">
        <v>8.2652130224986645E-2</v>
      </c>
      <c r="W51" s="90">
        <v>7.7267854398147415E-2</v>
      </c>
      <c r="Y51" s="90">
        <v>8.067673032747745E-2</v>
      </c>
      <c r="Z51" s="90"/>
      <c r="AA51" s="90">
        <v>8.7477000771115296E-2</v>
      </c>
      <c r="AC51" s="90">
        <v>8.067673032747745E-2</v>
      </c>
      <c r="AD51" s="90"/>
      <c r="AE51" s="90">
        <v>8.1620726738676513E-2</v>
      </c>
      <c r="AG51" s="121">
        <f t="shared" ref="AG51" si="80">AVERAGE(S51,U51,W51,Y51,AA51,AC51,AE51)</f>
        <v>8.2162650604364895E-2</v>
      </c>
    </row>
    <row r="52" spans="1:33">
      <c r="A52" s="89">
        <v>2020</v>
      </c>
      <c r="B52" s="55">
        <v>11</v>
      </c>
      <c r="C52" s="99">
        <f t="shared" si="3"/>
        <v>44146</v>
      </c>
      <c r="R52" s="43" t="e">
        <f t="shared" si="78"/>
        <v>#DIV/0!</v>
      </c>
      <c r="Z52" s="90"/>
      <c r="AD52" s="90"/>
      <c r="AG52" s="121"/>
    </row>
    <row r="53" spans="1:33">
      <c r="A53" s="89">
        <v>2020</v>
      </c>
      <c r="B53" s="55">
        <v>12</v>
      </c>
      <c r="C53" s="99">
        <f t="shared" si="3"/>
        <v>44177</v>
      </c>
      <c r="R53" s="43" t="e">
        <f>AVERAGE(P53,N53,L53,J53,H53,F53,D53)</f>
        <v>#DIV/0!</v>
      </c>
      <c r="Z53" s="90"/>
      <c r="AC53" s="91"/>
      <c r="AD53" s="90"/>
      <c r="AG53" s="121"/>
    </row>
    <row r="54" spans="1:33">
      <c r="Z54" s="90"/>
      <c r="AD54" s="90"/>
    </row>
    <row r="55" spans="1:33">
      <c r="D55" s="91"/>
      <c r="Z55" s="90"/>
      <c r="AD55" s="90"/>
      <c r="AF55" s="90"/>
    </row>
    <row r="56" spans="1:33">
      <c r="D56" s="91"/>
      <c r="Z56" s="90"/>
      <c r="AD56" s="90"/>
      <c r="AF56" s="90"/>
    </row>
    <row r="57" spans="1:33">
      <c r="D57" s="91"/>
      <c r="Z57" s="90"/>
      <c r="AD57" s="90"/>
      <c r="AF57" s="90"/>
    </row>
    <row r="58" spans="1:33">
      <c r="D58" s="91"/>
      <c r="Z58" s="90"/>
      <c r="AD58" s="90"/>
      <c r="AF58" s="90"/>
    </row>
    <row r="59" spans="1:33">
      <c r="D59" s="91"/>
      <c r="Z59" s="90"/>
      <c r="AD59" s="90"/>
      <c r="AF59" s="90"/>
    </row>
    <row r="60" spans="1:33">
      <c r="D60" s="91"/>
      <c r="AF60" s="90"/>
    </row>
    <row r="61" spans="1:33">
      <c r="D61" s="91"/>
      <c r="AF61" s="90"/>
    </row>
    <row r="62" spans="1:33">
      <c r="D62" s="91"/>
      <c r="AF62" s="90"/>
    </row>
    <row r="63" spans="1:33">
      <c r="D63" s="91"/>
      <c r="AF63" s="90"/>
    </row>
    <row r="64" spans="1:33">
      <c r="D64" s="91"/>
      <c r="AF64" s="90"/>
    </row>
    <row r="65" spans="4:4">
      <c r="D65" s="91"/>
    </row>
    <row r="66" spans="4:4">
      <c r="D66" s="91"/>
    </row>
    <row r="67" spans="4:4">
      <c r="D67" s="91"/>
    </row>
    <row r="68" spans="4:4">
      <c r="D68" s="91"/>
    </row>
    <row r="69" spans="4:4">
      <c r="D69" s="91"/>
    </row>
    <row r="70" spans="4:4">
      <c r="D70" s="91"/>
    </row>
    <row r="71" spans="4:4">
      <c r="D71" s="91"/>
    </row>
    <row r="72" spans="4:4">
      <c r="D72" s="91"/>
    </row>
    <row r="73" spans="4:4">
      <c r="D73" s="91"/>
    </row>
    <row r="74" spans="4:4">
      <c r="D74" s="91"/>
    </row>
    <row r="75" spans="4:4">
      <c r="D75" s="91"/>
    </row>
    <row r="76" spans="4:4">
      <c r="D76" s="91"/>
    </row>
    <row r="77" spans="4:4">
      <c r="D77" s="91"/>
    </row>
    <row r="78" spans="4:4">
      <c r="D78" s="91"/>
    </row>
    <row r="79" spans="4:4">
      <c r="D79" s="91"/>
    </row>
    <row r="80" spans="4:4">
      <c r="D80" s="91"/>
    </row>
    <row r="81" spans="4:5">
      <c r="D81" s="91"/>
    </row>
    <row r="85" spans="4:5">
      <c r="E85" s="90"/>
    </row>
    <row r="86" spans="4:5">
      <c r="E86" s="90"/>
    </row>
    <row r="87" spans="4:5">
      <c r="E87" s="90"/>
    </row>
    <row r="88" spans="4:5">
      <c r="E88" s="90"/>
    </row>
    <row r="89" spans="4:5">
      <c r="E89" s="90"/>
    </row>
    <row r="90" spans="4:5">
      <c r="E90" s="90"/>
    </row>
    <row r="91" spans="4:5">
      <c r="E91" s="90"/>
    </row>
    <row r="92" spans="4:5">
      <c r="E92" s="90"/>
    </row>
    <row r="93" spans="4:5">
      <c r="E93" s="90"/>
    </row>
    <row r="94" spans="4:5">
      <c r="E94" s="9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K34" sqref="K34"/>
    </sheetView>
  </sheetViews>
  <sheetFormatPr defaultRowHeight="15"/>
  <sheetData>
    <row r="1" spans="1:20">
      <c r="A1" t="s">
        <v>3</v>
      </c>
      <c r="B1" t="s">
        <v>0</v>
      </c>
      <c r="C1" t="s">
        <v>2</v>
      </c>
      <c r="D1" t="s">
        <v>1</v>
      </c>
      <c r="E1" t="s">
        <v>7</v>
      </c>
      <c r="F1" t="s">
        <v>8</v>
      </c>
      <c r="G1" t="s">
        <v>10</v>
      </c>
      <c r="H1" t="s">
        <v>9</v>
      </c>
      <c r="I1" t="s">
        <v>13</v>
      </c>
      <c r="J1" t="s">
        <v>14</v>
      </c>
      <c r="K1" t="s">
        <v>15</v>
      </c>
      <c r="L1" t="s">
        <v>26</v>
      </c>
      <c r="M1" t="s">
        <v>27</v>
      </c>
      <c r="P1" t="s">
        <v>62</v>
      </c>
      <c r="Q1" t="s">
        <v>58</v>
      </c>
      <c r="R1" t="s">
        <v>60</v>
      </c>
      <c r="S1" t="s">
        <v>59</v>
      </c>
      <c r="T1" t="s">
        <v>61</v>
      </c>
    </row>
    <row r="2" spans="1:20">
      <c r="A2" t="s">
        <v>4</v>
      </c>
      <c r="B2">
        <v>1</v>
      </c>
      <c r="C2">
        <v>95</v>
      </c>
      <c r="D2">
        <v>2018</v>
      </c>
      <c r="E2">
        <v>55</v>
      </c>
      <c r="F2">
        <v>9</v>
      </c>
      <c r="G2">
        <v>167</v>
      </c>
      <c r="H2">
        <v>7.3967065868263475</v>
      </c>
      <c r="I2">
        <v>0.10796958953089547</v>
      </c>
      <c r="J2">
        <v>0.10266897476166251</v>
      </c>
      <c r="K2">
        <v>9.2918715533027482E-2</v>
      </c>
      <c r="L2">
        <v>0.71868282333163758</v>
      </c>
      <c r="M2">
        <v>0.65043100873119242</v>
      </c>
      <c r="P2">
        <v>2017</v>
      </c>
      <c r="Q2">
        <v>14.857142857142858</v>
      </c>
      <c r="R2">
        <v>7</v>
      </c>
      <c r="S2">
        <v>1.7142857142857142</v>
      </c>
      <c r="T2">
        <v>9.8000000000000007</v>
      </c>
    </row>
    <row r="3" spans="1:20">
      <c r="D3">
        <v>2019</v>
      </c>
      <c r="E3">
        <v>63</v>
      </c>
      <c r="F3">
        <v>8.25</v>
      </c>
      <c r="P3">
        <v>2018</v>
      </c>
      <c r="Q3">
        <v>38.571428571428569</v>
      </c>
      <c r="R3">
        <v>6.7357142857142858</v>
      </c>
      <c r="S3">
        <v>35.857142857142854</v>
      </c>
      <c r="T3">
        <v>5.2857142857142856</v>
      </c>
    </row>
    <row r="4" spans="1:20">
      <c r="D4">
        <v>2020</v>
      </c>
      <c r="E4">
        <v>49</v>
      </c>
      <c r="F4">
        <v>4.5</v>
      </c>
      <c r="P4">
        <v>2019</v>
      </c>
      <c r="Q4">
        <v>41.142857142857146</v>
      </c>
      <c r="R4">
        <v>5.1071428571428568</v>
      </c>
      <c r="S4">
        <v>74.142857142857139</v>
      </c>
      <c r="T4">
        <v>8.5</v>
      </c>
    </row>
    <row r="5" spans="1:20">
      <c r="B5">
        <v>2</v>
      </c>
      <c r="C5">
        <v>50</v>
      </c>
      <c r="D5">
        <v>2018</v>
      </c>
      <c r="E5">
        <v>30</v>
      </c>
      <c r="F5">
        <v>7.5</v>
      </c>
      <c r="G5">
        <v>180</v>
      </c>
      <c r="H5">
        <v>6.979166666666667</v>
      </c>
      <c r="I5">
        <v>0.10980513810822701</v>
      </c>
      <c r="P5">
        <v>2020</v>
      </c>
      <c r="Q5">
        <v>77.142857142857139</v>
      </c>
      <c r="R5">
        <v>5.6428571428571432</v>
      </c>
      <c r="S5">
        <v>69</v>
      </c>
      <c r="T5">
        <v>3.8571428571428572</v>
      </c>
    </row>
    <row r="6" spans="1:20">
      <c r="D6">
        <v>2019</v>
      </c>
      <c r="E6">
        <v>75</v>
      </c>
      <c r="F6">
        <v>9.5</v>
      </c>
    </row>
    <row r="7" spans="1:20">
      <c r="D7">
        <v>2020</v>
      </c>
      <c r="E7">
        <v>75</v>
      </c>
      <c r="F7">
        <v>4.25</v>
      </c>
    </row>
    <row r="8" spans="1:20">
      <c r="B8">
        <v>3</v>
      </c>
      <c r="C8">
        <v>97</v>
      </c>
      <c r="D8">
        <v>2018</v>
      </c>
      <c r="E8">
        <v>63</v>
      </c>
      <c r="F8">
        <v>6.75</v>
      </c>
      <c r="G8">
        <v>167</v>
      </c>
      <c r="H8">
        <v>6.7380239520958085</v>
      </c>
      <c r="I8">
        <v>9.8354811268682549E-2</v>
      </c>
    </row>
    <row r="9" spans="1:20">
      <c r="D9">
        <v>2019</v>
      </c>
      <c r="E9">
        <v>64</v>
      </c>
      <c r="F9">
        <v>8.75</v>
      </c>
    </row>
    <row r="10" spans="1:20">
      <c r="D10">
        <v>2020</v>
      </c>
      <c r="E10">
        <v>40</v>
      </c>
      <c r="F10">
        <v>3.5</v>
      </c>
    </row>
    <row r="11" spans="1:20">
      <c r="B11">
        <v>4</v>
      </c>
      <c r="C11">
        <v>94</v>
      </c>
      <c r="D11">
        <v>2017</v>
      </c>
      <c r="E11">
        <v>0</v>
      </c>
      <c r="F11">
        <v>0</v>
      </c>
      <c r="G11">
        <v>155</v>
      </c>
      <c r="H11">
        <v>6.4161290322580644</v>
      </c>
      <c r="I11">
        <v>9.8354811268682549E-2</v>
      </c>
    </row>
    <row r="12" spans="1:20">
      <c r="D12">
        <v>2018</v>
      </c>
      <c r="E12">
        <v>37</v>
      </c>
      <c r="F12">
        <v>7.5</v>
      </c>
    </row>
    <row r="13" spans="1:20">
      <c r="D13">
        <v>2019</v>
      </c>
      <c r="E13">
        <v>64</v>
      </c>
      <c r="F13">
        <v>8.25</v>
      </c>
    </row>
    <row r="14" spans="1:20">
      <c r="D14">
        <v>2020</v>
      </c>
      <c r="E14">
        <v>54</v>
      </c>
      <c r="F14">
        <v>3.5</v>
      </c>
    </row>
    <row r="15" spans="1:20">
      <c r="B15">
        <v>5</v>
      </c>
      <c r="C15">
        <v>55</v>
      </c>
      <c r="D15">
        <v>2018</v>
      </c>
      <c r="E15">
        <v>0</v>
      </c>
      <c r="F15">
        <v>0</v>
      </c>
      <c r="G15">
        <v>183</v>
      </c>
      <c r="H15">
        <v>6.168032786885246</v>
      </c>
      <c r="I15">
        <v>9.8660736031571147E-2</v>
      </c>
    </row>
    <row r="16" spans="1:20">
      <c r="D16">
        <v>2019</v>
      </c>
      <c r="E16">
        <v>78</v>
      </c>
      <c r="F16">
        <v>8.75</v>
      </c>
    </row>
    <row r="17" spans="1:9">
      <c r="D17">
        <v>2020</v>
      </c>
      <c r="E17">
        <v>105</v>
      </c>
      <c r="F17">
        <v>4.25</v>
      </c>
    </row>
    <row r="18" spans="1:9">
      <c r="B18">
        <v>6</v>
      </c>
      <c r="C18">
        <v>55</v>
      </c>
      <c r="D18">
        <v>2018</v>
      </c>
      <c r="E18">
        <v>0</v>
      </c>
      <c r="F18">
        <v>0</v>
      </c>
      <c r="G18">
        <v>164</v>
      </c>
      <c r="H18">
        <v>6.7149390243902438</v>
      </c>
      <c r="I18">
        <v>9.6257041466017906E-2</v>
      </c>
    </row>
    <row r="19" spans="1:9">
      <c r="D19">
        <v>2019</v>
      </c>
      <c r="E19">
        <v>77</v>
      </c>
      <c r="F19">
        <v>9.5</v>
      </c>
    </row>
    <row r="20" spans="1:9">
      <c r="D20">
        <v>2020</v>
      </c>
      <c r="E20">
        <v>87</v>
      </c>
      <c r="F20">
        <v>4.25</v>
      </c>
    </row>
    <row r="21" spans="1:9">
      <c r="B21">
        <v>7</v>
      </c>
      <c r="C21">
        <v>58</v>
      </c>
      <c r="D21">
        <v>2018</v>
      </c>
      <c r="E21">
        <v>66</v>
      </c>
      <c r="F21">
        <v>6.25</v>
      </c>
      <c r="G21">
        <v>237</v>
      </c>
      <c r="H21">
        <v>5.2753164556962027</v>
      </c>
      <c r="I21">
        <v>0.10928069565756088</v>
      </c>
    </row>
    <row r="22" spans="1:9">
      <c r="D22">
        <v>2019</v>
      </c>
      <c r="E22">
        <v>98</v>
      </c>
      <c r="F22">
        <v>6.5</v>
      </c>
    </row>
    <row r="23" spans="1:9">
      <c r="D23">
        <v>2020</v>
      </c>
      <c r="E23">
        <v>73</v>
      </c>
      <c r="F23">
        <v>2.75</v>
      </c>
    </row>
    <row r="24" spans="1:9">
      <c r="A24" t="s">
        <v>6</v>
      </c>
      <c r="B24">
        <v>9</v>
      </c>
      <c r="C24">
        <v>14</v>
      </c>
      <c r="D24">
        <v>2017</v>
      </c>
      <c r="E24">
        <v>28</v>
      </c>
      <c r="F24">
        <v>7.5</v>
      </c>
      <c r="G24">
        <v>150</v>
      </c>
      <c r="H24">
        <v>5.52</v>
      </c>
      <c r="I24">
        <v>7.237305819192992E-2</v>
      </c>
    </row>
    <row r="25" spans="1:9">
      <c r="D25">
        <v>2018</v>
      </c>
      <c r="E25">
        <v>48</v>
      </c>
      <c r="F25">
        <v>8</v>
      </c>
    </row>
    <row r="26" spans="1:9">
      <c r="D26">
        <v>2019</v>
      </c>
      <c r="E26">
        <v>40</v>
      </c>
      <c r="F26">
        <v>5</v>
      </c>
    </row>
    <row r="27" spans="1:9">
      <c r="D27">
        <v>2020</v>
      </c>
      <c r="E27">
        <v>34</v>
      </c>
      <c r="F27">
        <v>1</v>
      </c>
    </row>
    <row r="28" spans="1:9">
      <c r="B28">
        <v>10</v>
      </c>
      <c r="C28">
        <v>13</v>
      </c>
      <c r="D28">
        <v>2017</v>
      </c>
      <c r="E28">
        <v>36</v>
      </c>
      <c r="F28">
        <v>7.5</v>
      </c>
      <c r="G28">
        <v>204</v>
      </c>
      <c r="H28">
        <v>6.7867647058823533</v>
      </c>
      <c r="I28">
        <v>0.12101509549121615</v>
      </c>
    </row>
    <row r="29" spans="1:9">
      <c r="D29">
        <v>2018</v>
      </c>
      <c r="E29">
        <v>62</v>
      </c>
      <c r="F29">
        <v>7</v>
      </c>
    </row>
    <row r="30" spans="1:9">
      <c r="D30">
        <v>2019</v>
      </c>
      <c r="E30">
        <v>28</v>
      </c>
      <c r="F30">
        <v>5.5</v>
      </c>
    </row>
    <row r="31" spans="1:9">
      <c r="D31">
        <v>2020</v>
      </c>
      <c r="E31">
        <v>78</v>
      </c>
      <c r="F31">
        <v>6.75</v>
      </c>
    </row>
    <row r="32" spans="1:9">
      <c r="B32">
        <v>11</v>
      </c>
      <c r="C32">
        <v>17</v>
      </c>
      <c r="D32">
        <v>2017</v>
      </c>
      <c r="E32">
        <v>28</v>
      </c>
      <c r="F32">
        <v>7</v>
      </c>
      <c r="G32">
        <v>164</v>
      </c>
      <c r="H32">
        <v>5.5121951219512191</v>
      </c>
      <c r="I32">
        <v>7.9015995900367939E-2</v>
      </c>
    </row>
    <row r="33" spans="2:9">
      <c r="D33">
        <v>2018</v>
      </c>
      <c r="E33">
        <v>36</v>
      </c>
      <c r="F33">
        <v>5.5</v>
      </c>
    </row>
    <row r="34" spans="2:9">
      <c r="D34">
        <v>2019</v>
      </c>
      <c r="E34">
        <v>36</v>
      </c>
      <c r="F34">
        <v>3.5</v>
      </c>
    </row>
    <row r="35" spans="2:9">
      <c r="D35">
        <v>2020</v>
      </c>
      <c r="E35">
        <v>64</v>
      </c>
      <c r="F35">
        <v>6</v>
      </c>
    </row>
    <row r="36" spans="2:9">
      <c r="B36">
        <v>12</v>
      </c>
      <c r="C36">
        <v>80</v>
      </c>
      <c r="D36">
        <v>2017</v>
      </c>
      <c r="E36">
        <v>30</v>
      </c>
      <c r="F36">
        <v>6.5</v>
      </c>
      <c r="G36">
        <v>234</v>
      </c>
      <c r="H36">
        <v>4.6752136752136755</v>
      </c>
      <c r="I36">
        <v>9.5623340171462984E-2</v>
      </c>
    </row>
    <row r="37" spans="2:9">
      <c r="D37">
        <v>2018</v>
      </c>
      <c r="E37">
        <v>54</v>
      </c>
      <c r="F37">
        <v>7.5</v>
      </c>
    </row>
    <row r="38" spans="2:9">
      <c r="D38">
        <v>2019</v>
      </c>
      <c r="E38">
        <v>74</v>
      </c>
      <c r="F38">
        <v>6.5</v>
      </c>
    </row>
    <row r="39" spans="2:9">
      <c r="D39">
        <v>2020</v>
      </c>
      <c r="E39">
        <v>76</v>
      </c>
      <c r="F39">
        <v>6.5</v>
      </c>
    </row>
    <row r="40" spans="2:9">
      <c r="B40">
        <v>13</v>
      </c>
      <c r="C40">
        <v>18</v>
      </c>
      <c r="D40">
        <v>2017</v>
      </c>
      <c r="E40">
        <v>8</v>
      </c>
      <c r="F40">
        <v>7.5</v>
      </c>
      <c r="G40">
        <v>226</v>
      </c>
      <c r="H40">
        <v>4.5951327433628322</v>
      </c>
      <c r="I40">
        <v>9.077224750280101E-2</v>
      </c>
    </row>
    <row r="41" spans="2:9">
      <c r="D41">
        <v>2018</v>
      </c>
      <c r="E41">
        <v>60</v>
      </c>
      <c r="F41">
        <v>8.5</v>
      </c>
    </row>
    <row r="42" spans="2:9">
      <c r="D42">
        <v>2019</v>
      </c>
      <c r="E42">
        <v>32</v>
      </c>
      <c r="F42">
        <v>4</v>
      </c>
    </row>
    <row r="43" spans="2:9">
      <c r="D43">
        <v>2020</v>
      </c>
      <c r="E43">
        <v>126</v>
      </c>
      <c r="F43">
        <v>6.75</v>
      </c>
    </row>
    <row r="44" spans="2:9">
      <c r="B44">
        <v>14</v>
      </c>
      <c r="C44">
        <v>80</v>
      </c>
      <c r="D44">
        <v>2017</v>
      </c>
      <c r="E44">
        <v>30</v>
      </c>
      <c r="F44">
        <v>6.5</v>
      </c>
      <c r="G44">
        <v>234</v>
      </c>
      <c r="H44">
        <v>5</v>
      </c>
      <c r="I44">
        <v>0.10226627787990097</v>
      </c>
    </row>
    <row r="45" spans="2:9">
      <c r="D45">
        <v>2018</v>
      </c>
      <c r="E45">
        <v>54</v>
      </c>
      <c r="F45">
        <v>7.5</v>
      </c>
    </row>
    <row r="46" spans="2:9">
      <c r="D46">
        <v>2019</v>
      </c>
      <c r="E46">
        <v>74</v>
      </c>
      <c r="F46">
        <v>6.5</v>
      </c>
    </row>
    <row r="47" spans="2:9">
      <c r="D47">
        <v>2020</v>
      </c>
      <c r="E47">
        <v>76</v>
      </c>
      <c r="F47">
        <v>6.5</v>
      </c>
    </row>
    <row r="48" spans="2:9">
      <c r="B48">
        <v>15</v>
      </c>
      <c r="C48">
        <v>14</v>
      </c>
      <c r="D48">
        <v>2017</v>
      </c>
      <c r="E48">
        <v>12</v>
      </c>
      <c r="F48">
        <v>6</v>
      </c>
      <c r="G48">
        <v>178</v>
      </c>
      <c r="H48">
        <v>5.7438202247191015</v>
      </c>
      <c r="I48">
        <v>8.9364993593513478E-2</v>
      </c>
    </row>
    <row r="49" spans="4:6">
      <c r="D49">
        <v>2018</v>
      </c>
      <c r="E49">
        <v>56</v>
      </c>
      <c r="F49">
        <v>6.15</v>
      </c>
    </row>
    <row r="50" spans="4:6">
      <c r="D50">
        <v>2019</v>
      </c>
      <c r="E50">
        <v>24</v>
      </c>
      <c r="F50">
        <v>3.75</v>
      </c>
    </row>
    <row r="51" spans="4:6">
      <c r="D51">
        <v>2020</v>
      </c>
      <c r="E51">
        <v>86</v>
      </c>
      <c r="F5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8"/>
  <sheetViews>
    <sheetView workbookViewId="0">
      <selection activeCell="I2" sqref="I2:I4"/>
    </sheetView>
  </sheetViews>
  <sheetFormatPr defaultRowHeight="15"/>
  <sheetData>
    <row r="1" spans="1:20" ht="30">
      <c r="A1" s="8" t="s">
        <v>3</v>
      </c>
      <c r="B1" s="8" t="s">
        <v>0</v>
      </c>
      <c r="C1" s="8" t="s">
        <v>2</v>
      </c>
      <c r="D1" s="8" t="s">
        <v>1</v>
      </c>
      <c r="E1" s="8" t="s">
        <v>7</v>
      </c>
      <c r="F1" s="8" t="s">
        <v>8</v>
      </c>
      <c r="G1" s="10" t="s">
        <v>10</v>
      </c>
      <c r="H1" s="8" t="s">
        <v>9</v>
      </c>
      <c r="I1" s="8" t="s">
        <v>13</v>
      </c>
      <c r="J1" s="8" t="s">
        <v>14</v>
      </c>
      <c r="K1" s="8" t="s">
        <v>15</v>
      </c>
      <c r="L1" s="8" t="s">
        <v>26</v>
      </c>
      <c r="M1" s="8" t="s">
        <v>27</v>
      </c>
      <c r="P1" s="71" t="s">
        <v>62</v>
      </c>
      <c r="Q1" s="70" t="s">
        <v>58</v>
      </c>
      <c r="R1" s="70" t="s">
        <v>60</v>
      </c>
      <c r="S1" s="70" t="s">
        <v>59</v>
      </c>
      <c r="T1" s="70" t="s">
        <v>61</v>
      </c>
    </row>
    <row r="2" spans="1:20">
      <c r="A2" s="126" t="s">
        <v>4</v>
      </c>
      <c r="B2" s="126">
        <v>1</v>
      </c>
      <c r="C2" s="127">
        <v>95</v>
      </c>
      <c r="D2" s="65">
        <v>2018</v>
      </c>
      <c r="E2" s="66">
        <v>62</v>
      </c>
      <c r="F2" s="66">
        <v>7.5</v>
      </c>
      <c r="G2" s="130">
        <f>SUM(E2:E4)</f>
        <v>181</v>
      </c>
      <c r="H2" s="130">
        <f>(F2*E2+F3*E3+E4*F4)/G2</f>
        <v>6.1569060773480668</v>
      </c>
      <c r="I2" s="123">
        <f>(((PI()*0.00085*H2/100)+(0.00085*H2/100*2))*G2/2)*4</f>
        <v>9.7406444503727929E-2</v>
      </c>
      <c r="J2" s="21">
        <f>AVERAGE(I2:I23)</f>
        <v>9.2261913797193201E-2</v>
      </c>
      <c r="K2" s="21">
        <f>AVERAGE(I24:I48)</f>
        <v>6.7485754020721975E-2</v>
      </c>
      <c r="L2" s="21">
        <f>SUM(I2:I23)</f>
        <v>0.64583339658035244</v>
      </c>
      <c r="M2" s="21">
        <f>SUM(I24:I48)</f>
        <v>0.47240027814505381</v>
      </c>
      <c r="P2">
        <v>2017</v>
      </c>
      <c r="Q2" s="79">
        <f>AVERAGE(E32,E24,E28,E45,0,0,0)</f>
        <v>5.1428571428571432</v>
      </c>
      <c r="R2" s="79">
        <f>AVERAGE(F32,F24,F28,F45)</f>
        <v>6.6</v>
      </c>
      <c r="S2" s="79">
        <f>AVERAGE(12,0,0,0,0,0,0)</f>
        <v>1.7142857142857142</v>
      </c>
      <c r="T2" s="79">
        <v>9.8000000000000007</v>
      </c>
    </row>
    <row r="3" spans="1:20">
      <c r="A3" s="126"/>
      <c r="B3" s="126"/>
      <c r="C3" s="128"/>
      <c r="D3" s="65">
        <v>2019</v>
      </c>
      <c r="E3" s="66">
        <v>78</v>
      </c>
      <c r="F3" s="66">
        <v>7.8</v>
      </c>
      <c r="G3" s="130"/>
      <c r="H3" s="130"/>
      <c r="I3" s="124"/>
      <c r="J3" s="21"/>
      <c r="K3" s="21"/>
      <c r="P3" s="59">
        <v>2018</v>
      </c>
      <c r="Q3" s="79">
        <f>AVERAGE(E33,E25,E29,E46,E36,E39,E42)</f>
        <v>65.142857142857139</v>
      </c>
      <c r="R3" s="79">
        <f>AVERAGE(F33,F25,F29,F46,F36,F39,F42)</f>
        <v>6.5428571428571427</v>
      </c>
      <c r="S3" s="79">
        <f>AVERAGE(E2,E5,E8,E21,E12,E15,E18)</f>
        <v>51</v>
      </c>
      <c r="T3" s="79">
        <f>AVERAGE(F2,F5,F8,F21,F12,F15,F18)</f>
        <v>8.7285714285714278</v>
      </c>
    </row>
    <row r="4" spans="1:20">
      <c r="A4" s="126"/>
      <c r="B4" s="126"/>
      <c r="C4" s="129"/>
      <c r="D4" s="65">
        <v>2020</v>
      </c>
      <c r="E4" s="66">
        <v>41</v>
      </c>
      <c r="F4" s="66">
        <v>1</v>
      </c>
      <c r="G4" s="130"/>
      <c r="H4" s="130"/>
      <c r="I4" s="125"/>
      <c r="J4" s="21"/>
      <c r="K4" s="21"/>
      <c r="P4">
        <v>2019</v>
      </c>
      <c r="Q4" s="79">
        <f>AVERAGE(E34,E26,E30,E47,E37,E40,E43)</f>
        <v>44.571428571428569</v>
      </c>
      <c r="R4" s="79">
        <f>AVERAGE(F34,F26,F30,F47,F37,F40,F43)</f>
        <v>3.0428571428571431</v>
      </c>
      <c r="S4" s="79">
        <f t="shared" ref="S4:T4" si="0">AVERAGE(E3,E6,E9,E22,E13,E16,E19)</f>
        <v>63.428571428571431</v>
      </c>
      <c r="T4" s="79">
        <f t="shared" si="0"/>
        <v>8.6142857142857139</v>
      </c>
    </row>
    <row r="5" spans="1:20">
      <c r="A5" s="126"/>
      <c r="B5" s="126">
        <v>2</v>
      </c>
      <c r="C5" s="127">
        <v>50</v>
      </c>
      <c r="D5" s="65">
        <v>2018</v>
      </c>
      <c r="E5" s="65">
        <v>43</v>
      </c>
      <c r="F5" s="67">
        <v>11</v>
      </c>
      <c r="G5" s="130">
        <f>SUM(E5:E7)</f>
        <v>165</v>
      </c>
      <c r="H5" s="130">
        <f>(F6*E6+F7*E7+E5*F5)/G5</f>
        <v>6.872727272727273</v>
      </c>
      <c r="I5" s="123">
        <f t="shared" ref="I5" si="1">(((PI()*0.00085*H5/100)+(0.00085*H5/100*2))*G5/2)*4</f>
        <v>9.9119623175904031E-2</v>
      </c>
      <c r="J5" s="21"/>
      <c r="K5" s="21"/>
      <c r="P5">
        <v>2020</v>
      </c>
      <c r="Q5" s="79">
        <f t="shared" ref="Q5:R5" si="2">AVERAGE(E35,E27,E31,E48,E38,E41,E44)</f>
        <v>49.714285714285715</v>
      </c>
      <c r="R5" s="79">
        <f t="shared" si="2"/>
        <v>3.5</v>
      </c>
      <c r="S5" s="79">
        <f t="shared" ref="S5:T5" si="3">AVERAGE(E4,E7,E10,E23,E14,E17,E20)</f>
        <v>58.428571428571431</v>
      </c>
      <c r="T5" s="79">
        <f t="shared" si="3"/>
        <v>1.1000000000000001</v>
      </c>
    </row>
    <row r="6" spans="1:20">
      <c r="A6" s="126"/>
      <c r="B6" s="126"/>
      <c r="C6" s="128"/>
      <c r="D6" s="65">
        <v>2019</v>
      </c>
      <c r="E6" s="65">
        <v>62</v>
      </c>
      <c r="F6" s="66">
        <v>9.5</v>
      </c>
      <c r="G6" s="130"/>
      <c r="H6" s="130"/>
      <c r="I6" s="124"/>
      <c r="J6" s="21"/>
      <c r="K6" s="21"/>
    </row>
    <row r="7" spans="1:20">
      <c r="A7" s="126"/>
      <c r="B7" s="126"/>
      <c r="C7" s="129"/>
      <c r="D7" s="65">
        <v>2020</v>
      </c>
      <c r="E7" s="65">
        <v>60</v>
      </c>
      <c r="F7" s="66">
        <v>1.2</v>
      </c>
      <c r="G7" s="130"/>
      <c r="H7" s="130"/>
      <c r="I7" s="125"/>
      <c r="J7" s="21"/>
      <c r="K7" s="21"/>
    </row>
    <row r="8" spans="1:20">
      <c r="A8" s="126"/>
      <c r="B8" s="126">
        <v>3</v>
      </c>
      <c r="C8" s="127">
        <v>97</v>
      </c>
      <c r="D8" s="65">
        <v>2018</v>
      </c>
      <c r="E8" s="65">
        <v>50</v>
      </c>
      <c r="F8" s="66">
        <v>8.5</v>
      </c>
      <c r="G8" s="130">
        <f t="shared" ref="G8" si="4">SUM(E8:E10)</f>
        <v>148</v>
      </c>
      <c r="H8" s="130">
        <f>(F8*E8+F9*E9+F10*E10)/G8</f>
        <v>6.5608108108108105</v>
      </c>
      <c r="I8" s="123">
        <f t="shared" ref="I8" si="5">(((PI()*0.00085*H8/100)+(0.00085*H8/100*2))*G8/2)*4</f>
        <v>8.4872269932806707E-2</v>
      </c>
      <c r="J8" s="21"/>
      <c r="K8" s="21"/>
    </row>
    <row r="9" spans="1:20">
      <c r="A9" s="126"/>
      <c r="B9" s="126"/>
      <c r="C9" s="128"/>
      <c r="D9" s="65">
        <v>2019</v>
      </c>
      <c r="E9" s="65">
        <v>56</v>
      </c>
      <c r="F9" s="66">
        <v>9</v>
      </c>
      <c r="G9" s="130"/>
      <c r="H9" s="130"/>
      <c r="I9" s="124"/>
      <c r="J9" s="21"/>
      <c r="K9" s="21"/>
    </row>
    <row r="10" spans="1:20">
      <c r="A10" s="126"/>
      <c r="B10" s="126"/>
      <c r="C10" s="129"/>
      <c r="D10" s="65">
        <v>2020</v>
      </c>
      <c r="E10" s="65">
        <v>42</v>
      </c>
      <c r="F10" s="66">
        <v>1</v>
      </c>
      <c r="G10" s="130"/>
      <c r="H10" s="130"/>
      <c r="I10" s="125"/>
      <c r="J10" s="21"/>
      <c r="K10" s="21"/>
    </row>
    <row r="11" spans="1:20">
      <c r="A11" s="126"/>
      <c r="B11" s="126">
        <v>4</v>
      </c>
      <c r="C11" s="127">
        <v>94</v>
      </c>
      <c r="D11" s="65">
        <v>2017</v>
      </c>
      <c r="E11" s="65">
        <v>12</v>
      </c>
      <c r="F11" s="66">
        <v>9.8000000000000007</v>
      </c>
      <c r="G11" s="130">
        <f>SUM(E11:E14)</f>
        <v>162</v>
      </c>
      <c r="H11" s="130">
        <f>(F11*E11+F12*E12+F14*E14+E13*F13)/G11</f>
        <v>6.2691358024691359</v>
      </c>
      <c r="I11" s="131">
        <f>(((PI()*0.00085*H8/100)+(0.00085*H8/100*2))*G8/2)*4</f>
        <v>8.4872269932806707E-2</v>
      </c>
      <c r="J11" s="21"/>
      <c r="K11" s="21"/>
    </row>
    <row r="12" spans="1:20">
      <c r="A12" s="126"/>
      <c r="B12" s="126"/>
      <c r="C12" s="128"/>
      <c r="D12" s="65">
        <v>2018</v>
      </c>
      <c r="E12" s="65">
        <v>32</v>
      </c>
      <c r="F12" s="66">
        <v>9.5</v>
      </c>
      <c r="G12" s="130"/>
      <c r="H12" s="130"/>
      <c r="I12" s="132"/>
      <c r="J12" s="21"/>
      <c r="K12" s="21"/>
    </row>
    <row r="13" spans="1:20">
      <c r="A13" s="126"/>
      <c r="B13" s="126"/>
      <c r="C13" s="128"/>
      <c r="D13" s="65">
        <v>2019</v>
      </c>
      <c r="E13" s="65">
        <v>56</v>
      </c>
      <c r="F13" s="66">
        <v>9.5</v>
      </c>
      <c r="G13" s="130"/>
      <c r="H13" s="130"/>
      <c r="I13" s="132"/>
      <c r="J13" s="21"/>
      <c r="K13" s="21"/>
    </row>
    <row r="14" spans="1:20">
      <c r="A14" s="126"/>
      <c r="B14" s="126"/>
      <c r="C14" s="129"/>
      <c r="D14" s="65">
        <v>2020</v>
      </c>
      <c r="E14" s="65">
        <v>62</v>
      </c>
      <c r="F14" s="66">
        <v>1</v>
      </c>
      <c r="G14" s="130"/>
      <c r="H14" s="130"/>
      <c r="I14" s="133"/>
      <c r="J14" s="21"/>
      <c r="K14" s="21"/>
    </row>
    <row r="15" spans="1:20">
      <c r="A15" s="126"/>
      <c r="B15" s="126">
        <v>5</v>
      </c>
      <c r="C15" s="127">
        <v>55</v>
      </c>
      <c r="D15" s="65">
        <v>2018</v>
      </c>
      <c r="E15" s="66">
        <v>44</v>
      </c>
      <c r="F15" s="66">
        <v>8.3000000000000007</v>
      </c>
      <c r="G15" s="130">
        <f t="shared" ref="G15" si="6">SUM(E15:E17)</f>
        <v>162</v>
      </c>
      <c r="H15" s="130">
        <f>(F15*E15+F16*E16+F17*E17)/G15</f>
        <v>5.8530864197530867</v>
      </c>
      <c r="I15" s="123">
        <f>(((PI()*0.00085*H15/100)+(0.00085*H15/100*2))*G15/2)*4</f>
        <v>8.2879388620275302E-2</v>
      </c>
      <c r="J15" s="21"/>
      <c r="K15" s="21"/>
    </row>
    <row r="16" spans="1:20">
      <c r="A16" s="126"/>
      <c r="B16" s="126"/>
      <c r="C16" s="128"/>
      <c r="D16" s="65">
        <v>2019</v>
      </c>
      <c r="E16" s="66">
        <v>62</v>
      </c>
      <c r="F16" s="66">
        <v>8.5</v>
      </c>
      <c r="G16" s="130"/>
      <c r="H16" s="130"/>
      <c r="I16" s="124"/>
      <c r="J16" s="21"/>
      <c r="K16" s="21"/>
    </row>
    <row r="17" spans="1:11">
      <c r="A17" s="126"/>
      <c r="B17" s="126"/>
      <c r="C17" s="129"/>
      <c r="D17" s="65">
        <v>2020</v>
      </c>
      <c r="E17" s="66">
        <v>56</v>
      </c>
      <c r="F17" s="66">
        <v>1</v>
      </c>
      <c r="G17" s="130"/>
      <c r="H17" s="130"/>
      <c r="I17" s="125"/>
      <c r="J17" s="21"/>
      <c r="K17" s="21"/>
    </row>
    <row r="18" spans="1:11">
      <c r="A18" s="126"/>
      <c r="B18" s="126">
        <v>6</v>
      </c>
      <c r="C18" s="127">
        <v>55</v>
      </c>
      <c r="D18" s="65">
        <v>2018</v>
      </c>
      <c r="E18" s="66">
        <v>64</v>
      </c>
      <c r="F18" s="66">
        <v>9.3000000000000007</v>
      </c>
      <c r="G18" s="130">
        <f>SUM(E18:E20)</f>
        <v>178</v>
      </c>
      <c r="H18" s="130">
        <f>(F18*E18+F19*E19+F20*E20)/G18</f>
        <v>6.2595505617977532</v>
      </c>
      <c r="I18" s="123">
        <f>(((PI()*0.00085*H18/100)+(0.00085*H18/100*2))*G18/2)*4</f>
        <v>9.7388963088705705E-2</v>
      </c>
      <c r="J18" s="21"/>
      <c r="K18" s="21"/>
    </row>
    <row r="19" spans="1:11">
      <c r="A19" s="126"/>
      <c r="B19" s="126"/>
      <c r="C19" s="128"/>
      <c r="D19" s="65">
        <v>2019</v>
      </c>
      <c r="E19" s="66">
        <v>54</v>
      </c>
      <c r="F19" s="66">
        <v>8.5</v>
      </c>
      <c r="G19" s="130"/>
      <c r="H19" s="130"/>
      <c r="I19" s="124"/>
      <c r="J19" s="21"/>
      <c r="K19" s="21"/>
    </row>
    <row r="20" spans="1:11">
      <c r="A20" s="126"/>
      <c r="B20" s="126"/>
      <c r="C20" s="129"/>
      <c r="D20" s="65">
        <v>2020</v>
      </c>
      <c r="E20" s="66">
        <v>60</v>
      </c>
      <c r="F20" s="66">
        <v>1</v>
      </c>
      <c r="G20" s="130"/>
      <c r="H20" s="130"/>
      <c r="I20" s="125"/>
      <c r="K20" s="21"/>
    </row>
    <row r="21" spans="1:11">
      <c r="A21" s="126"/>
      <c r="B21" s="126">
        <v>7</v>
      </c>
      <c r="C21" s="127">
        <v>58</v>
      </c>
      <c r="D21" s="65">
        <v>2018</v>
      </c>
      <c r="E21" s="66">
        <v>62</v>
      </c>
      <c r="F21" s="66">
        <v>7</v>
      </c>
      <c r="G21" s="130">
        <f t="shared" ref="G21" si="7">SUM(E21:E23)</f>
        <v>226</v>
      </c>
      <c r="H21" s="130">
        <f>(F21*E21+F22*E22+F23*E23)/G21</f>
        <v>5.0265486725663715</v>
      </c>
      <c r="I21" s="123">
        <f>(((PI()*0.00085*H21/100)+(0.00085*H21/100*2))*G21/2)*4</f>
        <v>9.9294437326126084E-2</v>
      </c>
      <c r="J21" s="21"/>
      <c r="K21" s="21"/>
    </row>
    <row r="22" spans="1:11">
      <c r="A22" s="126"/>
      <c r="B22" s="126"/>
      <c r="C22" s="128"/>
      <c r="D22" s="65">
        <v>2019</v>
      </c>
      <c r="E22" s="65">
        <v>76</v>
      </c>
      <c r="F22" s="66">
        <v>7.5</v>
      </c>
      <c r="G22" s="130"/>
      <c r="H22" s="130"/>
      <c r="I22" s="124"/>
      <c r="J22" s="21"/>
      <c r="K22" s="21"/>
    </row>
    <row r="23" spans="1:11">
      <c r="A23" s="126"/>
      <c r="B23" s="126"/>
      <c r="C23" s="129"/>
      <c r="D23" s="65">
        <v>2020</v>
      </c>
      <c r="E23" s="65">
        <v>88</v>
      </c>
      <c r="F23" s="66">
        <v>1.5</v>
      </c>
      <c r="G23" s="130"/>
      <c r="H23" s="130"/>
      <c r="I23" s="125"/>
      <c r="K23" s="21"/>
    </row>
    <row r="24" spans="1:11">
      <c r="A24" s="126" t="s">
        <v>6</v>
      </c>
      <c r="B24" s="134">
        <v>9</v>
      </c>
      <c r="C24" s="127">
        <v>14</v>
      </c>
      <c r="D24" s="65">
        <v>2017</v>
      </c>
      <c r="E24" s="65">
        <v>16</v>
      </c>
      <c r="F24" s="66">
        <v>6.5</v>
      </c>
      <c r="G24" s="130">
        <f t="shared" ref="G24" si="8">SUM(E24:E27)</f>
        <v>116</v>
      </c>
      <c r="H24" s="130">
        <f>(F24*E24+F26*E26+F27*E27+E25*F25)/G24</f>
        <v>5.0172413793103452</v>
      </c>
      <c r="I24" s="131">
        <f>(((PI()*0.00085*H24/100)+(0.00085*H24/100*2))*G24/2)*4</f>
        <v>5.0870917714617415E-2</v>
      </c>
      <c r="J24" s="21"/>
      <c r="K24" s="21"/>
    </row>
    <row r="25" spans="1:11">
      <c r="A25" s="126"/>
      <c r="B25" s="134"/>
      <c r="C25" s="128"/>
      <c r="D25" s="65">
        <v>2018</v>
      </c>
      <c r="E25" s="65">
        <v>50</v>
      </c>
      <c r="F25" s="66">
        <v>6.8</v>
      </c>
      <c r="G25" s="130"/>
      <c r="H25" s="130"/>
      <c r="I25" s="132"/>
      <c r="J25" s="21"/>
      <c r="K25" s="21"/>
    </row>
    <row r="26" spans="1:11">
      <c r="A26" s="126"/>
      <c r="B26" s="134"/>
      <c r="C26" s="128"/>
      <c r="D26" s="65">
        <v>2019</v>
      </c>
      <c r="E26" s="65">
        <v>24</v>
      </c>
      <c r="F26" s="66">
        <v>2.5</v>
      </c>
      <c r="G26" s="130"/>
      <c r="H26" s="130"/>
      <c r="I26" s="132"/>
      <c r="J26" s="21"/>
      <c r="K26" s="21"/>
    </row>
    <row r="27" spans="1:11">
      <c r="A27" s="126"/>
      <c r="B27" s="134"/>
      <c r="C27" s="129"/>
      <c r="D27" s="65">
        <v>2020</v>
      </c>
      <c r="E27" s="65">
        <v>26</v>
      </c>
      <c r="F27" s="66">
        <v>3</v>
      </c>
      <c r="G27" s="130"/>
      <c r="H27" s="130"/>
      <c r="I27" s="133"/>
      <c r="J27" s="21"/>
      <c r="K27" s="21"/>
    </row>
    <row r="28" spans="1:11">
      <c r="A28" s="126"/>
      <c r="B28" s="126">
        <v>10</v>
      </c>
      <c r="C28" s="127">
        <v>13</v>
      </c>
      <c r="D28" s="65">
        <v>2017</v>
      </c>
      <c r="E28" s="65">
        <v>4</v>
      </c>
      <c r="F28" s="66">
        <v>7.9</v>
      </c>
      <c r="G28" s="130">
        <f t="shared" ref="G28" si="9">SUM(E28:E31)</f>
        <v>184</v>
      </c>
      <c r="H28" s="130">
        <f>(F28*E28+F30*E30+F31*E31+E29*F29)/G28</f>
        <v>5.1717391304347826</v>
      </c>
      <c r="I28" s="131">
        <f>(((PI()*0.00085*H28/100)+(0.00085*H28/100*2))*G28/2)*4</f>
        <v>8.3176572675652802E-2</v>
      </c>
      <c r="J28" s="21"/>
      <c r="K28" s="21"/>
    </row>
    <row r="29" spans="1:11">
      <c r="A29" s="126"/>
      <c r="B29" s="126"/>
      <c r="C29" s="128"/>
      <c r="D29" s="65">
        <v>2018</v>
      </c>
      <c r="E29" s="65">
        <v>76</v>
      </c>
      <c r="F29" s="66">
        <v>7.5</v>
      </c>
      <c r="G29" s="130"/>
      <c r="H29" s="130"/>
      <c r="I29" s="132"/>
      <c r="J29" s="21"/>
      <c r="K29" s="21"/>
    </row>
    <row r="30" spans="1:11">
      <c r="A30" s="126"/>
      <c r="B30" s="126"/>
      <c r="C30" s="128"/>
      <c r="D30" s="65">
        <v>2019</v>
      </c>
      <c r="E30" s="65">
        <v>44</v>
      </c>
      <c r="F30" s="66">
        <v>2.5</v>
      </c>
      <c r="G30" s="130"/>
      <c r="H30" s="130"/>
      <c r="I30" s="132"/>
      <c r="J30" s="21"/>
      <c r="K30" s="21"/>
    </row>
    <row r="31" spans="1:11">
      <c r="A31" s="126"/>
      <c r="B31" s="126"/>
      <c r="C31" s="129"/>
      <c r="D31" s="65">
        <v>2020</v>
      </c>
      <c r="E31" s="65">
        <v>60</v>
      </c>
      <c r="F31" s="66">
        <v>4</v>
      </c>
      <c r="G31" s="130"/>
      <c r="H31" s="130"/>
      <c r="I31" s="133"/>
      <c r="J31" s="21"/>
      <c r="K31" s="21"/>
    </row>
    <row r="32" spans="1:11">
      <c r="A32" s="126"/>
      <c r="B32" s="126">
        <v>11</v>
      </c>
      <c r="C32" s="127">
        <v>17</v>
      </c>
      <c r="D32" s="65">
        <v>2017</v>
      </c>
      <c r="E32" s="65">
        <v>6</v>
      </c>
      <c r="F32" s="66">
        <v>6.5</v>
      </c>
      <c r="G32" s="130">
        <f>SUM(E32:E35)</f>
        <v>158</v>
      </c>
      <c r="H32" s="130">
        <f>(F32*E32+F33*E33+F35*E35+E34*F34)/G32</f>
        <v>4.3354430379746836</v>
      </c>
      <c r="I32" s="131">
        <f>(((PI()*0.00085*H32/100)+(0.00085*H32/100*2))*G32/2)*4</f>
        <v>5.9873846451053141E-2</v>
      </c>
      <c r="J32" s="21"/>
      <c r="K32" s="21"/>
    </row>
    <row r="33" spans="1:11">
      <c r="A33" s="126"/>
      <c r="B33" s="126"/>
      <c r="C33" s="128"/>
      <c r="D33" s="65">
        <v>2018</v>
      </c>
      <c r="E33" s="65">
        <v>50</v>
      </c>
      <c r="F33" s="66">
        <v>6.5</v>
      </c>
      <c r="G33" s="130"/>
      <c r="H33" s="130"/>
      <c r="I33" s="132"/>
      <c r="J33" s="21"/>
      <c r="K33" s="21"/>
    </row>
    <row r="34" spans="1:11">
      <c r="A34" s="126"/>
      <c r="B34" s="126"/>
      <c r="C34" s="128"/>
      <c r="D34" s="65">
        <v>2019</v>
      </c>
      <c r="E34" s="65">
        <v>50</v>
      </c>
      <c r="F34" s="66">
        <v>3.3</v>
      </c>
      <c r="G34" s="130"/>
      <c r="H34" s="130"/>
      <c r="I34" s="132"/>
      <c r="J34" s="21"/>
      <c r="K34" s="21"/>
    </row>
    <row r="35" spans="1:11">
      <c r="A35" s="126"/>
      <c r="B35" s="126"/>
      <c r="C35" s="129"/>
      <c r="D35" s="65">
        <v>2020</v>
      </c>
      <c r="E35" s="65">
        <v>52</v>
      </c>
      <c r="F35" s="66">
        <v>3</v>
      </c>
      <c r="G35" s="130"/>
      <c r="H35" s="130"/>
      <c r="I35" s="133"/>
      <c r="J35" s="21"/>
      <c r="K35" s="21"/>
    </row>
    <row r="36" spans="1:11">
      <c r="A36" s="126"/>
      <c r="B36" s="126">
        <v>12</v>
      </c>
      <c r="C36" s="127">
        <v>80</v>
      </c>
      <c r="D36" s="65">
        <v>2018</v>
      </c>
      <c r="E36" s="66">
        <v>70</v>
      </c>
      <c r="F36" s="66">
        <v>6.5</v>
      </c>
      <c r="G36" s="130">
        <f>SUM(E36:E38)</f>
        <v>154</v>
      </c>
      <c r="H36" s="130">
        <f>(F36*E36+F37*E37+F38*E38)/G36</f>
        <v>5.1363636363636367</v>
      </c>
      <c r="I36" s="123">
        <f>(((PI()*0.00085*H36/100)+(0.00085*H36/100*2))*G36/2)*4</f>
        <v>6.9138996412821951E-2</v>
      </c>
      <c r="J36" s="21"/>
      <c r="K36" s="21"/>
    </row>
    <row r="37" spans="1:11">
      <c r="A37" s="126"/>
      <c r="B37" s="126"/>
      <c r="C37" s="128"/>
      <c r="D37" s="65">
        <v>2019</v>
      </c>
      <c r="E37" s="66">
        <v>38</v>
      </c>
      <c r="F37" s="66">
        <v>4</v>
      </c>
      <c r="G37" s="130"/>
      <c r="H37" s="130"/>
      <c r="I37" s="124"/>
      <c r="J37" s="21"/>
      <c r="K37" s="21"/>
    </row>
    <row r="38" spans="1:11">
      <c r="A38" s="126"/>
      <c r="B38" s="126"/>
      <c r="C38" s="129"/>
      <c r="D38" s="65">
        <v>2020</v>
      </c>
      <c r="E38" s="66">
        <v>46</v>
      </c>
      <c r="F38" s="66">
        <v>4</v>
      </c>
      <c r="G38" s="130"/>
      <c r="H38" s="130"/>
      <c r="I38" s="125"/>
      <c r="J38" s="21"/>
      <c r="K38" s="21"/>
    </row>
    <row r="39" spans="1:11">
      <c r="A39" s="126"/>
      <c r="B39" s="126">
        <v>13</v>
      </c>
      <c r="C39" s="127">
        <v>18</v>
      </c>
      <c r="D39" s="65">
        <v>2018</v>
      </c>
      <c r="E39" s="66">
        <v>84</v>
      </c>
      <c r="F39" s="66">
        <v>6.5</v>
      </c>
      <c r="G39" s="130">
        <f>SUM(E39:E41)</f>
        <v>250</v>
      </c>
      <c r="H39" s="130">
        <f>(F39*E39+F40*E40+F41*E41)/G39</f>
        <v>4.2119999999999997</v>
      </c>
      <c r="I39" s="123">
        <f>(((PI()*0.00085*H39/100)+(0.00085*H39/100*2))*G39/2)*4</f>
        <v>9.2039650091910882E-2</v>
      </c>
      <c r="J39" s="21"/>
      <c r="K39" s="21"/>
    </row>
    <row r="40" spans="1:11">
      <c r="A40" s="126"/>
      <c r="B40" s="126"/>
      <c r="C40" s="128"/>
      <c r="D40" s="65">
        <v>2019</v>
      </c>
      <c r="E40" s="65">
        <v>74</v>
      </c>
      <c r="F40" s="66">
        <v>2.5</v>
      </c>
      <c r="G40" s="130"/>
      <c r="H40" s="130"/>
      <c r="I40" s="124"/>
      <c r="J40" s="21"/>
      <c r="K40" s="21"/>
    </row>
    <row r="41" spans="1:11">
      <c r="A41" s="126"/>
      <c r="B41" s="126"/>
      <c r="C41" s="129"/>
      <c r="D41" s="65">
        <v>2020</v>
      </c>
      <c r="E41" s="65">
        <v>92</v>
      </c>
      <c r="F41" s="66">
        <v>3.5</v>
      </c>
      <c r="G41" s="130"/>
      <c r="H41" s="130"/>
      <c r="I41" s="125"/>
      <c r="J41" s="21"/>
      <c r="K41" s="21"/>
    </row>
    <row r="42" spans="1:11">
      <c r="A42" s="126"/>
      <c r="B42" s="126">
        <v>14</v>
      </c>
      <c r="C42" s="127">
        <v>80</v>
      </c>
      <c r="D42" s="65">
        <v>2018</v>
      </c>
      <c r="E42" s="66">
        <v>70</v>
      </c>
      <c r="F42" s="66">
        <v>6.5</v>
      </c>
      <c r="G42" s="130">
        <f>SUM(E42:E44)</f>
        <v>154</v>
      </c>
      <c r="H42" s="130">
        <f>(F42*E42+F43*E43+F44*E44)/G42</f>
        <v>5.1363636363636367</v>
      </c>
      <c r="I42" s="123">
        <f>(((PI()*0.00085*H42/100)+(0.00085*H42/100*2))*G42/2)*4</f>
        <v>6.9138996412821951E-2</v>
      </c>
      <c r="J42" s="21"/>
      <c r="K42" s="21"/>
    </row>
    <row r="43" spans="1:11">
      <c r="A43" s="126"/>
      <c r="B43" s="126"/>
      <c r="C43" s="128"/>
      <c r="D43" s="65">
        <v>2019</v>
      </c>
      <c r="E43" s="66">
        <v>38</v>
      </c>
      <c r="F43" s="66">
        <v>4</v>
      </c>
      <c r="G43" s="130"/>
      <c r="H43" s="130"/>
      <c r="I43" s="124"/>
      <c r="J43" s="21"/>
      <c r="K43" s="21"/>
    </row>
    <row r="44" spans="1:11">
      <c r="A44" s="126"/>
      <c r="B44" s="126"/>
      <c r="C44" s="129"/>
      <c r="D44" s="65">
        <v>2020</v>
      </c>
      <c r="E44" s="66">
        <v>46</v>
      </c>
      <c r="F44" s="66">
        <v>4</v>
      </c>
      <c r="G44" s="130"/>
      <c r="H44" s="130"/>
      <c r="I44" s="125"/>
      <c r="J44" s="21"/>
      <c r="K44" s="21"/>
    </row>
    <row r="45" spans="1:11">
      <c r="A45" s="126"/>
      <c r="B45" s="126">
        <v>15</v>
      </c>
      <c r="C45" s="127">
        <v>14</v>
      </c>
      <c r="D45" s="65">
        <v>2017</v>
      </c>
      <c r="E45" s="65">
        <v>10</v>
      </c>
      <c r="F45" s="66">
        <v>5.5</v>
      </c>
      <c r="G45" s="130">
        <f>SUM(E45:E48)</f>
        <v>136</v>
      </c>
      <c r="H45" s="130">
        <f>(F45*E45+F47*E47+F48*E48+E46*F46)/G45</f>
        <v>4.0514705882352944</v>
      </c>
      <c r="I45" s="131">
        <f>(((PI()*0.00085*H45/100)+(0.00085*H45/100*2))*G45/2)*4</f>
        <v>4.8161298386175597E-2</v>
      </c>
      <c r="J45" s="21"/>
      <c r="K45" s="21"/>
    </row>
    <row r="46" spans="1:11">
      <c r="A46" s="126"/>
      <c r="B46" s="126"/>
      <c r="C46" s="128"/>
      <c r="D46" s="65">
        <v>2018</v>
      </c>
      <c r="E46" s="65">
        <v>56</v>
      </c>
      <c r="F46" s="66">
        <v>5.5</v>
      </c>
      <c r="G46" s="130"/>
      <c r="H46" s="130"/>
      <c r="I46" s="132"/>
      <c r="J46" s="21"/>
      <c r="K46" s="21"/>
    </row>
    <row r="47" spans="1:11">
      <c r="A47" s="126"/>
      <c r="B47" s="126"/>
      <c r="C47" s="128"/>
      <c r="D47" s="65">
        <v>2019</v>
      </c>
      <c r="E47" s="65">
        <v>44</v>
      </c>
      <c r="F47" s="66">
        <v>2.5</v>
      </c>
      <c r="G47" s="130"/>
      <c r="H47" s="130"/>
      <c r="I47" s="132"/>
      <c r="J47" s="21"/>
      <c r="K47" s="21"/>
    </row>
    <row r="48" spans="1:11">
      <c r="A48" s="126"/>
      <c r="B48" s="126"/>
      <c r="C48" s="129"/>
      <c r="D48" s="65">
        <v>2020</v>
      </c>
      <c r="E48" s="65">
        <v>26</v>
      </c>
      <c r="F48" s="66">
        <v>3</v>
      </c>
      <c r="G48" s="130"/>
      <c r="H48" s="130"/>
      <c r="I48" s="133"/>
      <c r="J48" s="21"/>
      <c r="K48" s="21"/>
    </row>
  </sheetData>
  <mergeCells count="72">
    <mergeCell ref="I2:I4"/>
    <mergeCell ref="B5:B7"/>
    <mergeCell ref="C5:C7"/>
    <mergeCell ref="G5:G7"/>
    <mergeCell ref="H5:H7"/>
    <mergeCell ref="I5:I7"/>
    <mergeCell ref="A2:A23"/>
    <mergeCell ref="B2:B4"/>
    <mergeCell ref="C2:C4"/>
    <mergeCell ref="G2:G4"/>
    <mergeCell ref="H2:H4"/>
    <mergeCell ref="B8:B10"/>
    <mergeCell ref="C8:C10"/>
    <mergeCell ref="G8:G10"/>
    <mergeCell ref="H8:H10"/>
    <mergeCell ref="B21:B23"/>
    <mergeCell ref="C21:C23"/>
    <mergeCell ref="G21:G23"/>
    <mergeCell ref="H21:H23"/>
    <mergeCell ref="I8:I10"/>
    <mergeCell ref="B15:B17"/>
    <mergeCell ref="C15:C17"/>
    <mergeCell ref="G15:G17"/>
    <mergeCell ref="H15:H17"/>
    <mergeCell ref="I15:I17"/>
    <mergeCell ref="B11:B14"/>
    <mergeCell ref="C11:C14"/>
    <mergeCell ref="G11:G14"/>
    <mergeCell ref="H11:H14"/>
    <mergeCell ref="I11:I14"/>
    <mergeCell ref="I21:I23"/>
    <mergeCell ref="B18:B20"/>
    <mergeCell ref="C18:C20"/>
    <mergeCell ref="G18:G20"/>
    <mergeCell ref="H18:H20"/>
    <mergeCell ref="I18:I20"/>
    <mergeCell ref="I24:I27"/>
    <mergeCell ref="B28:B31"/>
    <mergeCell ref="C28:C31"/>
    <mergeCell ref="G28:G31"/>
    <mergeCell ref="H28:H31"/>
    <mergeCell ref="I28:I31"/>
    <mergeCell ref="A24:A48"/>
    <mergeCell ref="B24:B27"/>
    <mergeCell ref="C24:C27"/>
    <mergeCell ref="G24:G27"/>
    <mergeCell ref="H24:H27"/>
    <mergeCell ref="B32:B35"/>
    <mergeCell ref="C32:C35"/>
    <mergeCell ref="G32:G35"/>
    <mergeCell ref="H32:H35"/>
    <mergeCell ref="B45:B48"/>
    <mergeCell ref="C45:C48"/>
    <mergeCell ref="G45:G48"/>
    <mergeCell ref="H45:H48"/>
    <mergeCell ref="I32:I35"/>
    <mergeCell ref="B39:B41"/>
    <mergeCell ref="C39:C41"/>
    <mergeCell ref="G39:G41"/>
    <mergeCell ref="H39:H41"/>
    <mergeCell ref="I39:I41"/>
    <mergeCell ref="B36:B38"/>
    <mergeCell ref="C36:C38"/>
    <mergeCell ref="G36:G38"/>
    <mergeCell ref="H36:H38"/>
    <mergeCell ref="I36:I38"/>
    <mergeCell ref="I45:I48"/>
    <mergeCell ref="B42:B44"/>
    <mergeCell ref="C42:C44"/>
    <mergeCell ref="G42:G44"/>
    <mergeCell ref="H42:H44"/>
    <mergeCell ref="I42:I4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3"/>
  <sheetViews>
    <sheetView workbookViewId="0">
      <selection activeCell="L38" sqref="L38"/>
    </sheetView>
  </sheetViews>
  <sheetFormatPr defaultRowHeight="15"/>
  <sheetData>
    <row r="1" spans="1:20" ht="30">
      <c r="A1" s="8" t="s">
        <v>3</v>
      </c>
      <c r="B1" s="8" t="s">
        <v>0</v>
      </c>
      <c r="C1" s="8" t="s">
        <v>2</v>
      </c>
      <c r="D1" s="8" t="s">
        <v>1</v>
      </c>
      <c r="E1" s="8" t="s">
        <v>7</v>
      </c>
      <c r="F1" s="8" t="s">
        <v>8</v>
      </c>
      <c r="G1" s="10" t="s">
        <v>10</v>
      </c>
      <c r="H1" s="8" t="s">
        <v>9</v>
      </c>
      <c r="I1" s="8" t="s">
        <v>13</v>
      </c>
      <c r="J1" s="8" t="s">
        <v>14</v>
      </c>
      <c r="K1" s="8" t="s">
        <v>15</v>
      </c>
      <c r="L1" s="8" t="s">
        <v>26</v>
      </c>
      <c r="M1" s="8" t="s">
        <v>27</v>
      </c>
      <c r="P1" s="71" t="s">
        <v>62</v>
      </c>
      <c r="Q1" s="70" t="s">
        <v>58</v>
      </c>
      <c r="R1" s="70" t="s">
        <v>60</v>
      </c>
      <c r="S1" s="70" t="s">
        <v>59</v>
      </c>
      <c r="T1" s="70" t="s">
        <v>61</v>
      </c>
    </row>
    <row r="2" spans="1:20">
      <c r="A2" s="126" t="s">
        <v>4</v>
      </c>
      <c r="B2" s="126">
        <v>1</v>
      </c>
      <c r="C2" s="127">
        <v>95</v>
      </c>
      <c r="D2" s="50">
        <v>2017</v>
      </c>
      <c r="E2" s="51">
        <v>10</v>
      </c>
      <c r="F2" s="51">
        <v>9</v>
      </c>
      <c r="G2" s="130">
        <f>SUM(E2:E4)</f>
        <v>108</v>
      </c>
      <c r="H2" s="130">
        <f>(F2*E2+F3*E3+E4*F4)/G2</f>
        <v>8.6666666666666661</v>
      </c>
      <c r="I2" s="123">
        <f>(((PI()*0.00085*H2/100)+(0.00085*H2/100*2))*G2/2)*4</f>
        <v>8.1813022303920777E-2</v>
      </c>
      <c r="J2" s="21">
        <f>AVERAGE(I2:I22)</f>
        <v>7.9727739226272007E-2</v>
      </c>
      <c r="K2" s="21">
        <f>AVERAGE(I23:I43)</f>
        <v>5.8233090783969009E-2</v>
      </c>
      <c r="L2" s="21">
        <f>SUM(I2:I22)</f>
        <v>0.55809417458390409</v>
      </c>
      <c r="M2" s="21">
        <f>SUM(I23:I43)</f>
        <v>0.40763163548778308</v>
      </c>
      <c r="P2">
        <v>2017</v>
      </c>
      <c r="Q2" s="79">
        <f>AVERAGE(E32,E23,E26,E29,E35,E38,E41)</f>
        <v>1.1428571428571428</v>
      </c>
      <c r="R2" s="79">
        <f>AVERAGE(F32,F23,F26,F29,F35,F38,F41)</f>
        <v>6.25</v>
      </c>
      <c r="S2" s="79">
        <f>AVERAGE(E2,E5,E8,E20,E11,E14,E17)</f>
        <v>6.5714285714285712</v>
      </c>
      <c r="T2" s="79">
        <f>AVERAGE(F2,F5,F8,F20,F11,F14,F17)</f>
        <v>9.5</v>
      </c>
    </row>
    <row r="3" spans="1:20">
      <c r="A3" s="126"/>
      <c r="B3" s="126"/>
      <c r="C3" s="128"/>
      <c r="D3" s="50">
        <v>2018</v>
      </c>
      <c r="E3" s="51">
        <v>36</v>
      </c>
      <c r="F3" s="51">
        <v>8</v>
      </c>
      <c r="G3" s="130"/>
      <c r="H3" s="130"/>
      <c r="I3" s="124"/>
      <c r="J3" s="21"/>
      <c r="K3" s="21"/>
      <c r="P3" s="59">
        <v>2018</v>
      </c>
      <c r="Q3" s="79">
        <f t="shared" ref="Q3:R4" si="0">AVERAGE(E33,E24,E27,E30,E36,E39,E42)</f>
        <v>53.714285714285715</v>
      </c>
      <c r="R3" s="79">
        <f t="shared" si="0"/>
        <v>7.1428571428571432</v>
      </c>
      <c r="S3" s="79">
        <f t="shared" ref="S3:T4" si="1">AVERAGE(E3,E6,E9,E21,E12,E15,E18)</f>
        <v>54.285714285714285</v>
      </c>
      <c r="T3" s="79">
        <f t="shared" si="1"/>
        <v>7.5</v>
      </c>
    </row>
    <row r="4" spans="1:20">
      <c r="A4" s="126"/>
      <c r="B4" s="126"/>
      <c r="C4" s="129"/>
      <c r="D4" s="50">
        <v>2019</v>
      </c>
      <c r="E4" s="51">
        <v>62</v>
      </c>
      <c r="F4" s="51">
        <v>9</v>
      </c>
      <c r="G4" s="130"/>
      <c r="H4" s="130"/>
      <c r="I4" s="125"/>
      <c r="J4" s="21"/>
      <c r="K4" s="21"/>
      <c r="P4">
        <v>2019</v>
      </c>
      <c r="Q4" s="79">
        <f t="shared" si="0"/>
        <v>58.857142857142854</v>
      </c>
      <c r="R4" s="79">
        <f t="shared" si="0"/>
        <v>4.7428571428571429</v>
      </c>
      <c r="S4" s="79">
        <f t="shared" si="1"/>
        <v>55.714285714285715</v>
      </c>
      <c r="T4" s="79">
        <f t="shared" si="1"/>
        <v>8.1428571428571423</v>
      </c>
    </row>
    <row r="5" spans="1:20">
      <c r="A5" s="126"/>
      <c r="B5" s="126">
        <v>2</v>
      </c>
      <c r="C5" s="127">
        <v>50</v>
      </c>
      <c r="D5" s="50">
        <v>2017</v>
      </c>
      <c r="E5" s="50">
        <v>0</v>
      </c>
      <c r="G5" s="130">
        <f>SUM(E5:E7)</f>
        <v>102</v>
      </c>
      <c r="H5" s="130">
        <f>(F6*E6+F7*E7)/G5</f>
        <v>9.2058823529411757</v>
      </c>
      <c r="I5" s="123">
        <f t="shared" ref="I5" si="2">(((PI()*0.00085*H5/100)+(0.00085*H5/100*2))*G5/2)*4</f>
        <v>8.2075243529253855E-2</v>
      </c>
      <c r="J5" s="21"/>
      <c r="K5" s="21"/>
    </row>
    <row r="6" spans="1:20">
      <c r="A6" s="126"/>
      <c r="B6" s="126"/>
      <c r="C6" s="128"/>
      <c r="D6" s="50">
        <v>2018</v>
      </c>
      <c r="E6" s="50">
        <v>30</v>
      </c>
      <c r="F6" s="51">
        <v>8.5</v>
      </c>
      <c r="G6" s="130"/>
      <c r="H6" s="130"/>
      <c r="I6" s="124"/>
      <c r="J6" s="21"/>
      <c r="K6" s="21"/>
    </row>
    <row r="7" spans="1:20">
      <c r="A7" s="126"/>
      <c r="B7" s="126"/>
      <c r="C7" s="129"/>
      <c r="D7" s="50">
        <v>2019</v>
      </c>
      <c r="E7" s="50">
        <v>72</v>
      </c>
      <c r="F7" s="51">
        <v>9.5</v>
      </c>
      <c r="G7" s="130"/>
      <c r="H7" s="130"/>
      <c r="I7" s="125"/>
      <c r="J7" s="21"/>
      <c r="K7" s="21"/>
    </row>
    <row r="8" spans="1:20">
      <c r="A8" s="126"/>
      <c r="B8" s="126">
        <v>3</v>
      </c>
      <c r="C8" s="127">
        <v>97</v>
      </c>
      <c r="D8" s="50">
        <v>2017</v>
      </c>
      <c r="E8" s="50">
        <v>0</v>
      </c>
      <c r="F8" s="51"/>
      <c r="G8" s="130">
        <f t="shared" ref="G8" si="3">SUM(E8:E10)</f>
        <v>92</v>
      </c>
      <c r="H8" s="130">
        <f t="shared" ref="H8:H20" si="4">(F8*E8+F9*E9+F10*E10)/G8</f>
        <v>8.0434782608695645</v>
      </c>
      <c r="I8" s="123">
        <f t="shared" ref="I8" si="5">(((PI()*0.00085*H8/100)+(0.00085*H8/100*2))*G8/2)*4</f>
        <v>6.4681235582159588E-2</v>
      </c>
      <c r="J8" s="21"/>
      <c r="K8" s="21"/>
    </row>
    <row r="9" spans="1:20">
      <c r="A9" s="126"/>
      <c r="B9" s="126"/>
      <c r="C9" s="128"/>
      <c r="D9" s="50">
        <v>2018</v>
      </c>
      <c r="E9" s="50">
        <v>50</v>
      </c>
      <c r="F9" s="51">
        <v>8.5</v>
      </c>
      <c r="G9" s="130"/>
      <c r="H9" s="130"/>
      <c r="I9" s="124"/>
      <c r="J9" s="21"/>
      <c r="K9" s="21"/>
    </row>
    <row r="10" spans="1:20">
      <c r="A10" s="126"/>
      <c r="B10" s="126"/>
      <c r="C10" s="129"/>
      <c r="D10" s="50">
        <v>2019</v>
      </c>
      <c r="E10" s="50">
        <v>42</v>
      </c>
      <c r="F10" s="51">
        <v>7.5</v>
      </c>
      <c r="G10" s="130"/>
      <c r="H10" s="130"/>
      <c r="I10" s="125"/>
      <c r="J10" s="21"/>
      <c r="K10" s="21"/>
    </row>
    <row r="11" spans="1:20">
      <c r="A11" s="126"/>
      <c r="B11" s="126">
        <v>4</v>
      </c>
      <c r="C11" s="127">
        <v>94</v>
      </c>
      <c r="D11" s="50">
        <v>2017</v>
      </c>
      <c r="E11" s="50">
        <v>0</v>
      </c>
      <c r="F11" s="51"/>
      <c r="G11" s="130">
        <f t="shared" ref="G11" si="6">SUM(E11:E13)</f>
        <v>100</v>
      </c>
      <c r="H11" s="130">
        <f t="shared" si="4"/>
        <v>7.5</v>
      </c>
      <c r="I11" s="123">
        <f t="shared" ref="I11" si="7">(((PI()*0.00085*H11/100)+(0.00085*H11/100*2))*G11/2)*4</f>
        <v>6.5555306333269864E-2</v>
      </c>
      <c r="J11" s="21"/>
      <c r="K11" s="21"/>
    </row>
    <row r="12" spans="1:20">
      <c r="A12" s="126"/>
      <c r="B12" s="126"/>
      <c r="C12" s="128"/>
      <c r="D12" s="50">
        <v>2018</v>
      </c>
      <c r="E12" s="50">
        <v>46</v>
      </c>
      <c r="F12" s="51">
        <v>7.5</v>
      </c>
      <c r="G12" s="130"/>
      <c r="H12" s="130"/>
      <c r="I12" s="124"/>
      <c r="J12" s="21"/>
      <c r="K12" s="21"/>
    </row>
    <row r="13" spans="1:20">
      <c r="A13" s="126"/>
      <c r="B13" s="126"/>
      <c r="C13" s="129"/>
      <c r="D13" s="50">
        <v>2019</v>
      </c>
      <c r="E13" s="50">
        <v>54</v>
      </c>
      <c r="F13" s="51">
        <v>7.5</v>
      </c>
      <c r="G13" s="130"/>
      <c r="H13" s="130"/>
      <c r="I13" s="125"/>
      <c r="J13" s="21"/>
      <c r="K13" s="21"/>
    </row>
    <row r="14" spans="1:20">
      <c r="A14" s="126"/>
      <c r="B14" s="126">
        <v>5</v>
      </c>
      <c r="C14" s="127">
        <v>55</v>
      </c>
      <c r="D14" s="50">
        <v>2017</v>
      </c>
      <c r="E14" s="51">
        <v>16</v>
      </c>
      <c r="F14" s="51">
        <v>9.5</v>
      </c>
      <c r="G14" s="130">
        <f t="shared" ref="G14" si="8">SUM(E14:E16)</f>
        <v>120</v>
      </c>
      <c r="H14" s="130">
        <f t="shared" si="4"/>
        <v>7.666666666666667</v>
      </c>
      <c r="I14" s="123">
        <f t="shared" ref="I14" si="9">(((PI()*0.00085*H14/100)+(0.00085*H14/100*2))*G14/2)*4</f>
        <v>8.0414509102144358E-2</v>
      </c>
      <c r="J14" s="21"/>
      <c r="K14" s="21"/>
    </row>
    <row r="15" spans="1:20">
      <c r="A15" s="126"/>
      <c r="B15" s="126"/>
      <c r="C15" s="128"/>
      <c r="D15" s="50">
        <v>2018</v>
      </c>
      <c r="E15" s="51">
        <v>58</v>
      </c>
      <c r="F15" s="51">
        <v>6.5</v>
      </c>
      <c r="G15" s="130"/>
      <c r="H15" s="130"/>
      <c r="I15" s="124"/>
      <c r="J15" s="21"/>
      <c r="K15" s="21"/>
    </row>
    <row r="16" spans="1:20">
      <c r="A16" s="126"/>
      <c r="B16" s="126"/>
      <c r="C16" s="129"/>
      <c r="D16" s="50">
        <v>2019</v>
      </c>
      <c r="E16" s="51">
        <v>46</v>
      </c>
      <c r="F16" s="51">
        <v>8.5</v>
      </c>
      <c r="G16" s="130"/>
      <c r="H16" s="130"/>
      <c r="I16" s="125"/>
      <c r="J16" s="21"/>
      <c r="K16" s="21"/>
    </row>
    <row r="17" spans="1:11">
      <c r="A17" s="126"/>
      <c r="B17" s="126">
        <v>6</v>
      </c>
      <c r="C17" s="127">
        <v>55</v>
      </c>
      <c r="D17" s="50">
        <v>2017</v>
      </c>
      <c r="E17" s="51">
        <v>16</v>
      </c>
      <c r="F17" s="51">
        <v>9.5</v>
      </c>
      <c r="G17" s="130">
        <f t="shared" ref="G17" si="10">SUM(E17:E19)</f>
        <v>152</v>
      </c>
      <c r="H17" s="130">
        <f t="shared" si="4"/>
        <v>7.4210526315789478</v>
      </c>
      <c r="I17" s="123">
        <f t="shared" ref="I17" si="11">(((PI()*0.00085*H17/100)+(0.00085*H17/100*2))*G17/2)*4</f>
        <v>9.8595180725237874E-2</v>
      </c>
      <c r="J17" s="21"/>
      <c r="K17" s="21"/>
    </row>
    <row r="18" spans="1:11">
      <c r="A18" s="126"/>
      <c r="B18" s="126"/>
      <c r="C18" s="128"/>
      <c r="D18" s="50">
        <v>2018</v>
      </c>
      <c r="E18" s="51">
        <v>90</v>
      </c>
      <c r="F18" s="51">
        <v>6.5</v>
      </c>
      <c r="G18" s="130"/>
      <c r="H18" s="130"/>
      <c r="I18" s="124"/>
      <c r="J18" s="21"/>
      <c r="K18" s="21"/>
    </row>
    <row r="19" spans="1:11">
      <c r="A19" s="126"/>
      <c r="B19" s="126"/>
      <c r="C19" s="129"/>
      <c r="D19" s="50">
        <v>2019</v>
      </c>
      <c r="E19" s="51">
        <v>46</v>
      </c>
      <c r="F19" s="51">
        <v>8.5</v>
      </c>
      <c r="G19" s="130"/>
      <c r="H19" s="130"/>
      <c r="I19" s="125"/>
      <c r="J19" s="21"/>
      <c r="K19" s="21"/>
    </row>
    <row r="20" spans="1:11">
      <c r="A20" s="126"/>
      <c r="B20" s="126">
        <v>7</v>
      </c>
      <c r="C20" s="127">
        <v>58</v>
      </c>
      <c r="D20" s="50">
        <v>2017</v>
      </c>
      <c r="E20" s="51">
        <v>4</v>
      </c>
      <c r="F20" s="51">
        <v>10</v>
      </c>
      <c r="G20" s="130">
        <f t="shared" ref="G20" si="12">SUM(E20:E22)</f>
        <v>142</v>
      </c>
      <c r="H20" s="130">
        <f t="shared" si="4"/>
        <v>6.845070422535211</v>
      </c>
      <c r="I20" s="123">
        <f t="shared" ref="I20" si="13">(((PI()*0.00085*H20/100)+(0.00085*H20/100*2))*G20/2)*4</f>
        <v>8.4959677007917747E-2</v>
      </c>
      <c r="J20" s="21"/>
      <c r="K20" s="21"/>
    </row>
    <row r="21" spans="1:11">
      <c r="A21" s="126"/>
      <c r="B21" s="126"/>
      <c r="C21" s="128"/>
      <c r="D21" s="50">
        <v>2018</v>
      </c>
      <c r="E21" s="50">
        <v>70</v>
      </c>
      <c r="F21" s="51">
        <v>7</v>
      </c>
      <c r="G21" s="130"/>
      <c r="H21" s="130"/>
      <c r="I21" s="124"/>
      <c r="J21" s="21"/>
      <c r="K21" s="21"/>
    </row>
    <row r="22" spans="1:11">
      <c r="A22" s="126"/>
      <c r="B22" s="126"/>
      <c r="C22" s="129"/>
      <c r="D22" s="50">
        <v>2019</v>
      </c>
      <c r="E22" s="50">
        <v>68</v>
      </c>
      <c r="F22" s="51">
        <v>6.5</v>
      </c>
      <c r="G22" s="130"/>
      <c r="H22" s="130"/>
      <c r="I22" s="125"/>
      <c r="J22" s="21"/>
      <c r="K22" s="21"/>
    </row>
    <row r="23" spans="1:11">
      <c r="A23" s="126" t="s">
        <v>6</v>
      </c>
      <c r="B23" s="134">
        <v>9</v>
      </c>
      <c r="C23" s="127">
        <v>14</v>
      </c>
      <c r="D23" s="50">
        <v>2017</v>
      </c>
      <c r="E23" s="50">
        <v>0</v>
      </c>
      <c r="F23" s="51"/>
      <c r="G23" s="130">
        <f t="shared" ref="G23" si="14">SUM(E23:E25)</f>
        <v>130</v>
      </c>
      <c r="H23" s="130">
        <f t="shared" ref="H23" si="15">(F23*E23+F24*E24+F25*E25)/G23</f>
        <v>4.9384615384615387</v>
      </c>
      <c r="I23" s="123">
        <f t="shared" ref="I23" si="16">(((PI()*0.00085*H23/100)+(0.00085*H23/100*2))*G23/2)*4</f>
        <v>5.6115342221279001E-2</v>
      </c>
      <c r="J23" s="21"/>
      <c r="K23" s="21"/>
    </row>
    <row r="24" spans="1:11">
      <c r="A24" s="126"/>
      <c r="B24" s="134"/>
      <c r="C24" s="128"/>
      <c r="D24" s="50">
        <v>2018</v>
      </c>
      <c r="E24" s="50">
        <v>56</v>
      </c>
      <c r="F24" s="51">
        <v>7.5</v>
      </c>
      <c r="G24" s="130"/>
      <c r="H24" s="130"/>
      <c r="I24" s="124"/>
      <c r="J24" s="21"/>
      <c r="K24" s="21"/>
    </row>
    <row r="25" spans="1:11">
      <c r="A25" s="126"/>
      <c r="B25" s="134"/>
      <c r="C25" s="129"/>
      <c r="D25" s="50">
        <v>2019</v>
      </c>
      <c r="E25" s="50">
        <v>74</v>
      </c>
      <c r="F25" s="51">
        <v>3</v>
      </c>
      <c r="G25" s="130"/>
      <c r="H25" s="130"/>
      <c r="I25" s="125"/>
      <c r="J25" s="21"/>
      <c r="K25" s="21"/>
    </row>
    <row r="26" spans="1:11">
      <c r="A26" s="126"/>
      <c r="B26" s="126">
        <v>10</v>
      </c>
      <c r="C26" s="127">
        <v>13</v>
      </c>
      <c r="D26" s="50">
        <v>2017</v>
      </c>
      <c r="E26" s="50">
        <v>4</v>
      </c>
      <c r="F26" s="51">
        <v>6</v>
      </c>
      <c r="G26" s="130">
        <f t="shared" ref="G26" si="17">SUM(E26:E28)</f>
        <v>114</v>
      </c>
      <c r="H26" s="130">
        <f t="shared" ref="H26" si="18">(F26*E26+F27*E27+F28*E28)/G26</f>
        <v>5.8859649122807021</v>
      </c>
      <c r="I26" s="123">
        <f t="shared" ref="I26" si="19">(((PI()*0.00085*H26/100)+(0.00085*H26/100*2))*G26/2)*4</f>
        <v>5.8650147399498767E-2</v>
      </c>
      <c r="J26" s="21"/>
      <c r="K26" s="21"/>
    </row>
    <row r="27" spans="1:11">
      <c r="A27" s="126"/>
      <c r="B27" s="126"/>
      <c r="C27" s="128"/>
      <c r="D27" s="50">
        <v>2018</v>
      </c>
      <c r="E27" s="50">
        <v>42</v>
      </c>
      <c r="F27" s="51">
        <v>6.5</v>
      </c>
      <c r="G27" s="130"/>
      <c r="H27" s="130"/>
      <c r="I27" s="124"/>
      <c r="J27" s="21"/>
      <c r="K27" s="21"/>
    </row>
    <row r="28" spans="1:11">
      <c r="A28" s="126"/>
      <c r="B28" s="126"/>
      <c r="C28" s="129"/>
      <c r="D28" s="50">
        <v>2019</v>
      </c>
      <c r="E28" s="50">
        <v>68</v>
      </c>
      <c r="F28" s="51">
        <v>5.5</v>
      </c>
      <c r="G28" s="130"/>
      <c r="H28" s="130"/>
      <c r="I28" s="125"/>
      <c r="J28" s="21"/>
      <c r="K28" s="21"/>
    </row>
    <row r="29" spans="1:11">
      <c r="A29" s="126"/>
      <c r="B29" s="126">
        <v>11</v>
      </c>
      <c r="C29" s="127">
        <v>17</v>
      </c>
      <c r="D29" s="50">
        <v>2017</v>
      </c>
      <c r="E29" s="50">
        <v>4</v>
      </c>
      <c r="F29" s="51">
        <v>6.5</v>
      </c>
      <c r="G29" s="130">
        <f>SUM(E29:E31)</f>
        <v>94</v>
      </c>
      <c r="H29" s="130">
        <f>(F29*E29+F30*E30+F31*E31)/G29</f>
        <v>6.1999999999999993</v>
      </c>
      <c r="I29" s="123">
        <f t="shared" ref="I29" si="20">(((PI()*0.00085*H29/100)+(0.00085*H29/100*2))*G29/2)*4</f>
        <v>5.0940843374706231E-2</v>
      </c>
      <c r="J29" s="21"/>
      <c r="K29" s="21"/>
    </row>
    <row r="30" spans="1:11">
      <c r="A30" s="126"/>
      <c r="B30" s="126"/>
      <c r="C30" s="128"/>
      <c r="D30" s="50">
        <v>2018</v>
      </c>
      <c r="E30" s="50">
        <v>56</v>
      </c>
      <c r="F30" s="51">
        <v>6.3</v>
      </c>
      <c r="G30" s="130"/>
      <c r="H30" s="130"/>
      <c r="I30" s="124"/>
      <c r="J30" s="21"/>
      <c r="K30" s="21"/>
    </row>
    <row r="31" spans="1:11">
      <c r="A31" s="126"/>
      <c r="B31" s="126"/>
      <c r="C31" s="129"/>
      <c r="D31" s="50">
        <v>2019</v>
      </c>
      <c r="E31" s="50">
        <v>34</v>
      </c>
      <c r="F31" s="51">
        <v>6</v>
      </c>
      <c r="G31" s="130"/>
      <c r="H31" s="130"/>
      <c r="I31" s="125"/>
      <c r="J31" s="21"/>
      <c r="K31" s="21"/>
    </row>
    <row r="32" spans="1:11">
      <c r="A32" s="126"/>
      <c r="B32" s="126">
        <v>12</v>
      </c>
      <c r="C32" s="127">
        <v>80</v>
      </c>
      <c r="D32" s="50">
        <v>2017</v>
      </c>
      <c r="E32" s="51">
        <v>0</v>
      </c>
      <c r="F32" s="51"/>
      <c r="G32" s="130">
        <f>SUM(E32:E34)</f>
        <v>124</v>
      </c>
      <c r="H32" s="130">
        <f>(F32*E32+F33*E33+F34*E34)/G32</f>
        <v>7.2016129032258061</v>
      </c>
      <c r="I32" s="123">
        <f t="shared" ref="I32" si="21">(((PI()*0.00085*H32/100)+(0.00085*H32/100*2))*G32/2)*4</f>
        <v>7.805451807414665E-2</v>
      </c>
      <c r="J32" s="21"/>
      <c r="K32" s="21"/>
    </row>
    <row r="33" spans="1:11">
      <c r="A33" s="126"/>
      <c r="B33" s="126"/>
      <c r="C33" s="128"/>
      <c r="D33" s="50">
        <v>2018</v>
      </c>
      <c r="E33" s="51">
        <v>58</v>
      </c>
      <c r="F33" s="51">
        <v>8</v>
      </c>
      <c r="G33" s="130"/>
      <c r="H33" s="130"/>
      <c r="I33" s="124"/>
      <c r="J33" s="21"/>
      <c r="K33" s="21"/>
    </row>
    <row r="34" spans="1:11">
      <c r="A34" s="126"/>
      <c r="B34" s="126"/>
      <c r="C34" s="129"/>
      <c r="D34" s="50">
        <v>2019</v>
      </c>
      <c r="E34" s="51">
        <v>66</v>
      </c>
      <c r="F34" s="51">
        <v>6.5</v>
      </c>
      <c r="G34" s="130"/>
      <c r="H34" s="130"/>
      <c r="I34" s="125"/>
      <c r="J34" s="21"/>
      <c r="K34" s="21"/>
    </row>
    <row r="35" spans="1:11">
      <c r="A35" s="126"/>
      <c r="B35" s="126">
        <v>13</v>
      </c>
      <c r="C35" s="127">
        <v>18</v>
      </c>
      <c r="D35" s="50">
        <v>2017</v>
      </c>
      <c r="E35" s="51">
        <v>0</v>
      </c>
      <c r="F35" s="51"/>
      <c r="G35" s="130">
        <f>SUM(E35:E37)</f>
        <v>120</v>
      </c>
      <c r="H35" s="130">
        <f>(F35*E35+F36*E36+F37*E37)/G35</f>
        <v>5</v>
      </c>
      <c r="I35" s="123">
        <f t="shared" ref="I35" si="22">(((PI()*0.00085*H35/100)+(0.00085*H35/100*2))*G35/2)*4</f>
        <v>5.244424506661588E-2</v>
      </c>
      <c r="J35" s="21"/>
      <c r="K35" s="21"/>
    </row>
    <row r="36" spans="1:11">
      <c r="A36" s="126"/>
      <c r="B36" s="126"/>
      <c r="C36" s="128"/>
      <c r="D36" s="50">
        <v>2018</v>
      </c>
      <c r="E36" s="50">
        <v>60</v>
      </c>
      <c r="F36" s="51">
        <v>7</v>
      </c>
      <c r="G36" s="130"/>
      <c r="H36" s="130"/>
      <c r="I36" s="124"/>
      <c r="J36" s="21"/>
      <c r="K36" s="21"/>
    </row>
    <row r="37" spans="1:11">
      <c r="A37" s="126"/>
      <c r="B37" s="126"/>
      <c r="C37" s="129"/>
      <c r="D37" s="50">
        <v>2019</v>
      </c>
      <c r="E37" s="50">
        <v>60</v>
      </c>
      <c r="F37" s="51">
        <v>3</v>
      </c>
      <c r="G37" s="130"/>
      <c r="H37" s="130"/>
      <c r="I37" s="125"/>
      <c r="J37" s="21"/>
      <c r="K37" s="21"/>
    </row>
    <row r="38" spans="1:11">
      <c r="A38" s="126"/>
      <c r="B38" s="126">
        <v>14</v>
      </c>
      <c r="C38" s="127">
        <v>80</v>
      </c>
      <c r="D38" s="50">
        <v>2017</v>
      </c>
      <c r="E38" s="51">
        <v>0</v>
      </c>
      <c r="F38" s="51"/>
      <c r="G38" s="130">
        <f>SUM(E38:E40)</f>
        <v>104</v>
      </c>
      <c r="H38" s="130">
        <f>(F38*E38+F39*E39+F40*E40)/G38</f>
        <v>6.661538461538461</v>
      </c>
      <c r="I38" s="123">
        <f t="shared" ref="I38" si="23">(((PI()*0.00085*H38/100)+(0.00085*H38/100*2))*G38/2)*4</f>
        <v>6.0555621636919139E-2</v>
      </c>
      <c r="J38" s="21"/>
      <c r="K38" s="21"/>
    </row>
    <row r="39" spans="1:11">
      <c r="A39" s="126"/>
      <c r="B39" s="126"/>
      <c r="C39" s="128"/>
      <c r="D39" s="50">
        <v>2018</v>
      </c>
      <c r="E39" s="51">
        <v>48</v>
      </c>
      <c r="F39" s="51">
        <v>7.2</v>
      </c>
      <c r="G39" s="130"/>
      <c r="H39" s="130"/>
      <c r="I39" s="124"/>
      <c r="J39" s="21"/>
      <c r="K39" s="21"/>
    </row>
    <row r="40" spans="1:11">
      <c r="A40" s="126"/>
      <c r="B40" s="126"/>
      <c r="C40" s="129"/>
      <c r="D40" s="50">
        <v>2019</v>
      </c>
      <c r="E40" s="51">
        <v>56</v>
      </c>
      <c r="F40" s="51">
        <v>6.2</v>
      </c>
      <c r="G40" s="130"/>
      <c r="H40" s="130"/>
      <c r="I40" s="125"/>
      <c r="J40" s="21"/>
      <c r="K40" s="21"/>
    </row>
    <row r="41" spans="1:11">
      <c r="A41" s="126"/>
      <c r="B41" s="126">
        <v>15</v>
      </c>
      <c r="C41" s="127">
        <v>14</v>
      </c>
      <c r="D41" s="50">
        <v>2017</v>
      </c>
      <c r="E41" s="50">
        <v>0</v>
      </c>
      <c r="F41" s="51"/>
      <c r="G41" s="130">
        <f>SUM(E41:E43)</f>
        <v>110</v>
      </c>
      <c r="H41" s="130">
        <f>(F41*E41+F42*E42+F43*E43)/G41</f>
        <v>5.290909090909091</v>
      </c>
      <c r="I41" s="123">
        <f t="shared" ref="I41" si="24">(((PI()*0.00085*H41/100)+(0.00085*H41/100*2))*G41/2)*4</f>
        <v>5.0870917714617415E-2</v>
      </c>
      <c r="J41" s="21"/>
      <c r="K41" s="21"/>
    </row>
    <row r="42" spans="1:11">
      <c r="A42" s="126"/>
      <c r="B42" s="126"/>
      <c r="C42" s="128"/>
      <c r="D42" s="50">
        <v>2018</v>
      </c>
      <c r="E42" s="50">
        <v>56</v>
      </c>
      <c r="F42" s="51">
        <v>7.5</v>
      </c>
      <c r="G42" s="130"/>
      <c r="H42" s="130"/>
      <c r="I42" s="124"/>
      <c r="J42" s="21"/>
      <c r="K42" s="21"/>
    </row>
    <row r="43" spans="1:11">
      <c r="A43" s="126"/>
      <c r="B43" s="126"/>
      <c r="C43" s="129"/>
      <c r="D43" s="50">
        <v>2019</v>
      </c>
      <c r="E43" s="50">
        <v>54</v>
      </c>
      <c r="F43" s="51">
        <v>3</v>
      </c>
      <c r="G43" s="130"/>
      <c r="H43" s="130"/>
      <c r="I43" s="125"/>
      <c r="J43" s="21"/>
      <c r="K43" s="21"/>
    </row>
  </sheetData>
  <mergeCells count="72">
    <mergeCell ref="I41:I43"/>
    <mergeCell ref="B38:B40"/>
    <mergeCell ref="C38:C40"/>
    <mergeCell ref="G38:G40"/>
    <mergeCell ref="H38:H40"/>
    <mergeCell ref="I38:I40"/>
    <mergeCell ref="I29:I31"/>
    <mergeCell ref="B35:B37"/>
    <mergeCell ref="C35:C37"/>
    <mergeCell ref="G35:G37"/>
    <mergeCell ref="H35:H37"/>
    <mergeCell ref="I35:I37"/>
    <mergeCell ref="B32:B34"/>
    <mergeCell ref="C32:C34"/>
    <mergeCell ref="G32:G34"/>
    <mergeCell ref="H32:H34"/>
    <mergeCell ref="I32:I34"/>
    <mergeCell ref="A23:A43"/>
    <mergeCell ref="B23:B25"/>
    <mergeCell ref="C23:C25"/>
    <mergeCell ref="G23:G25"/>
    <mergeCell ref="H23:H25"/>
    <mergeCell ref="B29:B31"/>
    <mergeCell ref="C29:C31"/>
    <mergeCell ref="G29:G31"/>
    <mergeCell ref="H29:H31"/>
    <mergeCell ref="B41:B43"/>
    <mergeCell ref="C41:C43"/>
    <mergeCell ref="G41:G43"/>
    <mergeCell ref="H41:H43"/>
    <mergeCell ref="I23:I25"/>
    <mergeCell ref="B26:B28"/>
    <mergeCell ref="C26:C28"/>
    <mergeCell ref="G26:G28"/>
    <mergeCell ref="H26:H28"/>
    <mergeCell ref="I26:I28"/>
    <mergeCell ref="I20:I22"/>
    <mergeCell ref="B17:B19"/>
    <mergeCell ref="C17:C19"/>
    <mergeCell ref="G17:G19"/>
    <mergeCell ref="H17:H19"/>
    <mergeCell ref="I17:I19"/>
    <mergeCell ref="I8:I10"/>
    <mergeCell ref="B14:B16"/>
    <mergeCell ref="C14:C16"/>
    <mergeCell ref="G14:G16"/>
    <mergeCell ref="H14:H16"/>
    <mergeCell ref="I14:I16"/>
    <mergeCell ref="B11:B13"/>
    <mergeCell ref="C11:C13"/>
    <mergeCell ref="G11:G13"/>
    <mergeCell ref="H11:H13"/>
    <mergeCell ref="I11:I13"/>
    <mergeCell ref="A2:A22"/>
    <mergeCell ref="B2:B4"/>
    <mergeCell ref="C2:C4"/>
    <mergeCell ref="G2:G4"/>
    <mergeCell ref="H2:H4"/>
    <mergeCell ref="B8:B10"/>
    <mergeCell ref="C8:C10"/>
    <mergeCell ref="G8:G10"/>
    <mergeCell ref="H8:H10"/>
    <mergeCell ref="B20:B22"/>
    <mergeCell ref="C20:C22"/>
    <mergeCell ref="G20:G22"/>
    <mergeCell ref="H20:H22"/>
    <mergeCell ref="I2:I4"/>
    <mergeCell ref="B5:B7"/>
    <mergeCell ref="C5:C7"/>
    <mergeCell ref="G5:G7"/>
    <mergeCell ref="H5:H7"/>
    <mergeCell ref="I5:I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3"/>
  <sheetViews>
    <sheetView topLeftCell="A10" workbookViewId="0">
      <selection activeCell="I23" sqref="I23:I43"/>
    </sheetView>
  </sheetViews>
  <sheetFormatPr defaultRowHeight="15"/>
  <sheetData>
    <row r="1" spans="1:20" ht="30">
      <c r="A1" s="8" t="s">
        <v>3</v>
      </c>
      <c r="B1" s="8" t="s">
        <v>0</v>
      </c>
      <c r="C1" s="8" t="s">
        <v>2</v>
      </c>
      <c r="D1" s="8" t="s">
        <v>1</v>
      </c>
      <c r="E1" s="8" t="s">
        <v>7</v>
      </c>
      <c r="F1" s="8" t="s">
        <v>8</v>
      </c>
      <c r="G1" s="10" t="s">
        <v>10</v>
      </c>
      <c r="H1" s="8" t="s">
        <v>9</v>
      </c>
      <c r="I1" s="8" t="s">
        <v>13</v>
      </c>
      <c r="J1" s="8" t="s">
        <v>14</v>
      </c>
      <c r="K1" s="8" t="s">
        <v>15</v>
      </c>
      <c r="L1" s="8" t="s">
        <v>26</v>
      </c>
      <c r="M1" s="8" t="s">
        <v>27</v>
      </c>
      <c r="P1" s="71" t="s">
        <v>62</v>
      </c>
      <c r="Q1" s="70" t="s">
        <v>58</v>
      </c>
      <c r="R1" s="70" t="s">
        <v>60</v>
      </c>
      <c r="S1" s="70" t="s">
        <v>59</v>
      </c>
      <c r="T1" s="70" t="s">
        <v>61</v>
      </c>
    </row>
    <row r="2" spans="1:20">
      <c r="A2" s="126" t="s">
        <v>4</v>
      </c>
      <c r="B2" s="126">
        <v>1</v>
      </c>
      <c r="C2" s="127">
        <v>95</v>
      </c>
      <c r="D2" s="36">
        <v>2017</v>
      </c>
      <c r="E2" s="37">
        <v>0</v>
      </c>
      <c r="F2" s="37"/>
      <c r="G2" s="130">
        <f t="shared" ref="G2" si="0">SUM(E2:E4)</f>
        <v>76</v>
      </c>
      <c r="H2" s="130">
        <f t="shared" ref="H2:H20" si="1">(F2*E2+F3*E3+F4*E4)/G2</f>
        <v>10.921052631578947</v>
      </c>
      <c r="I2" s="123">
        <f>(((PI()*0.00085*H2/100)+(0.00085*H2/100*2))*G2/2)*4</f>
        <v>7.2547872342151973E-2</v>
      </c>
      <c r="J2" s="21">
        <f>AVERAGE(I2:I22)</f>
        <v>8.6990018495496729E-2</v>
      </c>
      <c r="K2" s="21">
        <f>AVERAGE(I23:I43)</f>
        <v>5.3223416707605616E-2</v>
      </c>
      <c r="L2" s="21">
        <f>SUM(I2:I22)</f>
        <v>0.60893012946847713</v>
      </c>
      <c r="M2" s="21">
        <f>SUM(I23:I43)</f>
        <v>0.37256391695323932</v>
      </c>
      <c r="N2" t="s">
        <v>66</v>
      </c>
      <c r="P2">
        <v>2017</v>
      </c>
      <c r="Q2" s="79">
        <f>AVERAGE(E32,E23,E26,E29,E35,E38,E41)</f>
        <v>5.4285714285714288</v>
      </c>
      <c r="R2" s="79">
        <f>AVERAGE(F32,F23,F26,F29,F35,F38,F41)</f>
        <v>5.1333333333333337</v>
      </c>
      <c r="S2" s="79">
        <f>AVERAGE(E2,E5,E8,E20,E11,E14,E17)</f>
        <v>2</v>
      </c>
      <c r="T2" s="79">
        <f>AVERAGE(F2,F5,F8,F20,F11,F14,F17)</f>
        <v>11.233333333333334</v>
      </c>
    </row>
    <row r="3" spans="1:20">
      <c r="A3" s="126"/>
      <c r="B3" s="126"/>
      <c r="C3" s="128"/>
      <c r="D3" s="36">
        <v>2018</v>
      </c>
      <c r="E3" s="37">
        <v>40</v>
      </c>
      <c r="F3" s="37">
        <v>11.3</v>
      </c>
      <c r="G3" s="130"/>
      <c r="H3" s="130"/>
      <c r="I3" s="124"/>
      <c r="J3" s="21">
        <v>5.7577473054929613E-2</v>
      </c>
      <c r="K3" s="21">
        <v>3.2499712286476419E-2</v>
      </c>
      <c r="L3">
        <v>0.4030423113845073</v>
      </c>
      <c r="M3">
        <v>0.22749798600533494</v>
      </c>
      <c r="N3" t="s">
        <v>67</v>
      </c>
      <c r="P3" s="59">
        <v>2018</v>
      </c>
      <c r="Q3" s="79">
        <f t="shared" ref="Q3:R4" si="2">AVERAGE(E33,E24,E27,E30,E36,E39,E42)</f>
        <v>56.571428571428569</v>
      </c>
      <c r="R3" s="79">
        <f t="shared" si="2"/>
        <v>6.2857142857142856</v>
      </c>
      <c r="S3" s="79">
        <f t="shared" ref="S3:T4" si="3">AVERAGE(E3,E6,E9,E21,E12,E15,E18)</f>
        <v>55.714285714285715</v>
      </c>
      <c r="T3" s="79">
        <f t="shared" si="3"/>
        <v>9.3142857142857149</v>
      </c>
    </row>
    <row r="4" spans="1:20">
      <c r="A4" s="126"/>
      <c r="B4" s="126"/>
      <c r="C4" s="129"/>
      <c r="D4" s="36">
        <v>2019</v>
      </c>
      <c r="E4" s="37">
        <v>36</v>
      </c>
      <c r="F4" s="37">
        <v>10.5</v>
      </c>
      <c r="G4" s="130"/>
      <c r="H4" s="130"/>
      <c r="I4" s="125"/>
      <c r="J4">
        <f>J3/J2</f>
        <v>0.66188597325002596</v>
      </c>
      <c r="K4">
        <f>K3/K2</f>
        <v>0.61062807119318618</v>
      </c>
      <c r="N4" t="s">
        <v>65</v>
      </c>
      <c r="P4">
        <v>2019</v>
      </c>
      <c r="Q4" s="79">
        <f t="shared" si="2"/>
        <v>42.571428571428569</v>
      </c>
      <c r="R4" s="79">
        <f t="shared" si="2"/>
        <v>5.2000000000000011</v>
      </c>
      <c r="S4" s="79">
        <f t="shared" si="3"/>
        <v>54.857142857142854</v>
      </c>
      <c r="T4" s="79">
        <f t="shared" si="3"/>
        <v>9.0714285714285712</v>
      </c>
    </row>
    <row r="5" spans="1:20">
      <c r="A5" s="126"/>
      <c r="B5" s="126">
        <v>2</v>
      </c>
      <c r="C5" s="127">
        <v>50</v>
      </c>
      <c r="D5" s="44">
        <v>2017</v>
      </c>
      <c r="E5" s="36">
        <v>0</v>
      </c>
      <c r="F5" s="37"/>
      <c r="G5" s="130">
        <f t="shared" ref="G5" si="4">SUM(E5:E7)</f>
        <v>124</v>
      </c>
      <c r="H5" s="130">
        <f t="shared" si="1"/>
        <v>9.5322580645161299</v>
      </c>
      <c r="I5" s="123">
        <f t="shared" ref="I5" si="5">(((PI()*0.00085*H5/100)+(0.00085*H5/100*2))*G5/2)*4</f>
        <v>0.1033151627812333</v>
      </c>
      <c r="J5" s="21"/>
      <c r="K5" s="21"/>
    </row>
    <row r="6" spans="1:20">
      <c r="A6" s="126"/>
      <c r="B6" s="126"/>
      <c r="C6" s="128"/>
      <c r="D6" s="44">
        <v>2018</v>
      </c>
      <c r="E6" s="36">
        <v>64</v>
      </c>
      <c r="F6" s="37">
        <v>10.5</v>
      </c>
      <c r="G6" s="130"/>
      <c r="H6" s="130"/>
      <c r="I6" s="124"/>
      <c r="J6" s="21"/>
      <c r="K6" s="21"/>
    </row>
    <row r="7" spans="1:20">
      <c r="A7" s="126"/>
      <c r="B7" s="126"/>
      <c r="C7" s="129"/>
      <c r="D7" s="44">
        <v>2019</v>
      </c>
      <c r="E7" s="36">
        <v>60</v>
      </c>
      <c r="F7" s="37">
        <v>8.5</v>
      </c>
      <c r="G7" s="130"/>
      <c r="H7" s="130"/>
      <c r="I7" s="125"/>
      <c r="J7" s="21"/>
      <c r="K7" s="21"/>
    </row>
    <row r="8" spans="1:20">
      <c r="A8" s="126"/>
      <c r="B8" s="126">
        <v>3</v>
      </c>
      <c r="C8" s="127">
        <v>97</v>
      </c>
      <c r="D8" s="44">
        <v>2017</v>
      </c>
      <c r="E8" s="36">
        <v>4</v>
      </c>
      <c r="F8" s="37">
        <v>10.5</v>
      </c>
      <c r="G8" s="130">
        <f t="shared" ref="G8" si="6">SUM(E8:E10)</f>
        <v>120</v>
      </c>
      <c r="H8" s="130">
        <f t="shared" si="1"/>
        <v>8.49</v>
      </c>
      <c r="I8" s="123">
        <f t="shared" ref="I8" si="7">(((PI()*0.00085*H8/100)+(0.00085*H8/100*2))*G8/2)*4</f>
        <v>8.9050328123113781E-2</v>
      </c>
      <c r="J8" s="21"/>
      <c r="K8" s="21"/>
    </row>
    <row r="9" spans="1:20">
      <c r="A9" s="126"/>
      <c r="B9" s="126"/>
      <c r="C9" s="128"/>
      <c r="D9" s="44">
        <v>2018</v>
      </c>
      <c r="E9" s="36">
        <v>64</v>
      </c>
      <c r="F9" s="37">
        <v>8.6</v>
      </c>
      <c r="G9" s="130"/>
      <c r="H9" s="130"/>
      <c r="I9" s="124"/>
      <c r="J9" s="21"/>
      <c r="K9" s="21"/>
    </row>
    <row r="10" spans="1:20">
      <c r="A10" s="126"/>
      <c r="B10" s="126"/>
      <c r="C10" s="129"/>
      <c r="D10" s="44">
        <v>2019</v>
      </c>
      <c r="E10" s="36">
        <v>52</v>
      </c>
      <c r="F10" s="37">
        <v>8.1999999999999993</v>
      </c>
      <c r="G10" s="130"/>
      <c r="H10" s="130"/>
      <c r="I10" s="125"/>
      <c r="J10" s="21"/>
      <c r="K10" s="21"/>
    </row>
    <row r="11" spans="1:20">
      <c r="A11" s="126"/>
      <c r="B11" s="126">
        <v>4</v>
      </c>
      <c r="C11" s="127">
        <v>94</v>
      </c>
      <c r="D11" s="36">
        <v>2017</v>
      </c>
      <c r="E11" s="36">
        <v>8</v>
      </c>
      <c r="F11" s="37">
        <v>12.2</v>
      </c>
      <c r="G11" s="130">
        <f t="shared" ref="G11" si="8">SUM(E11:E13)</f>
        <v>96</v>
      </c>
      <c r="H11" s="130">
        <f t="shared" si="1"/>
        <v>10.133333333333335</v>
      </c>
      <c r="I11" s="123">
        <f t="shared" ref="I11" si="9">(((PI()*0.00085*H11/100)+(0.00085*H11/100*2))*G11/2)*4</f>
        <v>8.5029602668006563E-2</v>
      </c>
      <c r="J11" s="21"/>
      <c r="K11" s="21"/>
    </row>
    <row r="12" spans="1:20">
      <c r="A12" s="126"/>
      <c r="B12" s="126"/>
      <c r="C12" s="128"/>
      <c r="D12" s="36">
        <v>2018</v>
      </c>
      <c r="E12" s="36">
        <v>32</v>
      </c>
      <c r="F12" s="37">
        <v>10.199999999999999</v>
      </c>
      <c r="G12" s="130"/>
      <c r="H12" s="130"/>
      <c r="I12" s="124"/>
      <c r="J12" s="21"/>
      <c r="K12" s="21"/>
    </row>
    <row r="13" spans="1:20">
      <c r="A13" s="126"/>
      <c r="B13" s="126"/>
      <c r="C13" s="129"/>
      <c r="D13" s="36">
        <v>2019</v>
      </c>
      <c r="E13" s="36">
        <v>56</v>
      </c>
      <c r="F13" s="37">
        <v>9.8000000000000007</v>
      </c>
      <c r="G13" s="130"/>
      <c r="H13" s="130"/>
      <c r="I13" s="125"/>
      <c r="J13" s="21"/>
      <c r="K13" s="21"/>
    </row>
    <row r="14" spans="1:20">
      <c r="A14" s="126"/>
      <c r="B14" s="126">
        <v>5</v>
      </c>
      <c r="C14" s="127">
        <v>55</v>
      </c>
      <c r="D14" s="44">
        <v>2017</v>
      </c>
      <c r="E14" s="37">
        <v>0</v>
      </c>
      <c r="F14" s="37"/>
      <c r="G14" s="130">
        <f t="shared" ref="G14" si="10">SUM(E14:E16)</f>
        <v>78</v>
      </c>
      <c r="H14" s="130">
        <f t="shared" si="1"/>
        <v>8.9794871794871796</v>
      </c>
      <c r="I14" s="123">
        <f t="shared" ref="I14" si="11">(((PI()*0.00085*H14/100)+(0.00085*H14/100*2))*G14/2)*4</f>
        <v>6.1219915407762948E-2</v>
      </c>
      <c r="J14" s="21"/>
      <c r="K14" s="21"/>
    </row>
    <row r="15" spans="1:20">
      <c r="A15" s="126"/>
      <c r="B15" s="126"/>
      <c r="C15" s="128"/>
      <c r="D15" s="44">
        <v>2018</v>
      </c>
      <c r="E15" s="37">
        <v>62</v>
      </c>
      <c r="F15" s="37">
        <v>8.1999999999999993</v>
      </c>
      <c r="G15" s="130"/>
      <c r="H15" s="130"/>
      <c r="I15" s="124"/>
      <c r="J15" s="21"/>
      <c r="K15" s="21"/>
    </row>
    <row r="16" spans="1:20">
      <c r="A16" s="126"/>
      <c r="B16" s="126"/>
      <c r="C16" s="129"/>
      <c r="D16" s="44">
        <v>2019</v>
      </c>
      <c r="E16" s="37">
        <v>16</v>
      </c>
      <c r="F16" s="37">
        <v>12</v>
      </c>
      <c r="G16" s="130"/>
      <c r="H16" s="130"/>
      <c r="I16" s="125"/>
      <c r="J16" s="21"/>
      <c r="K16" s="21"/>
    </row>
    <row r="17" spans="1:11">
      <c r="A17" s="126"/>
      <c r="B17" s="126">
        <v>6</v>
      </c>
      <c r="C17" s="127">
        <v>55</v>
      </c>
      <c r="D17" s="44">
        <v>2017</v>
      </c>
      <c r="E17" s="46">
        <v>0</v>
      </c>
      <c r="F17" s="46"/>
      <c r="G17" s="130">
        <f t="shared" ref="G17" si="12">SUM(E17:E19)</f>
        <v>158</v>
      </c>
      <c r="H17" s="130">
        <f t="shared" si="1"/>
        <v>7.8189873417721527</v>
      </c>
      <c r="I17" s="123">
        <f t="shared" ref="I17" si="13">(((PI()*0.00085*H17/100)+(0.00085*H17/100*2))*G17/2)*4</f>
        <v>0.10798270059216213</v>
      </c>
      <c r="J17" s="21"/>
      <c r="K17" s="21"/>
    </row>
    <row r="18" spans="1:11">
      <c r="A18" s="126"/>
      <c r="B18" s="126"/>
      <c r="C18" s="128"/>
      <c r="D18" s="44">
        <v>2018</v>
      </c>
      <c r="E18" s="46">
        <v>72</v>
      </c>
      <c r="F18" s="46">
        <v>8.1999999999999993</v>
      </c>
      <c r="G18" s="130"/>
      <c r="H18" s="130"/>
      <c r="I18" s="124"/>
      <c r="J18" s="21"/>
      <c r="K18" s="21"/>
    </row>
    <row r="19" spans="1:11">
      <c r="A19" s="126"/>
      <c r="B19" s="126"/>
      <c r="C19" s="129"/>
      <c r="D19" s="44">
        <v>2019</v>
      </c>
      <c r="E19" s="46">
        <v>86</v>
      </c>
      <c r="F19" s="46">
        <v>7.5</v>
      </c>
      <c r="G19" s="130"/>
      <c r="H19" s="130"/>
      <c r="I19" s="125"/>
      <c r="J19" s="21"/>
      <c r="K19" s="21"/>
    </row>
    <row r="20" spans="1:11">
      <c r="A20" s="126"/>
      <c r="B20" s="126">
        <v>7</v>
      </c>
      <c r="C20" s="127">
        <v>58</v>
      </c>
      <c r="D20" s="44">
        <v>2017</v>
      </c>
      <c r="E20" s="37">
        <v>2</v>
      </c>
      <c r="F20" s="37">
        <v>11</v>
      </c>
      <c r="G20" s="130">
        <f t="shared" ref="G20" si="14">SUM(E20:E22)</f>
        <v>136</v>
      </c>
      <c r="H20" s="130">
        <f t="shared" si="1"/>
        <v>7.5529411764705872</v>
      </c>
      <c r="I20" s="123">
        <f t="shared" ref="I20" si="15">(((PI()*0.00085*H20/100)+(0.00085*H20/100*2))*G20/2)*4</f>
        <v>8.9784547554046398E-2</v>
      </c>
      <c r="J20" s="21"/>
      <c r="K20" s="21"/>
    </row>
    <row r="21" spans="1:11">
      <c r="A21" s="126"/>
      <c r="B21" s="126"/>
      <c r="C21" s="128"/>
      <c r="D21" s="44">
        <v>2018</v>
      </c>
      <c r="E21" s="36">
        <v>56</v>
      </c>
      <c r="F21" s="37">
        <v>8.1999999999999993</v>
      </c>
      <c r="G21" s="130"/>
      <c r="H21" s="130"/>
      <c r="I21" s="124"/>
      <c r="J21" s="21"/>
      <c r="K21" s="21"/>
    </row>
    <row r="22" spans="1:11">
      <c r="A22" s="126"/>
      <c r="B22" s="126"/>
      <c r="C22" s="129"/>
      <c r="D22" s="44">
        <v>2019</v>
      </c>
      <c r="E22" s="36">
        <v>78</v>
      </c>
      <c r="F22" s="37">
        <v>7</v>
      </c>
      <c r="G22" s="130"/>
      <c r="H22" s="130"/>
      <c r="I22" s="125"/>
      <c r="J22" s="21"/>
      <c r="K22" s="21"/>
    </row>
    <row r="23" spans="1:11">
      <c r="A23" s="126" t="s">
        <v>6</v>
      </c>
      <c r="B23" s="134">
        <v>9</v>
      </c>
      <c r="C23" s="127">
        <v>14</v>
      </c>
      <c r="D23" s="44">
        <v>2017</v>
      </c>
      <c r="E23" s="36">
        <v>2</v>
      </c>
      <c r="F23" s="37">
        <v>5.5</v>
      </c>
      <c r="G23" s="130">
        <f t="shared" ref="G23" si="16">SUM(E23:E25)</f>
        <v>86</v>
      </c>
      <c r="H23" s="130">
        <f t="shared" ref="H23" si="17">(F23*E23+F24*E24+F25*E25)/G23</f>
        <v>6.2209302325581399</v>
      </c>
      <c r="I23" s="123">
        <f t="shared" ref="I23" si="18">(((PI()*0.00085*H23/100)+(0.00085*H23/100*2))*G23/2)*4</f>
        <v>4.6762785184399171E-2</v>
      </c>
      <c r="J23" s="21"/>
      <c r="K23" s="21"/>
    </row>
    <row r="24" spans="1:11">
      <c r="A24" s="126"/>
      <c r="B24" s="134"/>
      <c r="C24" s="128"/>
      <c r="D24" s="44">
        <v>2018</v>
      </c>
      <c r="E24" s="36">
        <v>62</v>
      </c>
      <c r="F24" s="37">
        <v>6.5</v>
      </c>
      <c r="G24" s="130"/>
      <c r="H24" s="130"/>
      <c r="I24" s="124"/>
      <c r="J24" s="21"/>
      <c r="K24" s="21"/>
    </row>
    <row r="25" spans="1:11">
      <c r="A25" s="126"/>
      <c r="B25" s="134"/>
      <c r="C25" s="129"/>
      <c r="D25" s="44">
        <v>2019</v>
      </c>
      <c r="E25" s="36">
        <v>22</v>
      </c>
      <c r="F25" s="37">
        <v>5.5</v>
      </c>
      <c r="G25" s="130"/>
      <c r="H25" s="130"/>
      <c r="I25" s="125"/>
      <c r="J25" s="21"/>
      <c r="K25" s="21"/>
    </row>
    <row r="26" spans="1:11">
      <c r="A26" s="126"/>
      <c r="B26" s="126">
        <v>10</v>
      </c>
      <c r="C26" s="127">
        <v>13</v>
      </c>
      <c r="D26" s="44">
        <v>2017</v>
      </c>
      <c r="E26" s="36">
        <v>0</v>
      </c>
      <c r="F26" s="37"/>
      <c r="G26" s="130">
        <f t="shared" ref="G26" si="19">SUM(E26:E28)</f>
        <v>106</v>
      </c>
      <c r="H26" s="130">
        <f t="shared" ref="H26" si="20">(F26*E26+F27*E27+F28*E28)/G26</f>
        <v>6.3245283018867937</v>
      </c>
      <c r="I26" s="123">
        <f t="shared" ref="I26" si="21">(((PI()*0.00085*H26/100)+(0.00085*H26/100*2))*G26/2)*4</f>
        <v>5.8597703154432162E-2</v>
      </c>
      <c r="J26" s="21"/>
      <c r="K26" s="21"/>
    </row>
    <row r="27" spans="1:11">
      <c r="A27" s="126"/>
      <c r="B27" s="126"/>
      <c r="C27" s="128"/>
      <c r="D27" s="44">
        <v>2018</v>
      </c>
      <c r="E27" s="36">
        <v>44</v>
      </c>
      <c r="F27" s="37">
        <v>6.5</v>
      </c>
      <c r="G27" s="130"/>
      <c r="H27" s="130"/>
      <c r="I27" s="124"/>
      <c r="J27" s="21"/>
      <c r="K27" s="21"/>
    </row>
    <row r="28" spans="1:11">
      <c r="A28" s="126"/>
      <c r="B28" s="126"/>
      <c r="C28" s="129"/>
      <c r="D28" s="44">
        <v>2019</v>
      </c>
      <c r="E28" s="36">
        <v>62</v>
      </c>
      <c r="F28" s="37">
        <v>6.2</v>
      </c>
      <c r="G28" s="130"/>
      <c r="H28" s="130"/>
      <c r="I28" s="125"/>
      <c r="J28" s="21"/>
      <c r="K28" s="21"/>
    </row>
    <row r="29" spans="1:11">
      <c r="A29" s="126"/>
      <c r="B29" s="126">
        <v>11</v>
      </c>
      <c r="C29" s="127">
        <v>17</v>
      </c>
      <c r="D29" s="45">
        <v>2017</v>
      </c>
      <c r="E29" s="45">
        <v>10</v>
      </c>
      <c r="F29" s="46">
        <v>6</v>
      </c>
      <c r="G29" s="130">
        <f>SUM(E29:E31)</f>
        <v>102</v>
      </c>
      <c r="H29" s="130">
        <f>(F29*E29+F30*E30+F31*E31)/G29</f>
        <v>4.1333333333333337</v>
      </c>
      <c r="I29" s="123">
        <f t="shared" ref="I29" si="22">(((PI()*0.00085*H29/100)+(0.00085*H29/100*2))*G29/2)*4</f>
        <v>3.6850822866808769E-2</v>
      </c>
      <c r="J29" s="21"/>
      <c r="K29" s="21"/>
    </row>
    <row r="30" spans="1:11">
      <c r="A30" s="126"/>
      <c r="B30" s="126"/>
      <c r="C30" s="128"/>
      <c r="D30" s="45">
        <v>2018</v>
      </c>
      <c r="E30" s="45">
        <v>52</v>
      </c>
      <c r="F30" s="46">
        <v>4.8</v>
      </c>
      <c r="G30" s="130"/>
      <c r="H30" s="130"/>
      <c r="I30" s="124"/>
      <c r="J30" s="21"/>
      <c r="K30" s="21"/>
    </row>
    <row r="31" spans="1:11">
      <c r="A31" s="126"/>
      <c r="B31" s="126"/>
      <c r="C31" s="129"/>
      <c r="D31" s="45">
        <v>2019</v>
      </c>
      <c r="E31" s="45">
        <v>40</v>
      </c>
      <c r="F31" s="46">
        <v>2.8</v>
      </c>
      <c r="G31" s="130"/>
      <c r="H31" s="130"/>
      <c r="I31" s="125"/>
      <c r="J31" s="21"/>
      <c r="K31" s="21"/>
    </row>
    <row r="32" spans="1:11">
      <c r="A32" s="126"/>
      <c r="B32" s="126">
        <v>12</v>
      </c>
      <c r="C32" s="127">
        <v>80</v>
      </c>
      <c r="D32" s="45">
        <v>2017</v>
      </c>
      <c r="E32" s="46">
        <v>6</v>
      </c>
      <c r="F32" s="46">
        <v>3.8</v>
      </c>
      <c r="G32" s="130">
        <f>SUM(E32:E34)</f>
        <v>102</v>
      </c>
      <c r="H32" s="130">
        <f>(F32*E32+F33*E33+F34*E34)/G32</f>
        <v>6.7431372549019617</v>
      </c>
      <c r="I32" s="123">
        <f t="shared" ref="I32" si="23">(((PI()*0.00085*H32/100)+(0.00085*H32/100*2))*G32/2)*4</f>
        <v>6.0118586261364015E-2</v>
      </c>
      <c r="J32" s="21"/>
      <c r="K32" s="21"/>
    </row>
    <row r="33" spans="1:11">
      <c r="A33" s="126"/>
      <c r="B33" s="126"/>
      <c r="C33" s="128"/>
      <c r="D33" s="45">
        <v>2018</v>
      </c>
      <c r="E33" s="46">
        <v>52</v>
      </c>
      <c r="F33" s="46">
        <v>6.95</v>
      </c>
      <c r="G33" s="130"/>
      <c r="H33" s="130"/>
      <c r="I33" s="124"/>
      <c r="J33" s="21"/>
      <c r="K33" s="21"/>
    </row>
    <row r="34" spans="1:11">
      <c r="A34" s="126"/>
      <c r="B34" s="126"/>
      <c r="C34" s="129"/>
      <c r="D34" s="45">
        <v>2019</v>
      </c>
      <c r="E34" s="46">
        <v>44</v>
      </c>
      <c r="F34" s="46">
        <v>6.9</v>
      </c>
      <c r="G34" s="130"/>
      <c r="H34" s="130"/>
      <c r="I34" s="125"/>
      <c r="J34" s="21"/>
      <c r="K34" s="21"/>
    </row>
    <row r="35" spans="1:11">
      <c r="A35" s="126"/>
      <c r="B35" s="126">
        <v>13</v>
      </c>
      <c r="C35" s="127">
        <v>18</v>
      </c>
      <c r="D35" s="45">
        <v>2017</v>
      </c>
      <c r="E35" s="46">
        <v>2</v>
      </c>
      <c r="F35" s="46">
        <v>6.2</v>
      </c>
      <c r="G35" s="130">
        <f>SUM(E35:E37)</f>
        <v>126</v>
      </c>
      <c r="H35" s="130">
        <f>(F35*E35+F36*E36+F37*E37)/G35</f>
        <v>4.9698412698412699</v>
      </c>
      <c r="I35" s="123">
        <f t="shared" ref="I35" si="24">(((PI()*0.00085*H35/100)+(0.00085*H35/100*2))*G35/2)*4</f>
        <v>5.4734310434524792E-2</v>
      </c>
      <c r="J35" s="21"/>
      <c r="K35" s="21"/>
    </row>
    <row r="36" spans="1:11">
      <c r="A36" s="126"/>
      <c r="B36" s="126"/>
      <c r="C36" s="128"/>
      <c r="D36" s="45">
        <v>2018</v>
      </c>
      <c r="E36" s="45">
        <v>90</v>
      </c>
      <c r="F36" s="46">
        <v>5.8</v>
      </c>
      <c r="G36" s="130"/>
      <c r="H36" s="130"/>
      <c r="I36" s="124"/>
      <c r="J36" s="21"/>
      <c r="K36" s="21"/>
    </row>
    <row r="37" spans="1:11">
      <c r="A37" s="126"/>
      <c r="B37" s="126"/>
      <c r="C37" s="129"/>
      <c r="D37" s="45">
        <v>2019</v>
      </c>
      <c r="E37" s="45">
        <v>34</v>
      </c>
      <c r="F37" s="46">
        <v>2.7</v>
      </c>
      <c r="G37" s="130"/>
      <c r="H37" s="130"/>
      <c r="I37" s="125"/>
      <c r="J37" s="21"/>
      <c r="K37" s="21"/>
    </row>
    <row r="38" spans="1:11">
      <c r="A38" s="126"/>
      <c r="B38" s="126">
        <v>14</v>
      </c>
      <c r="C38" s="127">
        <v>80</v>
      </c>
      <c r="D38" s="45">
        <v>2017</v>
      </c>
      <c r="E38" s="46">
        <v>6</v>
      </c>
      <c r="F38" s="46">
        <v>3.8</v>
      </c>
      <c r="G38" s="130">
        <f>SUM(E38:E40)</f>
        <v>102</v>
      </c>
      <c r="H38" s="130">
        <f>(F38*E38+F39*E39+F40*E40)/G38</f>
        <v>6.7000000000000011</v>
      </c>
      <c r="I38" s="123">
        <f t="shared" ref="I38" si="25">(((PI()*0.00085*H38/100)+(0.00085*H38/100*2))*G38/2)*4</f>
        <v>5.973399513087551E-2</v>
      </c>
      <c r="J38" s="21"/>
      <c r="K38" s="21"/>
    </row>
    <row r="39" spans="1:11">
      <c r="A39" s="126"/>
      <c r="B39" s="126"/>
      <c r="C39" s="128"/>
      <c r="D39" s="45">
        <v>2018</v>
      </c>
      <c r="E39" s="46">
        <v>52</v>
      </c>
      <c r="F39" s="46">
        <v>6.95</v>
      </c>
      <c r="G39" s="130"/>
      <c r="H39" s="130"/>
      <c r="I39" s="124"/>
      <c r="J39" s="21"/>
      <c r="K39" s="21"/>
    </row>
    <row r="40" spans="1:11">
      <c r="A40" s="126"/>
      <c r="B40" s="126"/>
      <c r="C40" s="129"/>
      <c r="D40" s="45">
        <v>2019</v>
      </c>
      <c r="E40" s="46">
        <v>44</v>
      </c>
      <c r="F40" s="46">
        <v>6.8</v>
      </c>
      <c r="G40" s="130"/>
      <c r="H40" s="130"/>
      <c r="I40" s="125"/>
      <c r="J40" s="21"/>
      <c r="K40" s="21"/>
    </row>
    <row r="41" spans="1:11">
      <c r="A41" s="126"/>
      <c r="B41" s="126">
        <v>15</v>
      </c>
      <c r="C41" s="127">
        <v>14</v>
      </c>
      <c r="D41" s="45">
        <v>2017</v>
      </c>
      <c r="E41" s="45">
        <v>12</v>
      </c>
      <c r="F41" s="46">
        <v>5.5</v>
      </c>
      <c r="G41" s="130">
        <f>SUM(E41:E43)</f>
        <v>108</v>
      </c>
      <c r="H41" s="130">
        <f>(F41*E41+F42*E42+F43*E43)/G41</f>
        <v>5.9074074074074074</v>
      </c>
      <c r="I41" s="123">
        <f t="shared" ref="I41" si="26">(((PI()*0.00085*H41/100)+(0.00085*H41/100*2))*G41/2)*4</f>
        <v>5.5765713920834903E-2</v>
      </c>
      <c r="J41" s="21"/>
      <c r="K41" s="21"/>
    </row>
    <row r="42" spans="1:11">
      <c r="A42" s="126"/>
      <c r="B42" s="126"/>
      <c r="C42" s="128"/>
      <c r="D42" s="45">
        <v>2018</v>
      </c>
      <c r="E42" s="45">
        <v>44</v>
      </c>
      <c r="F42" s="46">
        <v>6.5</v>
      </c>
      <c r="G42" s="130"/>
      <c r="H42" s="130"/>
      <c r="I42" s="124"/>
      <c r="J42" s="21"/>
      <c r="K42" s="21"/>
    </row>
    <row r="43" spans="1:11">
      <c r="A43" s="126"/>
      <c r="B43" s="126"/>
      <c r="C43" s="129"/>
      <c r="D43" s="45">
        <v>2019</v>
      </c>
      <c r="E43" s="45">
        <v>52</v>
      </c>
      <c r="F43" s="46">
        <v>5.5</v>
      </c>
      <c r="G43" s="130"/>
      <c r="H43" s="130"/>
      <c r="I43" s="125"/>
      <c r="J43" s="21"/>
      <c r="K43" s="21"/>
    </row>
  </sheetData>
  <mergeCells count="72">
    <mergeCell ref="I41:I43"/>
    <mergeCell ref="B38:B40"/>
    <mergeCell ref="C38:C40"/>
    <mergeCell ref="G38:G40"/>
    <mergeCell ref="H38:H40"/>
    <mergeCell ref="I38:I40"/>
    <mergeCell ref="I29:I31"/>
    <mergeCell ref="B35:B37"/>
    <mergeCell ref="C35:C37"/>
    <mergeCell ref="G35:G37"/>
    <mergeCell ref="H35:H37"/>
    <mergeCell ref="I35:I37"/>
    <mergeCell ref="B32:B34"/>
    <mergeCell ref="C32:C34"/>
    <mergeCell ref="G32:G34"/>
    <mergeCell ref="H32:H34"/>
    <mergeCell ref="I32:I34"/>
    <mergeCell ref="A23:A43"/>
    <mergeCell ref="B23:B25"/>
    <mergeCell ref="C23:C25"/>
    <mergeCell ref="G23:G25"/>
    <mergeCell ref="H23:H25"/>
    <mergeCell ref="B29:B31"/>
    <mergeCell ref="C29:C31"/>
    <mergeCell ref="G29:G31"/>
    <mergeCell ref="H29:H31"/>
    <mergeCell ref="B41:B43"/>
    <mergeCell ref="C41:C43"/>
    <mergeCell ref="G41:G43"/>
    <mergeCell ref="H41:H43"/>
    <mergeCell ref="I23:I25"/>
    <mergeCell ref="B26:B28"/>
    <mergeCell ref="C26:C28"/>
    <mergeCell ref="G26:G28"/>
    <mergeCell ref="H26:H28"/>
    <mergeCell ref="I26:I28"/>
    <mergeCell ref="I20:I22"/>
    <mergeCell ref="B17:B19"/>
    <mergeCell ref="C17:C19"/>
    <mergeCell ref="G17:G19"/>
    <mergeCell ref="H17:H19"/>
    <mergeCell ref="I17:I19"/>
    <mergeCell ref="I8:I10"/>
    <mergeCell ref="B14:B16"/>
    <mergeCell ref="C14:C16"/>
    <mergeCell ref="G14:G16"/>
    <mergeCell ref="H14:H16"/>
    <mergeCell ref="I14:I16"/>
    <mergeCell ref="B11:B13"/>
    <mergeCell ref="C11:C13"/>
    <mergeCell ref="G11:G13"/>
    <mergeCell ref="H11:H13"/>
    <mergeCell ref="I11:I13"/>
    <mergeCell ref="A2:A22"/>
    <mergeCell ref="B2:B4"/>
    <mergeCell ref="C2:C4"/>
    <mergeCell ref="G2:G4"/>
    <mergeCell ref="H2:H4"/>
    <mergeCell ref="B8:B10"/>
    <mergeCell ref="C8:C10"/>
    <mergeCell ref="G8:G10"/>
    <mergeCell ref="H8:H10"/>
    <mergeCell ref="B20:B22"/>
    <mergeCell ref="C20:C22"/>
    <mergeCell ref="G20:G22"/>
    <mergeCell ref="H20:H22"/>
    <mergeCell ref="I2:I4"/>
    <mergeCell ref="B5:B7"/>
    <mergeCell ref="C5:C7"/>
    <mergeCell ref="G5:G7"/>
    <mergeCell ref="H5:H7"/>
    <mergeCell ref="I5:I7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3"/>
  <sheetViews>
    <sheetView topLeftCell="A22" workbookViewId="0">
      <selection activeCell="F16" sqref="F16"/>
    </sheetView>
  </sheetViews>
  <sheetFormatPr defaultRowHeight="15"/>
  <cols>
    <col min="16" max="16" width="10.42578125" bestFit="1" customWidth="1"/>
    <col min="17" max="17" width="11.85546875" bestFit="1" customWidth="1"/>
  </cols>
  <sheetData>
    <row r="1" spans="1:19" ht="30">
      <c r="A1" s="8" t="s">
        <v>3</v>
      </c>
      <c r="B1" s="8" t="s">
        <v>0</v>
      </c>
      <c r="C1" s="8" t="s">
        <v>2</v>
      </c>
      <c r="D1" s="8" t="s">
        <v>1</v>
      </c>
      <c r="E1" s="8" t="s">
        <v>7</v>
      </c>
      <c r="F1" s="8" t="s">
        <v>8</v>
      </c>
      <c r="G1" s="10" t="s">
        <v>10</v>
      </c>
      <c r="H1" s="8" t="s">
        <v>9</v>
      </c>
      <c r="I1" s="8" t="s">
        <v>13</v>
      </c>
      <c r="J1" s="10" t="s">
        <v>14</v>
      </c>
      <c r="K1" s="10" t="s">
        <v>15</v>
      </c>
      <c r="L1" s="8" t="s">
        <v>26</v>
      </c>
      <c r="M1" s="8" t="s">
        <v>27</v>
      </c>
      <c r="O1" s="71" t="s">
        <v>62</v>
      </c>
      <c r="P1" s="70" t="s">
        <v>58</v>
      </c>
      <c r="Q1" s="70" t="s">
        <v>60</v>
      </c>
      <c r="R1" s="70" t="s">
        <v>59</v>
      </c>
      <c r="S1" s="70" t="s">
        <v>61</v>
      </c>
    </row>
    <row r="2" spans="1:19">
      <c r="A2" s="126" t="s">
        <v>4</v>
      </c>
      <c r="B2" s="126">
        <v>1</v>
      </c>
      <c r="C2" s="127">
        <v>95</v>
      </c>
      <c r="D2" s="34">
        <v>2017</v>
      </c>
      <c r="E2" s="35">
        <v>4</v>
      </c>
      <c r="F2" s="35">
        <v>10</v>
      </c>
      <c r="G2" s="130">
        <f>SUM(E2:E4)</f>
        <v>89</v>
      </c>
      <c r="H2" s="130">
        <f>(F2*E2+F3*E3+F4*E4)/G2</f>
        <v>9.8314606741573041</v>
      </c>
      <c r="I2" s="123">
        <f>(((PI()*0.00085*H2/100)+(0.00085*H2/100*2))*G2/2)*4</f>
        <v>7.6481190722148179E-2</v>
      </c>
      <c r="J2" s="21">
        <f>AVERAGE(I2:I22)</f>
        <v>8.6913849472899971E-2</v>
      </c>
      <c r="K2" s="21">
        <f>AVERAGE(I23:I43)</f>
        <v>5.3727880398246386E-2</v>
      </c>
      <c r="L2" s="21">
        <f>SUM(I2:I22)*4</f>
        <v>2.4335877852411993</v>
      </c>
      <c r="M2" s="21">
        <f>SUM(I23:I43)</f>
        <v>0.3760951627877247</v>
      </c>
      <c r="N2" t="s">
        <v>66</v>
      </c>
      <c r="O2">
        <v>2017</v>
      </c>
      <c r="P2" s="79">
        <f>AVERAGE(E32,E23,E26,E29,E35,E38,E41)</f>
        <v>8.5714285714285712</v>
      </c>
      <c r="Q2" s="79">
        <f>AVERAGE(F32,F23,F26,F29,F35,F38,F41)</f>
        <v>6.9249999999999998</v>
      </c>
      <c r="R2" s="79">
        <f>AVERAGE(E2,E5,E8,E20,E11,E14,E17)</f>
        <v>4.5714285714285712</v>
      </c>
      <c r="S2" s="79">
        <f>AVERAGE(F2,F5,F8,F20,F11,F14,F17)</f>
        <v>9</v>
      </c>
    </row>
    <row r="3" spans="1:19">
      <c r="A3" s="126"/>
      <c r="B3" s="126"/>
      <c r="C3" s="128"/>
      <c r="D3" s="34">
        <v>2018</v>
      </c>
      <c r="E3" s="35">
        <v>20</v>
      </c>
      <c r="F3" s="35">
        <v>12.5</v>
      </c>
      <c r="G3" s="130"/>
      <c r="H3" s="130"/>
      <c r="I3" s="124"/>
      <c r="J3" s="21">
        <v>3.9645666157608075E-2</v>
      </c>
      <c r="K3" s="21">
        <v>3.1707302088051149E-2</v>
      </c>
      <c r="L3" s="21">
        <v>0.27751966310325654</v>
      </c>
      <c r="M3" s="21">
        <v>0.22195111461635803</v>
      </c>
      <c r="N3" t="s">
        <v>67</v>
      </c>
      <c r="O3" s="59">
        <v>2018</v>
      </c>
      <c r="P3" s="79">
        <f>AVERAGE(E33,E42,E39,E36,E30,E27,E24)</f>
        <v>48</v>
      </c>
      <c r="Q3" s="79">
        <f>AVERAGE(F33,F42,F39,F36,F30,F27,F24)</f>
        <v>6.8571428571428568</v>
      </c>
      <c r="R3" s="79">
        <f>AVERAGE(E3,E6,E15,E21,E9,E12,E18)</f>
        <v>55.857142857142854</v>
      </c>
      <c r="S3" s="79">
        <f>AVERAGE(F3,F6,F15,F21,F9,F12,F18)</f>
        <v>8.9428571428571431</v>
      </c>
    </row>
    <row r="4" spans="1:19">
      <c r="A4" s="126"/>
      <c r="B4" s="126"/>
      <c r="C4" s="129"/>
      <c r="D4" s="72">
        <v>2019</v>
      </c>
      <c r="E4" s="35">
        <v>65</v>
      </c>
      <c r="F4" s="35">
        <v>9</v>
      </c>
      <c r="G4" s="130"/>
      <c r="H4" s="130"/>
      <c r="I4" s="125"/>
      <c r="J4">
        <f>J3/J2</f>
        <v>0.45614900729911551</v>
      </c>
      <c r="K4">
        <f>K3/K2</f>
        <v>0.59014615601858056</v>
      </c>
      <c r="M4" s="33"/>
      <c r="N4" t="s">
        <v>65</v>
      </c>
      <c r="O4">
        <v>2019</v>
      </c>
      <c r="P4" s="79">
        <f>AVERAGE(E34,E43,E40,E37,E31,E28,E25)</f>
        <v>56.571428571428569</v>
      </c>
      <c r="Q4" s="79">
        <f>AVERAGE(F34,F43,F40,F37,F31,F28,F25)</f>
        <v>3.9</v>
      </c>
      <c r="R4" s="79">
        <f>AVERAGE(E4,E7,E16,E22,E10,E19,E13)</f>
        <v>60.428571428571431</v>
      </c>
      <c r="S4" s="79">
        <f>AVERAGE(F4,F7,F16,F22,F10,F19,F13)</f>
        <v>8.1714285714285708</v>
      </c>
    </row>
    <row r="5" spans="1:19">
      <c r="A5" s="126"/>
      <c r="B5" s="126">
        <v>2</v>
      </c>
      <c r="C5" s="127">
        <v>50</v>
      </c>
      <c r="D5" s="72">
        <v>2017</v>
      </c>
      <c r="E5" s="34">
        <v>0</v>
      </c>
      <c r="F5" s="35"/>
      <c r="G5" s="130">
        <f t="shared" ref="G5" si="0">SUM(E5:E7)</f>
        <v>140</v>
      </c>
      <c r="H5" s="130">
        <f t="shared" ref="H5" si="1">(F5*E5+F6*E6+F7*E7)/G5</f>
        <v>8.6742857142857144</v>
      </c>
      <c r="I5" s="123">
        <f t="shared" ref="I5" si="2">(((PI()*0.00085*H5/100)+(0.00085*H5/100*2))*G5/2)*4</f>
        <v>0.10614715201483055</v>
      </c>
      <c r="J5" s="21"/>
      <c r="K5" s="21"/>
      <c r="P5" s="29"/>
    </row>
    <row r="6" spans="1:19">
      <c r="A6" s="126"/>
      <c r="B6" s="126"/>
      <c r="C6" s="128"/>
      <c r="D6" s="72">
        <v>2018</v>
      </c>
      <c r="E6" s="34">
        <v>68</v>
      </c>
      <c r="F6" s="35">
        <v>9.6</v>
      </c>
      <c r="G6" s="130"/>
      <c r="H6" s="130"/>
      <c r="I6" s="124"/>
      <c r="J6" s="21"/>
      <c r="K6" s="21"/>
      <c r="P6" s="29"/>
    </row>
    <row r="7" spans="1:19">
      <c r="A7" s="126"/>
      <c r="B7" s="126"/>
      <c r="C7" s="129"/>
      <c r="D7" s="72">
        <v>2019</v>
      </c>
      <c r="E7" s="34">
        <v>72</v>
      </c>
      <c r="F7" s="35">
        <v>7.8</v>
      </c>
      <c r="G7" s="130"/>
      <c r="H7" s="130"/>
      <c r="I7" s="125"/>
      <c r="J7" s="21"/>
      <c r="K7" s="21"/>
      <c r="P7" s="29"/>
    </row>
    <row r="8" spans="1:19">
      <c r="A8" s="126"/>
      <c r="B8" s="126">
        <v>3</v>
      </c>
      <c r="C8" s="127">
        <v>97</v>
      </c>
      <c r="D8" s="72">
        <v>2017</v>
      </c>
      <c r="E8" s="34">
        <v>0</v>
      </c>
      <c r="F8" s="35"/>
      <c r="G8" s="130">
        <f t="shared" ref="G8" si="3">SUM(E8:E10)</f>
        <v>128</v>
      </c>
      <c r="H8" s="130">
        <f t="shared" ref="H8" si="4">(F8*E8+F9*E9+F10*E10)/G8</f>
        <v>7.5</v>
      </c>
      <c r="I8" s="123">
        <f t="shared" ref="I8" si="5">(((PI()*0.00085*H8/100)+(0.00085*H8/100*2))*G8/2)*4</f>
        <v>8.3910792106585419E-2</v>
      </c>
      <c r="J8" s="21"/>
      <c r="K8" s="21"/>
    </row>
    <row r="9" spans="1:19">
      <c r="A9" s="126"/>
      <c r="B9" s="126"/>
      <c r="C9" s="128"/>
      <c r="D9" s="72">
        <v>2018</v>
      </c>
      <c r="E9" s="34">
        <v>60</v>
      </c>
      <c r="F9" s="35">
        <v>7.5</v>
      </c>
      <c r="G9" s="130"/>
      <c r="H9" s="130"/>
      <c r="I9" s="124"/>
      <c r="J9" s="21"/>
      <c r="K9" s="21"/>
    </row>
    <row r="10" spans="1:19">
      <c r="A10" s="126"/>
      <c r="B10" s="126"/>
      <c r="C10" s="129"/>
      <c r="D10" s="72">
        <v>2019</v>
      </c>
      <c r="E10" s="34">
        <v>68</v>
      </c>
      <c r="F10" s="35">
        <v>7.5</v>
      </c>
      <c r="G10" s="130"/>
      <c r="H10" s="130"/>
      <c r="I10" s="125"/>
      <c r="J10" s="21"/>
      <c r="K10" s="21"/>
    </row>
    <row r="11" spans="1:19">
      <c r="A11" s="126"/>
      <c r="B11" s="126">
        <v>4</v>
      </c>
      <c r="C11" s="127">
        <v>94</v>
      </c>
      <c r="D11" s="72">
        <v>2017</v>
      </c>
      <c r="E11" s="72">
        <v>0</v>
      </c>
      <c r="F11" s="73"/>
      <c r="G11" s="130">
        <f t="shared" ref="G11" si="6">SUM(E11:E13)</f>
        <v>128</v>
      </c>
      <c r="H11" s="130">
        <f t="shared" ref="H11" si="7">(F11*E11+F12*E12+F13*E13)/G11</f>
        <v>7.5</v>
      </c>
      <c r="I11" s="123">
        <f t="shared" ref="I11" si="8">(((PI()*0.00085*H11/100)+(0.00085*H11/100*2))*G11/2)*4</f>
        <v>8.3910792106585419E-2</v>
      </c>
      <c r="J11" s="21"/>
      <c r="K11" s="21"/>
    </row>
    <row r="12" spans="1:19">
      <c r="A12" s="126"/>
      <c r="B12" s="126"/>
      <c r="C12" s="128"/>
      <c r="D12" s="72">
        <v>2018</v>
      </c>
      <c r="E12" s="72">
        <v>60</v>
      </c>
      <c r="F12" s="73">
        <v>7.5</v>
      </c>
      <c r="G12" s="130"/>
      <c r="H12" s="130"/>
      <c r="I12" s="124"/>
      <c r="J12" s="21"/>
      <c r="K12" s="21"/>
    </row>
    <row r="13" spans="1:19">
      <c r="A13" s="126"/>
      <c r="B13" s="126"/>
      <c r="C13" s="129"/>
      <c r="D13" s="72">
        <v>2019</v>
      </c>
      <c r="E13" s="72">
        <v>68</v>
      </c>
      <c r="F13" s="73">
        <v>7.5</v>
      </c>
      <c r="G13" s="130"/>
      <c r="H13" s="130"/>
      <c r="I13" s="125"/>
      <c r="J13" s="21"/>
      <c r="K13" s="21"/>
    </row>
    <row r="14" spans="1:19">
      <c r="A14" s="126"/>
      <c r="B14" s="126">
        <v>5</v>
      </c>
      <c r="C14" s="127">
        <v>55</v>
      </c>
      <c r="D14" s="72">
        <v>2017</v>
      </c>
      <c r="E14" s="35">
        <v>0</v>
      </c>
      <c r="F14" s="35"/>
      <c r="G14" s="130">
        <f t="shared" ref="G14:G32" si="9">SUM(E14:E16)</f>
        <v>82</v>
      </c>
      <c r="H14" s="130">
        <f t="shared" ref="H14" si="10">(F14*E14+F15*E15+F16*E16)/G14</f>
        <v>9.8829268292682926</v>
      </c>
      <c r="I14" s="123">
        <f t="shared" ref="I14" si="11">(((PI()*0.00085*H14/100)+(0.00085*H14/100*2))*G14/2)*4</f>
        <v>7.0834693669975857E-2</v>
      </c>
      <c r="J14" s="21"/>
      <c r="K14" s="21"/>
    </row>
    <row r="15" spans="1:19">
      <c r="A15" s="126"/>
      <c r="B15" s="126"/>
      <c r="C15" s="128"/>
      <c r="D15" s="72">
        <v>2018</v>
      </c>
      <c r="E15" s="35">
        <v>62</v>
      </c>
      <c r="F15" s="35">
        <v>9.1999999999999993</v>
      </c>
      <c r="G15" s="130"/>
      <c r="H15" s="130"/>
      <c r="I15" s="124"/>
      <c r="J15" s="21"/>
      <c r="K15" s="21"/>
    </row>
    <row r="16" spans="1:19">
      <c r="A16" s="126"/>
      <c r="B16" s="126"/>
      <c r="C16" s="129"/>
      <c r="D16" s="72">
        <v>2019</v>
      </c>
      <c r="E16" s="35">
        <v>20</v>
      </c>
      <c r="F16" s="35">
        <v>12</v>
      </c>
      <c r="G16" s="130"/>
      <c r="H16" s="130"/>
      <c r="I16" s="125"/>
      <c r="J16" s="21"/>
      <c r="K16" s="21"/>
    </row>
    <row r="17" spans="1:11">
      <c r="A17" s="126"/>
      <c r="B17" s="126">
        <v>6</v>
      </c>
      <c r="C17" s="127">
        <v>55</v>
      </c>
      <c r="D17" s="72">
        <v>2017</v>
      </c>
      <c r="E17" s="35">
        <v>0</v>
      </c>
      <c r="F17" s="35"/>
      <c r="G17" s="130">
        <f t="shared" ref="G17:G35" si="12">SUM(E17:E19)</f>
        <v>145</v>
      </c>
      <c r="H17" s="130">
        <f t="shared" ref="H17" si="13">(F17*E17+F18*E18+F19*E19)/G17</f>
        <v>8.443448275862071</v>
      </c>
      <c r="I17" s="123">
        <f t="shared" ref="I17" si="14">(((PI()*0.00085*H17/100)+(0.00085*H17/100*2))*G17/2)*4</f>
        <v>0.10701248205842974</v>
      </c>
      <c r="J17" s="21"/>
      <c r="K17" s="21"/>
    </row>
    <row r="18" spans="1:11">
      <c r="A18" s="126"/>
      <c r="B18" s="126"/>
      <c r="C18" s="128"/>
      <c r="D18" s="72">
        <v>2018</v>
      </c>
      <c r="E18" s="35">
        <v>63</v>
      </c>
      <c r="F18" s="35">
        <v>8.5</v>
      </c>
      <c r="G18" s="130"/>
      <c r="H18" s="130"/>
      <c r="I18" s="124"/>
      <c r="J18" s="21"/>
      <c r="K18" s="21"/>
    </row>
    <row r="19" spans="1:11">
      <c r="A19" s="126"/>
      <c r="B19" s="126"/>
      <c r="C19" s="129"/>
      <c r="D19" s="72">
        <v>2019</v>
      </c>
      <c r="E19" s="35">
        <v>82</v>
      </c>
      <c r="F19" s="35">
        <v>8.4</v>
      </c>
      <c r="G19" s="130"/>
      <c r="H19" s="130"/>
      <c r="I19" s="125"/>
      <c r="J19" s="21"/>
      <c r="K19" s="21"/>
    </row>
    <row r="20" spans="1:11">
      <c r="A20" s="126"/>
      <c r="B20" s="126">
        <v>7</v>
      </c>
      <c r="C20" s="127">
        <v>58</v>
      </c>
      <c r="D20" s="72">
        <v>2017</v>
      </c>
      <c r="E20" s="35">
        <v>28</v>
      </c>
      <c r="F20" s="35">
        <v>8</v>
      </c>
      <c r="G20" s="130">
        <f t="shared" ref="G20" si="15">SUM(E20:E22)</f>
        <v>134</v>
      </c>
      <c r="H20" s="130">
        <f t="shared" ref="H20" si="16">(F20*E20+F21*E21+F22*E22)/G20</f>
        <v>6.8388059701492532</v>
      </c>
      <c r="I20" s="123">
        <f t="shared" ref="I20" si="17">(((PI()*0.00085*H20/100)+(0.00085*H20/100*2))*G20/2)*4</f>
        <v>8.009984363174466E-2</v>
      </c>
      <c r="J20" s="21"/>
      <c r="K20" s="21"/>
    </row>
    <row r="21" spans="1:11">
      <c r="A21" s="126"/>
      <c r="B21" s="126"/>
      <c r="C21" s="128"/>
      <c r="D21" s="72">
        <v>2018</v>
      </c>
      <c r="E21" s="34">
        <v>58</v>
      </c>
      <c r="F21" s="35">
        <v>7.8</v>
      </c>
      <c r="G21" s="130"/>
      <c r="H21" s="130"/>
      <c r="I21" s="124"/>
      <c r="J21" s="21"/>
      <c r="K21" s="21"/>
    </row>
    <row r="22" spans="1:11">
      <c r="A22" s="126"/>
      <c r="B22" s="126"/>
      <c r="C22" s="129"/>
      <c r="D22" s="72">
        <v>2019</v>
      </c>
      <c r="E22" s="34">
        <v>48</v>
      </c>
      <c r="F22" s="35">
        <v>5</v>
      </c>
      <c r="G22" s="130"/>
      <c r="H22" s="130"/>
      <c r="I22" s="125"/>
      <c r="J22" s="21"/>
      <c r="K22" s="21"/>
    </row>
    <row r="23" spans="1:11">
      <c r="A23" s="126" t="s">
        <v>6</v>
      </c>
      <c r="B23" s="134">
        <v>9</v>
      </c>
      <c r="C23" s="127">
        <v>14</v>
      </c>
      <c r="D23" s="72">
        <v>2017</v>
      </c>
      <c r="E23" s="34">
        <v>0</v>
      </c>
      <c r="F23" s="35"/>
      <c r="G23" s="130">
        <f t="shared" si="9"/>
        <v>87</v>
      </c>
      <c r="H23" s="130">
        <f t="shared" ref="H23" si="18">(F23*E23+F24*E24+F25*E25)/G23</f>
        <v>5.6149425287356323</v>
      </c>
      <c r="I23" s="123">
        <f t="shared" ref="I23" si="19">(((PI()*0.00085*H23/100)+(0.00085*H23/100*2))*G23/2)*4</f>
        <v>4.2698356191736439E-2</v>
      </c>
      <c r="J23" s="21"/>
      <c r="K23" s="21"/>
    </row>
    <row r="24" spans="1:11">
      <c r="A24" s="126"/>
      <c r="B24" s="134"/>
      <c r="C24" s="128"/>
      <c r="D24" s="72">
        <v>2018</v>
      </c>
      <c r="E24" s="34">
        <v>65</v>
      </c>
      <c r="F24" s="35">
        <v>6.5</v>
      </c>
      <c r="G24" s="130"/>
      <c r="H24" s="130"/>
      <c r="I24" s="124"/>
      <c r="J24" s="21"/>
      <c r="K24" s="21"/>
    </row>
    <row r="25" spans="1:11">
      <c r="A25" s="126"/>
      <c r="B25" s="134"/>
      <c r="C25" s="129"/>
      <c r="D25" s="72">
        <v>2019</v>
      </c>
      <c r="E25" s="34">
        <v>22</v>
      </c>
      <c r="F25" s="35">
        <v>3</v>
      </c>
      <c r="G25" s="130"/>
      <c r="H25" s="130"/>
      <c r="I25" s="125"/>
      <c r="J25" s="21"/>
      <c r="K25" s="21"/>
    </row>
    <row r="26" spans="1:11">
      <c r="A26" s="126"/>
      <c r="B26" s="126">
        <v>10</v>
      </c>
      <c r="C26" s="127">
        <v>13</v>
      </c>
      <c r="D26" s="72">
        <v>2017</v>
      </c>
      <c r="E26" s="34">
        <v>16</v>
      </c>
      <c r="F26" s="35">
        <v>7.5</v>
      </c>
      <c r="G26" s="130">
        <f t="shared" si="12"/>
        <v>133</v>
      </c>
      <c r="H26" s="130">
        <f t="shared" ref="H26" si="20">(F26*E26+F27*E27+F28*E28)/G26</f>
        <v>4.5766917293233087</v>
      </c>
      <c r="I26" s="123">
        <f t="shared" ref="I26" si="21">(((PI()*0.00085*H26/100)+(0.00085*H26/100*2))*G26/2)*4</f>
        <v>5.3204686620081827E-2</v>
      </c>
      <c r="J26" s="21"/>
      <c r="K26" s="21"/>
    </row>
    <row r="27" spans="1:11">
      <c r="A27" s="126"/>
      <c r="B27" s="126"/>
      <c r="C27" s="128"/>
      <c r="D27" s="72">
        <v>2018</v>
      </c>
      <c r="E27" s="34">
        <v>45</v>
      </c>
      <c r="F27" s="35">
        <v>5.9</v>
      </c>
      <c r="G27" s="130"/>
      <c r="H27" s="130"/>
      <c r="I27" s="124"/>
      <c r="J27" s="21"/>
      <c r="K27" s="21"/>
    </row>
    <row r="28" spans="1:11">
      <c r="A28" s="126"/>
      <c r="B28" s="126"/>
      <c r="C28" s="129"/>
      <c r="D28" s="72">
        <v>2019</v>
      </c>
      <c r="E28" s="34">
        <v>72</v>
      </c>
      <c r="F28" s="35">
        <v>3.1</v>
      </c>
      <c r="G28" s="130"/>
      <c r="H28" s="130"/>
      <c r="I28" s="125"/>
      <c r="J28" s="21"/>
      <c r="K28" s="21"/>
    </row>
    <row r="29" spans="1:11">
      <c r="A29" s="126"/>
      <c r="B29" s="126">
        <v>11</v>
      </c>
      <c r="C29" s="127">
        <v>17</v>
      </c>
      <c r="D29" s="72">
        <v>2017</v>
      </c>
      <c r="E29" s="34">
        <v>0</v>
      </c>
      <c r="F29" s="35"/>
      <c r="G29" s="130">
        <f t="shared" ref="G29" si="22">SUM(E29:E31)</f>
        <v>100</v>
      </c>
      <c r="H29" s="130">
        <f t="shared" ref="H29" si="23">(F29*E29+F30*E30+F31*E31)/G29</f>
        <v>5.65</v>
      </c>
      <c r="I29" s="123">
        <f t="shared" ref="I29" si="24">(((PI()*0.00085*H29/100)+(0.00085*H29/100*2))*G29/2)*4</f>
        <v>4.9384997437729963E-2</v>
      </c>
      <c r="J29" s="21"/>
      <c r="K29" s="21"/>
    </row>
    <row r="30" spans="1:11">
      <c r="A30" s="126"/>
      <c r="B30" s="126"/>
      <c r="C30" s="128"/>
      <c r="D30" s="72">
        <v>2018</v>
      </c>
      <c r="E30" s="34">
        <v>58</v>
      </c>
      <c r="F30" s="35">
        <v>6.7</v>
      </c>
      <c r="G30" s="130"/>
      <c r="H30" s="130"/>
      <c r="I30" s="124"/>
      <c r="J30" s="21"/>
      <c r="K30" s="21"/>
    </row>
    <row r="31" spans="1:11">
      <c r="A31" s="126"/>
      <c r="B31" s="126"/>
      <c r="C31" s="129"/>
      <c r="D31" s="72">
        <v>2019</v>
      </c>
      <c r="E31" s="34">
        <v>42</v>
      </c>
      <c r="F31" s="35">
        <v>4.2</v>
      </c>
      <c r="G31" s="130"/>
      <c r="H31" s="130"/>
      <c r="I31" s="125"/>
      <c r="J31" s="21"/>
      <c r="K31" s="21"/>
    </row>
    <row r="32" spans="1:11">
      <c r="A32" s="126"/>
      <c r="B32" s="126">
        <v>12</v>
      </c>
      <c r="C32" s="127">
        <v>80</v>
      </c>
      <c r="D32" s="72">
        <v>2017</v>
      </c>
      <c r="E32" s="34">
        <v>12</v>
      </c>
      <c r="F32" s="35">
        <v>7</v>
      </c>
      <c r="G32" s="130">
        <f t="shared" si="9"/>
        <v>140</v>
      </c>
      <c r="H32" s="130">
        <f t="shared" ref="H32" si="25">(F32*E32+F33*E33+F34*E34)/G32</f>
        <v>6.1142857142857139</v>
      </c>
      <c r="I32" s="123">
        <f t="shared" ref="I32" si="26">(((PI()*0.00085*H32/100)+(0.00085*H32/100*2))*G32/2)*4</f>
        <v>7.4820456295038654E-2</v>
      </c>
      <c r="J32" s="21"/>
      <c r="K32" s="21"/>
    </row>
    <row r="33" spans="1:11">
      <c r="A33" s="126"/>
      <c r="B33" s="126"/>
      <c r="C33" s="128"/>
      <c r="D33" s="72">
        <v>2018</v>
      </c>
      <c r="E33" s="34">
        <v>44</v>
      </c>
      <c r="F33" s="35">
        <v>8</v>
      </c>
      <c r="G33" s="130"/>
      <c r="H33" s="130"/>
      <c r="I33" s="124"/>
      <c r="J33" s="21"/>
      <c r="K33" s="21"/>
    </row>
    <row r="34" spans="1:11">
      <c r="A34" s="126"/>
      <c r="B34" s="126"/>
      <c r="C34" s="129"/>
      <c r="D34" s="72">
        <v>2019</v>
      </c>
      <c r="E34" s="34">
        <v>84</v>
      </c>
      <c r="F34" s="35">
        <v>5</v>
      </c>
      <c r="G34" s="130"/>
      <c r="H34" s="130"/>
      <c r="I34" s="125"/>
      <c r="J34" s="21"/>
      <c r="K34" s="21"/>
    </row>
    <row r="35" spans="1:11">
      <c r="A35" s="126"/>
      <c r="B35" s="126">
        <v>13</v>
      </c>
      <c r="C35" s="127">
        <v>18</v>
      </c>
      <c r="D35" s="72">
        <v>2017</v>
      </c>
      <c r="E35" s="35">
        <v>0</v>
      </c>
      <c r="F35" s="35"/>
      <c r="G35" s="130">
        <f t="shared" si="12"/>
        <v>96</v>
      </c>
      <c r="H35" s="130">
        <f t="shared" ref="H35" si="27">(F35*E35+F36*E36+F37*E37)/G35</f>
        <v>5.09375</v>
      </c>
      <c r="I35" s="123">
        <f t="shared" ref="I35" si="28">(((PI()*0.00085*H35/100)+(0.00085*H35/100*2))*G35/2)*4</f>
        <v>4.2742059729291952E-2</v>
      </c>
      <c r="J35" s="21"/>
      <c r="K35" s="21"/>
    </row>
    <row r="36" spans="1:11">
      <c r="A36" s="126"/>
      <c r="B36" s="126"/>
      <c r="C36" s="128"/>
      <c r="D36" s="72">
        <v>2018</v>
      </c>
      <c r="E36" s="34">
        <v>42</v>
      </c>
      <c r="F36" s="35">
        <v>6.5</v>
      </c>
      <c r="G36" s="130"/>
      <c r="H36" s="130"/>
      <c r="I36" s="124"/>
      <c r="J36" s="21"/>
      <c r="K36" s="21"/>
    </row>
    <row r="37" spans="1:11">
      <c r="A37" s="126"/>
      <c r="B37" s="126"/>
      <c r="C37" s="129"/>
      <c r="D37" s="72">
        <v>2019</v>
      </c>
      <c r="E37" s="34">
        <v>54</v>
      </c>
      <c r="F37" s="35">
        <v>4</v>
      </c>
      <c r="G37" s="130"/>
      <c r="H37" s="130"/>
      <c r="I37" s="125"/>
      <c r="J37" s="21"/>
      <c r="K37" s="21"/>
    </row>
    <row r="38" spans="1:11">
      <c r="A38" s="126"/>
      <c r="B38" s="126">
        <v>14</v>
      </c>
      <c r="C38" s="127">
        <v>80</v>
      </c>
      <c r="D38" s="72">
        <v>2017</v>
      </c>
      <c r="E38" s="72">
        <v>12</v>
      </c>
      <c r="F38" s="73">
        <v>7</v>
      </c>
      <c r="G38" s="130">
        <f t="shared" ref="G38" si="29">SUM(E38:E40)</f>
        <v>114</v>
      </c>
      <c r="H38" s="130">
        <f t="shared" ref="H38" si="30">(F38*E38+F39*E39+F40*E40)/G38</f>
        <v>5.6842105263157894</v>
      </c>
      <c r="I38" s="123">
        <f t="shared" ref="I38" si="31">(((PI()*0.00085*H38/100)+(0.00085*H38/100*2))*G38/2)*4</f>
        <v>5.6639784671945158E-2</v>
      </c>
      <c r="J38" s="21"/>
      <c r="K38" s="21"/>
    </row>
    <row r="39" spans="1:11">
      <c r="A39" s="126"/>
      <c r="B39" s="126"/>
      <c r="C39" s="128"/>
      <c r="D39" s="72">
        <v>2018</v>
      </c>
      <c r="E39" s="72">
        <v>18</v>
      </c>
      <c r="F39" s="73">
        <v>8</v>
      </c>
      <c r="G39" s="130"/>
      <c r="H39" s="130"/>
      <c r="I39" s="124"/>
      <c r="J39" s="21"/>
      <c r="K39" s="21"/>
    </row>
    <row r="40" spans="1:11">
      <c r="A40" s="126"/>
      <c r="B40" s="126"/>
      <c r="C40" s="129"/>
      <c r="D40" s="72">
        <v>2019</v>
      </c>
      <c r="E40" s="72">
        <v>84</v>
      </c>
      <c r="F40" s="73">
        <v>5</v>
      </c>
      <c r="G40" s="130"/>
      <c r="H40" s="130"/>
      <c r="I40" s="125"/>
      <c r="J40" s="21"/>
      <c r="K40" s="21"/>
    </row>
    <row r="41" spans="1:11">
      <c r="A41" s="126"/>
      <c r="B41" s="126">
        <v>15</v>
      </c>
      <c r="C41" s="127">
        <v>14</v>
      </c>
      <c r="D41" s="72">
        <v>2017</v>
      </c>
      <c r="E41" s="34">
        <v>20</v>
      </c>
      <c r="F41" s="35">
        <v>6.2</v>
      </c>
      <c r="G41" s="130">
        <f>SUM(E41:E43)</f>
        <v>122</v>
      </c>
      <c r="H41" s="130">
        <f t="shared" ref="H41" si="32">(F41*E41+F42*E42+F43*E43)/G41</f>
        <v>5.308196721311476</v>
      </c>
      <c r="I41" s="123">
        <f t="shared" ref="I41" si="33">(((PI()*0.00085*H41/100)+(0.00085*H41/100*2))*G41/2)*4</f>
        <v>5.6604821841900757E-2</v>
      </c>
      <c r="J41" s="21"/>
      <c r="K41" s="21"/>
    </row>
    <row r="42" spans="1:11">
      <c r="A42" s="126"/>
      <c r="B42" s="126"/>
      <c r="C42" s="128"/>
      <c r="D42" s="72">
        <v>2018</v>
      </c>
      <c r="E42" s="34">
        <v>64</v>
      </c>
      <c r="F42" s="35">
        <v>6.4</v>
      </c>
      <c r="G42" s="130"/>
      <c r="H42" s="130"/>
      <c r="I42" s="124"/>
      <c r="J42" s="21"/>
      <c r="K42" s="21"/>
    </row>
    <row r="43" spans="1:11">
      <c r="A43" s="126"/>
      <c r="B43" s="126"/>
      <c r="C43" s="129"/>
      <c r="D43" s="72">
        <v>2019</v>
      </c>
      <c r="E43" s="34">
        <v>38</v>
      </c>
      <c r="F43" s="35">
        <v>3</v>
      </c>
      <c r="G43" s="130"/>
      <c r="H43" s="130"/>
      <c r="I43" s="125"/>
      <c r="J43" s="21"/>
      <c r="K43" s="21"/>
    </row>
  </sheetData>
  <mergeCells count="72">
    <mergeCell ref="I41:I43"/>
    <mergeCell ref="B38:B40"/>
    <mergeCell ref="C38:C40"/>
    <mergeCell ref="G38:G40"/>
    <mergeCell ref="H38:H40"/>
    <mergeCell ref="I38:I40"/>
    <mergeCell ref="I29:I31"/>
    <mergeCell ref="B35:B37"/>
    <mergeCell ref="C35:C37"/>
    <mergeCell ref="G35:G37"/>
    <mergeCell ref="H35:H37"/>
    <mergeCell ref="I35:I37"/>
    <mergeCell ref="B32:B34"/>
    <mergeCell ref="C32:C34"/>
    <mergeCell ref="G32:G34"/>
    <mergeCell ref="H32:H34"/>
    <mergeCell ref="I32:I34"/>
    <mergeCell ref="A23:A43"/>
    <mergeCell ref="B23:B25"/>
    <mergeCell ref="C23:C25"/>
    <mergeCell ref="G23:G25"/>
    <mergeCell ref="H23:H25"/>
    <mergeCell ref="B29:B31"/>
    <mergeCell ref="C29:C31"/>
    <mergeCell ref="G29:G31"/>
    <mergeCell ref="H29:H31"/>
    <mergeCell ref="B41:B43"/>
    <mergeCell ref="C41:C43"/>
    <mergeCell ref="G41:G43"/>
    <mergeCell ref="H41:H43"/>
    <mergeCell ref="I23:I25"/>
    <mergeCell ref="B26:B28"/>
    <mergeCell ref="C26:C28"/>
    <mergeCell ref="G26:G28"/>
    <mergeCell ref="H26:H28"/>
    <mergeCell ref="I26:I28"/>
    <mergeCell ref="I20:I22"/>
    <mergeCell ref="B17:B19"/>
    <mergeCell ref="C17:C19"/>
    <mergeCell ref="G17:G19"/>
    <mergeCell ref="H17:H19"/>
    <mergeCell ref="I17:I19"/>
    <mergeCell ref="I8:I10"/>
    <mergeCell ref="B14:B16"/>
    <mergeCell ref="C14:C16"/>
    <mergeCell ref="G14:G16"/>
    <mergeCell ref="H14:H16"/>
    <mergeCell ref="I14:I16"/>
    <mergeCell ref="B11:B13"/>
    <mergeCell ref="C11:C13"/>
    <mergeCell ref="G11:G13"/>
    <mergeCell ref="H11:H13"/>
    <mergeCell ref="I11:I13"/>
    <mergeCell ref="A2:A22"/>
    <mergeCell ref="B2:B4"/>
    <mergeCell ref="C2:C4"/>
    <mergeCell ref="G2:G4"/>
    <mergeCell ref="H2:H4"/>
    <mergeCell ref="B8:B10"/>
    <mergeCell ref="C8:C10"/>
    <mergeCell ref="G8:G10"/>
    <mergeCell ref="H8:H10"/>
    <mergeCell ref="B20:B22"/>
    <mergeCell ref="C20:C22"/>
    <mergeCell ref="G20:G22"/>
    <mergeCell ref="H20:H22"/>
    <mergeCell ref="I2:I4"/>
    <mergeCell ref="B5:B7"/>
    <mergeCell ref="C5:C7"/>
    <mergeCell ref="G5:G7"/>
    <mergeCell ref="H5:H7"/>
    <mergeCell ref="I5:I7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3"/>
  <sheetViews>
    <sheetView topLeftCell="A22" workbookViewId="0">
      <selection activeCell="C38" sqref="C38:C40"/>
    </sheetView>
  </sheetViews>
  <sheetFormatPr defaultRowHeight="15"/>
  <sheetData>
    <row r="1" spans="1:19" ht="30">
      <c r="A1" s="8" t="s">
        <v>3</v>
      </c>
      <c r="B1" s="8" t="s">
        <v>0</v>
      </c>
      <c r="C1" s="8" t="s">
        <v>2</v>
      </c>
      <c r="D1" s="8" t="s">
        <v>1</v>
      </c>
      <c r="E1" s="8" t="s">
        <v>7</v>
      </c>
      <c r="F1" s="8" t="s">
        <v>8</v>
      </c>
      <c r="G1" s="10" t="s">
        <v>10</v>
      </c>
      <c r="H1" s="8" t="s">
        <v>9</v>
      </c>
      <c r="I1" s="8" t="s">
        <v>13</v>
      </c>
      <c r="J1" s="8" t="s">
        <v>14</v>
      </c>
      <c r="K1" s="8" t="s">
        <v>15</v>
      </c>
      <c r="L1" s="8" t="s">
        <v>26</v>
      </c>
      <c r="M1" s="8" t="s">
        <v>27</v>
      </c>
      <c r="O1" s="71" t="s">
        <v>62</v>
      </c>
      <c r="P1" s="70" t="s">
        <v>58</v>
      </c>
      <c r="Q1" s="70" t="s">
        <v>60</v>
      </c>
      <c r="R1" s="70" t="s">
        <v>59</v>
      </c>
      <c r="S1" s="70" t="s">
        <v>61</v>
      </c>
    </row>
    <row r="2" spans="1:19">
      <c r="A2" s="126" t="s">
        <v>4</v>
      </c>
      <c r="B2" s="126">
        <v>1</v>
      </c>
      <c r="C2" s="127">
        <v>95</v>
      </c>
      <c r="D2" s="30">
        <v>2017</v>
      </c>
      <c r="E2" s="31">
        <v>8</v>
      </c>
      <c r="F2" s="31">
        <v>11.6</v>
      </c>
      <c r="G2" s="130">
        <f>SUM(E2+E3+E4)</f>
        <v>104</v>
      </c>
      <c r="H2" s="130">
        <f>(F2*E2+F3*E3+F4*E4)/G2</f>
        <v>8.8769230769230756</v>
      </c>
      <c r="I2" s="123">
        <f>(((PI()*0.00085*H2/100)+(0.00085*H2/100*2))*G2/2)*4</f>
        <v>8.0694211742499633E-2</v>
      </c>
      <c r="J2" s="21">
        <f>AVERAGE(I2:I22)</f>
        <v>9.6752140112896803E-2</v>
      </c>
      <c r="K2" s="21">
        <f>AVERAGE(I23:I43)</f>
        <v>5.6227722746421745E-2</v>
      </c>
      <c r="L2" s="21">
        <f>SUM(I2:I22)</f>
        <v>0.67726498079027764</v>
      </c>
      <c r="M2" s="21">
        <f>SUM(I23:I43)</f>
        <v>0.39359405922495222</v>
      </c>
      <c r="N2" t="s">
        <v>66</v>
      </c>
      <c r="O2">
        <v>2017</v>
      </c>
      <c r="P2" s="79">
        <f>AVERAGE(E32,E23,E26,E29,E35,E38,E41)</f>
        <v>5.7142857142857144</v>
      </c>
      <c r="Q2" s="79">
        <f>AVERAGE(F32,F23,F26,F29,F35,F38,F41)</f>
        <v>6.25</v>
      </c>
      <c r="R2" s="79">
        <f>AVERAGE(E2,E5,E8,E20,E11,E14,E17)</f>
        <v>4.2857142857142856</v>
      </c>
      <c r="S2" s="79">
        <f>AVERAGE(F2,F5,F8,F20,F11,F14,F17)</f>
        <v>11.966666666666667</v>
      </c>
    </row>
    <row r="3" spans="1:19">
      <c r="A3" s="126"/>
      <c r="B3" s="126"/>
      <c r="C3" s="128"/>
      <c r="D3" s="30">
        <v>2018</v>
      </c>
      <c r="E3" s="31">
        <v>48</v>
      </c>
      <c r="F3" s="31">
        <v>8.1</v>
      </c>
      <c r="G3" s="130"/>
      <c r="H3" s="130"/>
      <c r="I3" s="124"/>
      <c r="J3" s="21">
        <v>6.1694055641438379E-2</v>
      </c>
      <c r="K3" s="21">
        <v>2.981028356376721E-2</v>
      </c>
      <c r="L3" s="21">
        <v>0.43185838949006866</v>
      </c>
      <c r="M3" s="21">
        <v>0.20867198494637046</v>
      </c>
      <c r="N3" t="s">
        <v>67</v>
      </c>
      <c r="O3" s="59">
        <v>2018</v>
      </c>
      <c r="P3" s="79">
        <f>AVERAGE(E33,E42,E39,E36,E30,E27,E24)</f>
        <v>54.571428571428569</v>
      </c>
      <c r="Q3" s="79">
        <f>AVERAGE(F33,F42,F39,F36,F30,F27,F24)</f>
        <v>6.5857142857142845</v>
      </c>
      <c r="R3" s="79">
        <f>AVERAGE(E3,E6,E15,E21,E9,E12,E18)</f>
        <v>65.857142857142861</v>
      </c>
      <c r="S3" s="79">
        <f>AVERAGE(F3,F6,F15,F21,F9,F12,F18)</f>
        <v>7.871428571428571</v>
      </c>
    </row>
    <row r="4" spans="1:19">
      <c r="A4" s="126"/>
      <c r="B4" s="126"/>
      <c r="C4" s="129"/>
      <c r="D4" s="30">
        <v>2019</v>
      </c>
      <c r="E4" s="31">
        <v>48</v>
      </c>
      <c r="F4" s="31">
        <v>9.1999999999999993</v>
      </c>
      <c r="G4" s="130"/>
      <c r="H4" s="130"/>
      <c r="I4" s="125"/>
      <c r="J4">
        <f>J3/J2</f>
        <v>0.63765055294332162</v>
      </c>
      <c r="K4">
        <f>K3/K2</f>
        <v>0.53017056547367103</v>
      </c>
      <c r="M4" s="33"/>
      <c r="N4" t="s">
        <v>65</v>
      </c>
      <c r="O4">
        <v>2019</v>
      </c>
      <c r="P4" s="79">
        <f>AVERAGE(E34,E43,E40,E37,E31,E28,E25)</f>
        <v>50.857142857142854</v>
      </c>
      <c r="Q4" s="79">
        <f>AVERAGE(F34,F43,F40,F37,F31,F28,F25)</f>
        <v>4.8</v>
      </c>
      <c r="R4" s="79">
        <f>AVERAGE(E4,E7,E16,E22,E10,E19,E13)</f>
        <v>74</v>
      </c>
      <c r="S4" s="79">
        <f>AVERAGE(F4,F7,F16,F22,F10,F19,F13)</f>
        <v>7.5285714285714276</v>
      </c>
    </row>
    <row r="5" spans="1:19">
      <c r="A5" s="126"/>
      <c r="B5" s="126">
        <v>2</v>
      </c>
      <c r="C5" s="127">
        <v>50</v>
      </c>
      <c r="D5" s="30">
        <v>2017</v>
      </c>
      <c r="E5" s="30">
        <v>12</v>
      </c>
      <c r="F5" s="31">
        <v>12.2</v>
      </c>
      <c r="G5" s="130">
        <f>SUM(E5+E6+E7)</f>
        <v>120</v>
      </c>
      <c r="H5" s="130">
        <f>(F5*E5+F6*E6+F7*E7)/G5</f>
        <v>9.5483333333333338</v>
      </c>
      <c r="I5" s="123">
        <f t="shared" ref="I5" si="0">(((PI()*0.00085*H5/100)+(0.00085*H5/100*2))*G5/2)*4</f>
        <v>0.10015102666221413</v>
      </c>
      <c r="J5" s="21"/>
      <c r="K5" s="21"/>
    </row>
    <row r="6" spans="1:19">
      <c r="A6" s="126"/>
      <c r="B6" s="126"/>
      <c r="C6" s="128"/>
      <c r="D6" s="30">
        <v>2018</v>
      </c>
      <c r="E6" s="30">
        <v>50</v>
      </c>
      <c r="F6" s="31">
        <v>9.1999999999999993</v>
      </c>
      <c r="G6" s="130"/>
      <c r="H6" s="130"/>
      <c r="I6" s="124"/>
      <c r="J6" s="21"/>
      <c r="K6" s="21"/>
    </row>
    <row r="7" spans="1:19">
      <c r="A7" s="126"/>
      <c r="B7" s="126"/>
      <c r="C7" s="129"/>
      <c r="D7" s="30">
        <v>2019</v>
      </c>
      <c r="E7" s="30">
        <v>58</v>
      </c>
      <c r="F7" s="31">
        <v>9.3000000000000007</v>
      </c>
      <c r="G7" s="130"/>
      <c r="H7" s="130"/>
      <c r="I7" s="125"/>
      <c r="J7" s="21"/>
      <c r="K7" s="21"/>
    </row>
    <row r="8" spans="1:19">
      <c r="A8" s="126"/>
      <c r="B8" s="126">
        <v>3</v>
      </c>
      <c r="C8" s="127">
        <v>97</v>
      </c>
      <c r="D8" s="30">
        <v>2017</v>
      </c>
      <c r="E8" s="30">
        <v>0</v>
      </c>
      <c r="F8" s="31"/>
      <c r="G8" s="130">
        <f>SUM(E9+E10)</f>
        <v>140</v>
      </c>
      <c r="H8" s="130">
        <f>(F8*E8+F9*E9+F10*E10)/G8</f>
        <v>7.3414285714285725</v>
      </c>
      <c r="I8" s="123">
        <f t="shared" ref="I8" si="1">(((PI()*0.00085*H8/100)+(0.00085*H8/100*2))*G8/2)*4</f>
        <v>8.9836991799113031E-2</v>
      </c>
      <c r="J8" s="21"/>
      <c r="K8" s="21"/>
    </row>
    <row r="9" spans="1:19">
      <c r="A9" s="126"/>
      <c r="B9" s="126"/>
      <c r="C9" s="128"/>
      <c r="D9" s="30">
        <v>2018</v>
      </c>
      <c r="E9" s="30">
        <v>62</v>
      </c>
      <c r="F9" s="31">
        <v>8.4</v>
      </c>
      <c r="G9" s="130"/>
      <c r="H9" s="130"/>
      <c r="I9" s="124"/>
      <c r="J9" s="21"/>
      <c r="K9" s="21"/>
    </row>
    <row r="10" spans="1:19">
      <c r="A10" s="126"/>
      <c r="B10" s="126"/>
      <c r="C10" s="129"/>
      <c r="D10" s="30">
        <v>2019</v>
      </c>
      <c r="E10" s="30">
        <v>78</v>
      </c>
      <c r="F10" s="31">
        <v>6.5</v>
      </c>
      <c r="G10" s="130"/>
      <c r="H10" s="130"/>
      <c r="I10" s="125"/>
      <c r="J10" s="21"/>
      <c r="K10" s="21"/>
    </row>
    <row r="11" spans="1:19">
      <c r="A11" s="126"/>
      <c r="B11" s="126">
        <v>4</v>
      </c>
      <c r="C11" s="127">
        <v>94</v>
      </c>
      <c r="D11" s="30">
        <v>2017</v>
      </c>
      <c r="E11" s="30">
        <v>10</v>
      </c>
      <c r="F11" s="31">
        <v>12.1</v>
      </c>
      <c r="G11" s="130">
        <f>SUM(E11+E12+E13)</f>
        <v>148</v>
      </c>
      <c r="H11" s="130">
        <f>(F11*E11+F12*E12+F13*E13)/G11</f>
        <v>7.6972972972972977</v>
      </c>
      <c r="I11" s="123">
        <f t="shared" ref="I11" si="2">(((PI()*0.00085*H11/100)+(0.00085*H11/100*2))*G11/2)*4</f>
        <v>9.9574139966481373E-2</v>
      </c>
      <c r="J11" s="21"/>
      <c r="K11" s="21"/>
    </row>
    <row r="12" spans="1:19">
      <c r="A12" s="126"/>
      <c r="B12" s="126"/>
      <c r="C12" s="128"/>
      <c r="D12" s="30">
        <v>2018</v>
      </c>
      <c r="E12" s="30">
        <v>66</v>
      </c>
      <c r="F12" s="31">
        <v>7.9</v>
      </c>
      <c r="G12" s="130"/>
      <c r="H12" s="130"/>
      <c r="I12" s="124"/>
      <c r="J12" s="21"/>
      <c r="K12" s="21"/>
    </row>
    <row r="13" spans="1:19">
      <c r="A13" s="126"/>
      <c r="B13" s="126"/>
      <c r="C13" s="129"/>
      <c r="D13" s="30">
        <v>2019</v>
      </c>
      <c r="E13" s="30">
        <v>72</v>
      </c>
      <c r="F13" s="31">
        <v>6.9</v>
      </c>
      <c r="G13" s="130"/>
      <c r="H13" s="130"/>
      <c r="I13" s="125"/>
      <c r="J13" s="21"/>
      <c r="K13" s="21"/>
    </row>
    <row r="14" spans="1:19">
      <c r="A14" s="126"/>
      <c r="B14" s="126">
        <v>5</v>
      </c>
      <c r="C14" s="127">
        <v>55</v>
      </c>
      <c r="D14" s="30">
        <v>2017</v>
      </c>
      <c r="E14" s="31">
        <v>0</v>
      </c>
      <c r="F14" s="31"/>
      <c r="G14" s="130">
        <f>SUM(E14+E15+E16)</f>
        <v>140</v>
      </c>
      <c r="H14" s="130">
        <f>(F14*E14+F15*E15+F16*E16)/G14</f>
        <v>6.7214285714285715</v>
      </c>
      <c r="I14" s="123">
        <f t="shared" ref="I14" si="3">(((PI()*0.00085*H14/100)+(0.00085*H14/100*2))*G14/2)*4</f>
        <v>8.2250057679475921E-2</v>
      </c>
      <c r="J14" s="21"/>
      <c r="K14" s="21"/>
    </row>
    <row r="15" spans="1:19">
      <c r="A15" s="126"/>
      <c r="B15" s="126"/>
      <c r="C15" s="128"/>
      <c r="D15" s="30">
        <v>2018</v>
      </c>
      <c r="E15" s="31">
        <v>62</v>
      </c>
      <c r="F15" s="31">
        <v>7</v>
      </c>
      <c r="G15" s="130"/>
      <c r="H15" s="130"/>
      <c r="I15" s="124"/>
      <c r="J15" s="21"/>
      <c r="K15" s="21"/>
    </row>
    <row r="16" spans="1:19">
      <c r="A16" s="126"/>
      <c r="B16" s="126"/>
      <c r="C16" s="129"/>
      <c r="D16" s="30">
        <v>2019</v>
      </c>
      <c r="E16" s="31">
        <v>78</v>
      </c>
      <c r="F16" s="31">
        <v>6.5</v>
      </c>
      <c r="G16" s="130"/>
      <c r="H16" s="130"/>
      <c r="I16" s="125"/>
      <c r="J16" s="21"/>
      <c r="K16" s="21"/>
    </row>
    <row r="17" spans="1:11">
      <c r="A17" s="126"/>
      <c r="B17" s="126">
        <v>6</v>
      </c>
      <c r="C17" s="127">
        <v>55</v>
      </c>
      <c r="D17" s="30">
        <v>2017</v>
      </c>
      <c r="E17" s="31">
        <v>0</v>
      </c>
      <c r="F17" s="31"/>
      <c r="G17" s="130">
        <f>SUM(E17+E18+E19)</f>
        <v>185</v>
      </c>
      <c r="H17" s="130">
        <f>(F17*E17+F18*E18+F19*E19)/G17</f>
        <v>6.7675675675675677</v>
      </c>
      <c r="I17" s="123">
        <f t="shared" ref="I17" si="4">(((PI()*0.00085*H17/100)+(0.00085*H17/100*2))*G17/2)*4</f>
        <v>0.10943365803900515</v>
      </c>
      <c r="J17" s="21"/>
      <c r="K17" s="21"/>
    </row>
    <row r="18" spans="1:11">
      <c r="A18" s="126"/>
      <c r="B18" s="126"/>
      <c r="C18" s="128"/>
      <c r="D18" s="30">
        <v>2018</v>
      </c>
      <c r="E18" s="31">
        <v>99</v>
      </c>
      <c r="F18" s="31">
        <v>7</v>
      </c>
      <c r="G18" s="130"/>
      <c r="H18" s="130"/>
      <c r="I18" s="124"/>
      <c r="J18" s="21"/>
      <c r="K18" s="21"/>
    </row>
    <row r="19" spans="1:11">
      <c r="A19" s="126"/>
      <c r="B19" s="126"/>
      <c r="C19" s="129"/>
      <c r="D19" s="30">
        <v>2019</v>
      </c>
      <c r="E19" s="31">
        <v>86</v>
      </c>
      <c r="F19" s="31">
        <v>6.5</v>
      </c>
      <c r="G19" s="130"/>
      <c r="H19" s="130"/>
      <c r="I19" s="125"/>
      <c r="J19" s="21"/>
      <c r="K19" s="21"/>
    </row>
    <row r="20" spans="1:11">
      <c r="A20" s="126"/>
      <c r="B20" s="126">
        <v>7</v>
      </c>
      <c r="C20" s="127">
        <v>58</v>
      </c>
      <c r="D20" s="30">
        <v>2017</v>
      </c>
      <c r="E20" s="31">
        <v>0</v>
      </c>
      <c r="F20" s="31"/>
      <c r="G20" s="130">
        <f>SUM(E20+E21+E22)</f>
        <v>172</v>
      </c>
      <c r="H20" s="130">
        <f>(F20*E20+F21*E21+F22*E22)/G20</f>
        <v>7.6709302325581401</v>
      </c>
      <c r="I20" s="123">
        <f t="shared" ref="I20" si="5">(((PI()*0.00085*H20/100)+(0.00085*H20/100*2))*G20/2)*4</f>
        <v>0.11532489490148835</v>
      </c>
      <c r="J20" s="21"/>
      <c r="K20" s="21"/>
    </row>
    <row r="21" spans="1:11">
      <c r="A21" s="126"/>
      <c r="B21" s="126"/>
      <c r="C21" s="128"/>
      <c r="D21" s="30">
        <v>2018</v>
      </c>
      <c r="E21" s="30">
        <v>74</v>
      </c>
      <c r="F21" s="31">
        <v>7.5</v>
      </c>
      <c r="G21" s="130"/>
      <c r="H21" s="130"/>
      <c r="I21" s="124"/>
      <c r="J21" s="21"/>
      <c r="K21" s="21"/>
    </row>
    <row r="22" spans="1:11">
      <c r="A22" s="126"/>
      <c r="B22" s="126"/>
      <c r="C22" s="129"/>
      <c r="D22" s="30">
        <v>2019</v>
      </c>
      <c r="E22" s="30">
        <v>98</v>
      </c>
      <c r="F22" s="31">
        <v>7.8</v>
      </c>
      <c r="G22" s="130"/>
      <c r="H22" s="130"/>
      <c r="I22" s="125"/>
      <c r="J22" s="21"/>
      <c r="K22" s="21"/>
    </row>
    <row r="23" spans="1:11">
      <c r="A23" s="126" t="s">
        <v>6</v>
      </c>
      <c r="B23" s="134">
        <v>9</v>
      </c>
      <c r="C23" s="127">
        <v>14</v>
      </c>
      <c r="D23" s="30">
        <v>2017</v>
      </c>
      <c r="E23" s="30">
        <v>4</v>
      </c>
      <c r="F23" s="31">
        <v>6.1</v>
      </c>
      <c r="G23" s="130">
        <f>SUM(E23+E24+E25)</f>
        <v>102</v>
      </c>
      <c r="H23" s="130">
        <f>(F23*E23+F24*E24+F25*E25)/G23</f>
        <v>6.382352941176471</v>
      </c>
      <c r="I23" s="123">
        <f t="shared" ref="I23" si="6">(((PI()*0.00085*H23/100)+(0.00085*H23/100*2))*G23/2)*4</f>
        <v>5.6902005897278243E-2</v>
      </c>
      <c r="J23" s="21"/>
      <c r="K23" s="21"/>
    </row>
    <row r="24" spans="1:11">
      <c r="A24" s="126"/>
      <c r="B24" s="134"/>
      <c r="C24" s="128"/>
      <c r="D24" s="30">
        <v>2018</v>
      </c>
      <c r="E24" s="30">
        <v>46</v>
      </c>
      <c r="F24" s="31">
        <v>6.5</v>
      </c>
      <c r="G24" s="130"/>
      <c r="H24" s="130"/>
      <c r="I24" s="124"/>
      <c r="J24" s="21"/>
      <c r="K24" s="21"/>
    </row>
    <row r="25" spans="1:11">
      <c r="A25" s="126"/>
      <c r="B25" s="134"/>
      <c r="C25" s="129"/>
      <c r="D25" s="30">
        <v>2019</v>
      </c>
      <c r="E25" s="30">
        <v>52</v>
      </c>
      <c r="F25" s="31">
        <v>6.3</v>
      </c>
      <c r="G25" s="130"/>
      <c r="H25" s="130"/>
      <c r="I25" s="125"/>
      <c r="J25" s="21"/>
      <c r="K25" s="21"/>
    </row>
    <row r="26" spans="1:11">
      <c r="A26" s="126"/>
      <c r="B26" s="126">
        <v>10</v>
      </c>
      <c r="C26" s="127">
        <v>13</v>
      </c>
      <c r="D26" s="30">
        <v>2017</v>
      </c>
      <c r="E26" s="30">
        <v>10</v>
      </c>
      <c r="F26" s="31">
        <v>6.5</v>
      </c>
      <c r="G26" s="130">
        <f>SUM(E26+E27+E28)</f>
        <v>140</v>
      </c>
      <c r="H26" s="130">
        <f>(F26*E26+F27*E27+F28*E28)/G26</f>
        <v>5.3414285714285707</v>
      </c>
      <c r="I26" s="123">
        <f t="shared" ref="I26" si="7">(((PI()*0.00085*H26/100)+(0.00085*H26/100*2))*G26/2)*4</f>
        <v>6.5363010768025587E-2</v>
      </c>
      <c r="J26" s="21"/>
      <c r="K26" s="21"/>
    </row>
    <row r="27" spans="1:11">
      <c r="A27" s="126"/>
      <c r="B27" s="126"/>
      <c r="C27" s="128"/>
      <c r="D27" s="30">
        <v>2018</v>
      </c>
      <c r="E27" s="30">
        <v>68</v>
      </c>
      <c r="F27" s="31">
        <v>5.3</v>
      </c>
      <c r="G27" s="130"/>
      <c r="H27" s="130"/>
      <c r="I27" s="124"/>
      <c r="J27" s="21"/>
      <c r="K27" s="21"/>
    </row>
    <row r="28" spans="1:11">
      <c r="A28" s="126"/>
      <c r="B28" s="126"/>
      <c r="C28" s="129"/>
      <c r="D28" s="30">
        <v>2019</v>
      </c>
      <c r="E28" s="30">
        <v>62</v>
      </c>
      <c r="F28" s="31">
        <v>5.2</v>
      </c>
      <c r="G28" s="130"/>
      <c r="H28" s="130"/>
      <c r="I28" s="125"/>
      <c r="J28" s="21"/>
      <c r="K28" s="21"/>
    </row>
    <row r="29" spans="1:11">
      <c r="A29" s="126"/>
      <c r="B29" s="126">
        <v>11</v>
      </c>
      <c r="C29" s="127">
        <v>17</v>
      </c>
      <c r="D29" s="30">
        <v>2017</v>
      </c>
      <c r="E29" s="30">
        <v>22</v>
      </c>
      <c r="F29" s="31">
        <v>6.3</v>
      </c>
      <c r="G29" s="130">
        <f>SUM(E29+E30+E31)</f>
        <v>104</v>
      </c>
      <c r="H29" s="130">
        <f>(F29*E29+F30*E30+F31*E31)/G29</f>
        <v>5.384615384615385</v>
      </c>
      <c r="I29" s="123">
        <f t="shared" ref="I29" si="8">(((PI()*0.00085*H29/100)+(0.00085*H29/100*2))*G29/2)*4</f>
        <v>4.8947962062174832E-2</v>
      </c>
      <c r="J29" s="21"/>
      <c r="K29" s="21"/>
    </row>
    <row r="30" spans="1:11">
      <c r="A30" s="126"/>
      <c r="B30" s="126"/>
      <c r="C30" s="128"/>
      <c r="D30" s="30">
        <v>2018</v>
      </c>
      <c r="E30" s="30">
        <v>42</v>
      </c>
      <c r="F30" s="31">
        <v>6.7</v>
      </c>
      <c r="G30" s="130"/>
      <c r="H30" s="130"/>
      <c r="I30" s="124"/>
      <c r="J30" s="21"/>
      <c r="K30" s="21"/>
    </row>
    <row r="31" spans="1:11">
      <c r="A31" s="126"/>
      <c r="B31" s="126"/>
      <c r="C31" s="129"/>
      <c r="D31" s="30">
        <v>2019</v>
      </c>
      <c r="E31" s="30">
        <v>40</v>
      </c>
      <c r="F31" s="31">
        <v>3.5</v>
      </c>
      <c r="G31" s="130"/>
      <c r="H31" s="130"/>
      <c r="I31" s="125"/>
      <c r="J31" s="21"/>
      <c r="K31" s="21"/>
    </row>
    <row r="32" spans="1:11">
      <c r="A32" s="126"/>
      <c r="B32" s="126">
        <v>12</v>
      </c>
      <c r="C32" s="127">
        <v>80</v>
      </c>
      <c r="D32" s="30">
        <v>2017</v>
      </c>
      <c r="E32" s="30">
        <v>0</v>
      </c>
      <c r="F32" s="31"/>
      <c r="G32" s="130">
        <f>SUM(E33+E34)</f>
        <v>122</v>
      </c>
      <c r="H32" s="130">
        <f>(F32*E32+F33*E33+F34*E34)/G32</f>
        <v>5.7442622950819668</v>
      </c>
      <c r="I32" s="123">
        <f t="shared" ref="I32" si="9">(((PI()*0.00085*H32/100)+(0.00085*H32/100*2))*G32/2)*4</f>
        <v>6.1254878237807356E-2</v>
      </c>
      <c r="J32" s="21"/>
      <c r="K32" s="21"/>
    </row>
    <row r="33" spans="1:11">
      <c r="A33" s="126"/>
      <c r="B33" s="126"/>
      <c r="C33" s="128"/>
      <c r="D33" s="30">
        <v>2018</v>
      </c>
      <c r="E33" s="30">
        <v>66</v>
      </c>
      <c r="F33" s="31">
        <v>6.8</v>
      </c>
      <c r="G33" s="130"/>
      <c r="H33" s="130"/>
      <c r="I33" s="124"/>
      <c r="J33" s="21"/>
      <c r="K33" s="21"/>
    </row>
    <row r="34" spans="1:11">
      <c r="A34" s="126"/>
      <c r="B34" s="126"/>
      <c r="C34" s="129"/>
      <c r="D34" s="30">
        <v>2019</v>
      </c>
      <c r="E34" s="30">
        <v>56</v>
      </c>
      <c r="F34" s="31">
        <v>4.5</v>
      </c>
      <c r="G34" s="130"/>
      <c r="H34" s="130"/>
      <c r="I34" s="125"/>
      <c r="J34" s="21"/>
      <c r="K34" s="21"/>
    </row>
    <row r="35" spans="1:11">
      <c r="A35" s="126"/>
      <c r="B35" s="126">
        <v>13</v>
      </c>
      <c r="C35" s="127">
        <v>18</v>
      </c>
      <c r="D35" s="30">
        <v>2017</v>
      </c>
      <c r="E35" s="31">
        <v>0</v>
      </c>
      <c r="F35" s="31"/>
      <c r="G35" s="130">
        <f>SUM(E36+E37)</f>
        <v>94</v>
      </c>
      <c r="H35" s="130">
        <f>(F35*E35+F36*E36+F37*E37)/G35</f>
        <v>5.6234042553191488</v>
      </c>
      <c r="I35" s="123">
        <f t="shared" ref="I35" si="10">(((PI()*0.00085*H35/100)+(0.00085*H35/100*2))*G35/2)*4</f>
        <v>4.6203379903688599E-2</v>
      </c>
      <c r="J35" s="21"/>
      <c r="K35" s="21"/>
    </row>
    <row r="36" spans="1:11">
      <c r="A36" s="126"/>
      <c r="B36" s="126"/>
      <c r="C36" s="128"/>
      <c r="D36" s="30">
        <v>2018</v>
      </c>
      <c r="E36" s="30">
        <v>56</v>
      </c>
      <c r="F36" s="31">
        <v>7.2</v>
      </c>
      <c r="G36" s="130"/>
      <c r="H36" s="130"/>
      <c r="I36" s="124"/>
      <c r="J36" s="21"/>
      <c r="K36" s="21"/>
    </row>
    <row r="37" spans="1:11">
      <c r="A37" s="126"/>
      <c r="B37" s="126"/>
      <c r="C37" s="129"/>
      <c r="D37" s="30">
        <v>2019</v>
      </c>
      <c r="E37" s="30">
        <v>38</v>
      </c>
      <c r="F37" s="31">
        <v>3.3</v>
      </c>
      <c r="G37" s="130"/>
      <c r="H37" s="130"/>
      <c r="I37" s="125"/>
      <c r="J37" s="21"/>
      <c r="K37" s="21"/>
    </row>
    <row r="38" spans="1:11">
      <c r="A38" s="126"/>
      <c r="B38" s="126">
        <v>14</v>
      </c>
      <c r="C38" s="127">
        <v>80</v>
      </c>
      <c r="D38" s="30">
        <v>2017</v>
      </c>
      <c r="E38" s="30">
        <v>0</v>
      </c>
      <c r="F38" s="31"/>
      <c r="G38" s="130">
        <f>SUM(E39+E40)</f>
        <v>114</v>
      </c>
      <c r="H38" s="130">
        <f>(F38*E38+F39*E39+F40*E40)/G38</f>
        <v>5.8228070175438589</v>
      </c>
      <c r="I38" s="123">
        <f t="shared" ref="I38" si="11">(((PI()*0.00085*H38/100)+(0.00085*H38/100*2))*G38/2)*4</f>
        <v>5.802081645869938E-2</v>
      </c>
      <c r="J38" s="21"/>
      <c r="K38" s="21"/>
    </row>
    <row r="39" spans="1:11">
      <c r="A39" s="126"/>
      <c r="B39" s="126"/>
      <c r="C39" s="128"/>
      <c r="D39" s="30">
        <v>2018</v>
      </c>
      <c r="E39" s="30">
        <v>58</v>
      </c>
      <c r="F39" s="31">
        <v>7.1</v>
      </c>
      <c r="G39" s="130"/>
      <c r="H39" s="130"/>
      <c r="I39" s="124"/>
      <c r="J39" s="21"/>
      <c r="K39" s="21"/>
    </row>
    <row r="40" spans="1:11">
      <c r="A40" s="126"/>
      <c r="B40" s="126"/>
      <c r="C40" s="129"/>
      <c r="D40" s="30">
        <v>2019</v>
      </c>
      <c r="E40" s="30">
        <v>56</v>
      </c>
      <c r="F40" s="31">
        <v>4.5</v>
      </c>
      <c r="G40" s="130"/>
      <c r="H40" s="130"/>
      <c r="I40" s="125"/>
      <c r="J40" s="21"/>
      <c r="K40" s="21"/>
    </row>
    <row r="41" spans="1:11">
      <c r="A41" s="126"/>
      <c r="B41" s="126">
        <v>15</v>
      </c>
      <c r="C41" s="127">
        <v>14</v>
      </c>
      <c r="D41" s="30">
        <v>2017</v>
      </c>
      <c r="E41" s="30">
        <v>4</v>
      </c>
      <c r="F41" s="31">
        <v>6.1</v>
      </c>
      <c r="G41" s="130">
        <f>SUM(E41+E42+E43)</f>
        <v>102</v>
      </c>
      <c r="H41" s="130">
        <f>(F41*E41+F42*E42+F43*E43)/G41</f>
        <v>6.382352941176471</v>
      </c>
      <c r="I41" s="123">
        <f t="shared" ref="I41" si="12">(((PI()*0.00085*H41/100)+(0.00085*H41/100*2))*G41/2)*4</f>
        <v>5.6902005897278243E-2</v>
      </c>
      <c r="J41" s="21"/>
      <c r="K41" s="21"/>
    </row>
    <row r="42" spans="1:11">
      <c r="A42" s="126"/>
      <c r="B42" s="126"/>
      <c r="C42" s="128"/>
      <c r="D42" s="30">
        <v>2018</v>
      </c>
      <c r="E42" s="30">
        <v>46</v>
      </c>
      <c r="F42" s="31">
        <v>6.5</v>
      </c>
      <c r="G42" s="130"/>
      <c r="H42" s="130"/>
      <c r="I42" s="124"/>
      <c r="J42" s="21"/>
      <c r="K42" s="21"/>
    </row>
    <row r="43" spans="1:11">
      <c r="A43" s="126"/>
      <c r="B43" s="126"/>
      <c r="C43" s="129"/>
      <c r="D43" s="30">
        <v>2019</v>
      </c>
      <c r="E43" s="30">
        <v>52</v>
      </c>
      <c r="F43" s="31">
        <v>6.3</v>
      </c>
      <c r="G43" s="130"/>
      <c r="H43" s="130"/>
      <c r="I43" s="125"/>
      <c r="J43" s="21"/>
      <c r="K43" s="21"/>
    </row>
  </sheetData>
  <mergeCells count="72">
    <mergeCell ref="I2:I4"/>
    <mergeCell ref="B5:B7"/>
    <mergeCell ref="C5:C7"/>
    <mergeCell ref="G5:G7"/>
    <mergeCell ref="H5:H7"/>
    <mergeCell ref="I5:I7"/>
    <mergeCell ref="A2:A22"/>
    <mergeCell ref="B2:B4"/>
    <mergeCell ref="C2:C4"/>
    <mergeCell ref="G2:G4"/>
    <mergeCell ref="H2:H4"/>
    <mergeCell ref="B8:B10"/>
    <mergeCell ref="C8:C10"/>
    <mergeCell ref="G8:G10"/>
    <mergeCell ref="H8:H10"/>
    <mergeCell ref="B20:B22"/>
    <mergeCell ref="C20:C22"/>
    <mergeCell ref="G20:G22"/>
    <mergeCell ref="H20:H22"/>
    <mergeCell ref="I8:I10"/>
    <mergeCell ref="B14:B16"/>
    <mergeCell ref="C14:C16"/>
    <mergeCell ref="G14:G16"/>
    <mergeCell ref="H14:H16"/>
    <mergeCell ref="I14:I16"/>
    <mergeCell ref="B11:B13"/>
    <mergeCell ref="C11:C13"/>
    <mergeCell ref="G11:G13"/>
    <mergeCell ref="H11:H13"/>
    <mergeCell ref="I11:I13"/>
    <mergeCell ref="I20:I22"/>
    <mergeCell ref="B17:B19"/>
    <mergeCell ref="C17:C19"/>
    <mergeCell ref="G17:G19"/>
    <mergeCell ref="H17:H19"/>
    <mergeCell ref="I17:I19"/>
    <mergeCell ref="I23:I25"/>
    <mergeCell ref="B26:B28"/>
    <mergeCell ref="C26:C28"/>
    <mergeCell ref="G26:G28"/>
    <mergeCell ref="H26:H28"/>
    <mergeCell ref="I26:I28"/>
    <mergeCell ref="A23:A43"/>
    <mergeCell ref="B23:B25"/>
    <mergeCell ref="C23:C25"/>
    <mergeCell ref="G23:G25"/>
    <mergeCell ref="H23:H25"/>
    <mergeCell ref="B29:B31"/>
    <mergeCell ref="C29:C31"/>
    <mergeCell ref="G29:G31"/>
    <mergeCell ref="H29:H31"/>
    <mergeCell ref="B41:B43"/>
    <mergeCell ref="C41:C43"/>
    <mergeCell ref="G41:G43"/>
    <mergeCell ref="H41:H43"/>
    <mergeCell ref="I29:I31"/>
    <mergeCell ref="B35:B37"/>
    <mergeCell ref="C35:C37"/>
    <mergeCell ref="G35:G37"/>
    <mergeCell ref="H35:H37"/>
    <mergeCell ref="I35:I37"/>
    <mergeCell ref="B32:B34"/>
    <mergeCell ref="C32:C34"/>
    <mergeCell ref="G32:G34"/>
    <mergeCell ref="H32:H34"/>
    <mergeCell ref="I32:I34"/>
    <mergeCell ref="I41:I43"/>
    <mergeCell ref="B38:B40"/>
    <mergeCell ref="C38:C40"/>
    <mergeCell ref="G38:G40"/>
    <mergeCell ref="H38:H40"/>
    <mergeCell ref="I38:I40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3"/>
  <sheetViews>
    <sheetView topLeftCell="A22" workbookViewId="0">
      <selection activeCell="I2" sqref="I2:I4"/>
    </sheetView>
  </sheetViews>
  <sheetFormatPr defaultRowHeight="15"/>
  <sheetData>
    <row r="1" spans="1:21" ht="30">
      <c r="A1" s="8" t="s">
        <v>3</v>
      </c>
      <c r="B1" s="8" t="s">
        <v>0</v>
      </c>
      <c r="C1" s="8" t="s">
        <v>2</v>
      </c>
      <c r="D1" s="8" t="s">
        <v>1</v>
      </c>
      <c r="E1" s="8" t="s">
        <v>7</v>
      </c>
      <c r="F1" s="8" t="s">
        <v>8</v>
      </c>
      <c r="G1" s="10" t="s">
        <v>10</v>
      </c>
      <c r="H1" s="8" t="s">
        <v>9</v>
      </c>
      <c r="I1" s="8" t="s">
        <v>13</v>
      </c>
      <c r="J1" s="8" t="s">
        <v>14</v>
      </c>
      <c r="K1" s="8" t="s">
        <v>15</v>
      </c>
      <c r="L1" s="8" t="s">
        <v>26</v>
      </c>
      <c r="M1" s="8" t="s">
        <v>27</v>
      </c>
      <c r="O1" s="71" t="s">
        <v>62</v>
      </c>
      <c r="P1" s="70" t="s">
        <v>58</v>
      </c>
      <c r="Q1" s="70" t="s">
        <v>60</v>
      </c>
      <c r="R1" s="70" t="s">
        <v>59</v>
      </c>
      <c r="S1" s="70" t="s">
        <v>61</v>
      </c>
    </row>
    <row r="2" spans="1:21">
      <c r="A2" s="126" t="s">
        <v>4</v>
      </c>
      <c r="B2" s="126">
        <v>1</v>
      </c>
      <c r="C2" s="127"/>
      <c r="D2" s="24">
        <v>2017</v>
      </c>
      <c r="E2" s="25">
        <v>0</v>
      </c>
      <c r="F2" s="25"/>
      <c r="G2" s="130">
        <f>SUM(E2:E4)</f>
        <v>79</v>
      </c>
      <c r="H2" s="130">
        <f>(F2*E2+F3*E3+F4*E4)/G2</f>
        <v>10.181012658227848</v>
      </c>
      <c r="I2" s="123">
        <f>(((PI()*0.00085*H2/100)+(0.00085*H2/100*2))*G2/2)*4</f>
        <v>7.0301510511798601E-2</v>
      </c>
      <c r="J2" s="21">
        <f>AVERAGE(I2:I22)</f>
        <v>8.997559444678907E-2</v>
      </c>
      <c r="K2" s="21">
        <f>AVERAGE(I23:I43)</f>
        <v>5.2758910537015584E-2</v>
      </c>
      <c r="L2" s="21">
        <f>SUM(I2:I22)</f>
        <v>0.62982916112752352</v>
      </c>
      <c r="M2" s="21">
        <f>SUM(I23:I37)</f>
        <v>0.25862005383850517</v>
      </c>
      <c r="N2" t="s">
        <v>66</v>
      </c>
      <c r="O2">
        <v>2017</v>
      </c>
      <c r="P2" s="79">
        <f>AVERAGE(E32,E23,E26,E29,E35,E38,E41)</f>
        <v>2</v>
      </c>
      <c r="Q2" s="79">
        <f>AVERAGE(F32,F23,F26,F29,F35,F38,F41)</f>
        <v>6.8</v>
      </c>
      <c r="R2" s="79">
        <f>AVERAGE(E2,E5,E8,E20,E11,E14,E17)</f>
        <v>3.7142857142857144</v>
      </c>
      <c r="S2" s="79">
        <f>AVERAGE(F2,F5,F8,F20,F11,F14,F17)</f>
        <v>10.5</v>
      </c>
    </row>
    <row r="3" spans="1:21">
      <c r="A3" s="126"/>
      <c r="B3" s="126"/>
      <c r="C3" s="128"/>
      <c r="D3" s="24">
        <v>2018</v>
      </c>
      <c r="E3" s="25">
        <v>24</v>
      </c>
      <c r="F3" s="25">
        <v>12.2</v>
      </c>
      <c r="G3" s="130"/>
      <c r="H3" s="130"/>
      <c r="I3" s="124"/>
      <c r="J3" s="86">
        <v>4.7831171608303025E-2</v>
      </c>
      <c r="K3" s="86">
        <v>2.1742764276168801E-2</v>
      </c>
      <c r="L3" s="86">
        <v>8.3704550314530293E-2</v>
      </c>
      <c r="M3" s="86">
        <v>3.80498374832954E-2</v>
      </c>
      <c r="N3" t="s">
        <v>67</v>
      </c>
      <c r="O3" s="59">
        <v>2018</v>
      </c>
      <c r="P3" s="79">
        <f>AVERAGE(E33,E42,E39,E36,E30,E27,E24)</f>
        <v>58.857142857142854</v>
      </c>
      <c r="Q3" s="79">
        <f>AVERAGE(F33,F42,F39,F36,F30,F27,F24)</f>
        <v>6.3571428571428568</v>
      </c>
      <c r="R3" s="79">
        <f>AVERAGE(E3,E6,E15,E21,E9,E12,E18)</f>
        <v>56.857142857142854</v>
      </c>
      <c r="S3" s="79">
        <f>AVERAGE(F3,F6,F15,F21,F9,F12,F18)</f>
        <v>9.1142857142857139</v>
      </c>
    </row>
    <row r="4" spans="1:21">
      <c r="A4" s="126"/>
      <c r="B4" s="126"/>
      <c r="C4" s="129"/>
      <c r="D4" s="24">
        <v>2019</v>
      </c>
      <c r="E4" s="25">
        <v>55</v>
      </c>
      <c r="F4" s="25">
        <v>9.3000000000000007</v>
      </c>
      <c r="G4" s="130"/>
      <c r="H4" s="130"/>
      <c r="I4" s="125"/>
      <c r="J4">
        <f>J3/J2</f>
        <v>0.53160161822092811</v>
      </c>
      <c r="K4">
        <f>K3/K2</f>
        <v>0.4121154901580863</v>
      </c>
      <c r="M4" s="33"/>
      <c r="N4" t="s">
        <v>65</v>
      </c>
      <c r="O4">
        <v>2019</v>
      </c>
      <c r="P4" s="79">
        <f>AVERAGE(E34,E43,E40,E37,E31,E28,E25)</f>
        <v>54.857142857142854</v>
      </c>
      <c r="Q4" s="79">
        <f>AVERAGE(F34,F43,F40,F37,F31,F28,F25)</f>
        <v>3.8428571428571425</v>
      </c>
      <c r="R4" s="79">
        <f>AVERAGE(E4,E7,E16,E22,E10,E19,E13)</f>
        <v>73</v>
      </c>
      <c r="S4" s="79">
        <f>AVERAGE(F4,F7,F16,F22,F10,F19,F13)</f>
        <v>7.1714285714285708</v>
      </c>
      <c r="T4" s="29"/>
      <c r="U4" s="29"/>
    </row>
    <row r="5" spans="1:21">
      <c r="A5" s="126"/>
      <c r="B5" s="126">
        <v>2</v>
      </c>
      <c r="C5" s="127"/>
      <c r="D5" s="24">
        <v>2017</v>
      </c>
      <c r="E5" s="24">
        <v>0</v>
      </c>
      <c r="F5" s="25"/>
      <c r="G5" s="130">
        <f>SUM(E5:E7)</f>
        <v>166</v>
      </c>
      <c r="H5" s="130">
        <f>(F5*E5+F6*E6+F7*E7)/G5</f>
        <v>7.2277108433734938</v>
      </c>
      <c r="I5" s="123">
        <f t="shared" ref="I5" si="0">(((PI()*0.00085*H5/100)+(0.00085*H5/100*2))*G5/2)*4</f>
        <v>0.10487100871820955</v>
      </c>
      <c r="J5" s="21"/>
      <c r="K5" s="21"/>
      <c r="R5" s="29"/>
      <c r="S5" s="29"/>
      <c r="T5" s="29"/>
      <c r="U5" s="29"/>
    </row>
    <row r="6" spans="1:21">
      <c r="A6" s="126"/>
      <c r="B6" s="126"/>
      <c r="C6" s="128"/>
      <c r="D6" s="24">
        <v>2018</v>
      </c>
      <c r="E6" s="24">
        <v>72</v>
      </c>
      <c r="F6" s="25">
        <v>8.6999999999999993</v>
      </c>
      <c r="G6" s="130"/>
      <c r="H6" s="130"/>
      <c r="I6" s="124"/>
      <c r="J6" s="21"/>
      <c r="K6" s="21"/>
      <c r="R6" s="29"/>
      <c r="S6" s="29"/>
      <c r="T6" s="29"/>
      <c r="U6" s="29"/>
    </row>
    <row r="7" spans="1:21">
      <c r="A7" s="126"/>
      <c r="B7" s="126"/>
      <c r="C7" s="129"/>
      <c r="D7" s="24">
        <v>2019</v>
      </c>
      <c r="E7" s="24">
        <v>94</v>
      </c>
      <c r="F7" s="25">
        <v>6.1</v>
      </c>
      <c r="G7" s="130"/>
      <c r="H7" s="130"/>
      <c r="I7" s="125"/>
      <c r="J7" s="21"/>
      <c r="K7" s="21"/>
    </row>
    <row r="8" spans="1:21">
      <c r="A8" s="126"/>
      <c r="B8" s="126">
        <v>3</v>
      </c>
      <c r="C8" s="127"/>
      <c r="D8" s="24">
        <v>2017</v>
      </c>
      <c r="E8" s="24">
        <v>0</v>
      </c>
      <c r="F8" s="25"/>
      <c r="G8" s="130">
        <f>SUM(E8:E10)</f>
        <v>130</v>
      </c>
      <c r="H8" s="130">
        <f>(F8*E8+F9*E9+F10*E10)/G8</f>
        <v>8.2538461538461547</v>
      </c>
      <c r="I8" s="123">
        <f t="shared" ref="I8" si="1">(((PI()*0.00085*H8/100)+(0.00085*H8/100*2))*G8/2)*4</f>
        <v>9.378779159413142E-2</v>
      </c>
      <c r="J8" s="21"/>
      <c r="K8" s="21"/>
    </row>
    <row r="9" spans="1:21">
      <c r="A9" s="126"/>
      <c r="B9" s="126"/>
      <c r="C9" s="128"/>
      <c r="D9" s="24">
        <v>2018</v>
      </c>
      <c r="E9" s="24">
        <v>62</v>
      </c>
      <c r="F9" s="25">
        <v>9.3000000000000007</v>
      </c>
      <c r="G9" s="130"/>
      <c r="H9" s="130"/>
      <c r="I9" s="124"/>
      <c r="J9" s="21"/>
      <c r="K9" s="21"/>
    </row>
    <row r="10" spans="1:21">
      <c r="A10" s="126"/>
      <c r="B10" s="126"/>
      <c r="C10" s="129"/>
      <c r="D10" s="24">
        <v>2019</v>
      </c>
      <c r="E10" s="24">
        <v>68</v>
      </c>
      <c r="F10" s="25">
        <v>7.3</v>
      </c>
      <c r="G10" s="130"/>
      <c r="H10" s="130"/>
      <c r="I10" s="125"/>
      <c r="J10" s="21"/>
      <c r="K10" s="21"/>
    </row>
    <row r="11" spans="1:21">
      <c r="A11" s="126"/>
      <c r="B11" s="126">
        <v>4</v>
      </c>
      <c r="C11" s="127"/>
      <c r="D11" s="24">
        <v>2017</v>
      </c>
      <c r="E11" s="24">
        <v>0</v>
      </c>
      <c r="F11" s="25"/>
      <c r="G11" s="130">
        <f>SUM(E11:E13)</f>
        <v>78</v>
      </c>
      <c r="H11" s="130">
        <f>(F11*E11+F12*E12+F13*E13)/G11</f>
        <v>8.7846153846153854</v>
      </c>
      <c r="I11" s="123">
        <f t="shared" ref="I11" si="2">(((PI()*0.00085*H11/100)+(0.00085*H11/100*2))*G11/2)*4</f>
        <v>5.9891327866075351E-2</v>
      </c>
      <c r="J11" s="21"/>
      <c r="K11" s="21"/>
    </row>
    <row r="12" spans="1:21">
      <c r="A12" s="126"/>
      <c r="B12" s="126"/>
      <c r="C12" s="128"/>
      <c r="D12" s="24">
        <v>2018</v>
      </c>
      <c r="E12" s="24">
        <v>24</v>
      </c>
      <c r="F12" s="25">
        <v>11</v>
      </c>
      <c r="G12" s="130"/>
      <c r="H12" s="130"/>
      <c r="I12" s="124"/>
      <c r="J12" s="21"/>
      <c r="K12" s="21"/>
    </row>
    <row r="13" spans="1:21">
      <c r="A13" s="126"/>
      <c r="B13" s="126"/>
      <c r="C13" s="129"/>
      <c r="D13" s="24">
        <v>2019</v>
      </c>
      <c r="E13" s="24">
        <v>54</v>
      </c>
      <c r="F13" s="25">
        <v>7.8</v>
      </c>
      <c r="G13" s="130"/>
      <c r="H13" s="130"/>
      <c r="I13" s="125"/>
      <c r="J13" s="21"/>
      <c r="K13" s="21"/>
    </row>
    <row r="14" spans="1:21">
      <c r="A14" s="126"/>
      <c r="B14" s="126">
        <v>5</v>
      </c>
      <c r="C14" s="127"/>
      <c r="D14" s="24">
        <v>2017</v>
      </c>
      <c r="E14" s="25">
        <v>0</v>
      </c>
      <c r="F14" s="25"/>
      <c r="G14" s="130">
        <f>SUM(E14:E16)</f>
        <v>110</v>
      </c>
      <c r="H14" s="130">
        <f>(F14*E14+F15*E15+F16*E16)/G14</f>
        <v>6.9945454545454542</v>
      </c>
      <c r="I14" s="123">
        <f t="shared" ref="I14" si="3">(((PI()*0.00085*H14/100)+(0.00085*H14/100*2))*G14/2)*4</f>
        <v>6.7251003590423769E-2</v>
      </c>
      <c r="J14" s="21"/>
      <c r="K14" s="21"/>
    </row>
    <row r="15" spans="1:21">
      <c r="A15" s="126"/>
      <c r="B15" s="126"/>
      <c r="C15" s="128"/>
      <c r="D15" s="24">
        <v>2018</v>
      </c>
      <c r="E15" s="25">
        <v>46</v>
      </c>
      <c r="F15" s="25">
        <v>8.1</v>
      </c>
      <c r="G15" s="130"/>
      <c r="H15" s="130"/>
      <c r="I15" s="124"/>
      <c r="J15" s="21"/>
      <c r="K15" s="21"/>
    </row>
    <row r="16" spans="1:21">
      <c r="A16" s="126"/>
      <c r="B16" s="126"/>
      <c r="C16" s="129"/>
      <c r="D16" s="24">
        <v>2019</v>
      </c>
      <c r="E16" s="25">
        <v>64</v>
      </c>
      <c r="F16" s="25">
        <v>6.2</v>
      </c>
      <c r="G16" s="130"/>
      <c r="H16" s="130"/>
      <c r="I16" s="125"/>
      <c r="J16" s="21"/>
      <c r="K16" s="21"/>
    </row>
    <row r="17" spans="1:11">
      <c r="A17" s="126"/>
      <c r="B17" s="126">
        <v>6</v>
      </c>
      <c r="C17" s="127"/>
      <c r="D17" s="24">
        <v>2017</v>
      </c>
      <c r="E17" s="24">
        <v>0</v>
      </c>
      <c r="F17" s="25"/>
      <c r="G17" s="130">
        <f>SUM(E17:E19)</f>
        <v>178</v>
      </c>
      <c r="H17" s="130">
        <f>(F17*E17+F18*E18+F19*E19)/G17</f>
        <v>7.48876404494382</v>
      </c>
      <c r="I17" s="123">
        <f t="shared" ref="I17" si="4">(((PI()*0.00085*H17/100)+(0.00085*H17/100*2))*G17/2)*4</f>
        <v>0.11651363112299831</v>
      </c>
      <c r="J17" s="21"/>
      <c r="K17" s="21"/>
    </row>
    <row r="18" spans="1:11">
      <c r="A18" s="126"/>
      <c r="B18" s="126"/>
      <c r="C18" s="128"/>
      <c r="D18" s="24">
        <v>2018</v>
      </c>
      <c r="E18" s="24">
        <v>80</v>
      </c>
      <c r="F18" s="25">
        <v>8.6999999999999993</v>
      </c>
      <c r="G18" s="130"/>
      <c r="H18" s="130"/>
      <c r="I18" s="124"/>
      <c r="J18" s="21"/>
      <c r="K18" s="21"/>
    </row>
    <row r="19" spans="1:11">
      <c r="A19" s="126"/>
      <c r="B19" s="126"/>
      <c r="C19" s="129"/>
      <c r="D19" s="24">
        <v>2019</v>
      </c>
      <c r="E19" s="24">
        <v>98</v>
      </c>
      <c r="F19" s="25">
        <v>6.5</v>
      </c>
      <c r="G19" s="130"/>
      <c r="H19" s="130"/>
      <c r="I19" s="125"/>
      <c r="J19" s="21"/>
      <c r="K19" s="21"/>
    </row>
    <row r="20" spans="1:11">
      <c r="A20" s="126"/>
      <c r="B20" s="126">
        <v>7</v>
      </c>
      <c r="C20" s="127"/>
      <c r="D20" s="24">
        <v>2017</v>
      </c>
      <c r="E20" s="25">
        <v>26</v>
      </c>
      <c r="F20" s="25">
        <v>10.5</v>
      </c>
      <c r="G20" s="130">
        <f>SUM(E20:E22)</f>
        <v>194</v>
      </c>
      <c r="H20" s="130">
        <f>(F20*E20+F21*E21+F22*E22)/G20</f>
        <v>6.9123711340206189</v>
      </c>
      <c r="I20" s="123">
        <f t="shared" ref="I20" si="5">(((PI()*0.00085*H20/100)+(0.00085*H20/100*2))*G20/2)*4</f>
        <v>0.11721288772388651</v>
      </c>
      <c r="J20" s="21"/>
      <c r="K20" s="21"/>
    </row>
    <row r="21" spans="1:11">
      <c r="A21" s="126"/>
      <c r="B21" s="126"/>
      <c r="C21" s="128"/>
      <c r="D21" s="24">
        <v>2018</v>
      </c>
      <c r="E21" s="24">
        <v>90</v>
      </c>
      <c r="F21" s="25">
        <v>5.8</v>
      </c>
      <c r="G21" s="130"/>
      <c r="H21" s="130"/>
      <c r="I21" s="124"/>
      <c r="J21" s="21"/>
      <c r="K21" s="21"/>
    </row>
    <row r="22" spans="1:11">
      <c r="A22" s="126"/>
      <c r="B22" s="126"/>
      <c r="C22" s="129"/>
      <c r="D22" s="24">
        <v>2019</v>
      </c>
      <c r="E22" s="24">
        <v>78</v>
      </c>
      <c r="F22" s="25">
        <v>7</v>
      </c>
      <c r="G22" s="130"/>
      <c r="H22" s="130"/>
      <c r="I22" s="125"/>
      <c r="J22" s="21"/>
      <c r="K22" s="21"/>
    </row>
    <row r="23" spans="1:11">
      <c r="A23" s="126" t="s">
        <v>6</v>
      </c>
      <c r="B23" s="134">
        <v>9</v>
      </c>
      <c r="C23" s="127"/>
      <c r="D23" s="24">
        <v>2017</v>
      </c>
      <c r="E23" s="24">
        <v>2</v>
      </c>
      <c r="F23" s="25">
        <v>6.8</v>
      </c>
      <c r="G23" s="130">
        <f>SUM(E23:E25)</f>
        <v>114</v>
      </c>
      <c r="H23" s="130">
        <f>(F23*E23+F24*E24+F25*E25)/G23</f>
        <v>4.9263157894736844</v>
      </c>
      <c r="I23" s="123">
        <f t="shared" ref="I23" si="6">(((PI()*0.00085*H23/100)+(0.00085*H23/100*2))*G23/2)*4</f>
        <v>4.908781338235247E-2</v>
      </c>
      <c r="J23" s="21"/>
      <c r="K23" s="21"/>
    </row>
    <row r="24" spans="1:11">
      <c r="A24" s="126"/>
      <c r="B24" s="134"/>
      <c r="C24" s="128"/>
      <c r="D24" s="24">
        <v>2018</v>
      </c>
      <c r="E24" s="24">
        <v>40</v>
      </c>
      <c r="F24" s="25">
        <v>6.5</v>
      </c>
      <c r="G24" s="130"/>
      <c r="H24" s="130"/>
      <c r="I24" s="124"/>
      <c r="J24" s="21"/>
      <c r="K24" s="21"/>
    </row>
    <row r="25" spans="1:11">
      <c r="A25" s="126"/>
      <c r="B25" s="134"/>
      <c r="C25" s="129"/>
      <c r="D25" s="24">
        <v>2019</v>
      </c>
      <c r="E25" s="24">
        <v>72</v>
      </c>
      <c r="F25" s="25">
        <v>4</v>
      </c>
      <c r="G25" s="130"/>
      <c r="H25" s="130"/>
      <c r="I25" s="125"/>
      <c r="J25" s="21"/>
      <c r="K25" s="21"/>
    </row>
    <row r="26" spans="1:11">
      <c r="A26" s="126"/>
      <c r="B26" s="126">
        <v>10</v>
      </c>
      <c r="C26" s="127"/>
      <c r="D26" s="24">
        <v>2017</v>
      </c>
      <c r="E26" s="24">
        <v>0</v>
      </c>
      <c r="F26" s="25"/>
      <c r="G26" s="130">
        <f>SUM(E26:E28)</f>
        <v>132</v>
      </c>
      <c r="H26" s="130">
        <f>(F26*E26+F27*E27+F28*E28)/G26</f>
        <v>5.3515151515151516</v>
      </c>
      <c r="I26" s="123">
        <f t="shared" ref="I26" si="7">(((PI()*0.00085*H26/100)+(0.00085*H26/100*2))*G26/2)*4</f>
        <v>6.1744357858429105E-2</v>
      </c>
      <c r="J26" s="21"/>
      <c r="K26" s="21"/>
    </row>
    <row r="27" spans="1:11">
      <c r="A27" s="126"/>
      <c r="B27" s="126"/>
      <c r="C27" s="128"/>
      <c r="D27" s="24">
        <v>2018</v>
      </c>
      <c r="E27" s="24">
        <v>76</v>
      </c>
      <c r="F27" s="25">
        <v>6.2</v>
      </c>
      <c r="G27" s="130"/>
      <c r="H27" s="130"/>
      <c r="I27" s="124"/>
      <c r="J27" s="21"/>
      <c r="K27" s="21"/>
    </row>
    <row r="28" spans="1:11">
      <c r="A28" s="126"/>
      <c r="B28" s="126"/>
      <c r="C28" s="129"/>
      <c r="D28" s="24">
        <v>2019</v>
      </c>
      <c r="E28" s="24">
        <v>56</v>
      </c>
      <c r="F28" s="25">
        <v>4.2</v>
      </c>
      <c r="G28" s="130"/>
      <c r="H28" s="130"/>
      <c r="I28" s="125"/>
      <c r="J28" s="21"/>
      <c r="K28" s="21"/>
    </row>
    <row r="29" spans="1:11">
      <c r="A29" s="126"/>
      <c r="B29" s="126">
        <v>11</v>
      </c>
      <c r="C29" s="127"/>
      <c r="D29" s="24">
        <v>2017</v>
      </c>
      <c r="E29" s="24">
        <v>0</v>
      </c>
      <c r="F29" s="25"/>
      <c r="G29" s="130">
        <f>SUM(E29:E31)</f>
        <v>104</v>
      </c>
      <c r="H29" s="130">
        <f>(F29*E29+F30*E30+F31*E31)/G29</f>
        <v>4.953846153846154</v>
      </c>
      <c r="I29" s="123">
        <f t="shared" ref="I29" si="8">(((PI()*0.00085*H29/100)+(0.00085*H29/100*2))*G29/2)*4</f>
        <v>4.5032125097200837E-2</v>
      </c>
      <c r="J29" s="21"/>
      <c r="K29" s="21"/>
    </row>
    <row r="30" spans="1:11">
      <c r="A30" s="126"/>
      <c r="B30" s="126"/>
      <c r="C30" s="128"/>
      <c r="D30" s="24">
        <v>2018</v>
      </c>
      <c r="E30" s="24">
        <v>64</v>
      </c>
      <c r="F30" s="25">
        <v>6.3</v>
      </c>
      <c r="G30" s="130"/>
      <c r="H30" s="130"/>
      <c r="I30" s="124"/>
      <c r="J30" s="21"/>
      <c r="K30" s="21"/>
    </row>
    <row r="31" spans="1:11">
      <c r="A31" s="126"/>
      <c r="B31" s="126"/>
      <c r="C31" s="129"/>
      <c r="D31" s="24">
        <v>2019</v>
      </c>
      <c r="E31" s="24">
        <v>40</v>
      </c>
      <c r="F31" s="25">
        <v>2.8</v>
      </c>
      <c r="G31" s="130"/>
      <c r="H31" s="130"/>
      <c r="I31" s="125"/>
      <c r="J31" s="21"/>
      <c r="K31" s="21"/>
    </row>
    <row r="32" spans="1:11">
      <c r="A32" s="126"/>
      <c r="B32" s="126">
        <v>12</v>
      </c>
      <c r="C32" s="127"/>
      <c r="D32" s="24">
        <v>2017</v>
      </c>
      <c r="E32" s="24">
        <v>0</v>
      </c>
      <c r="F32" s="25"/>
      <c r="G32" s="130">
        <f>SUM(E32:E34)</f>
        <v>118</v>
      </c>
      <c r="H32" s="130">
        <f>(F32*E32+F33*E33+F34*E34)/G32</f>
        <v>5.115254237288136</v>
      </c>
      <c r="I32" s="123">
        <f t="shared" ref="I32" si="9">(((PI()*0.00085*H32/100)+(0.00085*H32/100*2))*G32/2)*4</f>
        <v>5.2758910537015584E-2</v>
      </c>
      <c r="J32" s="21"/>
      <c r="K32" s="21"/>
    </row>
    <row r="33" spans="1:11">
      <c r="A33" s="126"/>
      <c r="B33" s="126"/>
      <c r="C33" s="128"/>
      <c r="D33" s="24">
        <v>2018</v>
      </c>
      <c r="E33" s="24">
        <v>54</v>
      </c>
      <c r="F33" s="25">
        <v>6.2</v>
      </c>
      <c r="G33" s="130"/>
      <c r="H33" s="130"/>
      <c r="I33" s="124"/>
      <c r="J33" s="21"/>
      <c r="K33" s="21"/>
    </row>
    <row r="34" spans="1:11">
      <c r="A34" s="126"/>
      <c r="B34" s="126"/>
      <c r="C34" s="129"/>
      <c r="D34" s="24">
        <v>2019</v>
      </c>
      <c r="E34" s="24">
        <v>64</v>
      </c>
      <c r="F34" s="25">
        <v>4.2</v>
      </c>
      <c r="G34" s="130"/>
      <c r="H34" s="130"/>
      <c r="I34" s="125"/>
      <c r="J34" s="21"/>
      <c r="K34" s="21"/>
    </row>
    <row r="35" spans="1:11">
      <c r="A35" s="126"/>
      <c r="B35" s="126">
        <v>13</v>
      </c>
      <c r="C35" s="127"/>
      <c r="D35" s="24">
        <v>2017</v>
      </c>
      <c r="E35" s="25">
        <v>0</v>
      </c>
      <c r="F35" s="25"/>
      <c r="G35" s="130">
        <f>SUM(E35:E37)</f>
        <v>100</v>
      </c>
      <c r="H35" s="130">
        <f>(F35*E35+F36*E36+F37*E37)/G35</f>
        <v>5.72</v>
      </c>
      <c r="I35" s="123">
        <f t="shared" ref="I35" si="10">(((PI()*0.00085*H35/100)+(0.00085*H35/100*2))*G35/2)*4</f>
        <v>4.9996846963507147E-2</v>
      </c>
      <c r="J35" s="21"/>
      <c r="K35" s="21"/>
    </row>
    <row r="36" spans="1:11">
      <c r="A36" s="126"/>
      <c r="B36" s="126"/>
      <c r="C36" s="128"/>
      <c r="D36" s="24">
        <v>2018</v>
      </c>
      <c r="E36" s="24">
        <v>74</v>
      </c>
      <c r="F36" s="25">
        <v>6.5</v>
      </c>
      <c r="G36" s="130"/>
      <c r="H36" s="130"/>
      <c r="I36" s="124"/>
      <c r="J36" s="21"/>
      <c r="K36" s="21"/>
    </row>
    <row r="37" spans="1:11">
      <c r="A37" s="126"/>
      <c r="B37" s="126"/>
      <c r="C37" s="129"/>
      <c r="D37" s="24">
        <v>2019</v>
      </c>
      <c r="E37" s="24">
        <v>26</v>
      </c>
      <c r="F37" s="25">
        <v>3.5</v>
      </c>
      <c r="G37" s="130"/>
      <c r="H37" s="130"/>
      <c r="I37" s="125"/>
      <c r="J37" s="21"/>
      <c r="K37" s="21"/>
    </row>
    <row r="38" spans="1:11">
      <c r="A38" s="126"/>
      <c r="B38" s="126">
        <v>14</v>
      </c>
      <c r="C38" s="127"/>
      <c r="D38" s="24">
        <v>2017</v>
      </c>
      <c r="E38" s="30">
        <v>0</v>
      </c>
      <c r="F38" s="31"/>
      <c r="G38" s="130">
        <f>SUM(E38:E40)</f>
        <v>128</v>
      </c>
      <c r="H38" s="130">
        <f>(F38*E38+F39*E39+F40*E40)/G38</f>
        <v>5.35</v>
      </c>
      <c r="I38" s="123">
        <f t="shared" ref="I38" si="11">(((PI()*0.00085*H38/100)+(0.00085*H38/100*2))*G38/2)*4</f>
        <v>5.985636503603093E-2</v>
      </c>
      <c r="J38" s="21"/>
      <c r="K38" s="21"/>
    </row>
    <row r="39" spans="1:11">
      <c r="A39" s="126"/>
      <c r="B39" s="126"/>
      <c r="C39" s="128"/>
      <c r="D39" s="24">
        <v>2018</v>
      </c>
      <c r="E39" s="30">
        <v>64</v>
      </c>
      <c r="F39" s="31">
        <v>6.5</v>
      </c>
      <c r="G39" s="130"/>
      <c r="H39" s="130"/>
      <c r="I39" s="124"/>
      <c r="J39" s="21"/>
      <c r="K39" s="21"/>
    </row>
    <row r="40" spans="1:11">
      <c r="A40" s="126"/>
      <c r="B40" s="126"/>
      <c r="C40" s="129"/>
      <c r="D40" s="24">
        <v>2019</v>
      </c>
      <c r="E40" s="30">
        <v>64</v>
      </c>
      <c r="F40" s="31">
        <v>4.2</v>
      </c>
      <c r="G40" s="130"/>
      <c r="H40" s="130"/>
      <c r="I40" s="125"/>
      <c r="J40" s="21"/>
      <c r="K40" s="21"/>
    </row>
    <row r="41" spans="1:11">
      <c r="A41" s="126"/>
      <c r="B41" s="126">
        <v>15</v>
      </c>
      <c r="C41" s="127"/>
      <c r="D41" s="24">
        <v>2017</v>
      </c>
      <c r="E41" s="30">
        <v>12</v>
      </c>
      <c r="F41" s="31">
        <v>6.8</v>
      </c>
      <c r="G41" s="130">
        <f>SUM(E41:E43)</f>
        <v>114</v>
      </c>
      <c r="H41" s="130">
        <f>(F41*E41+F42*E42+F43*E43)/G41</f>
        <v>5.1017543859649122</v>
      </c>
      <c r="I41" s="123">
        <f t="shared" ref="I41" si="12">(((PI()*0.00085*H41/100)+(0.00085*H41/100*2))*G41/2)*4</f>
        <v>5.0835954884573001E-2</v>
      </c>
      <c r="J41" s="21"/>
      <c r="K41" s="21"/>
    </row>
    <row r="42" spans="1:11">
      <c r="A42" s="126"/>
      <c r="B42" s="126"/>
      <c r="C42" s="128"/>
      <c r="D42" s="24">
        <v>2018</v>
      </c>
      <c r="E42" s="30">
        <v>40</v>
      </c>
      <c r="F42" s="31">
        <v>6.3</v>
      </c>
      <c r="G42" s="130"/>
      <c r="H42" s="130"/>
      <c r="I42" s="124"/>
      <c r="J42" s="21"/>
      <c r="K42" s="21"/>
    </row>
    <row r="43" spans="1:11">
      <c r="A43" s="126"/>
      <c r="B43" s="126"/>
      <c r="C43" s="129"/>
      <c r="D43" s="24">
        <v>2019</v>
      </c>
      <c r="E43" s="30">
        <v>62</v>
      </c>
      <c r="F43" s="31">
        <v>4</v>
      </c>
      <c r="G43" s="130"/>
      <c r="H43" s="130"/>
      <c r="I43" s="125"/>
      <c r="J43" s="21"/>
      <c r="K43" s="21"/>
    </row>
  </sheetData>
  <mergeCells count="72">
    <mergeCell ref="I2:I4"/>
    <mergeCell ref="B5:B7"/>
    <mergeCell ref="C5:C7"/>
    <mergeCell ref="G5:G7"/>
    <mergeCell ref="H5:H7"/>
    <mergeCell ref="I5:I7"/>
    <mergeCell ref="A2:A22"/>
    <mergeCell ref="B2:B4"/>
    <mergeCell ref="C2:C4"/>
    <mergeCell ref="G2:G4"/>
    <mergeCell ref="H2:H4"/>
    <mergeCell ref="B8:B10"/>
    <mergeCell ref="C8:C10"/>
    <mergeCell ref="G8:G10"/>
    <mergeCell ref="H8:H10"/>
    <mergeCell ref="B20:B22"/>
    <mergeCell ref="C20:C22"/>
    <mergeCell ref="G20:G22"/>
    <mergeCell ref="H20:H22"/>
    <mergeCell ref="I8:I10"/>
    <mergeCell ref="B14:B16"/>
    <mergeCell ref="C14:C16"/>
    <mergeCell ref="G14:G16"/>
    <mergeCell ref="H14:H16"/>
    <mergeCell ref="I14:I16"/>
    <mergeCell ref="B11:B13"/>
    <mergeCell ref="C11:C13"/>
    <mergeCell ref="G11:G13"/>
    <mergeCell ref="H11:H13"/>
    <mergeCell ref="I11:I13"/>
    <mergeCell ref="I20:I22"/>
    <mergeCell ref="B17:B19"/>
    <mergeCell ref="C17:C19"/>
    <mergeCell ref="G17:G19"/>
    <mergeCell ref="H17:H19"/>
    <mergeCell ref="I17:I19"/>
    <mergeCell ref="I23:I25"/>
    <mergeCell ref="B26:B28"/>
    <mergeCell ref="C26:C28"/>
    <mergeCell ref="G26:G28"/>
    <mergeCell ref="H26:H28"/>
    <mergeCell ref="I26:I28"/>
    <mergeCell ref="A23:A43"/>
    <mergeCell ref="B23:B25"/>
    <mergeCell ref="C23:C25"/>
    <mergeCell ref="G23:G25"/>
    <mergeCell ref="H23:H25"/>
    <mergeCell ref="B29:B31"/>
    <mergeCell ref="C29:C31"/>
    <mergeCell ref="G29:G31"/>
    <mergeCell ref="H29:H31"/>
    <mergeCell ref="B41:B43"/>
    <mergeCell ref="C41:C43"/>
    <mergeCell ref="G41:G43"/>
    <mergeCell ref="H41:H43"/>
    <mergeCell ref="I29:I31"/>
    <mergeCell ref="B35:B37"/>
    <mergeCell ref="C35:C37"/>
    <mergeCell ref="G35:G37"/>
    <mergeCell ref="H35:H37"/>
    <mergeCell ref="I35:I37"/>
    <mergeCell ref="B32:B34"/>
    <mergeCell ref="C32:C34"/>
    <mergeCell ref="G32:G34"/>
    <mergeCell ref="H32:H34"/>
    <mergeCell ref="I32:I34"/>
    <mergeCell ref="I41:I43"/>
    <mergeCell ref="B38:B40"/>
    <mergeCell ref="C38:C40"/>
    <mergeCell ref="G38:G40"/>
    <mergeCell ref="H38:H40"/>
    <mergeCell ref="I38:I4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16.5.19</vt:lpstr>
      <vt:lpstr>16.7.20 </vt:lpstr>
      <vt:lpstr>15.6.20</vt:lpstr>
      <vt:lpstr>7.5.20</vt:lpstr>
      <vt:lpstr>13.4.20</vt:lpstr>
      <vt:lpstr>12.3.20</vt:lpstr>
      <vt:lpstr>20.2.20</vt:lpstr>
      <vt:lpstr>25.12.19</vt:lpstr>
      <vt:lpstr>6.11.19</vt:lpstr>
      <vt:lpstr>02.09.2019</vt:lpstr>
      <vt:lpstr>07.08.19</vt:lpstr>
      <vt:lpstr>02.09.19</vt:lpstr>
      <vt:lpstr>16.05.19</vt:lpstr>
      <vt:lpstr>06.03.19</vt:lpstr>
      <vt:lpstr>20.12.18</vt:lpstr>
      <vt:lpstr>8.8.18</vt:lpstr>
      <vt:lpstr>4.6.18</vt:lpstr>
      <vt:lpstr>19.3.18</vt:lpstr>
      <vt:lpstr>14.2.18</vt:lpstr>
      <vt:lpstr>summary 2018</vt:lpstr>
      <vt:lpstr>summary 2019</vt:lpstr>
      <vt:lpstr>summary 2020</vt:lpstr>
      <vt:lpstr>Total summary</vt:lpstr>
    </vt:vector>
  </TitlesOfParts>
  <Company>WIS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Dan1</dc:creator>
  <cp:lastModifiedBy>ozitay</cp:lastModifiedBy>
  <dcterms:created xsi:type="dcterms:W3CDTF">2018-12-20T10:39:14Z</dcterms:created>
  <dcterms:modified xsi:type="dcterms:W3CDTF">2020-11-11T15:36:06Z</dcterms:modified>
</cp:coreProperties>
</file>