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3d417d339670cb/Documents/GitHub/preliminary_data/"/>
    </mc:Choice>
  </mc:AlternateContent>
  <xr:revisionPtr revIDLastSave="88" documentId="8_{1BDF51E7-5E11-4E99-AA4A-5DD579AE109A}" xr6:coauthVersionLast="47" xr6:coauthVersionMax="47" xr10:uidLastSave="{C9056626-79D0-41E9-BCA0-E8BC29A666B7}"/>
  <bookViews>
    <workbookView xWindow="38310" yWindow="0" windowWidth="19380" windowHeight="20970" tabRatio="864" firstSheet="13" activeTab="14" xr2:uid="{7BAB5CB3-E514-4AC3-9A35-1DA93A51C3CB}"/>
  </bookViews>
  <sheets>
    <sheet name="PowerQuery &gt;&gt;&gt;" sheetId="20" r:id="rId1"/>
    <sheet name="Support Tables &gt;&gt;&gt;" sheetId="21" r:id="rId2"/>
    <sheet name="Support_Tables" sheetId="16" r:id="rId3"/>
    <sheet name="Pillar Weights" sheetId="30" r:id="rId4"/>
    <sheet name="Patient_Potential" sheetId="32" r:id="rId5"/>
    <sheet name="Recommenation_Mapping" sheetId="11" r:id="rId6"/>
    <sheet name="Map" sheetId="1" r:id="rId7"/>
    <sheet name="Marker_Table_Raw_Max" sheetId="8" r:id="rId8"/>
    <sheet name="Marker_Table_Norm_Max" sheetId="10" r:id="rId9"/>
    <sheet name="Sample_Patient_Values" sheetId="12" r:id="rId10"/>
    <sheet name="Sample_Patient_Weighted" sheetId="34" r:id="rId11"/>
    <sheet name="Sample_Patient_Norm" sheetId="13" r:id="rId12"/>
    <sheet name="Sample_Patient_Norm_Dif" sheetId="14" r:id="rId13"/>
    <sheet name="CHECKS &gt;&gt;&gt;" sheetId="36" r:id="rId14"/>
    <sheet name="NUTRITION_CHECK" sheetId="35" r:id="rId15"/>
    <sheet name="MOVEMENT_CHECK" sheetId="38" r:id="rId16"/>
    <sheet name="SLEEP_CHECK" sheetId="39" r:id="rId17"/>
    <sheet name="STRESS_CHECK" sheetId="40" r:id="rId18"/>
    <sheet name="COGNITIVE_CHECK" sheetId="41" r:id="rId19"/>
    <sheet name="CONNECTION_CHECK" sheetId="42" r:id="rId20"/>
    <sheet name="CORE_CHECK" sheetId="43" r:id="rId21"/>
  </sheets>
  <definedNames>
    <definedName name="CC_Marker_Norm">Map!$I$16</definedName>
    <definedName name="CH_Marker_Norm">Map!$G$16</definedName>
    <definedName name="CP_Marker_Norm">Map!$H$16</definedName>
    <definedName name="HN_Marker_Norm">Map!$C$16</definedName>
    <definedName name="ME_Marker_Norm">Map!$D$16</definedName>
    <definedName name="RS_Marker_Norm">Map!$E$16</definedName>
    <definedName name="SM_Marker_Norm">Map!$F$16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43" l="1"/>
  <c r="E24" i="43"/>
  <c r="H24" i="42"/>
  <c r="E24" i="42"/>
  <c r="H24" i="41"/>
  <c r="E24" i="41"/>
  <c r="H24" i="40"/>
  <c r="E24" i="40"/>
  <c r="H24" i="39"/>
  <c r="E24" i="39"/>
  <c r="H24" i="38"/>
  <c r="E24" i="38"/>
  <c r="E24" i="35"/>
  <c r="H24" i="35"/>
  <c r="H21" i="1"/>
  <c r="H3" i="32"/>
  <c r="H4" i="32"/>
  <c r="J3" i="32"/>
  <c r="J4" i="32"/>
  <c r="J5" i="32"/>
  <c r="J6" i="32"/>
  <c r="J7" i="32"/>
  <c r="J8" i="32"/>
  <c r="J9" i="32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I63" i="34"/>
  <c r="I64" i="34"/>
  <c r="I65" i="34"/>
  <c r="I66" i="34"/>
  <c r="I67" i="34"/>
  <c r="I68" i="34"/>
  <c r="I69" i="34"/>
  <c r="I70" i="34"/>
  <c r="I71" i="34"/>
  <c r="I72" i="34"/>
  <c r="I73" i="34"/>
  <c r="I74" i="34"/>
  <c r="I75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N6" i="30"/>
  <c r="K7" i="32"/>
  <c r="G7" i="32"/>
  <c r="H76" i="8"/>
  <c r="G76" i="8"/>
  <c r="F76" i="8"/>
  <c r="E76" i="8"/>
  <c r="D76" i="8"/>
  <c r="C76" i="8"/>
  <c r="I76" i="8"/>
  <c r="P9" i="32"/>
  <c r="P8" i="32"/>
  <c r="P6" i="32"/>
  <c r="P7" i="32"/>
  <c r="P5" i="32"/>
  <c r="P4" i="32"/>
  <c r="P3" i="32"/>
  <c r="L3" i="32"/>
  <c r="L4" i="32"/>
  <c r="L5" i="32"/>
  <c r="L7" i="32"/>
  <c r="L6" i="32"/>
  <c r="L8" i="32"/>
  <c r="L9" i="32"/>
  <c r="K3" i="32"/>
  <c r="K4" i="32"/>
  <c r="K5" i="32"/>
  <c r="K8" i="32"/>
  <c r="K9" i="32"/>
  <c r="O3" i="30"/>
  <c r="O4" i="30"/>
  <c r="O5" i="30"/>
  <c r="O6" i="30"/>
  <c r="O7" i="30"/>
  <c r="O8" i="30"/>
  <c r="O9" i="30"/>
  <c r="N3" i="30"/>
  <c r="N4" i="30"/>
  <c r="N5" i="30"/>
  <c r="K6" i="32"/>
  <c r="N8" i="30"/>
  <c r="N9" i="30"/>
  <c r="M3" i="30"/>
  <c r="M4" i="30"/>
  <c r="M5" i="30"/>
  <c r="M6" i="30"/>
  <c r="M7" i="30"/>
  <c r="M8" i="30"/>
  <c r="M9" i="30"/>
  <c r="L3" i="30"/>
  <c r="L4" i="30"/>
  <c r="L5" i="30"/>
  <c r="H5" i="32" s="1"/>
  <c r="L6" i="30"/>
  <c r="H6" i="32" s="1"/>
  <c r="L7" i="30"/>
  <c r="H7" i="32" s="1"/>
  <c r="L8" i="30"/>
  <c r="H8" i="32" s="1"/>
  <c r="L9" i="30"/>
  <c r="H9" i="32" s="1"/>
  <c r="K3" i="30"/>
  <c r="G3" i="32" s="1"/>
  <c r="K4" i="30"/>
  <c r="G4" i="32" s="1"/>
  <c r="K5" i="30"/>
  <c r="G5" i="32" s="1"/>
  <c r="K6" i="30"/>
  <c r="G6" i="32" s="1"/>
  <c r="K7" i="30"/>
  <c r="K8" i="30"/>
  <c r="G8" i="32" s="1"/>
  <c r="K9" i="30"/>
  <c r="G9" i="32" s="1"/>
  <c r="J3" i="30"/>
  <c r="J4" i="30"/>
  <c r="J5" i="30"/>
  <c r="J6" i="30"/>
  <c r="J7" i="30"/>
  <c r="J8" i="30"/>
  <c r="J9" i="30"/>
  <c r="C17" i="1"/>
  <c r="I4" i="1"/>
  <c r="H4" i="1"/>
  <c r="F4" i="1"/>
  <c r="G4" i="1"/>
  <c r="E4" i="1"/>
  <c r="D4" i="1"/>
  <c r="C4" i="1"/>
  <c r="C16" i="1" s="1"/>
  <c r="C42" i="10" s="1"/>
  <c r="C44" i="10" l="1"/>
  <c r="C28" i="10"/>
  <c r="C32" i="10"/>
  <c r="C5" i="10"/>
  <c r="C45" i="10"/>
  <c r="C60" i="10"/>
  <c r="C61" i="10"/>
  <c r="C6" i="10"/>
  <c r="C62" i="10"/>
  <c r="C59" i="10"/>
  <c r="C7" i="10"/>
  <c r="C8" i="10"/>
  <c r="C9" i="10"/>
  <c r="C22" i="10"/>
  <c r="C66" i="13"/>
  <c r="C23" i="10"/>
  <c r="C24" i="13"/>
  <c r="C24" i="10"/>
  <c r="C27" i="10"/>
  <c r="C39" i="10"/>
  <c r="N8" i="32"/>
  <c r="N7" i="32"/>
  <c r="N6" i="32"/>
  <c r="I9" i="32"/>
  <c r="M9" i="32"/>
  <c r="Q9" i="32" s="1"/>
  <c r="M8" i="32"/>
  <c r="M7" i="32"/>
  <c r="M6" i="32"/>
  <c r="I7" i="32"/>
  <c r="M5" i="32"/>
  <c r="M4" i="32"/>
  <c r="M3" i="32"/>
  <c r="D76" i="34"/>
  <c r="C4" i="32" s="1"/>
  <c r="F4" i="32" s="1"/>
  <c r="R4" i="32" s="1"/>
  <c r="C76" i="34"/>
  <c r="C3" i="32" s="1"/>
  <c r="F3" i="32" s="1"/>
  <c r="R3" i="32" s="1"/>
  <c r="E76" i="34"/>
  <c r="C5" i="32" s="1"/>
  <c r="F5" i="32" s="1"/>
  <c r="R5" i="32" s="1"/>
  <c r="F76" i="34"/>
  <c r="C6" i="32" s="1"/>
  <c r="F6" i="32" s="1"/>
  <c r="R6" i="32" s="1"/>
  <c r="H76" i="34"/>
  <c r="C8" i="32" s="1"/>
  <c r="F8" i="32" s="1"/>
  <c r="R8" i="32" s="1"/>
  <c r="G76" i="34"/>
  <c r="C7" i="32" s="1"/>
  <c r="F7" i="32" s="1"/>
  <c r="R7" i="32" s="1"/>
  <c r="I76" i="34"/>
  <c r="C9" i="32" s="1"/>
  <c r="F9" i="32" s="1"/>
  <c r="R9" i="32" s="1"/>
  <c r="O9" i="32"/>
  <c r="C34" i="10"/>
  <c r="C52" i="10"/>
  <c r="C46" i="10"/>
  <c r="C63" i="10"/>
  <c r="C30" i="10"/>
  <c r="C31" i="10"/>
  <c r="C68" i="10"/>
  <c r="C18" i="10"/>
  <c r="C69" i="10"/>
  <c r="C74" i="10"/>
  <c r="C12" i="10"/>
  <c r="C47" i="10"/>
  <c r="C64" i="10"/>
  <c r="C13" i="10"/>
  <c r="C48" i="10"/>
  <c r="C65" i="10"/>
  <c r="C14" i="10"/>
  <c r="C49" i="10"/>
  <c r="C66" i="10"/>
  <c r="C16" i="10"/>
  <c r="C33" i="10"/>
  <c r="C50" i="10"/>
  <c r="C67" i="10"/>
  <c r="C17" i="10"/>
  <c r="C51" i="10"/>
  <c r="C35" i="10"/>
  <c r="C19" i="10"/>
  <c r="C36" i="10"/>
  <c r="C53" i="10"/>
  <c r="C73" i="10"/>
  <c r="C3" i="10"/>
  <c r="C20" i="10"/>
  <c r="C37" i="10"/>
  <c r="C54" i="10"/>
  <c r="C4" i="10"/>
  <c r="C21" i="10"/>
  <c r="C38" i="10"/>
  <c r="C58" i="10"/>
  <c r="C75" i="10"/>
  <c r="C65" i="13"/>
  <c r="C23" i="13"/>
  <c r="C23" i="14" s="1"/>
  <c r="C16" i="13"/>
  <c r="C30" i="13"/>
  <c r="C44" i="13"/>
  <c r="C44" i="14" s="1"/>
  <c r="C58" i="13"/>
  <c r="C72" i="13"/>
  <c r="C3" i="13"/>
  <c r="C17" i="13"/>
  <c r="C31" i="13"/>
  <c r="C45" i="13"/>
  <c r="C59" i="13"/>
  <c r="C73" i="13"/>
  <c r="C4" i="13"/>
  <c r="C18" i="13"/>
  <c r="C32" i="13"/>
  <c r="C46" i="13"/>
  <c r="C60" i="13"/>
  <c r="C74" i="13"/>
  <c r="C5" i="13"/>
  <c r="C19" i="13"/>
  <c r="C33" i="13"/>
  <c r="C47" i="13"/>
  <c r="C61" i="13"/>
  <c r="C75" i="13"/>
  <c r="C6" i="13"/>
  <c r="C20" i="13"/>
  <c r="C34" i="13"/>
  <c r="C48" i="13"/>
  <c r="C62" i="13"/>
  <c r="C7" i="13"/>
  <c r="C21" i="13"/>
  <c r="C35" i="13"/>
  <c r="C49" i="13"/>
  <c r="C63" i="13"/>
  <c r="C63" i="14" s="1"/>
  <c r="C8" i="13"/>
  <c r="C22" i="13"/>
  <c r="C36" i="13"/>
  <c r="C50" i="13"/>
  <c r="C50" i="14" s="1"/>
  <c r="C64" i="13"/>
  <c r="C11" i="13"/>
  <c r="C25" i="13"/>
  <c r="C39" i="13"/>
  <c r="C53" i="13"/>
  <c r="C67" i="13"/>
  <c r="C12" i="13"/>
  <c r="C26" i="13"/>
  <c r="C40" i="13"/>
  <c r="C54" i="13"/>
  <c r="C68" i="13"/>
  <c r="C13" i="13"/>
  <c r="C27" i="13"/>
  <c r="C27" i="14" s="1"/>
  <c r="C41" i="13"/>
  <c r="C55" i="13"/>
  <c r="C69" i="13"/>
  <c r="C14" i="13"/>
  <c r="C28" i="13"/>
  <c r="C28" i="14" s="1"/>
  <c r="C42" i="13"/>
  <c r="C42" i="14" s="1"/>
  <c r="C56" i="13"/>
  <c r="C70" i="13"/>
  <c r="C29" i="13"/>
  <c r="C71" i="10"/>
  <c r="C57" i="10"/>
  <c r="C43" i="10"/>
  <c r="C29" i="10"/>
  <c r="C15" i="10"/>
  <c r="C37" i="13"/>
  <c r="C38" i="13"/>
  <c r="C38" i="14" s="1"/>
  <c r="C43" i="13"/>
  <c r="C51" i="13"/>
  <c r="C51" i="14" s="1"/>
  <c r="C52" i="13"/>
  <c r="C57" i="13"/>
  <c r="C9" i="13"/>
  <c r="C71" i="13"/>
  <c r="C10" i="13"/>
  <c r="C15" i="13"/>
  <c r="C25" i="10"/>
  <c r="C55" i="10"/>
  <c r="C10" i="10"/>
  <c r="C40" i="10"/>
  <c r="C70" i="10"/>
  <c r="C11" i="10"/>
  <c r="C26" i="10"/>
  <c r="C41" i="10"/>
  <c r="C56" i="10"/>
  <c r="C72" i="10"/>
  <c r="O8" i="32"/>
  <c r="N7" i="30"/>
  <c r="O7" i="32" s="1"/>
  <c r="O5" i="32"/>
  <c r="O4" i="32"/>
  <c r="O3" i="32"/>
  <c r="O6" i="32"/>
  <c r="I18" i="1"/>
  <c r="H18" i="1"/>
  <c r="F18" i="1"/>
  <c r="G18" i="1"/>
  <c r="E18" i="1"/>
  <c r="D18" i="1"/>
  <c r="I17" i="1"/>
  <c r="H17" i="1"/>
  <c r="F17" i="1"/>
  <c r="G17" i="1"/>
  <c r="E17" i="1"/>
  <c r="D17" i="1"/>
  <c r="I16" i="1"/>
  <c r="I22" i="1" s="1"/>
  <c r="H16" i="1"/>
  <c r="F16" i="1"/>
  <c r="G16" i="1"/>
  <c r="E16" i="1"/>
  <c r="D16" i="1"/>
  <c r="C18" i="1"/>
  <c r="C54" i="14" l="1"/>
  <c r="C24" i="14"/>
  <c r="C5" i="14"/>
  <c r="C12" i="14"/>
  <c r="C53" i="14"/>
  <c r="C32" i="14"/>
  <c r="C45" i="14"/>
  <c r="C6" i="14"/>
  <c r="C34" i="14"/>
  <c r="C26" i="14"/>
  <c r="C48" i="14"/>
  <c r="C16" i="14"/>
  <c r="C61" i="14"/>
  <c r="C67" i="14"/>
  <c r="C59" i="14"/>
  <c r="N5" i="32"/>
  <c r="C68" i="14"/>
  <c r="C33" i="14"/>
  <c r="C49" i="14"/>
  <c r="N9" i="32"/>
  <c r="I6" i="32"/>
  <c r="Q6" i="32" s="1"/>
  <c r="C22" i="14"/>
  <c r="C9" i="14"/>
  <c r="C7" i="14"/>
  <c r="N4" i="32"/>
  <c r="C62" i="14"/>
  <c r="I5" i="32"/>
  <c r="Q5" i="32" s="1"/>
  <c r="Q8" i="32"/>
  <c r="I4" i="32"/>
  <c r="C69" i="14"/>
  <c r="C20" i="14"/>
  <c r="I8" i="32"/>
  <c r="N3" i="32"/>
  <c r="C57" i="14"/>
  <c r="C15" i="14"/>
  <c r="C66" i="14"/>
  <c r="C40" i="14"/>
  <c r="C60" i="14"/>
  <c r="C39" i="14"/>
  <c r="C18" i="14"/>
  <c r="C65" i="14"/>
  <c r="C35" i="14"/>
  <c r="I3" i="32"/>
  <c r="Q3" i="32" s="1"/>
  <c r="C8" i="14"/>
  <c r="C41" i="14"/>
  <c r="C14" i="14"/>
  <c r="C4" i="14"/>
  <c r="C73" i="14"/>
  <c r="Q4" i="32"/>
  <c r="Q7" i="32"/>
  <c r="C71" i="14"/>
  <c r="C52" i="14"/>
  <c r="C37" i="14"/>
  <c r="C31" i="14"/>
  <c r="C75" i="14"/>
  <c r="C10" i="14"/>
  <c r="C29" i="14"/>
  <c r="C11" i="14"/>
  <c r="C64" i="14"/>
  <c r="C13" i="14"/>
  <c r="C47" i="14"/>
  <c r="C58" i="14"/>
  <c r="C19" i="14"/>
  <c r="C74" i="14"/>
  <c r="C36" i="14"/>
  <c r="C17" i="14"/>
  <c r="C21" i="14"/>
  <c r="C30" i="14"/>
  <c r="C46" i="14"/>
  <c r="C76" i="13"/>
  <c r="C25" i="14"/>
  <c r="C3" i="14"/>
  <c r="C70" i="14"/>
  <c r="C43" i="14"/>
  <c r="C55" i="14"/>
  <c r="C72" i="14"/>
  <c r="F67" i="13"/>
  <c r="F43" i="13"/>
  <c r="F34" i="13"/>
  <c r="F32" i="13"/>
  <c r="F30" i="13"/>
  <c r="F23" i="13"/>
  <c r="F10" i="13"/>
  <c r="F62" i="10"/>
  <c r="F48" i="10"/>
  <c r="F34" i="10"/>
  <c r="F20" i="10"/>
  <c r="F6" i="10"/>
  <c r="F70" i="14"/>
  <c r="F63" i="14"/>
  <c r="F56" i="14"/>
  <c r="F49" i="14"/>
  <c r="F42" i="14"/>
  <c r="F35" i="14"/>
  <c r="F28" i="14"/>
  <c r="F21" i="14"/>
  <c r="F14" i="14"/>
  <c r="F7" i="14"/>
  <c r="F54" i="13"/>
  <c r="F45" i="13"/>
  <c r="F36" i="13"/>
  <c r="F25" i="13"/>
  <c r="F75" i="10"/>
  <c r="F61" i="10"/>
  <c r="F47" i="10"/>
  <c r="F33" i="10"/>
  <c r="F19" i="10"/>
  <c r="F5" i="10"/>
  <c r="F69" i="13"/>
  <c r="F47" i="13"/>
  <c r="F38" i="13"/>
  <c r="F73" i="14"/>
  <c r="F66" i="14"/>
  <c r="F59" i="14"/>
  <c r="F52" i="14"/>
  <c r="F45" i="14"/>
  <c r="F38" i="14"/>
  <c r="F31" i="14"/>
  <c r="F24" i="14"/>
  <c r="F17" i="14"/>
  <c r="F10" i="14"/>
  <c r="F3" i="14"/>
  <c r="F56" i="13"/>
  <c r="F71" i="13"/>
  <c r="F69" i="14"/>
  <c r="F62" i="14"/>
  <c r="F55" i="14"/>
  <c r="F48" i="14"/>
  <c r="F41" i="14"/>
  <c r="F34" i="14"/>
  <c r="F27" i="14"/>
  <c r="F20" i="14"/>
  <c r="F13" i="14"/>
  <c r="F6" i="14"/>
  <c r="F64" i="13"/>
  <c r="F62" i="13"/>
  <c r="F60" i="13"/>
  <c r="F58" i="13"/>
  <c r="F75" i="14"/>
  <c r="F68" i="14"/>
  <c r="F61" i="14"/>
  <c r="F54" i="14"/>
  <c r="F47" i="14"/>
  <c r="F40" i="14"/>
  <c r="F33" i="14"/>
  <c r="F26" i="14"/>
  <c r="F71" i="14"/>
  <c r="F64" i="14"/>
  <c r="F57" i="14"/>
  <c r="F50" i="14"/>
  <c r="F43" i="14"/>
  <c r="F36" i="14"/>
  <c r="F29" i="14"/>
  <c r="F22" i="14"/>
  <c r="F15" i="14"/>
  <c r="F72" i="13"/>
  <c r="F39" i="14"/>
  <c r="F74" i="13"/>
  <c r="F65" i="13"/>
  <c r="F63" i="10"/>
  <c r="F45" i="10"/>
  <c r="F29" i="10"/>
  <c r="F13" i="10"/>
  <c r="F12" i="13"/>
  <c r="F44" i="10"/>
  <c r="F28" i="10"/>
  <c r="F12" i="10"/>
  <c r="F37" i="14"/>
  <c r="F73" i="13"/>
  <c r="F61" i="13"/>
  <c r="F53" i="13"/>
  <c r="F50" i="13"/>
  <c r="F44" i="13"/>
  <c r="F15" i="13"/>
  <c r="F53" i="14"/>
  <c r="F57" i="13"/>
  <c r="F41" i="13"/>
  <c r="F27" i="13"/>
  <c r="F22" i="13"/>
  <c r="F51" i="14"/>
  <c r="F68" i="13"/>
  <c r="F35" i="13"/>
  <c r="F9" i="13"/>
  <c r="F4" i="13"/>
  <c r="F67" i="14"/>
  <c r="F5" i="14"/>
  <c r="F65" i="14"/>
  <c r="F12" i="14"/>
  <c r="F32" i="14"/>
  <c r="F44" i="14"/>
  <c r="F18" i="14"/>
  <c r="F9" i="14"/>
  <c r="F60" i="14"/>
  <c r="F58" i="14"/>
  <c r="F16" i="14"/>
  <c r="F63" i="13"/>
  <c r="F11" i="14"/>
  <c r="F18" i="13"/>
  <c r="F14" i="13"/>
  <c r="F7" i="13"/>
  <c r="F3" i="13"/>
  <c r="F69" i="10"/>
  <c r="F52" i="10"/>
  <c r="F32" i="10"/>
  <c r="F14" i="10"/>
  <c r="F6" i="13"/>
  <c r="F66" i="10"/>
  <c r="F70" i="13"/>
  <c r="F49" i="13"/>
  <c r="F21" i="13"/>
  <c r="F68" i="10"/>
  <c r="F51" i="10"/>
  <c r="F31" i="10"/>
  <c r="F11" i="10"/>
  <c r="F67" i="10"/>
  <c r="F30" i="10"/>
  <c r="F46" i="14"/>
  <c r="F17" i="13"/>
  <c r="F27" i="10"/>
  <c r="F55" i="13"/>
  <c r="F24" i="13"/>
  <c r="F50" i="10"/>
  <c r="F10" i="10"/>
  <c r="F8" i="14"/>
  <c r="F28" i="13"/>
  <c r="F49" i="10"/>
  <c r="F9" i="10"/>
  <c r="F31" i="13"/>
  <c r="F64" i="10"/>
  <c r="F4" i="14"/>
  <c r="F39" i="13"/>
  <c r="F65" i="10"/>
  <c r="F46" i="10"/>
  <c r="F26" i="10"/>
  <c r="F8" i="10"/>
  <c r="F30" i="14"/>
  <c r="F75" i="13"/>
  <c r="F66" i="13"/>
  <c r="F48" i="13"/>
  <c r="F20" i="13"/>
  <c r="F13" i="13"/>
  <c r="F60" i="10"/>
  <c r="F42" i="10"/>
  <c r="F24" i="10"/>
  <c r="F4" i="10"/>
  <c r="F25" i="14"/>
  <c r="F42" i="13"/>
  <c r="F16" i="13"/>
  <c r="F58" i="10"/>
  <c r="F40" i="10"/>
  <c r="F22" i="10"/>
  <c r="F23" i="14"/>
  <c r="F56" i="10"/>
  <c r="F18" i="10"/>
  <c r="F55" i="10"/>
  <c r="F17" i="10"/>
  <c r="F7" i="10"/>
  <c r="F41" i="10"/>
  <c r="F8" i="13"/>
  <c r="F21" i="10"/>
  <c r="F74" i="14"/>
  <c r="F23" i="10"/>
  <c r="F46" i="13"/>
  <c r="F33" i="13"/>
  <c r="F54" i="10"/>
  <c r="F16" i="10"/>
  <c r="F5" i="13"/>
  <c r="F53" i="10"/>
  <c r="F15" i="10"/>
  <c r="F43" i="10"/>
  <c r="F74" i="10"/>
  <c r="F72" i="14"/>
  <c r="F70" i="10"/>
  <c r="F51" i="13"/>
  <c r="F39" i="10"/>
  <c r="F11" i="13"/>
  <c r="F36" i="10"/>
  <c r="F59" i="10"/>
  <c r="F40" i="13"/>
  <c r="F72" i="10"/>
  <c r="F37" i="13"/>
  <c r="F35" i="10"/>
  <c r="F19" i="14"/>
  <c r="F57" i="10"/>
  <c r="F3" i="10"/>
  <c r="F19" i="13"/>
  <c r="F73" i="10"/>
  <c r="F26" i="13"/>
  <c r="F71" i="10"/>
  <c r="F52" i="13"/>
  <c r="F25" i="10"/>
  <c r="F59" i="13"/>
  <c r="F29" i="13"/>
  <c r="F38" i="10"/>
  <c r="F37" i="10"/>
  <c r="I73" i="14"/>
  <c r="I66" i="14"/>
  <c r="I59" i="14"/>
  <c r="I52" i="14"/>
  <c r="I45" i="14"/>
  <c r="I38" i="14"/>
  <c r="I31" i="14"/>
  <c r="I24" i="14"/>
  <c r="I17" i="14"/>
  <c r="I10" i="14"/>
  <c r="I3" i="14"/>
  <c r="I56" i="13"/>
  <c r="I49" i="13"/>
  <c r="I27" i="13"/>
  <c r="I5" i="13"/>
  <c r="I67" i="10"/>
  <c r="I53" i="10"/>
  <c r="I39" i="10"/>
  <c r="I25" i="10"/>
  <c r="I11" i="10"/>
  <c r="I71" i="13"/>
  <c r="I40" i="13"/>
  <c r="I14" i="13"/>
  <c r="I7" i="13"/>
  <c r="I66" i="10"/>
  <c r="I52" i="10"/>
  <c r="I38" i="10"/>
  <c r="I24" i="10"/>
  <c r="I10" i="10"/>
  <c r="I69" i="14"/>
  <c r="I62" i="14"/>
  <c r="I55" i="14"/>
  <c r="I48" i="14"/>
  <c r="I41" i="14"/>
  <c r="I34" i="14"/>
  <c r="I27" i="14"/>
  <c r="I20" i="14"/>
  <c r="I13" i="14"/>
  <c r="I6" i="14"/>
  <c r="I64" i="13"/>
  <c r="I62" i="13"/>
  <c r="I60" i="13"/>
  <c r="I58" i="13"/>
  <c r="I51" i="13"/>
  <c r="I73" i="13"/>
  <c r="I66" i="13"/>
  <c r="I72" i="14"/>
  <c r="I65" i="14"/>
  <c r="I58" i="14"/>
  <c r="I51" i="14"/>
  <c r="I44" i="14"/>
  <c r="I37" i="14"/>
  <c r="I30" i="14"/>
  <c r="I23" i="14"/>
  <c r="I16" i="14"/>
  <c r="I9" i="14"/>
  <c r="I75" i="13"/>
  <c r="I53" i="13"/>
  <c r="I68" i="13"/>
  <c r="I75" i="14"/>
  <c r="I68" i="14"/>
  <c r="I61" i="14"/>
  <c r="I54" i="14"/>
  <c r="I47" i="14"/>
  <c r="I40" i="14"/>
  <c r="I33" i="14"/>
  <c r="I26" i="14"/>
  <c r="I74" i="14"/>
  <c r="I67" i="14"/>
  <c r="I60" i="14"/>
  <c r="I53" i="14"/>
  <c r="I46" i="14"/>
  <c r="I39" i="14"/>
  <c r="I32" i="14"/>
  <c r="I25" i="14"/>
  <c r="I70" i="14"/>
  <c r="I63" i="14"/>
  <c r="I56" i="14"/>
  <c r="I49" i="14"/>
  <c r="I42" i="14"/>
  <c r="I35" i="14"/>
  <c r="I28" i="14"/>
  <c r="I21" i="14"/>
  <c r="I14" i="14"/>
  <c r="I7" i="14"/>
  <c r="I71" i="14"/>
  <c r="I22" i="14"/>
  <c r="I69" i="13"/>
  <c r="I38" i="13"/>
  <c r="I35" i="13"/>
  <c r="I30" i="13"/>
  <c r="I12" i="13"/>
  <c r="I9" i="13"/>
  <c r="I4" i="13"/>
  <c r="I72" i="10"/>
  <c r="I56" i="10"/>
  <c r="I40" i="10"/>
  <c r="I22" i="10"/>
  <c r="I6" i="10"/>
  <c r="I17" i="13"/>
  <c r="I71" i="10"/>
  <c r="I55" i="10"/>
  <c r="I37" i="10"/>
  <c r="I21" i="10"/>
  <c r="I5" i="14"/>
  <c r="I5" i="10"/>
  <c r="I36" i="14"/>
  <c r="I12" i="14"/>
  <c r="I46" i="13"/>
  <c r="I24" i="13"/>
  <c r="I32" i="13"/>
  <c r="I19" i="13"/>
  <c r="I6" i="13"/>
  <c r="I69" i="10"/>
  <c r="I50" i="14"/>
  <c r="I19" i="14"/>
  <c r="I72" i="13"/>
  <c r="I4" i="14"/>
  <c r="I64" i="14"/>
  <c r="I11" i="14"/>
  <c r="I67" i="13"/>
  <c r="I59" i="13"/>
  <c r="I43" i="14"/>
  <c r="I8" i="14"/>
  <c r="I54" i="13"/>
  <c r="I70" i="13"/>
  <c r="I50" i="13"/>
  <c r="I36" i="13"/>
  <c r="I57" i="14"/>
  <c r="I55" i="13"/>
  <c r="I28" i="13"/>
  <c r="I60" i="10"/>
  <c r="I42" i="10"/>
  <c r="I20" i="10"/>
  <c r="I44" i="13"/>
  <c r="I39" i="13"/>
  <c r="I10" i="13"/>
  <c r="I59" i="10"/>
  <c r="I41" i="10"/>
  <c r="I19" i="10"/>
  <c r="I43" i="13"/>
  <c r="I35" i="10"/>
  <c r="I23" i="13"/>
  <c r="I33" i="10"/>
  <c r="I31" i="13"/>
  <c r="I58" i="10"/>
  <c r="I36" i="10"/>
  <c r="I18" i="10"/>
  <c r="I61" i="13"/>
  <c r="I48" i="13"/>
  <c r="I20" i="13"/>
  <c r="I13" i="13"/>
  <c r="I57" i="10"/>
  <c r="I17" i="10"/>
  <c r="I16" i="13"/>
  <c r="I51" i="10"/>
  <c r="I15" i="10"/>
  <c r="I34" i="13"/>
  <c r="I75" i="10"/>
  <c r="I54" i="10"/>
  <c r="I34" i="10"/>
  <c r="I16" i="10"/>
  <c r="I42" i="13"/>
  <c r="I74" i="10"/>
  <c r="I26" i="13"/>
  <c r="I73" i="10"/>
  <c r="I50" i="10"/>
  <c r="I32" i="10"/>
  <c r="I14" i="10"/>
  <c r="I29" i="14"/>
  <c r="I52" i="13"/>
  <c r="I37" i="13"/>
  <c r="I74" i="13"/>
  <c r="I47" i="13"/>
  <c r="I68" i="10"/>
  <c r="I48" i="10"/>
  <c r="I30" i="10"/>
  <c r="I12" i="10"/>
  <c r="I61" i="10"/>
  <c r="I9" i="10"/>
  <c r="I49" i="10"/>
  <c r="I8" i="10"/>
  <c r="I29" i="13"/>
  <c r="I44" i="10"/>
  <c r="I57" i="13"/>
  <c r="I26" i="10"/>
  <c r="I63" i="10"/>
  <c r="I62" i="10"/>
  <c r="I13" i="10"/>
  <c r="I15" i="13"/>
  <c r="I47" i="10"/>
  <c r="I7" i="10"/>
  <c r="I65" i="13"/>
  <c r="I22" i="13"/>
  <c r="I46" i="10"/>
  <c r="I4" i="10"/>
  <c r="I45" i="13"/>
  <c r="I3" i="10"/>
  <c r="I21" i="13"/>
  <c r="I41" i="13"/>
  <c r="I18" i="13"/>
  <c r="I65" i="10"/>
  <c r="I43" i="10"/>
  <c r="I64" i="10"/>
  <c r="I15" i="14"/>
  <c r="I45" i="10"/>
  <c r="I11" i="13"/>
  <c r="I70" i="10"/>
  <c r="I28" i="10"/>
  <c r="I25" i="13"/>
  <c r="I63" i="13"/>
  <c r="I31" i="10"/>
  <c r="I29" i="10"/>
  <c r="I18" i="14"/>
  <c r="I23" i="10"/>
  <c r="I33" i="13"/>
  <c r="I3" i="13"/>
  <c r="I27" i="10"/>
  <c r="I8" i="13"/>
  <c r="E74" i="13"/>
  <c r="E65" i="13"/>
  <c r="E52" i="13"/>
  <c r="E21" i="13"/>
  <c r="E19" i="13"/>
  <c r="E17" i="13"/>
  <c r="E65" i="10"/>
  <c r="E67" i="13"/>
  <c r="E43" i="13"/>
  <c r="E34" i="13"/>
  <c r="E32" i="13"/>
  <c r="E30" i="13"/>
  <c r="E23" i="13"/>
  <c r="E10" i="13"/>
  <c r="E64" i="10"/>
  <c r="E50" i="10"/>
  <c r="E36" i="10"/>
  <c r="E22" i="10"/>
  <c r="E54" i="13"/>
  <c r="E45" i="13"/>
  <c r="E36" i="13"/>
  <c r="E69" i="13"/>
  <c r="E56" i="13"/>
  <c r="E49" i="13"/>
  <c r="E71" i="13"/>
  <c r="E47" i="13"/>
  <c r="E33" i="13"/>
  <c r="E20" i="13"/>
  <c r="E7" i="13"/>
  <c r="E70" i="10"/>
  <c r="E54" i="10"/>
  <c r="E39" i="10"/>
  <c r="E24" i="10"/>
  <c r="E9" i="10"/>
  <c r="E69" i="10"/>
  <c r="E64" i="13"/>
  <c r="E38" i="13"/>
  <c r="E73" i="13"/>
  <c r="E61" i="13"/>
  <c r="E53" i="13"/>
  <c r="E50" i="13"/>
  <c r="E44" i="13"/>
  <c r="E15" i="13"/>
  <c r="E12" i="13"/>
  <c r="E60" i="13"/>
  <c r="E57" i="13"/>
  <c r="E41" i="13"/>
  <c r="E27" i="13"/>
  <c r="E22" i="13"/>
  <c r="E46" i="13"/>
  <c r="E58" i="13"/>
  <c r="E48" i="13"/>
  <c r="E42" i="13"/>
  <c r="E40" i="13"/>
  <c r="E63" i="13"/>
  <c r="E25" i="13"/>
  <c r="E67" i="10"/>
  <c r="E49" i="10"/>
  <c r="E33" i="10"/>
  <c r="E17" i="10"/>
  <c r="E30" i="10"/>
  <c r="E62" i="13"/>
  <c r="E18" i="13"/>
  <c r="E14" i="13"/>
  <c r="E3" i="13"/>
  <c r="E66" i="10"/>
  <c r="E48" i="10"/>
  <c r="E32" i="10"/>
  <c r="E16" i="10"/>
  <c r="E63" i="10"/>
  <c r="E31" i="10"/>
  <c r="E68" i="13"/>
  <c r="E55" i="13"/>
  <c r="E35" i="13"/>
  <c r="E24" i="13"/>
  <c r="E14" i="10"/>
  <c r="E70" i="13"/>
  <c r="E47" i="10"/>
  <c r="E15" i="10"/>
  <c r="E46" i="10"/>
  <c r="E9" i="13"/>
  <c r="E62" i="10"/>
  <c r="E28" i="13"/>
  <c r="E6" i="13"/>
  <c r="E61" i="10"/>
  <c r="E45" i="10"/>
  <c r="E29" i="10"/>
  <c r="E13" i="10"/>
  <c r="E39" i="13"/>
  <c r="E31" i="13"/>
  <c r="E59" i="10"/>
  <c r="E43" i="10"/>
  <c r="E27" i="10"/>
  <c r="E11" i="10"/>
  <c r="E75" i="13"/>
  <c r="E66" i="13"/>
  <c r="E5" i="13"/>
  <c r="E75" i="10"/>
  <c r="E57" i="10"/>
  <c r="E41" i="10"/>
  <c r="E25" i="10"/>
  <c r="E8" i="10"/>
  <c r="E51" i="13"/>
  <c r="E16" i="13"/>
  <c r="E8" i="13"/>
  <c r="E55" i="10"/>
  <c r="E21" i="10"/>
  <c r="E72" i="13"/>
  <c r="E53" i="10"/>
  <c r="E20" i="10"/>
  <c r="E42" i="10"/>
  <c r="E6" i="10"/>
  <c r="E6" i="14" s="1"/>
  <c r="E29" i="13"/>
  <c r="E71" i="10"/>
  <c r="E60" i="10"/>
  <c r="E56" i="10"/>
  <c r="E52" i="10"/>
  <c r="E19" i="10"/>
  <c r="E19" i="14" s="1"/>
  <c r="E51" i="10"/>
  <c r="E18" i="10"/>
  <c r="E44" i="10"/>
  <c r="E10" i="10"/>
  <c r="E74" i="10"/>
  <c r="E72" i="10"/>
  <c r="E34" i="10"/>
  <c r="E37" i="13"/>
  <c r="E12" i="10"/>
  <c r="E7" i="10"/>
  <c r="E59" i="13"/>
  <c r="E4" i="10"/>
  <c r="E3" i="10"/>
  <c r="E26" i="13"/>
  <c r="E28" i="10"/>
  <c r="E13" i="13"/>
  <c r="E4" i="13"/>
  <c r="E40" i="10"/>
  <c r="E73" i="10"/>
  <c r="E35" i="10"/>
  <c r="E38" i="10"/>
  <c r="E37" i="10"/>
  <c r="E5" i="10"/>
  <c r="E11" i="13"/>
  <c r="E58" i="10"/>
  <c r="E26" i="10"/>
  <c r="E23" i="10"/>
  <c r="E68" i="10"/>
  <c r="G70" i="14"/>
  <c r="G63" i="14"/>
  <c r="G56" i="14"/>
  <c r="G49" i="14"/>
  <c r="G42" i="14"/>
  <c r="G35" i="14"/>
  <c r="G28" i="14"/>
  <c r="G21" i="14"/>
  <c r="G14" i="14"/>
  <c r="G7" i="14"/>
  <c r="G54" i="13"/>
  <c r="G45" i="13"/>
  <c r="G36" i="13"/>
  <c r="G25" i="13"/>
  <c r="G73" i="10"/>
  <c r="G59" i="10"/>
  <c r="G45" i="10"/>
  <c r="G31" i="10"/>
  <c r="G17" i="10"/>
  <c r="G3" i="10"/>
  <c r="G69" i="13"/>
  <c r="G47" i="13"/>
  <c r="G38" i="13"/>
  <c r="G12" i="13"/>
  <c r="G3" i="13"/>
  <c r="G72" i="10"/>
  <c r="G58" i="10"/>
  <c r="G44" i="10"/>
  <c r="G30" i="10"/>
  <c r="G16" i="10"/>
  <c r="G73" i="14"/>
  <c r="G66" i="14"/>
  <c r="G59" i="14"/>
  <c r="G52" i="14"/>
  <c r="G45" i="14"/>
  <c r="G38" i="14"/>
  <c r="G31" i="14"/>
  <c r="G24" i="14"/>
  <c r="G17" i="14"/>
  <c r="G10" i="14"/>
  <c r="G3" i="14"/>
  <c r="G56" i="13"/>
  <c r="G49" i="13"/>
  <c r="G71" i="13"/>
  <c r="G69" i="14"/>
  <c r="G62" i="14"/>
  <c r="G55" i="14"/>
  <c r="G48" i="14"/>
  <c r="G41" i="14"/>
  <c r="G34" i="14"/>
  <c r="G27" i="14"/>
  <c r="G20" i="14"/>
  <c r="G13" i="14"/>
  <c r="G6" i="14"/>
  <c r="G64" i="13"/>
  <c r="G62" i="13"/>
  <c r="G60" i="13"/>
  <c r="G58" i="13"/>
  <c r="G51" i="13"/>
  <c r="G73" i="13"/>
  <c r="G66" i="13"/>
  <c r="G72" i="14"/>
  <c r="G65" i="14"/>
  <c r="G58" i="14"/>
  <c r="G51" i="14"/>
  <c r="G44" i="14"/>
  <c r="G37" i="14"/>
  <c r="G30" i="14"/>
  <c r="G23" i="14"/>
  <c r="G71" i="14"/>
  <c r="G64" i="14"/>
  <c r="G57" i="14"/>
  <c r="G50" i="14"/>
  <c r="G43" i="14"/>
  <c r="G36" i="14"/>
  <c r="G29" i="14"/>
  <c r="G74" i="14"/>
  <c r="G67" i="14"/>
  <c r="G60" i="14"/>
  <c r="G53" i="14"/>
  <c r="G46" i="14"/>
  <c r="G39" i="14"/>
  <c r="G32" i="14"/>
  <c r="G25" i="14"/>
  <c r="G18" i="14"/>
  <c r="G11" i="14"/>
  <c r="G4" i="14"/>
  <c r="G74" i="13"/>
  <c r="G65" i="13"/>
  <c r="G15" i="14"/>
  <c r="G61" i="13"/>
  <c r="G53" i="13"/>
  <c r="G50" i="13"/>
  <c r="G44" i="13"/>
  <c r="G15" i="13"/>
  <c r="G70" i="10"/>
  <c r="G54" i="10"/>
  <c r="G38" i="10"/>
  <c r="G22" i="10"/>
  <c r="G6" i="10"/>
  <c r="G69" i="10"/>
  <c r="G53" i="10"/>
  <c r="G37" i="10"/>
  <c r="G21" i="10"/>
  <c r="G5" i="10"/>
  <c r="G54" i="14"/>
  <c r="G57" i="13"/>
  <c r="G41" i="13"/>
  <c r="G27" i="13"/>
  <c r="G22" i="13"/>
  <c r="G22" i="14"/>
  <c r="G68" i="13"/>
  <c r="G35" i="13"/>
  <c r="G30" i="13"/>
  <c r="G9" i="13"/>
  <c r="G4" i="13"/>
  <c r="G68" i="14"/>
  <c r="G5" i="14"/>
  <c r="G17" i="13"/>
  <c r="G12" i="14"/>
  <c r="G33" i="14"/>
  <c r="G19" i="14"/>
  <c r="G72" i="13"/>
  <c r="G63" i="13"/>
  <c r="G52" i="13"/>
  <c r="G43" i="13"/>
  <c r="G61" i="14"/>
  <c r="G16" i="14"/>
  <c r="G75" i="14"/>
  <c r="G26" i="14"/>
  <c r="G70" i="13"/>
  <c r="G32" i="13"/>
  <c r="G21" i="13"/>
  <c r="G74" i="10"/>
  <c r="G52" i="10"/>
  <c r="G34" i="10"/>
  <c r="G14" i="10"/>
  <c r="G48" i="13"/>
  <c r="G13" i="13"/>
  <c r="G9" i="14"/>
  <c r="G55" i="13"/>
  <c r="G24" i="13"/>
  <c r="G71" i="10"/>
  <c r="G51" i="10"/>
  <c r="G33" i="10"/>
  <c r="G13" i="10"/>
  <c r="G68" i="10"/>
  <c r="G32" i="10"/>
  <c r="G67" i="10"/>
  <c r="G29" i="10"/>
  <c r="G65" i="10"/>
  <c r="G27" i="10"/>
  <c r="G47" i="14"/>
  <c r="G8" i="14"/>
  <c r="G28" i="13"/>
  <c r="G6" i="13"/>
  <c r="G50" i="10"/>
  <c r="G12" i="10"/>
  <c r="G39" i="13"/>
  <c r="G10" i="13"/>
  <c r="G49" i="10"/>
  <c r="G11" i="10"/>
  <c r="G47" i="10"/>
  <c r="G31" i="13"/>
  <c r="G66" i="10"/>
  <c r="G48" i="10"/>
  <c r="G28" i="10"/>
  <c r="G10" i="10"/>
  <c r="G40" i="14"/>
  <c r="G75" i="13"/>
  <c r="G67" i="13"/>
  <c r="G20" i="13"/>
  <c r="G5" i="13"/>
  <c r="G64" i="10"/>
  <c r="G46" i="10"/>
  <c r="G26" i="10"/>
  <c r="G8" i="10"/>
  <c r="G42" i="13"/>
  <c r="G34" i="13"/>
  <c r="G59" i="13"/>
  <c r="G26" i="13"/>
  <c r="G19" i="13"/>
  <c r="G62" i="10"/>
  <c r="G42" i="10"/>
  <c r="G24" i="10"/>
  <c r="G4" i="10"/>
  <c r="G75" i="10"/>
  <c r="G23" i="10"/>
  <c r="G46" i="13"/>
  <c r="G33" i="13"/>
  <c r="G23" i="13"/>
  <c r="G63" i="10"/>
  <c r="G20" i="10"/>
  <c r="G14" i="13"/>
  <c r="G57" i="10"/>
  <c r="G9" i="10"/>
  <c r="G40" i="10"/>
  <c r="G8" i="13"/>
  <c r="G16" i="13"/>
  <c r="G7" i="13"/>
  <c r="G61" i="10"/>
  <c r="G19" i="10"/>
  <c r="G60" i="10"/>
  <c r="G18" i="10"/>
  <c r="G15" i="10"/>
  <c r="G11" i="13"/>
  <c r="G41" i="10"/>
  <c r="G39" i="10"/>
  <c r="G18" i="13"/>
  <c r="G7" i="10"/>
  <c r="G36" i="10"/>
  <c r="G56" i="10"/>
  <c r="G29" i="13"/>
  <c r="G55" i="10"/>
  <c r="G43" i="10"/>
  <c r="G37" i="13"/>
  <c r="G35" i="10"/>
  <c r="G40" i="13"/>
  <c r="G25" i="10"/>
  <c r="H69" i="13"/>
  <c r="H47" i="13"/>
  <c r="H38" i="13"/>
  <c r="H12" i="13"/>
  <c r="H3" i="13"/>
  <c r="H70" i="10"/>
  <c r="H56" i="10"/>
  <c r="H42" i="10"/>
  <c r="H28" i="10"/>
  <c r="H14" i="10"/>
  <c r="H73" i="14"/>
  <c r="H66" i="14"/>
  <c r="H59" i="14"/>
  <c r="H52" i="14"/>
  <c r="H45" i="14"/>
  <c r="H38" i="14"/>
  <c r="H31" i="14"/>
  <c r="H24" i="14"/>
  <c r="H17" i="14"/>
  <c r="H10" i="14"/>
  <c r="H3" i="14"/>
  <c r="H56" i="13"/>
  <c r="H49" i="13"/>
  <c r="H27" i="13"/>
  <c r="H5" i="13"/>
  <c r="H69" i="10"/>
  <c r="H55" i="10"/>
  <c r="H41" i="10"/>
  <c r="H27" i="10"/>
  <c r="H13" i="10"/>
  <c r="H71" i="13"/>
  <c r="H40" i="13"/>
  <c r="H69" i="14"/>
  <c r="H62" i="14"/>
  <c r="H55" i="14"/>
  <c r="H48" i="14"/>
  <c r="H41" i="14"/>
  <c r="H34" i="14"/>
  <c r="H27" i="14"/>
  <c r="H20" i="14"/>
  <c r="H13" i="14"/>
  <c r="H6" i="14"/>
  <c r="H64" i="13"/>
  <c r="H62" i="13"/>
  <c r="H60" i="13"/>
  <c r="H58" i="13"/>
  <c r="H73" i="13"/>
  <c r="H66" i="13"/>
  <c r="H72" i="14"/>
  <c r="H65" i="14"/>
  <c r="H58" i="14"/>
  <c r="H51" i="14"/>
  <c r="H44" i="14"/>
  <c r="H37" i="14"/>
  <c r="H30" i="14"/>
  <c r="H23" i="14"/>
  <c r="H16" i="14"/>
  <c r="H9" i="14"/>
  <c r="H75" i="13"/>
  <c r="H71" i="14"/>
  <c r="H64" i="14"/>
  <c r="H57" i="14"/>
  <c r="H50" i="14"/>
  <c r="H43" i="14"/>
  <c r="H36" i="14"/>
  <c r="H29" i="14"/>
  <c r="H74" i="14"/>
  <c r="H67" i="14"/>
  <c r="H60" i="14"/>
  <c r="H53" i="14"/>
  <c r="H46" i="14"/>
  <c r="H39" i="14"/>
  <c r="H32" i="14"/>
  <c r="H25" i="14"/>
  <c r="H18" i="14"/>
  <c r="H11" i="14"/>
  <c r="H67" i="13"/>
  <c r="H54" i="14"/>
  <c r="H7" i="14"/>
  <c r="H57" i="13"/>
  <c r="H41" i="13"/>
  <c r="H22" i="13"/>
  <c r="H63" i="10"/>
  <c r="H47" i="10"/>
  <c r="H31" i="10"/>
  <c r="H15" i="10"/>
  <c r="H9" i="13"/>
  <c r="H4" i="13"/>
  <c r="H62" i="10"/>
  <c r="H46" i="10"/>
  <c r="H30" i="10"/>
  <c r="H12" i="10"/>
  <c r="H70" i="14"/>
  <c r="H22" i="14"/>
  <c r="H14" i="14"/>
  <c r="H68" i="13"/>
  <c r="H35" i="13"/>
  <c r="H30" i="13"/>
  <c r="H68" i="14"/>
  <c r="H5" i="14"/>
  <c r="H17" i="13"/>
  <c r="H35" i="14"/>
  <c r="H21" i="14"/>
  <c r="H12" i="14"/>
  <c r="H46" i="13"/>
  <c r="H24" i="13"/>
  <c r="H14" i="13"/>
  <c r="H33" i="14"/>
  <c r="H49" i="14"/>
  <c r="H19" i="14"/>
  <c r="H47" i="14"/>
  <c r="H4" i="14"/>
  <c r="H55" i="13"/>
  <c r="H28" i="14"/>
  <c r="H75" i="14"/>
  <c r="H26" i="14"/>
  <c r="H42" i="14"/>
  <c r="H8" i="14"/>
  <c r="H61" i="14"/>
  <c r="H15" i="14"/>
  <c r="H45" i="13"/>
  <c r="H70" i="13"/>
  <c r="H50" i="13"/>
  <c r="H36" i="13"/>
  <c r="H75" i="10"/>
  <c r="H57" i="10"/>
  <c r="H37" i="10"/>
  <c r="H19" i="10"/>
  <c r="H31" i="13"/>
  <c r="H34" i="10"/>
  <c r="H68" i="10"/>
  <c r="H56" i="14"/>
  <c r="H28" i="13"/>
  <c r="H6" i="13"/>
  <c r="H74" i="10"/>
  <c r="H54" i="10"/>
  <c r="H36" i="10"/>
  <c r="H18" i="10"/>
  <c r="H73" i="10"/>
  <c r="H35" i="10"/>
  <c r="H52" i="10"/>
  <c r="H50" i="10"/>
  <c r="H44" i="13"/>
  <c r="H39" i="13"/>
  <c r="H10" i="13"/>
  <c r="H53" i="10"/>
  <c r="H17" i="10"/>
  <c r="H72" i="10"/>
  <c r="H16" i="10"/>
  <c r="H54" i="13"/>
  <c r="H32" i="10"/>
  <c r="H40" i="14"/>
  <c r="H61" i="13"/>
  <c r="H48" i="13"/>
  <c r="H43" i="13"/>
  <c r="H20" i="13"/>
  <c r="H13" i="13"/>
  <c r="H71" i="10"/>
  <c r="H51" i="10"/>
  <c r="H33" i="10"/>
  <c r="H11" i="10"/>
  <c r="H10" i="10"/>
  <c r="H53" i="13"/>
  <c r="H42" i="13"/>
  <c r="H34" i="13"/>
  <c r="H23" i="13"/>
  <c r="H16" i="13"/>
  <c r="H67" i="10"/>
  <c r="H49" i="10"/>
  <c r="H29" i="10"/>
  <c r="H9" i="10"/>
  <c r="H59" i="13"/>
  <c r="H52" i="13"/>
  <c r="H37" i="13"/>
  <c r="H8" i="13"/>
  <c r="H65" i="10"/>
  <c r="H45" i="10"/>
  <c r="H25" i="10"/>
  <c r="H7" i="10"/>
  <c r="H74" i="13"/>
  <c r="H72" i="13"/>
  <c r="H33" i="13"/>
  <c r="H25" i="13"/>
  <c r="H40" i="10"/>
  <c r="H7" i="13"/>
  <c r="H39" i="10"/>
  <c r="H29" i="13"/>
  <c r="H66" i="10"/>
  <c r="H63" i="13"/>
  <c r="H21" i="10"/>
  <c r="H26" i="13"/>
  <c r="H5" i="10"/>
  <c r="H43" i="10"/>
  <c r="H58" i="10"/>
  <c r="H18" i="13"/>
  <c r="H44" i="10"/>
  <c r="H38" i="10"/>
  <c r="H32" i="13"/>
  <c r="H15" i="13"/>
  <c r="H26" i="10"/>
  <c r="H23" i="10"/>
  <c r="H61" i="10"/>
  <c r="H60" i="10"/>
  <c r="H6" i="10"/>
  <c r="H24" i="10"/>
  <c r="H21" i="13"/>
  <c r="H22" i="10"/>
  <c r="H11" i="13"/>
  <c r="H59" i="10"/>
  <c r="H63" i="14"/>
  <c r="H48" i="10"/>
  <c r="H51" i="13"/>
  <c r="H3" i="10"/>
  <c r="H65" i="13"/>
  <c r="H64" i="10"/>
  <c r="H8" i="10"/>
  <c r="H20" i="10"/>
  <c r="H4" i="10"/>
  <c r="H19" i="13"/>
  <c r="C56" i="14"/>
  <c r="D72" i="13"/>
  <c r="D63" i="13"/>
  <c r="D61" i="13"/>
  <c r="D59" i="13"/>
  <c r="D41" i="13"/>
  <c r="D15" i="13"/>
  <c r="D8" i="13"/>
  <c r="D74" i="13"/>
  <c r="D65" i="13"/>
  <c r="D52" i="13"/>
  <c r="D21" i="13"/>
  <c r="D19" i="13"/>
  <c r="D17" i="13"/>
  <c r="D67" i="13"/>
  <c r="D43" i="13"/>
  <c r="D34" i="13"/>
  <c r="D32" i="13"/>
  <c r="D54" i="13"/>
  <c r="D69" i="13"/>
  <c r="D47" i="13"/>
  <c r="D29" i="13"/>
  <c r="D56" i="13"/>
  <c r="D70" i="13"/>
  <c r="D28" i="13"/>
  <c r="D25" i="13"/>
  <c r="D68" i="10"/>
  <c r="D54" i="10"/>
  <c r="D40" i="10"/>
  <c r="D26" i="10"/>
  <c r="D12" i="10"/>
  <c r="D33" i="13"/>
  <c r="D20" i="13"/>
  <c r="D7" i="13"/>
  <c r="D64" i="13"/>
  <c r="D38" i="13"/>
  <c r="D73" i="13"/>
  <c r="D53" i="13"/>
  <c r="D50" i="13"/>
  <c r="D44" i="13"/>
  <c r="D30" i="13"/>
  <c r="D12" i="13"/>
  <c r="D75" i="13"/>
  <c r="D51" i="13"/>
  <c r="D57" i="13"/>
  <c r="D45" i="13"/>
  <c r="D40" i="13"/>
  <c r="D11" i="13"/>
  <c r="D75" i="10"/>
  <c r="D60" i="10"/>
  <c r="D45" i="10"/>
  <c r="D30" i="10"/>
  <c r="D15" i="10"/>
  <c r="D42" i="10"/>
  <c r="D27" i="13"/>
  <c r="D36" i="13"/>
  <c r="D74" i="10"/>
  <c r="D59" i="10"/>
  <c r="D44" i="10"/>
  <c r="D29" i="10"/>
  <c r="D14" i="10"/>
  <c r="D14" i="13"/>
  <c r="D73" i="10"/>
  <c r="D43" i="10"/>
  <c r="D13" i="10"/>
  <c r="D57" i="10"/>
  <c r="D11" i="10"/>
  <c r="D60" i="13"/>
  <c r="D6" i="13"/>
  <c r="D62" i="13"/>
  <c r="D49" i="13"/>
  <c r="D18" i="13"/>
  <c r="D3" i="13"/>
  <c r="D58" i="10"/>
  <c r="D28" i="10"/>
  <c r="D72" i="10"/>
  <c r="D27" i="10"/>
  <c r="D68" i="13"/>
  <c r="D55" i="13"/>
  <c r="D35" i="13"/>
  <c r="D24" i="13"/>
  <c r="D10" i="13"/>
  <c r="D71" i="10"/>
  <c r="D56" i="10"/>
  <c r="D41" i="10"/>
  <c r="D25" i="10"/>
  <c r="D10" i="10"/>
  <c r="D39" i="13"/>
  <c r="D9" i="13"/>
  <c r="D69" i="10"/>
  <c r="D53" i="10"/>
  <c r="D38" i="10"/>
  <c r="D23" i="10"/>
  <c r="D8" i="10"/>
  <c r="D48" i="13"/>
  <c r="D31" i="13"/>
  <c r="D66" i="13"/>
  <c r="D23" i="13"/>
  <c r="D13" i="13"/>
  <c r="D66" i="10"/>
  <c r="D51" i="10"/>
  <c r="D36" i="10"/>
  <c r="D21" i="10"/>
  <c r="D6" i="10"/>
  <c r="D64" i="10"/>
  <c r="D34" i="10"/>
  <c r="D4" i="10"/>
  <c r="D16" i="13"/>
  <c r="D63" i="10"/>
  <c r="D33" i="10"/>
  <c r="D3" i="10"/>
  <c r="D55" i="10"/>
  <c r="D22" i="10"/>
  <c r="D4" i="13"/>
  <c r="D48" i="10"/>
  <c r="D47" i="10"/>
  <c r="D17" i="10"/>
  <c r="D9" i="10"/>
  <c r="D67" i="10"/>
  <c r="D35" i="10"/>
  <c r="D16" i="10"/>
  <c r="D37" i="10"/>
  <c r="D65" i="10"/>
  <c r="D71" i="13"/>
  <c r="D62" i="10"/>
  <c r="D32" i="10"/>
  <c r="D46" i="13"/>
  <c r="D61" i="10"/>
  <c r="D31" i="10"/>
  <c r="D5" i="13"/>
  <c r="D19" i="10"/>
  <c r="D18" i="10"/>
  <c r="D42" i="13"/>
  <c r="D20" i="10"/>
  <c r="D49" i="10"/>
  <c r="D5" i="10"/>
  <c r="D22" i="13"/>
  <c r="D24" i="10"/>
  <c r="D39" i="10"/>
  <c r="D26" i="13"/>
  <c r="D52" i="10"/>
  <c r="D50" i="10"/>
  <c r="D46" i="10"/>
  <c r="D7" i="10"/>
  <c r="D58" i="13"/>
  <c r="D70" i="10"/>
  <c r="D37" i="13"/>
  <c r="E63" i="14" l="1"/>
  <c r="E73" i="14"/>
  <c r="E51" i="14"/>
  <c r="E13" i="14"/>
  <c r="E48" i="14"/>
  <c r="E21" i="14"/>
  <c r="E60" i="14"/>
  <c r="E43" i="14"/>
  <c r="E25" i="14"/>
  <c r="E44" i="14"/>
  <c r="E64" i="14"/>
  <c r="D32" i="14"/>
  <c r="D56" i="14"/>
  <c r="D12" i="14"/>
  <c r="D54" i="14"/>
  <c r="E35" i="14"/>
  <c r="E75" i="14"/>
  <c r="E5" i="14"/>
  <c r="E37" i="14"/>
  <c r="D24" i="14"/>
  <c r="D31" i="14"/>
  <c r="D44" i="14"/>
  <c r="E20" i="14"/>
  <c r="E32" i="14"/>
  <c r="E40" i="14"/>
  <c r="E53" i="14"/>
  <c r="D63" i="14"/>
  <c r="E15" i="14"/>
  <c r="D38" i="14"/>
  <c r="D53" i="14"/>
  <c r="D73" i="14"/>
  <c r="E70" i="14"/>
  <c r="E67" i="14"/>
  <c r="D34" i="14"/>
  <c r="E16" i="14"/>
  <c r="E31" i="14"/>
  <c r="E65" i="14"/>
  <c r="E52" i="14"/>
  <c r="D17" i="14"/>
  <c r="E74" i="14"/>
  <c r="D39" i="14"/>
  <c r="D68" i="14"/>
  <c r="E46" i="14"/>
  <c r="D49" i="14"/>
  <c r="D4" i="14"/>
  <c r="D23" i="14"/>
  <c r="D55" i="14"/>
  <c r="D13" i="14"/>
  <c r="D43" i="14"/>
  <c r="D74" i="14"/>
  <c r="E18" i="14"/>
  <c r="D42" i="14"/>
  <c r="D67" i="14"/>
  <c r="D75" i="14"/>
  <c r="D9" i="14"/>
  <c r="D6" i="14"/>
  <c r="D69" i="14"/>
  <c r="D14" i="14"/>
  <c r="D7" i="14"/>
  <c r="D47" i="14"/>
  <c r="E27" i="14"/>
  <c r="E9" i="14"/>
  <c r="E23" i="14"/>
  <c r="E30" i="14"/>
  <c r="D19" i="14"/>
  <c r="D28" i="14"/>
  <c r="D40" i="14"/>
  <c r="D51" i="14"/>
  <c r="D61" i="14"/>
  <c r="E58" i="14"/>
  <c r="E55" i="14"/>
  <c r="E33" i="14"/>
  <c r="E54" i="14"/>
  <c r="D21" i="14"/>
  <c r="E7" i="14"/>
  <c r="E71" i="14"/>
  <c r="E69" i="14"/>
  <c r="E24" i="14"/>
  <c r="D5" i="14"/>
  <c r="D36" i="14"/>
  <c r="D58" i="14"/>
  <c r="D29" i="14"/>
  <c r="D45" i="14"/>
  <c r="D33" i="14"/>
  <c r="D59" i="14"/>
  <c r="E26" i="14"/>
  <c r="E4" i="14"/>
  <c r="E56" i="14"/>
  <c r="E8" i="14"/>
  <c r="E17" i="14"/>
  <c r="E57" i="14"/>
  <c r="E39" i="14"/>
  <c r="D48" i="14"/>
  <c r="D10" i="14"/>
  <c r="G76" i="13"/>
  <c r="E59" i="14"/>
  <c r="E22" i="14"/>
  <c r="D64" i="14"/>
  <c r="D57" i="14"/>
  <c r="D50" i="14"/>
  <c r="D66" i="14"/>
  <c r="D25" i="14"/>
  <c r="D18" i="14"/>
  <c r="D26" i="14"/>
  <c r="E11" i="14"/>
  <c r="E41" i="14"/>
  <c r="E45" i="14"/>
  <c r="E68" i="14"/>
  <c r="E49" i="14"/>
  <c r="E12" i="14"/>
  <c r="E36" i="14"/>
  <c r="D3" i="14"/>
  <c r="D76" i="13"/>
  <c r="D52" i="14"/>
  <c r="D46" i="14"/>
  <c r="D22" i="14"/>
  <c r="D41" i="14"/>
  <c r="D72" i="14"/>
  <c r="E29" i="14"/>
  <c r="E61" i="14"/>
  <c r="E50" i="14"/>
  <c r="H76" i="13"/>
  <c r="F76" i="13"/>
  <c r="D62" i="14"/>
  <c r="D71" i="14"/>
  <c r="D27" i="14"/>
  <c r="E38" i="14"/>
  <c r="E34" i="14"/>
  <c r="E28" i="14"/>
  <c r="E62" i="14"/>
  <c r="D65" i="14"/>
  <c r="D11" i="14"/>
  <c r="D15" i="14"/>
  <c r="E42" i="14"/>
  <c r="I76" i="13"/>
  <c r="D37" i="14"/>
  <c r="D16" i="14"/>
  <c r="D8" i="14"/>
  <c r="D30" i="14"/>
  <c r="D70" i="14"/>
  <c r="E10" i="14"/>
  <c r="E72" i="14"/>
  <c r="E66" i="14"/>
  <c r="E3" i="14"/>
  <c r="E76" i="13"/>
  <c r="D20" i="14"/>
  <c r="D35" i="14"/>
  <c r="D60" i="14"/>
  <c r="E47" i="14"/>
  <c r="E14" i="14"/>
</calcChain>
</file>

<file path=xl/sharedStrings.xml><?xml version="1.0" encoding="utf-8"?>
<sst xmlns="http://schemas.openxmlformats.org/spreadsheetml/2006/main" count="2443" uniqueCount="817">
  <si>
    <t>Survey</t>
  </si>
  <si>
    <t>Markers</t>
  </si>
  <si>
    <t>Core Care_Max</t>
  </si>
  <si>
    <t>Connection + Purpose_Max</t>
  </si>
  <si>
    <t>Stress Management_Max</t>
  </si>
  <si>
    <t>Cognitive Health_Max</t>
  </si>
  <si>
    <t>Restorative Sleep_Max</t>
  </si>
  <si>
    <t>Movement + Exercise_Max</t>
  </si>
  <si>
    <t>Healthful Nutrition_Max</t>
  </si>
  <si>
    <t>Education</t>
  </si>
  <si>
    <t>%</t>
  </si>
  <si>
    <t>Factor</t>
  </si>
  <si>
    <t>Raw</t>
  </si>
  <si>
    <t>Nutrition</t>
  </si>
  <si>
    <t>Movement</t>
  </si>
  <si>
    <t>CoreCare</t>
  </si>
  <si>
    <t>Sleep</t>
  </si>
  <si>
    <t>Cognitive</t>
  </si>
  <si>
    <t>Stress</t>
  </si>
  <si>
    <t>Connection</t>
  </si>
  <si>
    <t>Pillar</t>
  </si>
  <si>
    <t>Healthful Nutrition</t>
  </si>
  <si>
    <t>Stress Management</t>
  </si>
  <si>
    <t>Movement + Exercise</t>
  </si>
  <si>
    <t>Cognitive Health</t>
  </si>
  <si>
    <t>Restorative Sleep</t>
  </si>
  <si>
    <t>Core Care</t>
  </si>
  <si>
    <t>Connection + Purpose</t>
  </si>
  <si>
    <t>Marker</t>
  </si>
  <si>
    <t>Healthful Nutrition Weight</t>
  </si>
  <si>
    <t>Movement + Exercise Weight</t>
  </si>
  <si>
    <t>Restorative Sleep Weight</t>
  </si>
  <si>
    <t>Stress Management Weight</t>
  </si>
  <si>
    <t>Cognitive Health Weight</t>
  </si>
  <si>
    <t>Connection + Purpose Weight</t>
  </si>
  <si>
    <t>Core Care Weight</t>
  </si>
  <si>
    <t>Total Cholesterol</t>
  </si>
  <si>
    <t>LDL</t>
  </si>
  <si>
    <t>HDL</t>
  </si>
  <si>
    <t>Lp(a)</t>
  </si>
  <si>
    <t>Triglycerides</t>
  </si>
  <si>
    <t>ApoB</t>
  </si>
  <si>
    <t>Omega-3 Index</t>
  </si>
  <si>
    <t>RDW</t>
  </si>
  <si>
    <t>Magnesium (RBC)</t>
  </si>
  <si>
    <t>Vitamin D</t>
  </si>
  <si>
    <t>Serum Ferritin</t>
  </si>
  <si>
    <t>Total Iron Binding Capacity (TIBC)</t>
  </si>
  <si>
    <t>Transferrin Saturation</t>
  </si>
  <si>
    <t>hsCRP</t>
  </si>
  <si>
    <t>White Blood Cell Count</t>
  </si>
  <si>
    <t>Neutrophils</t>
  </si>
  <si>
    <t>Lymphocytes</t>
  </si>
  <si>
    <t>Neutrocyte/Lymphocyte Ratio</t>
  </si>
  <si>
    <t>Eosinophils</t>
  </si>
  <si>
    <t>HbA1c</t>
  </si>
  <si>
    <t>Fasting Glucose</t>
  </si>
  <si>
    <t>Fasting Insulin</t>
  </si>
  <si>
    <t>HOMA-IR</t>
  </si>
  <si>
    <t>ALT</t>
  </si>
  <si>
    <t>GGT</t>
  </si>
  <si>
    <t>Testosterone</t>
  </si>
  <si>
    <t>Uric Acid</t>
  </si>
  <si>
    <t>Alkaline Phosphatase</t>
  </si>
  <si>
    <t>Albumin</t>
  </si>
  <si>
    <t>Serum Protein</t>
  </si>
  <si>
    <t>Hemoglobin</t>
  </si>
  <si>
    <t>Hematocrit</t>
  </si>
  <si>
    <t>Vitamin B12</t>
  </si>
  <si>
    <t>Folate Serum</t>
  </si>
  <si>
    <t>Folate (RBC)</t>
  </si>
  <si>
    <t>eGFR</t>
  </si>
  <si>
    <t>Cystatin C</t>
  </si>
  <si>
    <t>BUN</t>
  </si>
  <si>
    <t>Creatinine</t>
  </si>
  <si>
    <t>Homocysteine</t>
  </si>
  <si>
    <t>Cortisol (Morning)</t>
  </si>
  <si>
    <t>Estradiol</t>
  </si>
  <si>
    <t>Progesterone</t>
  </si>
  <si>
    <t>TSH</t>
  </si>
  <si>
    <t>Calcium (Serum)</t>
  </si>
  <si>
    <t>Calcium (Ionized)</t>
  </si>
  <si>
    <t>DHEA-S</t>
  </si>
  <si>
    <t>AST</t>
  </si>
  <si>
    <t>Creatine Kinase</t>
  </si>
  <si>
    <t>Sodium</t>
  </si>
  <si>
    <t>Potassium</t>
  </si>
  <si>
    <t>Ferritin</t>
  </si>
  <si>
    <t>Iron</t>
  </si>
  <si>
    <t>Mean Corpuscular Hemoglobin (MCH)</t>
  </si>
  <si>
    <t>Mean Corpuscular Hemoglobin Concentration (MCHC)</t>
  </si>
  <si>
    <t>Mean Corpuscular Volume</t>
  </si>
  <si>
    <t>Red Blood Cell Count</t>
  </si>
  <si>
    <t>Platelet Count</t>
  </si>
  <si>
    <t>Free Testosterone</t>
  </si>
  <si>
    <t>SHBG</t>
  </si>
  <si>
    <t>VO2 Max</t>
  </si>
  <si>
    <t>% Bodyfat</t>
  </si>
  <si>
    <t>Skeletal Muscle Mass to Fat-Free Mass</t>
  </si>
  <si>
    <t>Hip-to-Waist Ratio</t>
  </si>
  <si>
    <t>BMI</t>
  </si>
  <si>
    <t>Resting Heart Rate</t>
  </si>
  <si>
    <t>Blood Pressure - Systolic</t>
  </si>
  <si>
    <t>Blood Pressure - Diastolic</t>
  </si>
  <si>
    <t>Visceral Fat</t>
  </si>
  <si>
    <t>Grip Strength</t>
  </si>
  <si>
    <t>HRV</t>
  </si>
  <si>
    <t>REM Sleep</t>
  </si>
  <si>
    <t>Deep Sleep</t>
  </si>
  <si>
    <t>Total</t>
  </si>
  <si>
    <t>ID</t>
  </si>
  <si>
    <t>Primary Markers</t>
  </si>
  <si>
    <t>Secondary Markers</t>
  </si>
  <si>
    <t>Tertiary Markers</t>
  </si>
  <si>
    <t>Primary Metrics</t>
  </si>
  <si>
    <t>Secondary Metrics</t>
  </si>
  <si>
    <t>Tertiary Metrics</t>
  </si>
  <si>
    <t>Use_case</t>
  </si>
  <si>
    <t>REC0001.1</t>
  </si>
  <si>
    <t>LDL,ApoB</t>
  </si>
  <si>
    <t>HbA1c,Fasting Glucose</t>
  </si>
  <si>
    <t>REC0001.2</t>
  </si>
  <si>
    <t>LDL,ApoB,hsCRP</t>
  </si>
  <si>
    <t>HbA1c,Fasting Glucose,HOMA-IR</t>
  </si>
  <si>
    <t>REC0001.3 (i)</t>
  </si>
  <si>
    <t>% Bodyfat,BMI,Blood Pressure - Systolic,Blood Pressure - Diastolic</t>
  </si>
  <si>
    <t>REC0001.3 (ii)</t>
  </si>
  <si>
    <t>REC0001.3 (iii)</t>
  </si>
  <si>
    <t>REC0001.3 (iv)</t>
  </si>
  <si>
    <t>REC0002.1</t>
  </si>
  <si>
    <t>LDL,HDL,Total Cholesterol,Triglycerides,Omega-3 Index</t>
  </si>
  <si>
    <t>Fasting Insulin,Fasting Glucose,hsCRP,HbA1c</t>
  </si>
  <si>
    <t>Blood Pressure - Diastolic,Blood Pressure - Systolic</t>
  </si>
  <si>
    <t>BMI,% Bodyfat,Skeletal Muscle Mass to Fat-Free Mass,Hip-to-Waist Ratio</t>
  </si>
  <si>
    <t>REC0002.2</t>
  </si>
  <si>
    <t>REC0002.3</t>
  </si>
  <si>
    <t>REC0003.1</t>
  </si>
  <si>
    <t>Fasting Insulin,HOMA-IR,HDL</t>
  </si>
  <si>
    <t>ApoB,Triglycerides,hsCRP</t>
  </si>
  <si>
    <t>Fasting Glucose,HbA1c,Vitamin B12</t>
  </si>
  <si>
    <t>VO2 Max,Resting Heart Rate,HRV,% Bodyfat</t>
  </si>
  <si>
    <t>Blood Pressure - Systolic,Blood Pressure - Diastolic</t>
  </si>
  <si>
    <t>Deep Sleep,Total Sleep,REM Sleep,Hip-to-Waist Ratio</t>
  </si>
  <si>
    <t>REC0003.2</t>
  </si>
  <si>
    <t>REC0003.3</t>
  </si>
  <si>
    <t>REC0004.1</t>
  </si>
  <si>
    <t>Cortisol,hsCRP,Testosterone,Free Testosterone</t>
  </si>
  <si>
    <t>Fasting Glucose,Fasting Insulin,HOMA-IR</t>
  </si>
  <si>
    <t>HbA1c,ApoB,HDL,Triglycerides,Vitamin D</t>
  </si>
  <si>
    <t>Deep Sleep,Total Sleep,REM Sleep</t>
  </si>
  <si>
    <t>Blood Pressure - Systolic,Blood Pressure - Diastolic,HRV,Resting Heart Rate</t>
  </si>
  <si>
    <t>% Bodyfat,BMI</t>
  </si>
  <si>
    <t>REC0004.2</t>
  </si>
  <si>
    <t>REC0004.3</t>
  </si>
  <si>
    <t>REC0005.1 (i)</t>
  </si>
  <si>
    <t>ALT,AST,GGT,HDL,Cortisol</t>
  </si>
  <si>
    <t>hsCRP,Fasting Glucose,Fasting Insulin,HOMA-IR</t>
  </si>
  <si>
    <t>Deep Sleep,REM Sleep,Total Sleep</t>
  </si>
  <si>
    <t>REC0005.1 (ii)</t>
  </si>
  <si>
    <t>REC0005.2</t>
  </si>
  <si>
    <t>REC0005.3</t>
  </si>
  <si>
    <t>REC0006.1</t>
  </si>
  <si>
    <t>Creatine Kinase,Red Blood Cell Count,Hemoglobin,Hematocrit,Vitamin B12,Folate Serum,Folate (RBC)</t>
  </si>
  <si>
    <t>Fasting Insulin,HOMA-IR,Testosterone,SHBG</t>
  </si>
  <si>
    <t>ApoB,Fasting Glucose,HbA1c,HDL,Triglycerides,hsCRP</t>
  </si>
  <si>
    <t>Skeletal Muscle Mass to Fat-Free Mass,Grip Strength</t>
  </si>
  <si>
    <t>BMI,Hip-to-Waist Ratio,Blood Pressure - Systolic,Blood Pressure - Diastolic</t>
  </si>
  <si>
    <t>REC0006.2</t>
  </si>
  <si>
    <t>REC0006.3</t>
  </si>
  <si>
    <t>REC0007.1</t>
  </si>
  <si>
    <t>Potassium,Magnesium (RBC),Vitamin B12,hsCRP</t>
  </si>
  <si>
    <t>Homocysteine,eGFR</t>
  </si>
  <si>
    <t>ApoB,Fasting Glucose,HbA1c,Estradiol</t>
  </si>
  <si>
    <t>% Bodyfat,BMI,Hip-to-Waist Ratio,Deep Sleep,Total Sleep,REM Sleep</t>
  </si>
  <si>
    <t>REC0007.2</t>
  </si>
  <si>
    <t>REC0007.3</t>
  </si>
  <si>
    <t>REC0008.1</t>
  </si>
  <si>
    <t>hsCRP,Homocysteine,eGFR</t>
  </si>
  <si>
    <t>Fasting Insulin,HOMA-IR</t>
  </si>
  <si>
    <t>ApoB,HDL,Triglycerides,Estradiol</t>
  </si>
  <si>
    <t>Total Sleep,Deep Sleep,REM Sleep,% Bodyfat,BMI,Hip-to-Waist Ratio</t>
  </si>
  <si>
    <t>REC0008.2</t>
  </si>
  <si>
    <t>REC0008.3</t>
  </si>
  <si>
    <t>REC0009.1</t>
  </si>
  <si>
    <t>Fasting Glucose,HbA1c,Fasting Insulin,HOMA-IR,Triglycerides</t>
  </si>
  <si>
    <t>hsCRP,ALT,GGT,White Blood Cell Count,Neutrophils,Lymphocytes,Neutrocyte/Lymphocyte Ratio</t>
  </si>
  <si>
    <t>ApoB,HDL</t>
  </si>
  <si>
    <t>REC0009.2</t>
  </si>
  <si>
    <t>REC0009.3</t>
  </si>
  <si>
    <t>REC0010.1</t>
  </si>
  <si>
    <t>hsCRP,Ferritin,White Blood Cell Count,Neutrophils,Neutrocyte/Lymphocyte Ratio,Lymphocytes</t>
  </si>
  <si>
    <t>ApoB,Triglycerides,HDL</t>
  </si>
  <si>
    <t>% Bodyfat,BMI,Hip-to-Waist Ratio</t>
  </si>
  <si>
    <t>REC0010.2</t>
  </si>
  <si>
    <t>REC0010.3</t>
  </si>
  <si>
    <t>REC0011.1</t>
  </si>
  <si>
    <t>Fasting Glucose,Fasting Insulin,HOMA-IR,HbA1c,Vitamin B12,Homocysteine</t>
  </si>
  <si>
    <t>hsCRP,HDL,Triglycerides</t>
  </si>
  <si>
    <t>REC0011.2</t>
  </si>
  <si>
    <t>REC0011.3</t>
  </si>
  <si>
    <t>REC0012.1</t>
  </si>
  <si>
    <t>Folate Serum,Folate (RBC),Vitamin B12,Homocysteine,Fasting Insulin,HOMA-IR</t>
  </si>
  <si>
    <t>hsCRP,Fasting Glucose,HbA1c</t>
  </si>
  <si>
    <t>ApoB,HDL,Triglycerides</t>
  </si>
  <si>
    <t>Blood Pressure - Systolic,Blood Pressure - Diastolic,Skeletal Muscle Mass to Fat-Free Mass</t>
  </si>
  <si>
    <t>REC0012.2</t>
  </si>
  <si>
    <t>REC0012.3</t>
  </si>
  <si>
    <t>REC0013.1</t>
  </si>
  <si>
    <t>Cortisol,Homocysteine</t>
  </si>
  <si>
    <t>Vitamin B12,Folate Serum,Folate (RBC)</t>
  </si>
  <si>
    <t>Blood Pressure - Systolic,Blood Pressure - Diastolic,Resting Heart Rate,Total Sleep,Deep Sleep,REM Sleep</t>
  </si>
  <si>
    <t>REC0013.2</t>
  </si>
  <si>
    <t>REC0013.3</t>
  </si>
  <si>
    <t>REC0014.1</t>
  </si>
  <si>
    <t>HDL,Cortisol</t>
  </si>
  <si>
    <t>Total Sleep,Deep Sleep,REM Sleep</t>
  </si>
  <si>
    <t>Blood Pressure - Systolic,Blood Pressure - Diastolic,Resting Heart Rate</t>
  </si>
  <si>
    <t>REC0014.2</t>
  </si>
  <si>
    <t>REC0014.3</t>
  </si>
  <si>
    <t>REC0015.1</t>
  </si>
  <si>
    <t>Cortisol</t>
  </si>
  <si>
    <t>Homocysteine,Vitamin B12,Folate Serum,Folate (RBC)</t>
  </si>
  <si>
    <t>REC0015.2</t>
  </si>
  <si>
    <t>REC0015.3</t>
  </si>
  <si>
    <t>REC0016.1</t>
  </si>
  <si>
    <t>Fasting Insulin,HOMA-IR,Fasting Glucose</t>
  </si>
  <si>
    <t>HDL,Homocysteine,hsCRP</t>
  </si>
  <si>
    <t>REC0016.2</t>
  </si>
  <si>
    <t>REC0016.3</t>
  </si>
  <si>
    <t>REC0017.1</t>
  </si>
  <si>
    <t>Fasting Insulin,HOMA-IR,Fasting Glucose,HbA1c</t>
  </si>
  <si>
    <t>Triglycerides,hsCRP</t>
  </si>
  <si>
    <t>REC0017.2</t>
  </si>
  <si>
    <t>REC0017.3</t>
  </si>
  <si>
    <t>REC0018.1</t>
  </si>
  <si>
    <t>Cortisol,Fasting Glucose,Fasting Insulin,HOMA-IR</t>
  </si>
  <si>
    <t>ApoB,hsCRP</t>
  </si>
  <si>
    <t>REC0018.2</t>
  </si>
  <si>
    <t>REC0018.3</t>
  </si>
  <si>
    <t>REC0019.1</t>
  </si>
  <si>
    <t>Cortisol,Triglycerides</t>
  </si>
  <si>
    <t>REC0019.2</t>
  </si>
  <si>
    <t>REC0019.3</t>
  </si>
  <si>
    <t>REC0020.1</t>
  </si>
  <si>
    <t>BUN,Creatinine,eGFR,Sodium,Potassium,Red Blood Cell Count,Hemoglobin,Hematocrit</t>
  </si>
  <si>
    <t>hsCRP,HDL,Triglycerides,Fasting Glucose,Homocysteine,Vitamin D,Calcium (Serum),Calcium (Ionized)</t>
  </si>
  <si>
    <t>REC0020.2</t>
  </si>
  <si>
    <t>REC0020.3</t>
  </si>
  <si>
    <t>REC0021.1</t>
  </si>
  <si>
    <t>hsCRP,Homocysteine</t>
  </si>
  <si>
    <t>Fasting Insulin,HOMA-IR,Triglycerides,Fasting Glucose</t>
  </si>
  <si>
    <t>Blood Pressure - Systolic,Blood Pressure - Diastolic,% Bodyfat,BMI</t>
  </si>
  <si>
    <t>REC0021.2</t>
  </si>
  <si>
    <t>REC0021.3</t>
  </si>
  <si>
    <t>REC0022.1</t>
  </si>
  <si>
    <t>hsCRP,Fasting Insulin,Fasting Glucose,HbA1c</t>
  </si>
  <si>
    <t>Blood Pressure - Systolic,Blood Pressure - Diastolic,Total Sleep,Deep Sleep,REM Sleep</t>
  </si>
  <si>
    <t>REC0022.2</t>
  </si>
  <si>
    <t>REC0022.3</t>
  </si>
  <si>
    <t>REC0023.1</t>
  </si>
  <si>
    <t>hsCRP,Fasting Insulin,Fasting Glucose</t>
  </si>
  <si>
    <t>Triglycerides,HbA1c</t>
  </si>
  <si>
    <t>REC0023.2</t>
  </si>
  <si>
    <t>REC0023.3</t>
  </si>
  <si>
    <t>REC0024.1</t>
  </si>
  <si>
    <t>Folate Serum,Folate (RBC),Magnesium (RBC),hsCRP,LDL</t>
  </si>
  <si>
    <t>ApoB,HDL,Homocysteine,Vitamin B12,Vitamin D</t>
  </si>
  <si>
    <t>Total Sleep,Deep Sleep,REM Sleep,% Bodyfat,BMI</t>
  </si>
  <si>
    <t>Hip-to-Waist Ratio,Resting Heart Rate</t>
  </si>
  <si>
    <t>REC0024.2</t>
  </si>
  <si>
    <t>REC0024.3</t>
  </si>
  <si>
    <t>REC0025.1</t>
  </si>
  <si>
    <t>ApoB,Fasting Glucose,HbA1c,Vitamin B12</t>
  </si>
  <si>
    <t>Hip-to-Waist Ratio,Total Sleep,Deep Sleep,REM Sleep</t>
  </si>
  <si>
    <t>REC0025.2</t>
  </si>
  <si>
    <t>Hip-to-Waist Ratio,Deep Sleep,Total Sleep,REM Sleep</t>
  </si>
  <si>
    <t>REC0025.3</t>
  </si>
  <si>
    <t>REC0026.1</t>
  </si>
  <si>
    <t>HDL,Triglycerides</t>
  </si>
  <si>
    <t>ApoB,hsCRP,Fasting Glucose,HbA1c,Vitamin B12</t>
  </si>
  <si>
    <t>VO2 Max,Resting Heart Rate,HRV</t>
  </si>
  <si>
    <t>Blood Pressure - Systolic,Blood Pressure - Diastolic,% Bodyfat</t>
  </si>
  <si>
    <t>REC0026.2</t>
  </si>
  <si>
    <t>REC0026.3</t>
  </si>
  <si>
    <t>REC0027.1</t>
  </si>
  <si>
    <t>Testosterone,Free Testosterone,Calcium (Serum),Calcium (Ionized)</t>
  </si>
  <si>
    <t>ApoB,HDL,Triglycerides,hsCRP,Homocysteine,Vitamin D</t>
  </si>
  <si>
    <t>Skeletal Muscle Mass to Fat-Free Mass,Grip Strength,% Bodyfat,BMI</t>
  </si>
  <si>
    <t>VO2 Max,Blood Pressure - Systolic,Blood Pressure - Diastolic</t>
  </si>
  <si>
    <t>REC0027.2</t>
  </si>
  <si>
    <t>REC0027.3</t>
  </si>
  <si>
    <t>REC0028.1</t>
  </si>
  <si>
    <t>REC0028.2</t>
  </si>
  <si>
    <t>REC0028.3</t>
  </si>
  <si>
    <t>REC0029.1</t>
  </si>
  <si>
    <t>Testosterone,Free Testosterone</t>
  </si>
  <si>
    <t>ApoB,Triglycerides,hsCRP,Fasting Glucose,HbA1c,Homocysteine</t>
  </si>
  <si>
    <t>VO2 Max,% Bodyfat</t>
  </si>
  <si>
    <t>BMI,Skeletal Muscle Mass to Fat-Free Mass,Blood Pressure - Systolic,Blood Pressure - Diastolic,Resting Heart Rate</t>
  </si>
  <si>
    <t>Hip-to-Waist Ratio,Total Sleep,Deep Sleep,REM Sleep,Grip Strength</t>
  </si>
  <si>
    <t>REC0029.2</t>
  </si>
  <si>
    <t>REC0029.3</t>
  </si>
  <si>
    <t>REC0030.1</t>
  </si>
  <si>
    <t>REC0030.2</t>
  </si>
  <si>
    <t>REC0030.3</t>
  </si>
  <si>
    <t>REC0031.1</t>
  </si>
  <si>
    <t>Fasting Insulin,HOMA-IR,HDL,Triglycerides</t>
  </si>
  <si>
    <t>ApoB,hsCRP,Fasting Glucose,Homocysteine</t>
  </si>
  <si>
    <t>Steps/Day,Resting Heart Rate</t>
  </si>
  <si>
    <t>Blood Pressure - Systolic,Blood Pressure - Diastolic,VO2 Max</t>
  </si>
  <si>
    <t>REC0031.2</t>
  </si>
  <si>
    <t>REC0031.3</t>
  </si>
  <si>
    <t>REC0032.1</t>
  </si>
  <si>
    <t>Fasting Insulin,HOMA-IR,Fasting Glucose,HbA1c,Testosterone</t>
  </si>
  <si>
    <t>hsCRP,HDL,Triglycerides,ApoB,eGFR,Creatinine</t>
  </si>
  <si>
    <t>Total Sleep,Deep Sleep,REM Sleep,Hip-to-Waist Ratio</t>
  </si>
  <si>
    <t>REC0032.2</t>
  </si>
  <si>
    <t>REC0032.3</t>
  </si>
  <si>
    <t>REC0033.1</t>
  </si>
  <si>
    <t>Homocysteine,Fasting Insulin,Fasting Glucose</t>
  </si>
  <si>
    <t>REC0033.2</t>
  </si>
  <si>
    <t>REC0033.3</t>
  </si>
  <si>
    <t>REC0034.1</t>
  </si>
  <si>
    <t>REC0034.2</t>
  </si>
  <si>
    <t>REC0034.3</t>
  </si>
  <si>
    <t>REC0035.1</t>
  </si>
  <si>
    <t>Fasting Glucose,Fasting Insulin</t>
  </si>
  <si>
    <t>Triglycerides,ApoB</t>
  </si>
  <si>
    <t>REC0035.2</t>
  </si>
  <si>
    <t>REC0035.3</t>
  </si>
  <si>
    <t>REC0036.1</t>
  </si>
  <si>
    <t>REC0036.2</t>
  </si>
  <si>
    <t>REC0036.3</t>
  </si>
  <si>
    <t>REC0037.1</t>
  </si>
  <si>
    <t>ApoB,Triglycerides</t>
  </si>
  <si>
    <t>REC0037.2</t>
  </si>
  <si>
    <t>REC0037.3</t>
  </si>
  <si>
    <t>REC0038.1</t>
  </si>
  <si>
    <t>Fasting Insulin,HOMA-IR,Fasting Glucose,HbA1c,Testosterone,SHBG</t>
  </si>
  <si>
    <t>ApoB,hsCRP,Triglycerides,HDL,RDW,Homocysteine,Vitamin B12,Folate Serum,Folate (RBC)</t>
  </si>
  <si>
    <t>Total Sleep,Deep Sleep,REM Sleep,HRV</t>
  </si>
  <si>
    <t>% Bodyfat,BMI,VO2 Max,Skeletal Muscle Mass to Fat-Free Mass,Hip-to-Waist Ratio</t>
  </si>
  <si>
    <t>REC0038.2</t>
  </si>
  <si>
    <t>REC0038.3</t>
  </si>
  <si>
    <t>REC0039.1</t>
  </si>
  <si>
    <t>hsCRP,ApoB,RDW</t>
  </si>
  <si>
    <t>REC0039.2</t>
  </si>
  <si>
    <t>REC0039.3</t>
  </si>
  <si>
    <t>REC0040.1</t>
  </si>
  <si>
    <t>REC0040.2</t>
  </si>
  <si>
    <t>REC0040.3</t>
  </si>
  <si>
    <t>REC0041.1</t>
  </si>
  <si>
    <t>Cortisol,Vitamin D</t>
  </si>
  <si>
    <t>REC0041.2</t>
  </si>
  <si>
    <t>REC0041.3</t>
  </si>
  <si>
    <t>REC0042.1</t>
  </si>
  <si>
    <t>Fasting Glucose,HbA1c,Fasting Insulin,HOMA-IR</t>
  </si>
  <si>
    <t>REC0042.2</t>
  </si>
  <si>
    <t>REC0042.3</t>
  </si>
  <si>
    <t>REC0043.1</t>
  </si>
  <si>
    <t>REC0043.2</t>
  </si>
  <si>
    <t>REC0043.3</t>
  </si>
  <si>
    <t>REC0044.1</t>
  </si>
  <si>
    <t>REC0044.2</t>
  </si>
  <si>
    <t>REC0044.3</t>
  </si>
  <si>
    <t>REC0045.1</t>
  </si>
  <si>
    <t>REC0045.2</t>
  </si>
  <si>
    <t>REC0045.3</t>
  </si>
  <si>
    <t>REC0046.1</t>
  </si>
  <si>
    <t>hsCRP,Fasting Glucose,HbA1c,Fasting Insulin,HOMA-IR</t>
  </si>
  <si>
    <t>HRV,Total Sleep,Deep Sleep,REM Sleep</t>
  </si>
  <si>
    <t>REC0046.2</t>
  </si>
  <si>
    <t>REC0046.3</t>
  </si>
  <si>
    <t>REC0047.1</t>
  </si>
  <si>
    <t>Homocysteine,Vitamin D</t>
  </si>
  <si>
    <t>REC0047.2</t>
  </si>
  <si>
    <t>REC0047.3</t>
  </si>
  <si>
    <t>REC0048.1</t>
  </si>
  <si>
    <t>REC0048.2</t>
  </si>
  <si>
    <t>REC0048.3</t>
  </si>
  <si>
    <t>REC0049.1</t>
  </si>
  <si>
    <t>Total Sleep,Deep Sleep,REM Sleep,Resting Heart Rate</t>
  </si>
  <si>
    <t>REC0049.2</t>
  </si>
  <si>
    <t>REC0049.3</t>
  </si>
  <si>
    <t>REC0050.1</t>
  </si>
  <si>
    <t>hsCRP,Fasting Insulin,HOMA-IR</t>
  </si>
  <si>
    <t>Homocysteine,ApoB</t>
  </si>
  <si>
    <t>REC0050.2</t>
  </si>
  <si>
    <t>REC0050.3</t>
  </si>
  <si>
    <t>REC0051.1</t>
  </si>
  <si>
    <t>REC0051.2</t>
  </si>
  <si>
    <t>REC0051.3</t>
  </si>
  <si>
    <t>REC0052.1</t>
  </si>
  <si>
    <t>Fasting Insulin,HOMA-IR,Vitamin D,Homocysteine,ApoB</t>
  </si>
  <si>
    <t>REC0052.2</t>
  </si>
  <si>
    <t>REC0052.3</t>
  </si>
  <si>
    <t>REC0053.1</t>
  </si>
  <si>
    <t>REC0053.2</t>
  </si>
  <si>
    <t>REC0053.3</t>
  </si>
  <si>
    <t>REC0054.1</t>
  </si>
  <si>
    <t>Blood Pressure - Systolic,Blood Pressure - Diastolic,HRV</t>
  </si>
  <si>
    <t>REC0054.2</t>
  </si>
  <si>
    <t>REC0054.3</t>
  </si>
  <si>
    <t>REC0055.1</t>
  </si>
  <si>
    <t>hsCRP,White Blood Cell Count,ApoB,HDL,Triglycerides,Homocysteine</t>
  </si>
  <si>
    <t>VO2 Max,Resting Heart Rate,Blood Pressure - Systolic,Blood Pressure - Diastolic</t>
  </si>
  <si>
    <t>REC0055.2</t>
  </si>
  <si>
    <t>REC0055.3</t>
  </si>
  <si>
    <t>REC0056.1</t>
  </si>
  <si>
    <t>REC0056.2</t>
  </si>
  <si>
    <t>REC0056.3</t>
  </si>
  <si>
    <t>REC0057.1</t>
  </si>
  <si>
    <t>REC0057.2</t>
  </si>
  <si>
    <t>REC0057.3</t>
  </si>
  <si>
    <t>REC0058.1</t>
  </si>
  <si>
    <t>REC0058.2</t>
  </si>
  <si>
    <t>REC0058.3</t>
  </si>
  <si>
    <t>REC0059.1</t>
  </si>
  <si>
    <t>REC0059.2</t>
  </si>
  <si>
    <t>REC0059.3</t>
  </si>
  <si>
    <t>REC0060.1</t>
  </si>
  <si>
    <t>hsCRP,White Blood Cell Count</t>
  </si>
  <si>
    <t>Fasting Insulin,HOMA-IR,Fasting Glucose,HbA1c,ApoB</t>
  </si>
  <si>
    <t>REC0061.1</t>
  </si>
  <si>
    <t>ApoB,hsCRP,White Blood Cell Count,Creatinine,BUN,eGFR,Cystatin C,ALT,AST,GGT,ALP,Testosterone,DHEA-S,TSH,Estradiol,Progesterone,SHBG,Serum Ferritin,Total Iron Binding Capacity (TIBC),Transferrin Saturation</t>
  </si>
  <si>
    <t>Blood Pressure - Systolic,Blood Pressure - Diastolic,BMI,Hip-to-Waist Ratio</t>
  </si>
  <si>
    <t>REC0062.1</t>
  </si>
  <si>
    <t>REC0063.1</t>
  </si>
  <si>
    <t>REC0064.1</t>
  </si>
  <si>
    <t>REC0065.1</t>
  </si>
  <si>
    <t>REC0066.1</t>
  </si>
  <si>
    <t>REC0067.1</t>
  </si>
  <si>
    <t>REC0068.1</t>
  </si>
  <si>
    <t>REC0069.1</t>
  </si>
  <si>
    <t>REC0070.1</t>
  </si>
  <si>
    <t>REC0071.1</t>
  </si>
  <si>
    <t>REC0072.1</t>
  </si>
  <si>
    <t>REC0073.1</t>
  </si>
  <si>
    <t>Omega-3 Index,Triglycerides,hsCRP</t>
  </si>
  <si>
    <t>HDL,Fasting Insulin,HOMA-IR</t>
  </si>
  <si>
    <t>Cortisol,Homocysteine,Vitamin D,RDW</t>
  </si>
  <si>
    <t>Resting Heart Rate,HRV,Blood Pressure - Systolic,Blood Pressure - Diastolic</t>
  </si>
  <si>
    <t>REC0074.1</t>
  </si>
  <si>
    <t>Vitamin D,Calcium (Serum)</t>
  </si>
  <si>
    <t>Total Sleep,Deep Sleep,REM Sleep,Blood Pressure - Systolic,Blood Pressure - Diastolic</t>
  </si>
  <si>
    <t>REC0075.1</t>
  </si>
  <si>
    <t>Magnesium (RBC),Fasting Insulin,HOMA-IR</t>
  </si>
  <si>
    <t>hsCRP,Fasting Glucose,HbA1c,Cortisol</t>
  </si>
  <si>
    <t>Testosterone,Free Testosterone,Homocysteine,Vitamin D</t>
  </si>
  <si>
    <t>REC0076.1</t>
  </si>
  <si>
    <t>Cortisol,Testosterone,Free Testosterone</t>
  </si>
  <si>
    <t>Homocysteine,Fasting Glucose,HbA1c,Fasting Insulin,hsCRP</t>
  </si>
  <si>
    <t>% Bodyfat,BMI,Total Sleep,Deep Sleep,REM Sleep</t>
  </si>
  <si>
    <t>REC0077.1</t>
  </si>
  <si>
    <t>Fasting Insulin,HOMA-IR,Testosterone,Free Testosterone</t>
  </si>
  <si>
    <t>Fasting Glucose,HbA1c,HDL,Triglycerides</t>
  </si>
  <si>
    <t>Resting Heart Rate,Total Sleep,Deep Sleep,REM Sleep</t>
  </si>
  <si>
    <t>REC0078.1</t>
  </si>
  <si>
    <t>ApoB,Triglycerides,HDL,LDL</t>
  </si>
  <si>
    <t>hsCRP,Creatine Kinase</t>
  </si>
  <si>
    <t>REC0079.1</t>
  </si>
  <si>
    <t>LDL,ApoB,HbA1c,Fasting Glucose,HOMA-IR</t>
  </si>
  <si>
    <t>REC0080.1</t>
  </si>
  <si>
    <t>Vitamin D,Vitamin B12,Homocysteine</t>
  </si>
  <si>
    <t>hsCRP,Fasting Insulin,HOMA-IR,Fasting Glucose,HbA1c</t>
  </si>
  <si>
    <t>HDL,Triglycerides,ApoB</t>
  </si>
  <si>
    <t>REC0081.1</t>
  </si>
  <si>
    <t>Serum Ferritin,Hemoglobin,Hematocrit,Red Blood Cell Count</t>
  </si>
  <si>
    <t>REC0082.1</t>
  </si>
  <si>
    <t>Vitamin B12,Folate Serum,Folate (RBC),Homocysteine</t>
  </si>
  <si>
    <t>Hemoglobin,Hematocrit,Red Blood Cell Count</t>
  </si>
  <si>
    <t>REC0083.1</t>
  </si>
  <si>
    <t>hsCRP,Fasting Insulin,HOMA-IR,Cortisol</t>
  </si>
  <si>
    <t>ApoB,Homocysteine,Triglycerides</t>
  </si>
  <si>
    <t>REC0084.1</t>
  </si>
  <si>
    <t>ApoB,Fasting Glucose,Fasting Insulin</t>
  </si>
  <si>
    <t>REC0085.1</t>
  </si>
  <si>
    <t>Calcium (Serum),Calcium (Ionized)</t>
  </si>
  <si>
    <t>REC0086.1</t>
  </si>
  <si>
    <t>hsCRP,Testosterone,Free Testosterone,Fasting Glucose,Fasting Insulin,HOMA-IR</t>
  </si>
  <si>
    <t>HbA1c,ALP,ApoB</t>
  </si>
  <si>
    <t>REC0087.1</t>
  </si>
  <si>
    <t>Fasting Insulin,HOMA-IR,Fasting Glucose,hsCRP,HDL,ApoB,Cortisol</t>
  </si>
  <si>
    <t>REC0088.1</t>
  </si>
  <si>
    <t>Triglycerides,HDL,LDL</t>
  </si>
  <si>
    <t>REC0089.1</t>
  </si>
  <si>
    <t>Fasting Insulin,Fasting Glucose,Cortisol</t>
  </si>
  <si>
    <t>ApoB,HDL,Triglycerides,hsCRP</t>
  </si>
  <si>
    <t>REC0090.1</t>
  </si>
  <si>
    <t>hsCRP,Fasting Glucose</t>
  </si>
  <si>
    <t>REC0091.1</t>
  </si>
  <si>
    <t>ApoB,Total Cholesterol,LDL,HDL,Homocysteine</t>
  </si>
  <si>
    <t>REC0092.1</t>
  </si>
  <si>
    <t>hsCRP,ApoB,LDL,Triglycerides</t>
  </si>
  <si>
    <t>Testosterone,SHBG</t>
  </si>
  <si>
    <t>% Bodyfat,Skeletal Muscle Mass to Fat-Free Mass,Visceral Fat</t>
  </si>
  <si>
    <t>REC0093.1</t>
  </si>
  <si>
    <t>ApoB,LDL,Triglycerides,hsCRP</t>
  </si>
  <si>
    <t>REC0094.1</t>
  </si>
  <si>
    <t>REC0095.1</t>
  </si>
  <si>
    <t>REC0096.1</t>
  </si>
  <si>
    <t>Cortisol,Testosterone,Free Testosterone,DHEA-S</t>
  </si>
  <si>
    <t>hsCRP,TSH,Creatine Kinase</t>
  </si>
  <si>
    <t>REC0097.1</t>
  </si>
  <si>
    <t>REC0098.1</t>
  </si>
  <si>
    <t>ApoB,LDL,Triglycerides</t>
  </si>
  <si>
    <t>REC0099.1</t>
  </si>
  <si>
    <t>Platelet Count,hsCRP</t>
  </si>
  <si>
    <t>REC0100.1</t>
  </si>
  <si>
    <t>ApoB,Total Cholesterol,LDL,Triglycerides,hsCRP</t>
  </si>
  <si>
    <t>ALT,AST,eGFR,Cystatin C,BUN,Creatinine</t>
  </si>
  <si>
    <t>BMI,Hip-to-Waist Ratio,Visceral Fat</t>
  </si>
  <si>
    <t>Skeletal Muscle Mass to Fat-Free Mass,Blood Pressure - Systolic,Blood Pressure - Diastolic</t>
  </si>
  <si>
    <t>Type 2 Diabetes,Obesity,Metabolic Syndrome,Cardiovascular Risk Reduction</t>
  </si>
  <si>
    <t>REC0101.1</t>
  </si>
  <si>
    <t>ALT,AST,eGFR</t>
  </si>
  <si>
    <t>REC0102.1</t>
  </si>
  <si>
    <t>Cortisol,Fasting Insulin</t>
  </si>
  <si>
    <t>Skeletal Muscle Mass to Fat-Free Mass,% Bodyfat</t>
  </si>
  <si>
    <t>Growth Hormone Deficiency,Sarcopenia,Recovery &amp; Repair,Longevity Optimization</t>
  </si>
  <si>
    <t>REC0103.1</t>
  </si>
  <si>
    <t>Musculoskeletal Injury,Gastrointestinal Disorders,Post-Surgical Recovery,Connective Tissue Injury,Inflammatory Conditions</t>
  </si>
  <si>
    <t>REC0104.1</t>
  </si>
  <si>
    <t>Connective Tissue Injury,Post-Surgical Recovery,Inflammatory Conditions,Musculoskeletal Injury</t>
  </si>
  <si>
    <t>REC0105.1</t>
  </si>
  <si>
    <t>REC0106.1</t>
  </si>
  <si>
    <t>Longevity Optimization,Circadian Rhythm Regulation,Immune Aging,Inflammatory Conditions</t>
  </si>
  <si>
    <t>REC0107.1</t>
  </si>
  <si>
    <t>Immune Aging,Immune Dysfunction,Inflammatory Conditions</t>
  </si>
  <si>
    <t>REC0108.1</t>
  </si>
  <si>
    <t>Longevity Optimization,Immune Dysfunction,Immune Aging,Circadian Rhythm Regulation,Inflammatory Conditions</t>
  </si>
  <si>
    <t>REC0109.1</t>
  </si>
  <si>
    <t>Mitochondrial Dysfunction,Metabolic Syndrome,Insulin Resistance,Frailty,Longevity Optimization</t>
  </si>
  <si>
    <t>REC0110.1</t>
  </si>
  <si>
    <t>Neurodegenerative Conditions,Mitochondrial Dysfunction,Insulin Resistance,Longevity Optimization</t>
  </si>
  <si>
    <t>REC0111.1</t>
  </si>
  <si>
    <t>Skin Aging &amp; Repair,Connective Tissue Injury,Cognitive Support,Wound Healing</t>
  </si>
  <si>
    <t>REC0112.1</t>
  </si>
  <si>
    <t>Mitochondrial Dysfunction,Cardiovascular Disease,Muscular Disorders,Longevity Optimization</t>
  </si>
  <si>
    <t>REC0113.1</t>
  </si>
  <si>
    <t>Visceral Adiposity,Metabolic Syndrome,Growth Hormone Deficiency</t>
  </si>
  <si>
    <t>REC0114.1</t>
  </si>
  <si>
    <t>Immune Dysfunction,Chronic Infection,Inflammatory Conditions,Longevity Optimization</t>
  </si>
  <si>
    <t>REC0115.1</t>
  </si>
  <si>
    <t>Hypoactive Sexual Desire,Skin Pigmentation Disorders</t>
  </si>
  <si>
    <t>REC0116.1</t>
  </si>
  <si>
    <t>Cellular Senescence,Aging-related Diseases,Longevity Optimization</t>
  </si>
  <si>
    <t>REC0117.1</t>
  </si>
  <si>
    <t>Anxiety Disorders,Cognitive Function,Stress-related Conditions</t>
  </si>
  <si>
    <t>REC0118.1</t>
  </si>
  <si>
    <t>Cognitive Function,Neuroprotection,Brain Injury Recovery</t>
  </si>
  <si>
    <t>REC0119.1</t>
  </si>
  <si>
    <t>Hormonal Imbalance,Reproductive Health,Low Testosterone,Low Estrogen</t>
  </si>
  <si>
    <t>REC0120.1</t>
  </si>
  <si>
    <t>Obesity,Metabolic Dysfunction,Appetite Regulation</t>
  </si>
  <si>
    <t>REC0121.1</t>
  </si>
  <si>
    <t>Chronic Infection,Wound Healing,Immune Dysfunction</t>
  </si>
  <si>
    <t>REC0122.1</t>
  </si>
  <si>
    <t>Sarcopenia,Severe Muscle Wasting,Anabolic Deficiency</t>
  </si>
  <si>
    <t>REC0123.1</t>
  </si>
  <si>
    <t>Muscle Regeneration,Connective Tissue Injury,Post-Surgical Recovery</t>
  </si>
  <si>
    <t>REC0124.1</t>
  </si>
  <si>
    <t>LDL,ApoB,Total Cholesterol</t>
  </si>
  <si>
    <t>HDL,hsCRP</t>
  </si>
  <si>
    <t>Hyperlipidemia,Cardiovascular Risk Reduction,Atherosclerosis</t>
  </si>
  <si>
    <t>REC0125.1</t>
  </si>
  <si>
    <t>HDL,Triglycerides,Lp(a)</t>
  </si>
  <si>
    <t>Hyperlipidemia,Familial Hypercholesterolemia,Cardiovascular Risk Reduction</t>
  </si>
  <si>
    <t>REC0126.1</t>
  </si>
  <si>
    <t>LDL,ApoB,Lp(a),Total Cholesterol</t>
  </si>
  <si>
    <t>Estradiol,Fasting Insulin,Fasting Glucose,hsCRP</t>
  </si>
  <si>
    <t>Familial Hypercholesterolemia,Statin Intolerance,Cardiovascular Risk Reduction</t>
  </si>
  <si>
    <t>REC0127.1</t>
  </si>
  <si>
    <t>Statin Intolerance,Hyperlipidemia</t>
  </si>
  <si>
    <t>REC0128.1</t>
  </si>
  <si>
    <t>Triglycerides,HDL</t>
  </si>
  <si>
    <t>Hypertriglyceridemia,Mixed Dyslipidemia</t>
  </si>
  <si>
    <t>REC0129.1</t>
  </si>
  <si>
    <t>Hypertriglyceridemia,Cardiovascular Risk Reduction</t>
  </si>
  <si>
    <t>REC0130.1</t>
  </si>
  <si>
    <t>Fasting Glucose,HbA1c</t>
  </si>
  <si>
    <t>Hyperlipidemia</t>
  </si>
  <si>
    <t>REC0131.1</t>
  </si>
  <si>
    <t>Fasting Glucose,HbA1c,Fasting Insulin</t>
  </si>
  <si>
    <t>hsCRP,ApoB</t>
  </si>
  <si>
    <t>Type 2 Diabetes,Prediabetes,Insulin Resistance,Polycistic Ovary Syndrome (PCOS)</t>
  </si>
  <si>
    <t>REC0132.1</t>
  </si>
  <si>
    <t>ALT,AST,Uric Acid</t>
  </si>
  <si>
    <t>Type 2 Diabetes,Heart Failure,Cardiovascular Risk Reduction,Kidney Disease / CKD</t>
  </si>
  <si>
    <t>REC0133.1</t>
  </si>
  <si>
    <t>Type 1 Diabetes,Type 2 Diabetes,Hyperglycemia</t>
  </si>
  <si>
    <t>REC0134.1</t>
  </si>
  <si>
    <t>Creatinine,eGFR,BUN</t>
  </si>
  <si>
    <t>Potassium,Sodium</t>
  </si>
  <si>
    <t>Hypertension,Heart Failure,Kidney Disease / CKD</t>
  </si>
  <si>
    <t>REC0135.1</t>
  </si>
  <si>
    <t>Blood Pressure - Systolic,Blood Pressure - Diastolic,Resting Heart Rate,HRV</t>
  </si>
  <si>
    <t>Hypertension,Arrhythmia,Heart Failure,Post-MI Care</t>
  </si>
  <si>
    <t>REC0136.1</t>
  </si>
  <si>
    <t>Hypertension,Angina,Arrhythmia</t>
  </si>
  <si>
    <t>REC0137.1</t>
  </si>
  <si>
    <t>Sodium,Potassium,Creatinine,eGFR</t>
  </si>
  <si>
    <t>Uric Acid,Fasting Glucose</t>
  </si>
  <si>
    <t>Hypertension,Fluid Retention</t>
  </si>
  <si>
    <t>REC0138.1</t>
  </si>
  <si>
    <t>Potassium,Sodium,Creatinine,eGFR</t>
  </si>
  <si>
    <t>Hypertension,Heart Failure,Hyperaldosteronism</t>
  </si>
  <si>
    <t>REC0139.1</t>
  </si>
  <si>
    <t>Vitamin D,Creatinine,eGFR</t>
  </si>
  <si>
    <t>Osteoporosis / Osteopenia</t>
  </si>
  <si>
    <t>REC0140.1</t>
  </si>
  <si>
    <t>REC0141.1</t>
  </si>
  <si>
    <t>Total Cholesterol,LDL,HDL,Triglycerides</t>
  </si>
  <si>
    <t>Osteoporosis / Osteopenia,Breast Cancer Risk Reduction</t>
  </si>
  <si>
    <t>REC0142.1</t>
  </si>
  <si>
    <t>REC0143.1</t>
  </si>
  <si>
    <t>Total Cholesterol,LDL</t>
  </si>
  <si>
    <t>Resting Heart Rate,Blood Pressure - Systolic,Blood Pressure - Diastolic</t>
  </si>
  <si>
    <t>Hypothyroidism,Metabolic Dysfunction</t>
  </si>
  <si>
    <t>REC0144.1</t>
  </si>
  <si>
    <t>Testosterone,Free Testosterone,SHBG</t>
  </si>
  <si>
    <t>Estradiol,Hematocrit,Hemoglobin,Red Blood Cell Count</t>
  </si>
  <si>
    <t>HDL,LDL</t>
  </si>
  <si>
    <t>Low Testosterone,Sarcopenia,Sexual Dysfunction</t>
  </si>
  <si>
    <t>REC0145.1</t>
  </si>
  <si>
    <t>Estradiol,Progesterone</t>
  </si>
  <si>
    <t>Menopausal Symptoms,Osteoporosis / Osteopenia,Estrogen Deficiency,Progesterone Deficiency</t>
  </si>
  <si>
    <t>REC0146.1</t>
  </si>
  <si>
    <t>Testosterone,Estradiol,Cortisol</t>
  </si>
  <si>
    <t>DHEA Deficiency,Adrenal Insufficiency,Hypoactive Sexual Desire,Fatigue</t>
  </si>
  <si>
    <t>REC0147.1</t>
  </si>
  <si>
    <t>Resting Heart Rate,HRV</t>
  </si>
  <si>
    <t>Arrhythmia,Post-MI Care,Heart Failure</t>
  </si>
  <si>
    <t>REC0148.1</t>
  </si>
  <si>
    <t>Sodium,Platelet Count</t>
  </si>
  <si>
    <t>REM Sleep,Total Sleep</t>
  </si>
  <si>
    <t>Depression,Anxiety Disorders</t>
  </si>
  <si>
    <t>REC0149.1</t>
  </si>
  <si>
    <t>White Blood Cell Count,hsCRP</t>
  </si>
  <si>
    <t>ALT,AST</t>
  </si>
  <si>
    <t>Autoimmune Disease,Inflammatory Conditions,Fibromyalgia</t>
  </si>
  <si>
    <t>REC0150.1</t>
  </si>
  <si>
    <t>HbA1c,Fasting Glucose,Fasting Insulin,HOMA-IR</t>
  </si>
  <si>
    <t>Total Cholesterol,LDL,HDL,Triglycerides,eGFR,Creatinine</t>
  </si>
  <si>
    <t>BMI,% Bodyfat</t>
  </si>
  <si>
    <t>Type 2 Diabetes,Obesity,Insulin Resistance,Cardiovascular Disease,Metabolic Syndrome</t>
  </si>
  <si>
    <t>REC0151.1</t>
  </si>
  <si>
    <t>Total Cholesterol,LDL,HDL,Triglycerides,Fasting Glucose,HbA1c</t>
  </si>
  <si>
    <t>White Blood Cell Count,Neutrophils,Platelet Count,Creatinine,eGFR</t>
  </si>
  <si>
    <t>Cellular Senescence</t>
  </si>
  <si>
    <t>REC0152.1</t>
  </si>
  <si>
    <t>Postprandial Glucose Spikes,Type 2 Diabetes,Metabolic Syndrome</t>
  </si>
  <si>
    <t>REC0153.1</t>
  </si>
  <si>
    <t>Grip Strength,HRV</t>
  </si>
  <si>
    <t>Musculoskeletal Injury,Degenerative Joint Disease,Regenerative Support,Autoimmune Disease</t>
  </si>
  <si>
    <t>REC0154.1</t>
  </si>
  <si>
    <t>Joint Pain,Tendinopathy,Osteoarthritis,Musculoskeletal Injury,Hair Loss</t>
  </si>
  <si>
    <t>REC0155.1</t>
  </si>
  <si>
    <t>hsCRP,White Blood Cell Count,Albumin</t>
  </si>
  <si>
    <t>Clostridioides difficile Infection,Inflammatory Bowel Disease (IBD),Microbiome Dysbiosis,Chronic GI Disorders</t>
  </si>
  <si>
    <t>REC0156.1</t>
  </si>
  <si>
    <t>ApoB,Homocysteine</t>
  </si>
  <si>
    <t>HRV,Blood Pressure - Systolic,Blood Pressure - Diastolic</t>
  </si>
  <si>
    <t>Injury Recovery,Neurodegenerative Conditions,Inflammation,Skin Rejuvenation (Emerging/Experimental)</t>
  </si>
  <si>
    <t>REC0157.1</t>
  </si>
  <si>
    <t>hsCRP,Albumin</t>
  </si>
  <si>
    <t>HRV,Blood Pressure - Systolic</t>
  </si>
  <si>
    <t>Biological Aging,Cognitive Decline,Frailty,Age-Associated Inflammation (Experimental)</t>
  </si>
  <si>
    <t>REC0158.1</t>
  </si>
  <si>
    <t>White Blood Cell Count,Homocysteine</t>
  </si>
  <si>
    <t>Cellular Senescence,Age-Related Disease Risk,Chronic Inflammation,Experimental Longevity Intervention</t>
  </si>
  <si>
    <t>REC0159.1</t>
  </si>
  <si>
    <t>hsCRP,Cortisol</t>
  </si>
  <si>
    <t>HRV,Resting Heart Rate</t>
  </si>
  <si>
    <t>Muscle Recovery,Chronic Pain,Inflammation,Stress Resilience,Metabolic Health</t>
  </si>
  <si>
    <t>REC0160.1</t>
  </si>
  <si>
    <t>hsCRP,Hemoglobin,Homocysteine</t>
  </si>
  <si>
    <t>Wound Healing,Traumatic Brain Injury,Radiation Damage,Cognitive Impairment,Tissue Regeneration</t>
  </si>
  <si>
    <t>REC0161.1</t>
  </si>
  <si>
    <t>Creatine Kinase,Vitamin D</t>
  </si>
  <si>
    <t>HRV,Total Sleep</t>
  </si>
  <si>
    <t>Pain,Muscle Recovery,Skin Health,Cognitive Decline,Mitochondrial Dysfunction</t>
  </si>
  <si>
    <t>REC0162.1</t>
  </si>
  <si>
    <t>Fasting Glucose,HOMA-IR</t>
  </si>
  <si>
    <t>Metabolic Flexibility,Cellular Senescence,Inflammation,Experimental Longevity Support</t>
  </si>
  <si>
    <t>REC0163.1</t>
  </si>
  <si>
    <t>Glucose Variability,Insulin Resistance,Type 2 Diabetes,Metabolic Optimization</t>
  </si>
  <si>
    <t>REC0164.1</t>
  </si>
  <si>
    <t>Cortisol,Testosterone,hsCRP</t>
  </si>
  <si>
    <t>Sleep Duration,Sleep Timing Consistency,Sleep Disorders,Circadian Rhythm Disruption</t>
  </si>
  <si>
    <t>REC0165.1</t>
  </si>
  <si>
    <t>hsCRP,HbA1c,HDL</t>
  </si>
  <si>
    <t>Steps/Day,VO2 Max</t>
  </si>
  <si>
    <t>Sedentary Behavior,Physical Inactivity,Metabolic Syndrome,Cardiovascular Risk</t>
  </si>
  <si>
    <t>REC0166.1</t>
  </si>
  <si>
    <t>Cortisol,hsCRP</t>
  </si>
  <si>
    <t>Stress Recovery,Autonomic Imbalance,Overtraining,Cardiovascular Health</t>
  </si>
  <si>
    <t>REC0167.1</t>
  </si>
  <si>
    <t>hsCRP,Homocysteine,Uric Acid</t>
  </si>
  <si>
    <t>Hypertension,Cardiovascular Risk Monitoring,Medication Titration</t>
  </si>
  <si>
    <t>REC0168.1</t>
  </si>
  <si>
    <t>Testosterone,hsCRP,Fasting Insulin</t>
  </si>
  <si>
    <t>% Bodyfat,Skeletal Muscle Mass to Fat-Free Mass,Visceral Fat,BMI,Hip-to-Waist Ratio</t>
  </si>
  <si>
    <t>Sarcopenia,Obesity,Visceral Adiposity,Metabolic Risk</t>
  </si>
  <si>
    <t>REC0169.1</t>
  </si>
  <si>
    <t>Cortisol,hsCRP,DHEA-S</t>
  </si>
  <si>
    <t>Resting Heart Rate,Blood Pressure - Systolic</t>
  </si>
  <si>
    <t>Chronic Stress,Burnout Risk,Sleep Quality,Autonomic Nervous System Health</t>
  </si>
  <si>
    <t>REC0170.1</t>
  </si>
  <si>
    <t>Testosterone,Vitamin D,Albumin</t>
  </si>
  <si>
    <t>Frailty,Sarcopenia,Longevity Risk Stratification</t>
  </si>
  <si>
    <t>REC0171.1</t>
  </si>
  <si>
    <t>Vitamin D,Magnesium (RBC),Vitamin B12</t>
  </si>
  <si>
    <t>Polypharmacy,Adherence Optimization,Cognitive Decline,Chronic Disease Management</t>
  </si>
  <si>
    <t>REC0172.1</t>
  </si>
  <si>
    <t>Total Cholesterol,LDL,HDL</t>
  </si>
  <si>
    <t>Cardiovascular Health,Cognitive Health,Inflammation,Recovery,Stress Resilience</t>
  </si>
  <si>
    <t>REC0172.2</t>
  </si>
  <si>
    <t>REC0173.3</t>
  </si>
  <si>
    <t>REC0174.1</t>
  </si>
  <si>
    <t>White Blood Cell Count,Neutrophils</t>
  </si>
  <si>
    <t>HRV,Blood Pressure - Systolic,Resting Heart Rate</t>
  </si>
  <si>
    <t>Inflammation,Stress Resilience,Immune Function,Recovery Support</t>
  </si>
  <si>
    <t>REC0174.2</t>
  </si>
  <si>
    <t>REC0174.3</t>
  </si>
  <si>
    <t>REC0175.1</t>
  </si>
  <si>
    <t>White Blood Cell Count,Eosinophils</t>
  </si>
  <si>
    <t>Total Sleep,HRV</t>
  </si>
  <si>
    <t>Blood Pressure - Systolic,BMI</t>
  </si>
  <si>
    <t>Respiratory Conditions,Environmental Toxin Exposure,Cognitive Function,Immune Support</t>
  </si>
  <si>
    <t>REC0175.2</t>
  </si>
  <si>
    <t>REC0175.3</t>
  </si>
  <si>
    <t>REC0176.1</t>
  </si>
  <si>
    <t>TSH,Magnesium (RBC)</t>
  </si>
  <si>
    <t>Sleep Disorders,Circadian Disruption,Hormonal Regulation,Cognitive Performance</t>
  </si>
  <si>
    <t>REC0176.2</t>
  </si>
  <si>
    <t>REC0176.3</t>
  </si>
  <si>
    <t>REC0177.1</t>
  </si>
  <si>
    <t>BMI,Total Sleep</t>
  </si>
  <si>
    <t>Depression,Anxiety,Trauma,PTSD,Behavioral Health Disorders</t>
  </si>
  <si>
    <t>REC0177.2</t>
  </si>
  <si>
    <t>REC0177.3</t>
  </si>
  <si>
    <t>REC0178.1</t>
  </si>
  <si>
    <t>Treatment-Resistant Depression,PTSD,Existential Anxiety,Trauma Processing,Substance Use Disorder / Addiction</t>
  </si>
  <si>
    <t>REC0178.2</t>
  </si>
  <si>
    <t>REC0178.3</t>
  </si>
  <si>
    <t>REC0179.1</t>
  </si>
  <si>
    <t>Anxiety,Depression,Stress Management,Behavioral Activation,Cognitive Behavioral Support</t>
  </si>
  <si>
    <t>REC0179.2</t>
  </si>
  <si>
    <t>REC0179.3</t>
  </si>
  <si>
    <t>REC0180.1</t>
  </si>
  <si>
    <t>Social Isolation,Loneliness,Cognitive Decline,Mental Health,Purpose-Driven Living</t>
  </si>
  <si>
    <t>REC0180.2</t>
  </si>
  <si>
    <t>REC0180.3</t>
  </si>
  <si>
    <t>REC01781.1</t>
  </si>
  <si>
    <t>Depression,Burnout,Life Satisfaction,Resilience,Psychological Well-Being</t>
  </si>
  <si>
    <t>REC0181.2</t>
  </si>
  <si>
    <t>REC0181.3</t>
  </si>
  <si>
    <t>REC0182.1</t>
  </si>
  <si>
    <t>Blood Pressure - Systolic,BMI,HRV,Total Sleep</t>
  </si>
  <si>
    <t>Financial Stress,Chronic Stress,Mental Health,Lifestyle Stability</t>
  </si>
  <si>
    <t>REC0182.2</t>
  </si>
  <si>
    <t>REC0182.3</t>
  </si>
  <si>
    <t>REC095.1</t>
  </si>
  <si>
    <t>REC096.1</t>
  </si>
  <si>
    <t>REC097.1</t>
  </si>
  <si>
    <t>REC098.1</t>
  </si>
  <si>
    <t>REC099.1</t>
  </si>
  <si>
    <t>Raw_Impact</t>
  </si>
  <si>
    <t>FactorType</t>
  </si>
  <si>
    <t>FactorName</t>
  </si>
  <si>
    <t>Level</t>
  </si>
  <si>
    <t>Primary</t>
  </si>
  <si>
    <t>Tertiary</t>
  </si>
  <si>
    <t>Metric</t>
  </si>
  <si>
    <t>Secondary</t>
  </si>
  <si>
    <t>LevelWeight</t>
  </si>
  <si>
    <t>TypeWeight</t>
  </si>
  <si>
    <t>Score</t>
  </si>
  <si>
    <t>Value</t>
  </si>
  <si>
    <t>Marker %</t>
  </si>
  <si>
    <t>Survey %</t>
  </si>
  <si>
    <t>Education %</t>
  </si>
  <si>
    <t>Marker Max</t>
  </si>
  <si>
    <t>Survey Max</t>
  </si>
  <si>
    <t>Marker Norm</t>
  </si>
  <si>
    <t>Survey Norm</t>
  </si>
  <si>
    <t>Education Norm</t>
  </si>
  <si>
    <t>Education Max</t>
  </si>
  <si>
    <t>Marker Norm Max</t>
  </si>
  <si>
    <t>Marker Norm Mult</t>
  </si>
  <si>
    <t>Survey Norm Mult</t>
  </si>
  <si>
    <t>Education Norm Mult</t>
  </si>
  <si>
    <t>Survey Norm Max</t>
  </si>
  <si>
    <t>Education Norm Max</t>
  </si>
  <si>
    <t>Survey Norm Potential</t>
  </si>
  <si>
    <t>Education Norm Potential</t>
  </si>
  <si>
    <t>Survey Raw</t>
  </si>
  <si>
    <t>Education Raw</t>
  </si>
  <si>
    <t>Marker Raw</t>
  </si>
  <si>
    <t>Marker Norm Potential</t>
  </si>
  <si>
    <t>Total Norm</t>
  </si>
  <si>
    <t>Total Norm Max</t>
  </si>
  <si>
    <t>Total Norm Potential</t>
  </si>
  <si>
    <t>PotentialPct</t>
  </si>
  <si>
    <t>PillarWeight</t>
  </si>
  <si>
    <t>yes</t>
  </si>
  <si>
    <t>no</t>
  </si>
  <si>
    <t>RAW_WEIGHT</t>
  </si>
  <si>
    <t>COUNT_MARKERS</t>
  </si>
  <si>
    <t>COUNT_METRICS</t>
  </si>
  <si>
    <t>MARKER_METRIC_TOTAL</t>
  </si>
  <si>
    <t>COUNT_COMPLEX</t>
  </si>
  <si>
    <t>COUNT_STANDARD</t>
  </si>
  <si>
    <t>SURVEY_TOTAL</t>
  </si>
  <si>
    <r>
      <rPr>
        <b/>
        <sz val="10"/>
        <color theme="1"/>
        <rFont val="Arial"/>
        <family val="2"/>
      </rPr>
      <t xml:space="preserve">Note: </t>
    </r>
    <r>
      <rPr>
        <sz val="10"/>
        <color theme="1"/>
        <rFont val="Arial"/>
        <family val="2"/>
      </rPr>
      <t>Max for women is 260, but max for men is 258 due to progesterone being a female-only marker</t>
    </r>
  </si>
  <si>
    <r>
      <rPr>
        <b/>
        <sz val="10"/>
        <color theme="1"/>
        <rFont val="Arial"/>
        <family val="2"/>
      </rPr>
      <t xml:space="preserve">Note: </t>
    </r>
    <r>
      <rPr>
        <sz val="10"/>
        <color theme="1"/>
        <rFont val="Arial"/>
        <family val="2"/>
      </rPr>
      <t>Max for women is 143, but max for men is 140 due to progesterone being a female-only marker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</si>
</sst>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0.000"/>
    <numFmt numFmtId="165" formatCode="0.0"/>
    <numFmt numFmtId="166" formatCode="0.00000"/>
    <numFmt numFmtId="167" formatCode="0.0%"/>
    <numFmt numFmtId="168" formatCode="_(* #,##0.0_);_(* \(#,##0.0\);_(* &quot;-&quot;??_);_(@_)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7"/>
      <color rgb="FF7C37E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7" fontId="3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quotePrefix="1"/>
    <xf numFmtId="43" fontId="0" fillId="0" borderId="0" xfId="2" applyFont="1"/>
    <xf numFmtId="168" fontId="0" fillId="0" borderId="0" xfId="2" applyNumberFormat="1" applyFont="1"/>
    <xf numFmtId="167" fontId="0" fillId="0" borderId="0" xfId="1" applyNumberFormat="1" applyFont="1"/>
    <xf numFmtId="0" fontId="4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55">
    <dxf>
      <font>
        <color rgb="FFFF0000"/>
      </font>
      <fill>
        <patternFill>
          <bgColor rgb="FFFFC1C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0"/>
        </patternFill>
      </fill>
      <border>
        <top style="double">
          <color auto="1"/>
        </top>
      </border>
    </dxf>
    <dxf>
      <font>
        <b/>
        <i val="0"/>
        <color theme="1"/>
      </font>
      <fill>
        <patternFill>
          <bgColor theme="0"/>
        </patternFill>
      </fill>
      <border diagonalUp="1">
        <bottom style="medium">
          <color auto="1"/>
        </bottom>
        <diagonal style="medium">
          <color auto="1"/>
        </diagonal>
      </border>
    </dxf>
    <dxf>
      <font>
        <color theme="1" tint="0.24994659260841701"/>
      </font>
      <fill>
        <patternFill>
          <bgColor theme="0" tint="-4.9989318521683403E-2"/>
        </patternFill>
      </fill>
      <border>
        <horizontal style="dashed">
          <color rgb="FFC7F475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%"/>
    </dxf>
    <dxf>
      <numFmt numFmtId="165" formatCode="0.0"/>
    </dxf>
    <dxf>
      <numFmt numFmtId="0" formatCode="General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</font>
      <border>
        <top style="double">
          <color auto="1"/>
        </top>
      </border>
    </dxf>
    <dxf>
      <font>
        <color theme="1"/>
      </font>
      <border>
        <bottom style="medium">
          <color auto="1"/>
        </bottom>
      </border>
    </dxf>
    <dxf>
      <border>
        <horizontal style="hair">
          <color auto="1"/>
        </horizontal>
      </border>
    </dxf>
  </dxfs>
  <tableStyles count="2" defaultTableStyle="TableStyleMedium2" defaultPivotStyle="PivotStyleLight16">
    <tableStyle name="Table Style 1" pivot="0" count="3" xr9:uid="{98515462-0323-4023-B745-A93970CE856C}">
      <tableStyleElement type="wholeTable" dxfId="54"/>
      <tableStyleElement type="headerRow" dxfId="53"/>
      <tableStyleElement type="totalRow" dxfId="52"/>
    </tableStyle>
    <tableStyle name="Table Style 1 2" pivot="0" count="3" xr9:uid="{3E1C38ED-B173-47E8-B88D-6A8D0DE93291}">
      <tableStyleElement type="wholeTable" dxfId="4"/>
      <tableStyleElement type="headerRow" dxfId="3"/>
      <tableStyleElement type="totalRow" dxfId="2"/>
    </tableStyle>
  </tableStyles>
  <colors>
    <mruColors>
      <color rgb="FFFFC1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0FE29F-CFF5-4369-B57F-E6A31D5BC676}" name="LevelWeights" displayName="LevelWeights" ref="B2:C5" totalsRowShown="0">
  <autoFilter ref="B2:C5" xr:uid="{920FE29F-CFF5-4369-B57F-E6A31D5BC676}">
    <filterColumn colId="0" hiddenButton="1"/>
    <filterColumn colId="1" hiddenButton="1"/>
  </autoFilter>
  <tableColumns count="2">
    <tableColumn id="1" xr3:uid="{933C821A-06E6-41E2-80E9-971660F892D3}" name="Level"/>
    <tableColumn id="2" xr3:uid="{7B44B785-230A-4785-8419-2E1C5D89FBA2}" name="LevelWeight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8B5F9-CB85-4F0E-9D6E-0806D70934C2}" name="PatientValues" displayName="PatientValues" ref="B2:I76" totalsRowCount="1">
  <autoFilter ref="B2:I75" xr:uid="{DEF8B5F9-CB85-4F0E-9D6E-0806D70934C2}"/>
  <tableColumns count="8">
    <tableColumn id="1" xr3:uid="{F910B4AF-3A17-4907-9BE6-D8A4488001F9}" name="Marker" totalsRowLabel="Total"/>
    <tableColumn id="2" xr3:uid="{F1DAED2C-C6A2-444F-BD4F-78A182775170}" name="Healthful Nutrition Weight" totalsRowFunction="sum" dataDxfId="18">
      <calculatedColumnFormula>VLOOKUP($B3,FactorScores[],3,FALSE)*Markers_Raw_Max[[#This Row],[Healthful Nutrition Weight]]*HN_Marker_Norm</calculatedColumnFormula>
    </tableColumn>
    <tableColumn id="3" xr3:uid="{9CDB5431-5C5B-4A43-AAC1-7CCBCB593474}" name="Movement + Exercise Weight" totalsRowFunction="sum" dataDxfId="17">
      <calculatedColumnFormula>VLOOKUP($B3,FactorScores[],3,FALSE)*Markers_Raw_Max[[#This Row],[Movement + Exercise Weight]]*ME_Marker_Norm</calculatedColumnFormula>
    </tableColumn>
    <tableColumn id="4" xr3:uid="{B7417B1A-05A0-4E65-811C-07F70319FF97}" name="Restorative Sleep Weight" totalsRowFunction="sum" dataDxfId="16">
      <calculatedColumnFormula>VLOOKUP($B3,FactorScores[],3,FALSE)*Markers_Raw_Max[[#This Row],[Restorative Sleep Weight]]*RS_Marker_Norm</calculatedColumnFormula>
    </tableColumn>
    <tableColumn id="5" xr3:uid="{0581AB75-2367-4BC5-BE5C-47E374A3076F}" name="Stress Management Weight" totalsRowFunction="sum" dataDxfId="15">
      <calculatedColumnFormula>VLOOKUP($B3,FactorScores[],3,FALSE)*Markers_Raw_Max[[#This Row],[Stress Management Weight]]*SM_Marker_Norm</calculatedColumnFormula>
    </tableColumn>
    <tableColumn id="6" xr3:uid="{E6ADCD91-A16F-445A-82CE-E1A1CEA47724}" name="Cognitive Health Weight" totalsRowFunction="sum" dataDxfId="14">
      <calculatedColumnFormula>VLOOKUP($B3,FactorScores[],3,FALSE)*Markers_Raw_Max[[#This Row],[Cognitive Health Weight]]*CH_Marker_Norm</calculatedColumnFormula>
    </tableColumn>
    <tableColumn id="7" xr3:uid="{233B0D83-EDB7-4E30-AC35-F94A5C1046E3}" name="Connection + Purpose Weight" totalsRowFunction="sum" dataDxfId="13">
      <calculatedColumnFormula>VLOOKUP($B3,FactorScores[],3,FALSE)*Markers_Raw_Max[[#This Row],[Connection + Purpose Weight]]*CP_Marker_Norm</calculatedColumnFormula>
    </tableColumn>
    <tableColumn id="8" xr3:uid="{F3DBF80A-92BC-4A3B-A0A2-DCE05CA7C761}" name="Core Care Weight" totalsRowFunction="sum" dataDxfId="12">
      <calculatedColumnFormula>VLOOKUP($B3,FactorScores[],3,FALSE)*Markers_Raw_Max[[#This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930A60-A738-4E0B-A314-9812F2043676}" name="Sample_Patient_Norm_Dif" displayName="Sample_Patient_Norm_Dif" ref="B2:I75" totalsRowShown="0">
  <tableColumns count="8">
    <tableColumn id="1" xr3:uid="{10B63309-EE1D-4F72-B175-8D0E568B1BA6}" name="Marker"/>
    <tableColumn id="2" xr3:uid="{3C4E14EA-7766-4B5E-9EFF-2944D22BF227}" name="Healthful Nutrition Weight" dataDxfId="11">
      <calculatedColumnFormula>FactorPillarNormalized[[#This Row],[Healthful Nutrition Weight]]-PatientValues[[#This Row],[Healthful Nutrition Weight]]</calculatedColumnFormula>
    </tableColumn>
    <tableColumn id="3" xr3:uid="{280E2E6C-70AD-4961-AC50-BA48DCE94B27}" name="Movement + Exercise Weight" dataDxfId="10">
      <calculatedColumnFormula>FactorPillarNormalized[[#This Row],[Movement + Exercise Weight]]-PatientValues[[#This Row],[Movement + Exercise Weight]]</calculatedColumnFormula>
    </tableColumn>
    <tableColumn id="4" xr3:uid="{93E80520-215E-427F-AEC2-BF0AB79BDDB0}" name="Restorative Sleep Weight" dataDxfId="9">
      <calculatedColumnFormula>FactorPillarNormalized[[#This Row],[Restorative Sleep Weight]]-PatientValues[[#This Row],[Restorative Sleep Weight]]</calculatedColumnFormula>
    </tableColumn>
    <tableColumn id="5" xr3:uid="{B04ED05F-19D8-4A88-B0A2-084CE54637C2}" name="Stress Management Weight" dataDxfId="8">
      <calculatedColumnFormula>VLOOKUP(Sample_Patient_Norm!$B3,FactorScores[],3,FALSE)*Markers_Raw_Max[[#This Row],[Stress Management Weight]]*SM_Marker_Norm</calculatedColumnFormula>
    </tableColumn>
    <tableColumn id="6" xr3:uid="{3969BA3C-17E1-4F50-8CD1-1E477A4BCA2C}" name="Cognitive Health Weight" dataDxfId="7">
      <calculatedColumnFormula>VLOOKUP(Sample_Patient_Norm!$B3,FactorScores[],3,FALSE)*Markers_Raw_Max[[#This Row],[Cognitive Health Weight]]*CH_Marker_Norm</calculatedColumnFormula>
    </tableColumn>
    <tableColumn id="7" xr3:uid="{D586E7C7-8F5E-4147-B567-8697181D1C01}" name="Connection + Purpose Weight" dataDxfId="6">
      <calculatedColumnFormula>VLOOKUP(Sample_Patient_Norm!$B3,FactorScores[],3,FALSE)*Markers_Raw_Max[[#This Row],[Connection + Purpose Weight]]*CP_Marker_Norm</calculatedColumnFormula>
    </tableColumn>
    <tableColumn id="8" xr3:uid="{B62BA66B-10D2-4366-8398-6D132B4A0850}" name="Core Care Weight" dataDxfId="5">
      <calculatedColumnFormula>VLOOKUP(Sample_Patient_Norm!$B3,FactorScores[],3,FALSE)*Markers_Raw_Max[[#This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B39CEA-CE06-4294-AE49-40D26FF5CF3F}" name="Table5" displayName="Table5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08A5A26-512C-4989-8932-7934795C658C}" name="RAW_WEIGHT" totalsRowLabel="Total"/>
    <tableColumn id="2" xr3:uid="{72C6598B-EABA-4C2F-B8AB-5D7C794BCD65}" name="COUNT_MARKERS"/>
    <tableColumn id="3" xr3:uid="{C4929766-CCA1-4A91-B758-B1C32B0939B1}" name="COUNT_METRICS"/>
    <tableColumn id="4" xr3:uid="{B9D018B7-A853-4042-B8E9-95FD809DA8E0}" name="MARKER_METRIC_TOTAL" totalsRowFunction="sum"/>
    <tableColumn id="5" xr3:uid="{5A049FE4-4D2B-4B90-A7FB-13D591F1248E}" name="COUNT_COMPLEX"/>
    <tableColumn id="6" xr3:uid="{94B8E3AD-7AA7-4806-A81A-20EEB3BE6ECA}" name="COUNT_STANDARD"/>
    <tableColumn id="7" xr3:uid="{87BDE9F7-408F-4DD1-9478-0B207FDC97ED}" name="SURVEY_TOTAL" totalsRowFunction="sum"/>
  </tableColumns>
  <tableStyleInfo name="Table Style 1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CDF479-B790-4886-A5AF-9D84D67B4FDC}" name="Table512" displayName="Table512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9364903-03CF-4AE5-BEBB-FCB6F256301C}" name="RAW_WEIGHT" totalsRowLabel="Total"/>
    <tableColumn id="2" xr3:uid="{29493AAC-67EA-4BC4-BB07-CE360D9ABAA7}" name="COUNT_MARKERS"/>
    <tableColumn id="3" xr3:uid="{5E195F0E-0223-43DB-81BD-CF7385423DCF}" name="COUNT_METRICS"/>
    <tableColumn id="4" xr3:uid="{2750E800-E42C-4B8B-BA4C-20AD008A9F50}" name="MARKER_METRIC_TOTAL" totalsRowFunction="sum"/>
    <tableColumn id="5" xr3:uid="{F614B0AC-F1EB-412C-99A4-7CBAEF9563F5}" name="COUNT_COMPLEX"/>
    <tableColumn id="6" xr3:uid="{9F2A27D7-F195-4583-B0AB-5A356F806A39}" name="COUNT_STANDARD"/>
    <tableColumn id="7" xr3:uid="{F3C2237D-2C43-4275-BBF3-9B20382A5FD1}" name="SURVEY_TOTAL" totalsRowFunction="sum"/>
  </tableColumns>
  <tableStyleInfo name="Table Style 1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50A78A-FD82-43D7-81CF-9424C1060CEC}" name="Table51213" displayName="Table51213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F50182-4911-4F2F-B95E-05A616FDFFC7}" name="RAW_WEIGHT" totalsRowLabel="Total"/>
    <tableColumn id="2" xr3:uid="{B3FC15E9-0559-4ADF-8E0D-B6373DB670BD}" name="COUNT_MARKERS"/>
    <tableColumn id="3" xr3:uid="{AD25DB3C-18C5-4CF8-9461-D362E3868B70}" name="COUNT_METRICS"/>
    <tableColumn id="4" xr3:uid="{C52CD051-A3E1-4971-A8FF-8CB691BA8AC7}" name="MARKER_METRIC_TOTAL" totalsRowFunction="sum"/>
    <tableColumn id="5" xr3:uid="{C2F99B5A-214F-45C7-AB36-9602B5E552A5}" name="COUNT_COMPLEX"/>
    <tableColumn id="6" xr3:uid="{DF194006-E67E-4327-BDE4-E91BA1EED462}" name="COUNT_STANDARD"/>
    <tableColumn id="7" xr3:uid="{21DD399D-4C8E-48F7-A8C1-8B29A4169B20}" name="SURVEY_TOTAL" totalsRowFunction="sum"/>
  </tableColumns>
  <tableStyleInfo name="Table Style 1 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96182B-6674-4EC6-8DBB-A16E457D624E}" name="Table5121314" displayName="Table5121314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43793CF-3E09-4944-A981-B8276A51EB3E}" name="RAW_WEIGHT" totalsRowLabel="Total"/>
    <tableColumn id="2" xr3:uid="{3667A5A5-0828-4897-AD27-D14D313F5DFB}" name="COUNT_MARKERS"/>
    <tableColumn id="3" xr3:uid="{AFB3EF05-EBF9-4D64-B62C-E75A4A1BC54B}" name="COUNT_METRICS"/>
    <tableColumn id="4" xr3:uid="{F8807829-AAF8-4978-8074-E9B806DEEFAC}" name="MARKER_METRIC_TOTAL" totalsRowFunction="sum"/>
    <tableColumn id="5" xr3:uid="{FDDEAEE5-0838-4FF3-9004-C59392D95316}" name="COUNT_COMPLEX"/>
    <tableColumn id="6" xr3:uid="{B3D6F417-FE44-4252-80CA-19EA9823A1C6}" name="COUNT_STANDARD"/>
    <tableColumn id="7" xr3:uid="{D2828B87-6CEF-44F2-B502-09050F9DE711}" name="SURVEY_TOTAL" totalsRowFunction="sum"/>
  </tableColumns>
  <tableStyleInfo name="Table Style 1 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FA1B96A-FDB7-42B0-AA91-502D02468F45}" name="Table512131415" displayName="Table512131415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E3AB07-C533-4D55-95DD-EFDC6A318121}" name="RAW_WEIGHT" totalsRowLabel="Total"/>
    <tableColumn id="2" xr3:uid="{A5396269-DBDB-49AE-8359-FBB576542393}" name="COUNT_MARKERS"/>
    <tableColumn id="3" xr3:uid="{31A330BB-2AD4-4FE3-8263-E2410B64FAE8}" name="COUNT_METRICS"/>
    <tableColumn id="4" xr3:uid="{FDECA0C3-029D-4812-BCAC-810CDC7E99A0}" name="MARKER_METRIC_TOTAL" totalsRowFunction="sum"/>
    <tableColumn id="5" xr3:uid="{9BCB9E2C-7693-4609-9D10-996949A1AE46}" name="COUNT_COMPLEX"/>
    <tableColumn id="6" xr3:uid="{A2CBE505-94AB-481E-8C0C-A638821C46C4}" name="COUNT_STANDARD"/>
    <tableColumn id="7" xr3:uid="{C66448DD-4427-4DBE-9F8D-28582CC1A3ED}" name="SURVEY_TOTAL" totalsRowFunction="sum"/>
  </tableColumns>
  <tableStyleInfo name="Table Style 1 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DB71C9-AA5A-4C86-BDB7-FC62126B4205}" name="Table51213141516" displayName="Table51213141516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2795425-5B8A-4624-A4C1-AFDE3730B4A0}" name="RAW_WEIGHT" totalsRowLabel="Total"/>
    <tableColumn id="2" xr3:uid="{30B74E9B-CF48-4D97-B612-F5E8D9005BB1}" name="COUNT_MARKERS"/>
    <tableColumn id="3" xr3:uid="{EDA3C9CE-76A2-4718-837D-B2724BC043D2}" name="COUNT_METRICS"/>
    <tableColumn id="4" xr3:uid="{8A3EBCEB-EF67-422D-B3CE-166FC248846B}" name="MARKER_METRIC_TOTAL" totalsRowFunction="sum"/>
    <tableColumn id="5" xr3:uid="{C3908294-D5EE-46E2-9903-F7EED2ED65AA}" name="COUNT_COMPLEX"/>
    <tableColumn id="6" xr3:uid="{2B295A78-233F-4659-9C8A-3F521E95EC6A}" name="COUNT_STANDARD"/>
    <tableColumn id="7" xr3:uid="{4B11D957-60A2-46E3-8C36-8E47CA16EC4E}" name="SURVEY_TOTAL" totalsRowFunction="sum"/>
  </tableColumns>
  <tableStyleInfo name="Table Style 1 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A363AA4-B72D-4223-941C-48B07E16FD6C}" name="Table5121314151617" displayName="Table5121314151617" ref="B2:H24" totalsRowCount="1">
  <autoFilter ref="B2:H23" xr:uid="{97B39CEA-CE06-4294-AE49-40D26FF5CF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7C28BAA-39AA-419F-B661-32831601E9FF}" name="RAW_WEIGHT" totalsRowLabel="Total"/>
    <tableColumn id="2" xr3:uid="{72A6A2AD-47A3-42F6-A0CB-76E530CD9DC8}" name="COUNT_MARKERS"/>
    <tableColumn id="3" xr3:uid="{3C711673-657E-42CE-A9FE-BD1982A0BAB1}" name="COUNT_METRICS"/>
    <tableColumn id="4" xr3:uid="{08D94198-DF58-4571-BC6E-3802CDDF235C}" name="MARKER_METRIC_TOTAL" totalsRowFunction="sum"/>
    <tableColumn id="5" xr3:uid="{72A9EB72-266E-4CD5-B75B-F0AAD6B71E46}" name="COUNT_COMPLEX"/>
    <tableColumn id="6" xr3:uid="{75CE2F96-49F7-45CB-B49A-0B9E6049A95F}" name="COUNT_STANDARD"/>
    <tableColumn id="7" xr3:uid="{34438DC9-EDF9-40CD-95AD-57A282CCA831}" name="SURVEY_TOTAL" totalsRowFunction="sum"/>
  </tableColumns>
  <tableStyleInfo name="Table Style 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57E5C4-BC10-4335-B6FD-91282057C7F5}" name="TypeWeights" displayName="TypeWeights" ref="E2:F4" totalsRowShown="0">
  <autoFilter ref="E2:F4" xr:uid="{CC57E5C4-BC10-4335-B6FD-91282057C7F5}"/>
  <tableColumns count="2">
    <tableColumn id="1" xr3:uid="{EAAB4E5A-83F0-4A6D-8730-174E6D63FEDB}" name="FactorType"/>
    <tableColumn id="2" xr3:uid="{1F82AE7E-4E91-44B7-A28F-38D7B6BD1C97}" name="TypeWeight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5679BC-2AFF-4979-9F53-DBDFDEADD1A5}" name="PillarWeights" displayName="PillarWeights" ref="B2:O9" totalsRowShown="0">
  <autoFilter ref="B2:O9" xr:uid="{045679BC-2AFF-4979-9F53-DBDFDEADD1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8C11330-056A-467E-8B0C-9062F8655C6C}" name="Pillar"/>
    <tableColumn id="2" xr3:uid="{B746B74E-8E03-4243-9822-E4B77D890AD5}" name="PillarWeight" dataDxfId="51"/>
    <tableColumn id="3" xr3:uid="{131C71CF-B69F-4408-BCC6-7CC72F5677F0}" name="Marker %" dataDxfId="50"/>
    <tableColumn id="4" xr3:uid="{21942E5C-3142-439E-AF89-2BA724595B31}" name="Survey %" dataDxfId="49"/>
    <tableColumn id="5" xr3:uid="{9929A771-DACD-484E-862B-6BCCDCE2D1EC}" name="Education %" dataDxfId="48"/>
    <tableColumn id="6" xr3:uid="{F102C24D-006C-4111-B93B-2A418FAF793A}" name="Marker Max" dataDxfId="47"/>
    <tableColumn id="7" xr3:uid="{120010EB-624E-41A2-A207-0F4178521BD7}" name="Survey Max" dataDxfId="46"/>
    <tableColumn id="8" xr3:uid="{1F0B2DF1-6A3A-4708-AD91-9338832F0D49}" name="Education Max" dataDxfId="45"/>
    <tableColumn id="9" xr3:uid="{757E5AB0-83E6-402F-B2A5-A79F712C4926}" name="Marker Norm Mult" dataCellStyle="Comma">
      <calculatedColumnFormula>100/PillarWeights[[#This Row],[Marker Max]]*PillarWeights[[#This Row],[Marker %]]</calculatedColumnFormula>
    </tableColumn>
    <tableColumn id="10" xr3:uid="{055CE9AD-D854-4ACD-92E0-67EF16EB6969}" name="Survey Norm Mult" dataDxfId="44" dataCellStyle="Comma">
      <calculatedColumnFormula>100/PillarWeights[[#This Row],[Survey Max]]*PillarWeights[[#This Row],[Survey %]]</calculatedColumnFormula>
    </tableColumn>
    <tableColumn id="11" xr3:uid="{3D98E22B-0DA9-40A6-89D4-5754D8EE95B7}" name="Education Norm Mult" dataDxfId="43" dataCellStyle="Comma">
      <calculatedColumnFormula>100/PillarWeights[[#This Row],[Education Max]]*PillarWeights[[#This Row],[Education %]]</calculatedColumnFormula>
    </tableColumn>
    <tableColumn id="12" xr3:uid="{9BC4E747-929A-46D8-A39B-D391CDA8C267}" name="Marker Norm Max" dataDxfId="42" dataCellStyle="Comma">
      <calculatedColumnFormula>PillarWeights[[#This Row],[Marker Norm Mult]]*PillarWeights[[#This Row],[Marker Max]]</calculatedColumnFormula>
    </tableColumn>
    <tableColumn id="13" xr3:uid="{00398716-A18A-4A7B-9806-011B8184CCFA}" name="Survey Norm Max" dataDxfId="41" dataCellStyle="Comma">
      <calculatedColumnFormula>PillarWeights[[#This Row],[Survey Max]]*PillarWeights[[#This Row],[Survey Norm Mult]]</calculatedColumnFormula>
    </tableColumn>
    <tableColumn id="14" xr3:uid="{7E6AED03-AAEB-4A76-A74E-B38837482DF4}" name="Education Norm Max" dataDxfId="40" dataCellStyle="Comma">
      <calculatedColumnFormula>PillarWeights[[#This Row],[Education Norm Mult]]*PillarWeights[[#This Row],[Education Max]]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6862CB5-3BE3-4312-B148-799F9508E096}" name="Patient_Pillar_Potential" displayName="Patient_Pillar_Potential" ref="B2:R9" totalsRowShown="0">
  <autoFilter ref="B2:R9" xr:uid="{C6862CB5-3BE3-4312-B148-799F9508E0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A677C68-6E72-420B-9523-61DE0EE355FC}" name="Pillar"/>
    <tableColumn id="10" xr3:uid="{91E217CD-2444-4A93-BF92-3A530B41804D}" name="Marker Raw" dataDxfId="39"/>
    <tableColumn id="2" xr3:uid="{5226C5B9-105C-4989-BD84-799990111959}" name="Survey Raw"/>
    <tableColumn id="3" xr3:uid="{7172C116-5510-47F8-9BA8-EAF38A8C11E4}" name="Education Raw"/>
    <tableColumn id="11" xr3:uid="{23246FC1-609F-484C-933E-E25123F4E09D}" name="Marker Norm" dataDxfId="38">
      <calculatedColumnFormula>Patient_Pillar_Potential[[#This Row],[Marker Raw]]*VLOOKUP(Patient_Pillar_Potential[[#This Row],[Pillar]],PillarWeights[#All],9,FALSE)</calculatedColumnFormula>
    </tableColumn>
    <tableColumn id="4" xr3:uid="{E19EF3BA-6889-452A-B025-3E9718957DB5}" name="Survey Norm" dataDxfId="37">
      <calculatedColumnFormula>Patient_Pillar_Potential[[#This Row],[Survey Raw]]*VLOOKUP(Patient_Pillar_Potential[[#This Row],[Pillar]],PillarWeights[#All],10,FALSE)</calculatedColumnFormula>
    </tableColumn>
    <tableColumn id="5" xr3:uid="{D12C887C-CEAA-4119-9628-4CE17FA0AD73}" name="Education Norm" dataDxfId="36">
      <calculatedColumnFormula>Patient_Pillar_Potential[[#This Row],[Education Raw]]*VLOOKUP(Patient_Pillar_Potential[[#This Row],[Pillar]],PillarWeights[#All],11,FALSE)</calculatedColumnFormula>
    </tableColumn>
    <tableColumn id="14" xr3:uid="{01005A68-4FB9-42A7-9767-1F394EA8B7A8}" name="Total Norm" dataDxfId="35">
      <calculatedColumnFormula>Patient_Pillar_Potential[[#This Row],[Marker Norm]]+Patient_Pillar_Potential[[#This Row],[Survey Norm]]+Patient_Pillar_Potential[[#This Row],[Education Norm]]</calculatedColumnFormula>
    </tableColumn>
    <tableColumn id="12" xr3:uid="{0C6229A1-FDEF-467F-87FA-CB7200020054}" name="Marker Norm Max" dataDxfId="34">
      <calculatedColumnFormula>VLOOKUP(Patient_Pillar_Potential[[#This Row],[Pillar]],PillarWeights[#All],12,FALSE)</calculatedColumnFormula>
    </tableColumn>
    <tableColumn id="6" xr3:uid="{5BAEF607-D648-47DF-9521-80EF7D476C55}" name="Survey Norm Max" dataDxfId="33">
      <calculatedColumnFormula>VLOOKUP(Patient_Pillar_Potential[[#This Row],[Pillar]],PillarWeights[#All],13,FALSE)</calculatedColumnFormula>
    </tableColumn>
    <tableColumn id="7" xr3:uid="{38E97279-1822-4DBE-8CB2-21A58A399455}" name="Education Norm Max" dataDxfId="32">
      <calculatedColumnFormula>VLOOKUP(Patient_Pillar_Potential[[#This Row],[Pillar]],PillarWeights[#All],14,FALSE)</calculatedColumnFormula>
    </tableColumn>
    <tableColumn id="15" xr3:uid="{40A8FA1D-1AEE-4225-A6BE-38828CE77D0A}" name="Total Norm Max" dataDxfId="31">
      <calculatedColumnFormula>Patient_Pillar_Potential[[#This Row],[Marker Norm Max]]+Patient_Pillar_Potential[[#This Row],[Survey Norm Max]]+Patient_Pillar_Potential[[#This Row],[Education Norm Max]]</calculatedColumnFormula>
    </tableColumn>
    <tableColumn id="13" xr3:uid="{255457EB-8475-4AF2-972F-CE22DA7E4215}" name="Marker Norm Potential" dataDxfId="30">
      <calculatedColumnFormula>Patient_Pillar_Potential[[#This Row],[Marker Norm Max]]-Patient_Pillar_Potential[[#This Row],[Marker Norm]]</calculatedColumnFormula>
    </tableColumn>
    <tableColumn id="8" xr3:uid="{373BC32B-7847-4EFA-B87B-7833DA87344F}" name="Survey Norm Potential" dataDxfId="29">
      <calculatedColumnFormula>Patient_Pillar_Potential[[#This Row],[Survey Norm Max]]-Patient_Pillar_Potential[[#This Row],[Survey Norm]]</calculatedColumnFormula>
    </tableColumn>
    <tableColumn id="9" xr3:uid="{8DA94CD8-81DB-424B-8EAB-A9D3F6A7AC57}" name="Education Norm Potential" dataDxfId="28">
      <calculatedColumnFormula>VLOOKUP(Patient_Pillar_Potential[[#This Row],[Pillar]],PillarWeights[#All],14,FALSE)</calculatedColumnFormula>
    </tableColumn>
    <tableColumn id="16" xr3:uid="{0A3A691C-647F-4C75-A851-B467F3371E0A}" name="Total Norm Potential" dataDxfId="27">
      <calculatedColumnFormula>Patient_Pillar_Potential[[#This Row],[Total Norm Max]]-Patient_Pillar_Potential[[#This Row],[Total Norm]]</calculatedColumnFormula>
    </tableColumn>
    <tableColumn id="17" xr3:uid="{2D0C451A-C13C-419A-9818-A472D5E9B4D7}" name="PotentialPct" dataDxfId="26" dataCellStyle="Percent">
      <calculatedColumnFormula>(Patient_Pillar_Potential[[#This Row],[Marker Norm Max]]-Patient_Pillar_Potential[[#This Row],[Marker Norm]])/Patient_Pillar_Potential[[#This Row],[Marker Norm]]</calculatedColumnFormula>
    </tableColumn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EC4CD-787A-43F0-B82F-EBBEA23A9B63}" name="Recs" displayName="Recs" ref="B2:J330" totalsRowShown="0">
  <autoFilter ref="B2:J330" xr:uid="{CA6EC4CD-787A-43F0-B82F-EBBEA23A9B63}"/>
  <tableColumns count="9">
    <tableColumn id="1" xr3:uid="{08E733CA-DB21-4010-83A8-C8F611ED688A}" name="ID"/>
    <tableColumn id="9" xr3:uid="{2F7D01D4-5CAA-46A0-888C-6AA17E653494}" name="Raw_Impact"/>
    <tableColumn id="2" xr3:uid="{EBA42070-8C1E-44F7-95A7-27C9416C4AA9}" name="Primary Markers"/>
    <tableColumn id="3" xr3:uid="{0E5CBD2C-5840-4666-B911-5A3A815F4D59}" name="Secondary Markers"/>
    <tableColumn id="4" xr3:uid="{B4FCB615-09AA-4516-8B41-4DD0555EA8B9}" name="Tertiary Markers"/>
    <tableColumn id="5" xr3:uid="{EBDC9C61-DAE0-42EA-8E7D-AEFB30FAB34A}" name="Primary Metrics"/>
    <tableColumn id="6" xr3:uid="{7E508C4E-C8EA-4446-84BE-FC5F96E4457C}" name="Secondary Metrics"/>
    <tableColumn id="7" xr3:uid="{DC3226E8-3038-4AC9-9ABD-5BA19BE2B4FC}" name="Tertiary Metrics"/>
    <tableColumn id="8" xr3:uid="{771ECBBE-920F-46D0-ADFF-E4CAFF4CD68E}" name="Use_case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66D35-3254-4127-84BB-121AF537F3B5}" name="Markers_Raw_Max" displayName="Markers_Raw_Max" ref="B2:I76" totalsRowCount="1">
  <autoFilter ref="B2:I75" xr:uid="{FC266D35-3254-4127-84BB-121AF537F3B5}"/>
  <tableColumns count="8">
    <tableColumn id="1" xr3:uid="{92C1FB2D-86C1-4FC2-B851-053C1B5E1025}" name="Marker" totalsRowLabel="Total"/>
    <tableColumn id="2" xr3:uid="{501A3456-171D-4803-A76E-2C07FCD600E8}" name="Healthful Nutrition Weight" totalsRowFunction="sum"/>
    <tableColumn id="3" xr3:uid="{9D2F827F-2E1B-4B1F-840A-D5FA45766F64}" name="Movement + Exercise Weight" totalsRowFunction="sum"/>
    <tableColumn id="4" xr3:uid="{96A086E0-3CF3-4431-9BCF-B5A93ECEAAC1}" name="Restorative Sleep Weight" totalsRowFunction="sum"/>
    <tableColumn id="5" xr3:uid="{D4DC84ED-064A-4BC6-9830-D3D5FEAA5FEE}" name="Stress Management Weight" totalsRowFunction="sum"/>
    <tableColumn id="6" xr3:uid="{BE814C0B-7992-4ACD-B30A-326301BD3ED4}" name="Cognitive Health Weight" totalsRowFunction="sum"/>
    <tableColumn id="7" xr3:uid="{31C2C84D-FAAD-4C3D-8E05-68D3734D7AC6}" name="Connection + Purpose Weight" totalsRowFunction="sum"/>
    <tableColumn id="8" xr3:uid="{F00ACD38-4F49-4879-80D2-D6BBF17DAF10}" name="Core Care Weight" totalsRowFunction="sum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8436C2-BC88-47EA-9436-79C4134E42E1}" name="FactorPillarNormalized" displayName="FactorPillarNormalized" ref="B2:I75" totalsRowShown="0">
  <autoFilter ref="B2:I75" xr:uid="{FC266D35-3254-4127-84BB-121AF537F3B5}"/>
  <tableColumns count="8">
    <tableColumn id="1" xr3:uid="{1C88630C-9594-4EB0-80F5-896F5E646572}" name="Marker"/>
    <tableColumn id="2" xr3:uid="{248D41AD-0ABC-4DD6-88CF-210889BE2C44}" name="Healthful Nutrition Weight">
      <calculatedColumnFormula>Markers_Raw_Max[[#This Row],[Healthful Nutrition Weight]]*HN_Marker_Norm</calculatedColumnFormula>
    </tableColumn>
    <tableColumn id="3" xr3:uid="{0E46CD46-DB19-4B09-8F6E-45E43ACBDB0E}" name="Movement + Exercise Weight">
      <calculatedColumnFormula>Markers_Raw_Max[[#This Row],[Movement + Exercise Weight]]*ME_Marker_Norm</calculatedColumnFormula>
    </tableColumn>
    <tableColumn id="4" xr3:uid="{2C47B11B-A898-43FE-919A-A6AF2E6D3E48}" name="Restorative Sleep Weight">
      <calculatedColumnFormula>Markers_Raw_Max[[#This Row],[Restorative Sleep Weight]]*RS_Marker_Norm</calculatedColumnFormula>
    </tableColumn>
    <tableColumn id="5" xr3:uid="{283C8319-3F8C-4948-9DCA-B76B19B7800F}" name="Stress Management Weight">
      <calculatedColumnFormula>Markers_Raw_Max[[#This Row],[Stress Management Weight]]*SM_Marker_Norm</calculatedColumnFormula>
    </tableColumn>
    <tableColumn id="6" xr3:uid="{6AC24A48-B985-401C-A4D6-644EA6FAB0EB}" name="Cognitive Health Weight">
      <calculatedColumnFormula>Markers_Raw_Max[[#This Row],[Cognitive Health Weight]]*CH_Marker_Norm</calculatedColumnFormula>
    </tableColumn>
    <tableColumn id="7" xr3:uid="{0DCE2BB3-46D3-49D2-9C7D-DD82D8349FB5}" name="Connection + Purpose Weight">
      <calculatedColumnFormula>Markers_Raw_Max[[#This Row],[Connection + Purpose Weight]]*CP_Marker_Norm</calculatedColumnFormula>
    </tableColumn>
    <tableColumn id="8" xr3:uid="{874FAA6F-737B-47E4-B778-F75BFF7C625D}" name="Core Care Weight">
      <calculatedColumnFormula>Markers_Raw_Max[[#This Row],[Core Care Weight]]*CC_Marker_Norm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EF74F3-CAD0-44D3-93DA-6EB8B91DE16D}" name="FactorScores" displayName="FactorScores" ref="B2:E75" totalsRowShown="0">
  <autoFilter ref="B2:E75" xr:uid="{09EF74F3-CAD0-44D3-93DA-6EB8B91DE16D}"/>
  <tableColumns count="4">
    <tableColumn id="1" xr3:uid="{0F40C8C2-784E-4BF4-AD5F-BB8C7F488A97}" name="FactorName"/>
    <tableColumn id="4" xr3:uid="{88DC60F6-90B0-4CA3-A05B-8A937F5D8631}" name="FactorType"/>
    <tableColumn id="3" xr3:uid="{5E6E1A35-A23A-468F-8996-A884E34DF089}" name="Score"/>
    <tableColumn id="2" xr3:uid="{8D597343-56DB-4013-B387-20C3C4740ED0}" name="Value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5AAD530-2034-4680-9B58-B40E249C4F51}" name="Patient_Pillar_Values" displayName="Patient_Pillar_Values" ref="B2:I76" totalsRowCount="1">
  <autoFilter ref="B2:I75" xr:uid="{DEF8B5F9-CB85-4F0E-9D6E-0806D70934C2}"/>
  <tableColumns count="8">
    <tableColumn id="1" xr3:uid="{790D6658-E1A6-4499-9055-E93D412C8D7E}" name="Marker" totalsRowLabel="Total"/>
    <tableColumn id="2" xr3:uid="{70183FCB-4EA6-438E-B387-A36C94C3092B}" name="Healthful Nutrition Weight" totalsRowFunction="sum" dataDxfId="25">
      <calculatedColumnFormula>VLOOKUP($B3,FactorScores[],3,FALSE)*Markers_Raw_Max[[#This Row],[Healthful Nutrition Weight]]</calculatedColumnFormula>
    </tableColumn>
    <tableColumn id="3" xr3:uid="{A48FFAE1-E6BE-4844-857C-CF268289704B}" name="Movement + Exercise Weight" totalsRowFunction="sum" dataDxfId="24">
      <calculatedColumnFormula>VLOOKUP($B3,FactorScores[],3,FALSE)*Markers_Raw_Max[[#This Row],[Movement + Exercise Weight]]</calculatedColumnFormula>
    </tableColumn>
    <tableColumn id="4" xr3:uid="{9D61316F-5224-4A48-A69B-D831F7D74023}" name="Restorative Sleep Weight" totalsRowFunction="sum" dataDxfId="23">
      <calculatedColumnFormula>VLOOKUP($B3,FactorScores[],3,FALSE)*Markers_Raw_Max[[#This Row],[Restorative Sleep Weight]]</calculatedColumnFormula>
    </tableColumn>
    <tableColumn id="5" xr3:uid="{C7909BA0-113B-4E4E-BDCE-AC4EA49B2997}" name="Stress Management Weight" totalsRowFunction="sum" dataDxfId="22">
      <calculatedColumnFormula>VLOOKUP($B3,FactorScores[],3,FALSE)*Markers_Raw_Max[[#This Row],[Stress Management Weight]]</calculatedColumnFormula>
    </tableColumn>
    <tableColumn id="6" xr3:uid="{E61A3078-3C79-463E-AE2F-75FC31A57590}" name="Cognitive Health Weight" totalsRowFunction="sum" dataDxfId="21">
      <calculatedColumnFormula>VLOOKUP($B3,FactorScores[],3,FALSE)*Markers_Raw_Max[[#This Row],[Cognitive Health Weight]]</calculatedColumnFormula>
    </tableColumn>
    <tableColumn id="7" xr3:uid="{79B0EF9D-15BC-4D8D-B1BB-6FF0F617D0CB}" name="Connection + Purpose Weight" totalsRowFunction="sum" dataDxfId="20">
      <calculatedColumnFormula>VLOOKUP($B3,FactorScores[],3,FALSE)*Markers_Raw_Max[[#This Row],[Connection + Purpose Weight]]</calculatedColumnFormula>
    </tableColumn>
    <tableColumn id="8" xr3:uid="{79A41452-5A13-4A9F-B0F9-9B850DBED771}" name="Core Care Weight" totalsRowFunction="sum" dataDxfId="19">
      <calculatedColumnFormula>VLOOKUP($B3,FactorScores[],3,FALSE)*Markers_Raw_Max[[#This Row],[Core Care Weight]]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F844-A14D-4FCB-B9CB-D07203CA172E}">
  <sheetPr>
    <tabColor theme="9"/>
  </sheetPr>
  <dimension ref="A1"/>
  <sheetViews>
    <sheetView workbookViewId="0">
      <selection activeCell="K50" sqref="K50"/>
    </sheetView>
  </sheetViews>
  <sheetFormatPr defaultRowHeight="12.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BE86-5504-48D7-8759-246F3F86059A}">
  <dimension ref="B2:E75"/>
  <sheetViews>
    <sheetView showGridLines="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B2" sqref="B2:E75"/>
    </sheetView>
  </sheetViews>
  <sheetFormatPr defaultRowHeight="12.5" x14ac:dyDescent="0.25"/>
  <cols>
    <col min="2" max="2" width="44.54296875" bestFit="1" customWidth="1"/>
    <col min="3" max="4" width="12.1796875" bestFit="1" customWidth="1"/>
    <col min="5" max="5" width="11.81640625" bestFit="1" customWidth="1"/>
    <col min="6" max="6" width="10.81640625" customWidth="1"/>
    <col min="11" max="11" width="44.54296875" bestFit="1" customWidth="1"/>
    <col min="12" max="12" width="23.08984375" bestFit="1" customWidth="1"/>
    <col min="13" max="13" width="26.6328125" bestFit="1" customWidth="1"/>
    <col min="14" max="14" width="23.54296875" bestFit="1" customWidth="1"/>
    <col min="15" max="15" width="25.453125" bestFit="1" customWidth="1"/>
    <col min="16" max="16" width="22.08984375" bestFit="1" customWidth="1"/>
    <col min="17" max="17" width="27" bestFit="1" customWidth="1"/>
    <col min="18" max="18" width="17.54296875" bestFit="1" customWidth="1"/>
    <col min="20" max="20" width="44.54296875" bestFit="1" customWidth="1"/>
    <col min="21" max="21" width="23.08984375" bestFit="1" customWidth="1"/>
    <col min="22" max="22" width="26.6328125" bestFit="1" customWidth="1"/>
    <col min="23" max="23" width="23.54296875" bestFit="1" customWidth="1"/>
    <col min="24" max="24" width="25.453125" bestFit="1" customWidth="1"/>
    <col min="25" max="25" width="22.08984375" bestFit="1" customWidth="1"/>
    <col min="26" max="26" width="27" bestFit="1" customWidth="1"/>
    <col min="27" max="27" width="17.54296875" bestFit="1" customWidth="1"/>
  </cols>
  <sheetData>
    <row r="2" spans="2:5" x14ac:dyDescent="0.25">
      <c r="B2" t="s">
        <v>770</v>
      </c>
      <c r="C2" t="s">
        <v>769</v>
      </c>
      <c r="D2" t="s">
        <v>778</v>
      </c>
      <c r="E2" t="s">
        <v>779</v>
      </c>
    </row>
    <row r="3" spans="2:5" x14ac:dyDescent="0.25">
      <c r="B3" t="s">
        <v>36</v>
      </c>
      <c r="C3" t="s">
        <v>28</v>
      </c>
      <c r="D3">
        <v>1</v>
      </c>
      <c r="E3">
        <v>194.2</v>
      </c>
    </row>
    <row r="4" spans="2:5" x14ac:dyDescent="0.25">
      <c r="B4" t="s">
        <v>37</v>
      </c>
      <c r="C4" t="s">
        <v>28</v>
      </c>
      <c r="D4">
        <v>0.54361453817939298</v>
      </c>
      <c r="E4">
        <v>96.8</v>
      </c>
    </row>
    <row r="5" spans="2:5" x14ac:dyDescent="0.25">
      <c r="B5" t="s">
        <v>38</v>
      </c>
      <c r="C5" t="s">
        <v>28</v>
      </c>
      <c r="D5">
        <v>1</v>
      </c>
      <c r="E5">
        <v>73.3</v>
      </c>
    </row>
    <row r="6" spans="2:5" x14ac:dyDescent="0.25">
      <c r="B6" t="s">
        <v>39</v>
      </c>
      <c r="C6" t="s">
        <v>28</v>
      </c>
      <c r="D6">
        <v>0.50337668834417204</v>
      </c>
      <c r="E6">
        <v>41.23</v>
      </c>
    </row>
    <row r="7" spans="2:5" x14ac:dyDescent="0.25">
      <c r="B7" t="s">
        <v>40</v>
      </c>
      <c r="C7" t="s">
        <v>28</v>
      </c>
      <c r="D7">
        <v>0.45288557711542299</v>
      </c>
      <c r="E7">
        <v>120.6</v>
      </c>
    </row>
    <row r="8" spans="2:5" x14ac:dyDescent="0.25">
      <c r="B8" t="s">
        <v>41</v>
      </c>
      <c r="C8" t="s">
        <v>28</v>
      </c>
      <c r="D8">
        <v>0.36734234234234198</v>
      </c>
      <c r="E8">
        <v>99</v>
      </c>
    </row>
    <row r="9" spans="2:5" x14ac:dyDescent="0.25">
      <c r="B9" t="s">
        <v>42</v>
      </c>
      <c r="C9" t="s">
        <v>28</v>
      </c>
      <c r="D9">
        <v>0.50877192982456099</v>
      </c>
      <c r="E9">
        <v>6.9</v>
      </c>
    </row>
    <row r="10" spans="2:5" x14ac:dyDescent="0.25">
      <c r="B10" t="s">
        <v>43</v>
      </c>
      <c r="C10" t="s">
        <v>28</v>
      </c>
      <c r="D10">
        <v>0.233333333333333</v>
      </c>
      <c r="E10">
        <v>11.33</v>
      </c>
    </row>
    <row r="11" spans="2:5" x14ac:dyDescent="0.25">
      <c r="B11" t="s">
        <v>44</v>
      </c>
      <c r="C11" t="s">
        <v>28</v>
      </c>
      <c r="D11">
        <v>1</v>
      </c>
      <c r="E11">
        <v>6.79</v>
      </c>
    </row>
    <row r="12" spans="2:5" x14ac:dyDescent="0.25">
      <c r="B12" t="s">
        <v>45</v>
      </c>
      <c r="C12" t="s">
        <v>28</v>
      </c>
      <c r="D12">
        <v>0.67862862862862805</v>
      </c>
      <c r="E12">
        <v>39.380000000000003</v>
      </c>
    </row>
    <row r="13" spans="2:5" x14ac:dyDescent="0.25">
      <c r="B13" t="s">
        <v>46</v>
      </c>
      <c r="C13" t="s">
        <v>28</v>
      </c>
      <c r="D13">
        <v>0.383886777355471</v>
      </c>
      <c r="E13">
        <v>145.15</v>
      </c>
    </row>
    <row r="14" spans="2:5" x14ac:dyDescent="0.25">
      <c r="B14" t="s">
        <v>47</v>
      </c>
      <c r="C14" t="s">
        <v>28</v>
      </c>
      <c r="D14">
        <v>0.35365026073290901</v>
      </c>
      <c r="E14">
        <v>448.53</v>
      </c>
    </row>
    <row r="15" spans="2:5" x14ac:dyDescent="0.25">
      <c r="B15" t="s">
        <v>48</v>
      </c>
      <c r="C15" t="s">
        <v>28</v>
      </c>
      <c r="D15">
        <v>1</v>
      </c>
      <c r="E15">
        <v>30.52</v>
      </c>
    </row>
    <row r="16" spans="2:5" x14ac:dyDescent="0.25">
      <c r="B16" t="s">
        <v>49</v>
      </c>
      <c r="C16" t="s">
        <v>28</v>
      </c>
      <c r="D16">
        <v>0.36275125628140698</v>
      </c>
      <c r="E16">
        <v>2.23</v>
      </c>
    </row>
    <row r="17" spans="2:5" x14ac:dyDescent="0.25">
      <c r="B17" t="s">
        <v>50</v>
      </c>
      <c r="C17" t="s">
        <v>28</v>
      </c>
      <c r="D17">
        <v>0.62508361204013296</v>
      </c>
      <c r="E17">
        <v>7.64</v>
      </c>
    </row>
    <row r="18" spans="2:5" x14ac:dyDescent="0.25">
      <c r="B18" t="s">
        <v>51</v>
      </c>
      <c r="C18" t="s">
        <v>28</v>
      </c>
      <c r="D18">
        <v>1</v>
      </c>
      <c r="E18">
        <v>4.6900000000000004</v>
      </c>
    </row>
    <row r="19" spans="2:5" x14ac:dyDescent="0.25">
      <c r="B19" t="s">
        <v>52</v>
      </c>
      <c r="C19" t="s">
        <v>28</v>
      </c>
      <c r="D19">
        <v>1</v>
      </c>
      <c r="E19">
        <v>3.21</v>
      </c>
    </row>
    <row r="20" spans="2:5" x14ac:dyDescent="0.25">
      <c r="B20" t="s">
        <v>53</v>
      </c>
      <c r="C20" t="s">
        <v>28</v>
      </c>
      <c r="D20">
        <v>1</v>
      </c>
      <c r="E20">
        <v>1.46</v>
      </c>
    </row>
    <row r="21" spans="2:5" x14ac:dyDescent="0.25">
      <c r="B21" t="s">
        <v>54</v>
      </c>
      <c r="C21" t="s">
        <v>28</v>
      </c>
      <c r="D21">
        <v>0</v>
      </c>
      <c r="E21">
        <v>0.28999999999999998</v>
      </c>
    </row>
    <row r="22" spans="2:5" x14ac:dyDescent="0.25">
      <c r="B22" t="s">
        <v>55</v>
      </c>
      <c r="C22" t="s">
        <v>28</v>
      </c>
      <c r="D22">
        <v>0.46666666666666601</v>
      </c>
      <c r="E22">
        <v>5.46</v>
      </c>
    </row>
    <row r="23" spans="2:5" x14ac:dyDescent="0.25">
      <c r="B23" t="s">
        <v>56</v>
      </c>
      <c r="C23" t="s">
        <v>28</v>
      </c>
      <c r="D23">
        <v>0.53183183183183103</v>
      </c>
      <c r="E23">
        <v>94.8</v>
      </c>
    </row>
    <row r="24" spans="2:5" x14ac:dyDescent="0.25">
      <c r="B24" t="s">
        <v>57</v>
      </c>
      <c r="C24" t="s">
        <v>28</v>
      </c>
      <c r="D24">
        <v>0.45135270541082101</v>
      </c>
      <c r="E24">
        <v>11.4</v>
      </c>
    </row>
    <row r="25" spans="2:5" x14ac:dyDescent="0.25">
      <c r="B25" t="s">
        <v>58</v>
      </c>
      <c r="C25" t="s">
        <v>28</v>
      </c>
      <c r="D25">
        <v>0.47727272727272702</v>
      </c>
      <c r="E25">
        <v>2.68</v>
      </c>
    </row>
    <row r="26" spans="2:5" x14ac:dyDescent="0.25">
      <c r="B26" t="s">
        <v>59</v>
      </c>
      <c r="C26" t="s">
        <v>28</v>
      </c>
      <c r="D26">
        <v>1</v>
      </c>
      <c r="E26">
        <v>16.100000000000001</v>
      </c>
    </row>
    <row r="27" spans="2:5" x14ac:dyDescent="0.25">
      <c r="B27" t="s">
        <v>60</v>
      </c>
      <c r="C27" t="s">
        <v>28</v>
      </c>
      <c r="D27">
        <v>1</v>
      </c>
      <c r="E27">
        <v>14.2</v>
      </c>
    </row>
    <row r="28" spans="2:5" x14ac:dyDescent="0.25">
      <c r="B28" t="s">
        <v>61</v>
      </c>
      <c r="C28" t="s">
        <v>28</v>
      </c>
      <c r="D28">
        <v>1</v>
      </c>
      <c r="E28">
        <v>26.9</v>
      </c>
    </row>
    <row r="29" spans="2:5" x14ac:dyDescent="0.25">
      <c r="B29" t="s">
        <v>62</v>
      </c>
      <c r="C29" t="s">
        <v>28</v>
      </c>
      <c r="D29">
        <v>1</v>
      </c>
      <c r="E29">
        <v>3.7</v>
      </c>
    </row>
    <row r="30" spans="2:5" x14ac:dyDescent="0.25">
      <c r="B30" t="s">
        <v>63</v>
      </c>
      <c r="C30" t="s">
        <v>28</v>
      </c>
      <c r="D30">
        <v>0.63015171723907903</v>
      </c>
      <c r="E30">
        <v>101.97</v>
      </c>
    </row>
    <row r="31" spans="2:5" x14ac:dyDescent="0.25">
      <c r="B31" t="s">
        <v>64</v>
      </c>
      <c r="C31" t="s">
        <v>28</v>
      </c>
      <c r="D31">
        <v>0.45</v>
      </c>
      <c r="E31">
        <v>3.64</v>
      </c>
    </row>
    <row r="32" spans="2:5" x14ac:dyDescent="0.25">
      <c r="B32" t="s">
        <v>65</v>
      </c>
      <c r="C32" t="s">
        <v>28</v>
      </c>
      <c r="D32">
        <v>1</v>
      </c>
      <c r="E32">
        <v>6.9</v>
      </c>
    </row>
    <row r="33" spans="2:5" x14ac:dyDescent="0.25">
      <c r="B33" t="s">
        <v>66</v>
      </c>
      <c r="C33" t="s">
        <v>28</v>
      </c>
      <c r="D33">
        <v>1</v>
      </c>
      <c r="E33">
        <v>12.7</v>
      </c>
    </row>
    <row r="34" spans="2:5" x14ac:dyDescent="0.25">
      <c r="B34" t="s">
        <v>67</v>
      </c>
      <c r="C34" t="s">
        <v>28</v>
      </c>
      <c r="D34">
        <v>1</v>
      </c>
      <c r="E34">
        <v>41.6</v>
      </c>
    </row>
    <row r="35" spans="2:5" x14ac:dyDescent="0.25">
      <c r="B35" t="s">
        <v>68</v>
      </c>
      <c r="C35" t="s">
        <v>28</v>
      </c>
      <c r="D35">
        <v>1</v>
      </c>
      <c r="E35">
        <v>490.4</v>
      </c>
    </row>
    <row r="36" spans="2:5" x14ac:dyDescent="0.25">
      <c r="B36" t="s">
        <v>69</v>
      </c>
      <c r="C36" t="s">
        <v>28</v>
      </c>
      <c r="D36">
        <v>0.58325550366911205</v>
      </c>
      <c r="E36">
        <v>17.5</v>
      </c>
    </row>
    <row r="37" spans="2:5" x14ac:dyDescent="0.25">
      <c r="B37" t="s">
        <v>70</v>
      </c>
      <c r="C37" t="s">
        <v>28</v>
      </c>
      <c r="D37">
        <v>1</v>
      </c>
      <c r="E37">
        <v>709.5</v>
      </c>
    </row>
    <row r="38" spans="2:5" x14ac:dyDescent="0.25">
      <c r="B38" t="s">
        <v>71</v>
      </c>
      <c r="C38" t="s">
        <v>28</v>
      </c>
      <c r="D38">
        <v>0.63528676225408398</v>
      </c>
      <c r="E38">
        <v>78.900000000000006</v>
      </c>
    </row>
    <row r="39" spans="2:5" x14ac:dyDescent="0.25">
      <c r="B39" t="s">
        <v>72</v>
      </c>
      <c r="C39" t="s">
        <v>28</v>
      </c>
      <c r="D39">
        <v>0.51896551724137896</v>
      </c>
      <c r="E39">
        <v>1.21</v>
      </c>
    </row>
    <row r="40" spans="2:5" x14ac:dyDescent="0.25">
      <c r="B40" t="s">
        <v>73</v>
      </c>
      <c r="C40" t="s">
        <v>28</v>
      </c>
      <c r="D40">
        <v>1</v>
      </c>
      <c r="E40">
        <v>19.399999999999999</v>
      </c>
    </row>
    <row r="41" spans="2:5" x14ac:dyDescent="0.25">
      <c r="B41" t="s">
        <v>74</v>
      </c>
      <c r="C41" t="s">
        <v>28</v>
      </c>
      <c r="D41">
        <v>1</v>
      </c>
      <c r="E41">
        <v>0.71</v>
      </c>
    </row>
    <row r="42" spans="2:5" x14ac:dyDescent="0.25">
      <c r="B42" t="s">
        <v>75</v>
      </c>
      <c r="C42" t="s">
        <v>28</v>
      </c>
      <c r="D42">
        <v>0.65603015075376803</v>
      </c>
      <c r="E42">
        <v>10.5</v>
      </c>
    </row>
    <row r="43" spans="2:5" x14ac:dyDescent="0.25">
      <c r="B43" t="s">
        <v>76</v>
      </c>
      <c r="C43" t="s">
        <v>28</v>
      </c>
      <c r="D43">
        <v>0.64723618090452195</v>
      </c>
      <c r="E43">
        <v>16.3</v>
      </c>
    </row>
    <row r="44" spans="2:5" x14ac:dyDescent="0.25">
      <c r="B44" t="s">
        <v>77</v>
      </c>
      <c r="C44" t="s">
        <v>28</v>
      </c>
      <c r="D44">
        <v>1</v>
      </c>
      <c r="E44">
        <v>28.8</v>
      </c>
    </row>
    <row r="45" spans="2:5" x14ac:dyDescent="0.25">
      <c r="B45" t="s">
        <v>78</v>
      </c>
      <c r="C45" t="s">
        <v>28</v>
      </c>
      <c r="D45">
        <v>0.143589743589743</v>
      </c>
      <c r="E45">
        <v>0.18</v>
      </c>
    </row>
    <row r="46" spans="2:5" x14ac:dyDescent="0.25">
      <c r="B46" t="s">
        <v>79</v>
      </c>
      <c r="C46" t="s">
        <v>28</v>
      </c>
      <c r="D46">
        <v>9.87179487179487E-2</v>
      </c>
      <c r="E46">
        <v>0.21</v>
      </c>
    </row>
    <row r="47" spans="2:5" x14ac:dyDescent="0.25">
      <c r="B47" t="s">
        <v>80</v>
      </c>
      <c r="C47" t="s">
        <v>28</v>
      </c>
      <c r="D47">
        <v>0</v>
      </c>
      <c r="E47">
        <v>10.62</v>
      </c>
    </row>
    <row r="48" spans="2:5" x14ac:dyDescent="0.25">
      <c r="B48" t="s">
        <v>81</v>
      </c>
      <c r="C48" t="s">
        <v>28</v>
      </c>
      <c r="D48">
        <v>0.68571428571428605</v>
      </c>
      <c r="E48">
        <v>4.4800000000000004</v>
      </c>
    </row>
    <row r="49" spans="2:5" x14ac:dyDescent="0.25">
      <c r="B49" t="s">
        <v>82</v>
      </c>
      <c r="C49" t="s">
        <v>28</v>
      </c>
      <c r="D49">
        <v>0.121433527899097</v>
      </c>
      <c r="E49">
        <v>72.5</v>
      </c>
    </row>
    <row r="50" spans="2:5" x14ac:dyDescent="0.25">
      <c r="B50" t="s">
        <v>83</v>
      </c>
      <c r="C50" t="s">
        <v>28</v>
      </c>
      <c r="D50">
        <v>1</v>
      </c>
      <c r="E50">
        <v>10.4</v>
      </c>
    </row>
    <row r="51" spans="2:5" x14ac:dyDescent="0.25">
      <c r="B51" t="s">
        <v>84</v>
      </c>
      <c r="C51" t="s">
        <v>28</v>
      </c>
      <c r="D51">
        <v>1</v>
      </c>
      <c r="E51">
        <v>77.099999999999994</v>
      </c>
    </row>
    <row r="52" spans="2:5" x14ac:dyDescent="0.25">
      <c r="B52" t="s">
        <v>85</v>
      </c>
      <c r="C52" t="s">
        <v>28</v>
      </c>
      <c r="D52">
        <v>1</v>
      </c>
      <c r="E52">
        <v>141.4</v>
      </c>
    </row>
    <row r="53" spans="2:5" x14ac:dyDescent="0.25">
      <c r="B53" t="s">
        <v>86</v>
      </c>
      <c r="C53" t="s">
        <v>28</v>
      </c>
      <c r="D53">
        <v>1</v>
      </c>
      <c r="E53">
        <v>4.6900000000000004</v>
      </c>
    </row>
    <row r="54" spans="2:5" x14ac:dyDescent="0.25">
      <c r="B54" t="s">
        <v>87</v>
      </c>
      <c r="C54" t="s">
        <v>28</v>
      </c>
      <c r="D54">
        <v>0.58375350140056004</v>
      </c>
      <c r="E54">
        <v>108.3</v>
      </c>
    </row>
    <row r="55" spans="2:5" x14ac:dyDescent="0.25">
      <c r="B55" t="s">
        <v>88</v>
      </c>
      <c r="C55" t="s">
        <v>28</v>
      </c>
      <c r="D55">
        <v>1</v>
      </c>
      <c r="E55">
        <v>104.8</v>
      </c>
    </row>
    <row r="56" spans="2:5" x14ac:dyDescent="0.25">
      <c r="B56" t="s">
        <v>89</v>
      </c>
      <c r="C56" t="s">
        <v>28</v>
      </c>
      <c r="D56">
        <v>0.39463087248322198</v>
      </c>
      <c r="E56">
        <v>34.299999999999997</v>
      </c>
    </row>
    <row r="57" spans="2:5" x14ac:dyDescent="0.25">
      <c r="B57" t="s">
        <v>90</v>
      </c>
      <c r="C57" t="s">
        <v>28</v>
      </c>
      <c r="D57">
        <v>0.53791946308724703</v>
      </c>
      <c r="E57">
        <v>32.799999999999997</v>
      </c>
    </row>
    <row r="58" spans="2:5" x14ac:dyDescent="0.25">
      <c r="B58" t="s">
        <v>91</v>
      </c>
      <c r="C58" t="s">
        <v>28</v>
      </c>
      <c r="D58">
        <v>0.61583166332665296</v>
      </c>
      <c r="E58">
        <v>96.2</v>
      </c>
    </row>
    <row r="59" spans="2:5" x14ac:dyDescent="0.25">
      <c r="B59" t="s">
        <v>92</v>
      </c>
      <c r="C59" t="s">
        <v>28</v>
      </c>
      <c r="D59">
        <v>0.63717948717948603</v>
      </c>
      <c r="E59">
        <v>4.5199999999999996</v>
      </c>
    </row>
    <row r="60" spans="2:5" x14ac:dyDescent="0.25">
      <c r="B60" t="s">
        <v>93</v>
      </c>
      <c r="C60" t="s">
        <v>28</v>
      </c>
      <c r="D60">
        <v>0.62299229922992205</v>
      </c>
      <c r="E60">
        <v>322</v>
      </c>
    </row>
    <row r="61" spans="2:5" x14ac:dyDescent="0.25">
      <c r="B61" t="s">
        <v>94</v>
      </c>
      <c r="C61" t="s">
        <v>774</v>
      </c>
      <c r="D61">
        <v>0</v>
      </c>
      <c r="E61">
        <v>3.22</v>
      </c>
    </row>
    <row r="62" spans="2:5" x14ac:dyDescent="0.25">
      <c r="B62" t="s">
        <v>95</v>
      </c>
      <c r="C62" t="s">
        <v>774</v>
      </c>
      <c r="D62">
        <v>0.60664592131584705</v>
      </c>
      <c r="E62">
        <v>86</v>
      </c>
    </row>
    <row r="63" spans="2:5" x14ac:dyDescent="0.25">
      <c r="B63" t="s">
        <v>96</v>
      </c>
      <c r="C63" t="s">
        <v>774</v>
      </c>
      <c r="D63">
        <v>0.14028056112224399</v>
      </c>
      <c r="E63">
        <v>24</v>
      </c>
    </row>
    <row r="64" spans="2:5" x14ac:dyDescent="0.25">
      <c r="B64" t="s">
        <v>97</v>
      </c>
      <c r="C64" t="s">
        <v>774</v>
      </c>
      <c r="D64">
        <v>0.64388777555110199</v>
      </c>
      <c r="E64">
        <v>30.8</v>
      </c>
    </row>
    <row r="65" spans="2:5" x14ac:dyDescent="0.25">
      <c r="B65" t="s">
        <v>98</v>
      </c>
      <c r="C65" t="s">
        <v>774</v>
      </c>
      <c r="D65">
        <v>1</v>
      </c>
      <c r="E65">
        <v>72.2</v>
      </c>
    </row>
    <row r="66" spans="2:5" x14ac:dyDescent="0.25">
      <c r="B66" t="s">
        <v>99</v>
      </c>
      <c r="C66" t="s">
        <v>774</v>
      </c>
      <c r="D66">
        <v>0.17499999999999999</v>
      </c>
      <c r="E66">
        <v>0.87</v>
      </c>
    </row>
    <row r="67" spans="2:5" x14ac:dyDescent="0.25">
      <c r="B67" t="s">
        <v>100</v>
      </c>
      <c r="C67" t="s">
        <v>774</v>
      </c>
      <c r="D67">
        <v>0</v>
      </c>
      <c r="E67">
        <v>32.299999999999997</v>
      </c>
    </row>
    <row r="68" spans="2:5" x14ac:dyDescent="0.25">
      <c r="B68" t="s">
        <v>101</v>
      </c>
      <c r="C68" t="s">
        <v>774</v>
      </c>
      <c r="D68">
        <v>0.41029306647605301</v>
      </c>
      <c r="E68">
        <v>71.790000000000006</v>
      </c>
    </row>
    <row r="69" spans="2:5" x14ac:dyDescent="0.25">
      <c r="B69" t="s">
        <v>102</v>
      </c>
      <c r="C69" t="s">
        <v>774</v>
      </c>
      <c r="D69">
        <v>0.60277777777777697</v>
      </c>
      <c r="E69">
        <v>122.5</v>
      </c>
    </row>
    <row r="70" spans="2:5" x14ac:dyDescent="0.25">
      <c r="B70" t="s">
        <v>103</v>
      </c>
      <c r="C70" t="s">
        <v>774</v>
      </c>
      <c r="D70">
        <v>0.38048048048048</v>
      </c>
      <c r="E70">
        <v>84.56</v>
      </c>
    </row>
    <row r="71" spans="2:5" x14ac:dyDescent="0.25">
      <c r="B71" t="s">
        <v>104</v>
      </c>
      <c r="C71" t="s">
        <v>774</v>
      </c>
      <c r="D71">
        <v>0.47555110220440799</v>
      </c>
      <c r="E71">
        <v>11.6</v>
      </c>
    </row>
    <row r="72" spans="2:5" x14ac:dyDescent="0.25">
      <c r="B72" t="s">
        <v>105</v>
      </c>
      <c r="C72" t="s">
        <v>774</v>
      </c>
      <c r="D72">
        <v>0.489649415692821</v>
      </c>
      <c r="E72">
        <v>15.8</v>
      </c>
    </row>
    <row r="73" spans="2:5" x14ac:dyDescent="0.25">
      <c r="B73" t="s">
        <v>106</v>
      </c>
      <c r="C73" t="s">
        <v>774</v>
      </c>
      <c r="D73">
        <v>0.31515757878939399</v>
      </c>
      <c r="E73">
        <v>38</v>
      </c>
    </row>
    <row r="74" spans="2:5" x14ac:dyDescent="0.25">
      <c r="B74" t="s">
        <v>107</v>
      </c>
      <c r="C74" t="s">
        <v>774</v>
      </c>
      <c r="D74">
        <v>0.11997332444148</v>
      </c>
      <c r="E74">
        <v>70.28</v>
      </c>
    </row>
    <row r="75" spans="2:5" x14ac:dyDescent="0.25">
      <c r="B75" t="s">
        <v>108</v>
      </c>
      <c r="C75" t="s">
        <v>774</v>
      </c>
      <c r="D75">
        <v>0.31463231615807802</v>
      </c>
      <c r="E75">
        <v>57.97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A7BE-96D2-403F-8718-02EFE4873712}">
  <dimension ref="B2:I7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VLOOKUP($B3,FactorScores[],3,FALSE)*Markers_Raw_Max[[#This Row],[Healthful Nutrition Weight]]</f>
        <v>2</v>
      </c>
      <c r="D3">
        <f>VLOOKUP($B3,FactorScores[],3,FALSE)*Markers_Raw_Max[[#This Row],[Movement + Exercise Weight]]</f>
        <v>0</v>
      </c>
      <c r="E3">
        <f>VLOOKUP($B3,FactorScores[],3,FALSE)*Markers_Raw_Max[[#This Row],[Restorative Sleep Weight]]</f>
        <v>0</v>
      </c>
      <c r="F3">
        <f>VLOOKUP($B3,FactorScores[],3,FALSE)*Markers_Raw_Max[[#This Row],[Stress Management Weight]]</f>
        <v>0</v>
      </c>
      <c r="G3">
        <f>VLOOKUP($B3,FactorScores[],3,FALSE)*Markers_Raw_Max[[#This Row],[Cognitive Health Weight]]</f>
        <v>0</v>
      </c>
      <c r="H3">
        <f>VLOOKUP($B3,FactorScores[],3,FALSE)*Markers_Raw_Max[[#This Row],[Connection + Purpose Weight]]</f>
        <v>0</v>
      </c>
      <c r="I3">
        <f>VLOOKUP($B3,FactorScores[],3,FALSE)*Markers_Raw_Max[[#This Row],[Core Care Weight]]</f>
        <v>7</v>
      </c>
    </row>
    <row r="4" spans="2:9" x14ac:dyDescent="0.25">
      <c r="B4" t="s">
        <v>37</v>
      </c>
      <c r="C4">
        <f>VLOOKUP($B4,FactorScores[],3,FALSE)*Markers_Raw_Max[[#This Row],[Healthful Nutrition Weight]]</f>
        <v>4.3489163054351438</v>
      </c>
      <c r="D4">
        <f>VLOOKUP($B4,FactorScores[],3,FALSE)*Markers_Raw_Max[[#This Row],[Movement + Exercise Weight]]</f>
        <v>1.6308436145381791</v>
      </c>
      <c r="E4">
        <f>VLOOKUP($B4,FactorScores[],3,FALSE)*Markers_Raw_Max[[#This Row],[Restorative Sleep Weight]]</f>
        <v>0</v>
      </c>
      <c r="F4">
        <f>VLOOKUP($B4,FactorScores[],3,FALSE)*Markers_Raw_Max[[#This Row],[Stress Management Weight]]</f>
        <v>0</v>
      </c>
      <c r="G4">
        <f>VLOOKUP($B4,FactorScores[],3,FALSE)*Markers_Raw_Max[[#This Row],[Cognitive Health Weight]]</f>
        <v>3.805301767255751</v>
      </c>
      <c r="H4">
        <f>VLOOKUP($B4,FactorScores[],3,FALSE)*Markers_Raw_Max[[#This Row],[Connection + Purpose Weight]]</f>
        <v>0</v>
      </c>
      <c r="I4">
        <f>VLOOKUP($B4,FactorScores[],3,FALSE)*Markers_Raw_Max[[#This Row],[Core Care Weight]]</f>
        <v>4.3489163054351438</v>
      </c>
    </row>
    <row r="5" spans="2:9" x14ac:dyDescent="0.25">
      <c r="B5" t="s">
        <v>38</v>
      </c>
      <c r="C5">
        <f>VLOOKUP($B5,FactorScores[],3,FALSE)*Markers_Raw_Max[[#This Row],[Healthful Nutrition Weight]]</f>
        <v>5</v>
      </c>
      <c r="D5">
        <f>VLOOKUP($B5,FactorScores[],3,FALSE)*Markers_Raw_Max[[#This Row],[Movement + Exercise Weight]]</f>
        <v>4</v>
      </c>
      <c r="E5">
        <f>VLOOKUP($B5,FactorScores[],3,FALSE)*Markers_Raw_Max[[#This Row],[Restorative Sleep Weight]]</f>
        <v>0</v>
      </c>
      <c r="F5">
        <f>VLOOKUP($B5,FactorScores[],3,FALSE)*Markers_Raw_Max[[#This Row],[Stress Management Weight]]</f>
        <v>0</v>
      </c>
      <c r="G5">
        <f>VLOOKUP($B5,FactorScores[],3,FALSE)*Markers_Raw_Max[[#This Row],[Cognitive Health Weight]]</f>
        <v>0</v>
      </c>
      <c r="H5">
        <f>VLOOKUP($B5,FactorScores[],3,FALSE)*Markers_Raw_Max[[#This Row],[Connection + Purpose Weight]]</f>
        <v>0</v>
      </c>
      <c r="I5">
        <f>VLOOKUP($B5,FactorScores[],3,FALSE)*Markers_Raw_Max[[#This Row],[Core Care Weight]]</f>
        <v>6</v>
      </c>
    </row>
    <row r="6" spans="2:9" x14ac:dyDescent="0.25">
      <c r="B6" t="s">
        <v>39</v>
      </c>
      <c r="C6">
        <f>VLOOKUP($B6,FactorScores[],3,FALSE)*Markers_Raw_Max[[#This Row],[Healthful Nutrition Weight]]</f>
        <v>5.0337668834417206</v>
      </c>
      <c r="D6">
        <f>VLOOKUP($B6,FactorScores[],3,FALSE)*Markers_Raw_Max[[#This Row],[Movement + Exercise Weight]]</f>
        <v>1.0067533766883441</v>
      </c>
      <c r="E6">
        <f>VLOOKUP($B6,FactorScores[],3,FALSE)*Markers_Raw_Max[[#This Row],[Restorative Sleep Weight]]</f>
        <v>0</v>
      </c>
      <c r="F6">
        <f>VLOOKUP($B6,FactorScores[],3,FALSE)*Markers_Raw_Max[[#This Row],[Stress Management Weight]]</f>
        <v>0</v>
      </c>
      <c r="G6">
        <f>VLOOKUP($B6,FactorScores[],3,FALSE)*Markers_Raw_Max[[#This Row],[Cognitive Health Weight]]</f>
        <v>2.0135067533766882</v>
      </c>
      <c r="H6">
        <f>VLOOKUP($B6,FactorScores[],3,FALSE)*Markers_Raw_Max[[#This Row],[Connection + Purpose Weight]]</f>
        <v>0</v>
      </c>
      <c r="I6">
        <f>VLOOKUP($B6,FactorScores[],3,FALSE)*Markers_Raw_Max[[#This Row],[Core Care Weight]]</f>
        <v>4.5303901950975485</v>
      </c>
    </row>
    <row r="7" spans="2:9" x14ac:dyDescent="0.25">
      <c r="B7" t="s">
        <v>40</v>
      </c>
      <c r="C7">
        <f>VLOOKUP($B7,FactorScores[],3,FALSE)*Markers_Raw_Max[[#This Row],[Healthful Nutrition Weight]]</f>
        <v>2.2644278855771152</v>
      </c>
      <c r="D7">
        <f>VLOOKUP($B7,FactorScores[],3,FALSE)*Markers_Raw_Max[[#This Row],[Movement + Exercise Weight]]</f>
        <v>2.2644278855771152</v>
      </c>
      <c r="E7">
        <f>VLOOKUP($B7,FactorScores[],3,FALSE)*Markers_Raw_Max[[#This Row],[Restorative Sleep Weight]]</f>
        <v>0</v>
      </c>
      <c r="F7">
        <f>VLOOKUP($B7,FactorScores[],3,FALSE)*Markers_Raw_Max[[#This Row],[Stress Management Weight]]</f>
        <v>0</v>
      </c>
      <c r="G7">
        <f>VLOOKUP($B7,FactorScores[],3,FALSE)*Markers_Raw_Max[[#This Row],[Cognitive Health Weight]]</f>
        <v>0</v>
      </c>
      <c r="H7">
        <f>VLOOKUP($B7,FactorScores[],3,FALSE)*Markers_Raw_Max[[#This Row],[Connection + Purpose Weight]]</f>
        <v>0</v>
      </c>
      <c r="I7">
        <f>VLOOKUP($B7,FactorScores[],3,FALSE)*Markers_Raw_Max[[#This Row],[Core Care Weight]]</f>
        <v>0</v>
      </c>
    </row>
    <row r="8" spans="2:9" x14ac:dyDescent="0.25">
      <c r="B8" t="s">
        <v>41</v>
      </c>
      <c r="C8">
        <f>VLOOKUP($B8,FactorScores[],3,FALSE)*Markers_Raw_Max[[#This Row],[Healthful Nutrition Weight]]</f>
        <v>3.6734234234234195</v>
      </c>
      <c r="D8">
        <f>VLOOKUP($B8,FactorScores[],3,FALSE)*Markers_Raw_Max[[#This Row],[Movement + Exercise Weight]]</f>
        <v>1.4693693693693679</v>
      </c>
      <c r="E8">
        <f>VLOOKUP($B8,FactorScores[],3,FALSE)*Markers_Raw_Max[[#This Row],[Restorative Sleep Weight]]</f>
        <v>0</v>
      </c>
      <c r="F8">
        <f>VLOOKUP($B8,FactorScores[],3,FALSE)*Markers_Raw_Max[[#This Row],[Stress Management Weight]]</f>
        <v>0</v>
      </c>
      <c r="G8">
        <f>VLOOKUP($B8,FactorScores[],3,FALSE)*Markers_Raw_Max[[#This Row],[Cognitive Health Weight]]</f>
        <v>1.8367117117117098</v>
      </c>
      <c r="H8">
        <f>VLOOKUP($B8,FactorScores[],3,FALSE)*Markers_Raw_Max[[#This Row],[Connection + Purpose Weight]]</f>
        <v>0</v>
      </c>
      <c r="I8">
        <f>VLOOKUP($B8,FactorScores[],3,FALSE)*Markers_Raw_Max[[#This Row],[Core Care Weight]]</f>
        <v>2.9387387387387358</v>
      </c>
    </row>
    <row r="9" spans="2:9" x14ac:dyDescent="0.25">
      <c r="B9" t="s">
        <v>42</v>
      </c>
      <c r="C9">
        <f>VLOOKUP($B9,FactorScores[],3,FALSE)*Markers_Raw_Max[[#This Row],[Healthful Nutrition Weight]]</f>
        <v>4.0701754385964879</v>
      </c>
      <c r="D9">
        <f>VLOOKUP($B9,FactorScores[],3,FALSE)*Markers_Raw_Max[[#This Row],[Movement + Exercise Weight]]</f>
        <v>0</v>
      </c>
      <c r="E9">
        <f>VLOOKUP($B9,FactorScores[],3,FALSE)*Markers_Raw_Max[[#This Row],[Restorative Sleep Weight]]</f>
        <v>0</v>
      </c>
      <c r="F9">
        <f>VLOOKUP($B9,FactorScores[],3,FALSE)*Markers_Raw_Max[[#This Row],[Stress Management Weight]]</f>
        <v>0</v>
      </c>
      <c r="G9">
        <f>VLOOKUP($B9,FactorScores[],3,FALSE)*Markers_Raw_Max[[#This Row],[Cognitive Health Weight]]</f>
        <v>3.0526315789473659</v>
      </c>
      <c r="H9">
        <f>VLOOKUP($B9,FactorScores[],3,FALSE)*Markers_Raw_Max[[#This Row],[Connection + Purpose Weight]]</f>
        <v>0</v>
      </c>
      <c r="I9">
        <f>VLOOKUP($B9,FactorScores[],3,FALSE)*Markers_Raw_Max[[#This Row],[Core Care Weight]]</f>
        <v>3.5614035087719271</v>
      </c>
    </row>
    <row r="10" spans="2:9" x14ac:dyDescent="0.25">
      <c r="B10" t="s">
        <v>43</v>
      </c>
      <c r="C10">
        <f>VLOOKUP($B10,FactorScores[],3,FALSE)*Markers_Raw_Max[[#This Row],[Healthful Nutrition Weight]]</f>
        <v>0.46666666666666601</v>
      </c>
      <c r="D10">
        <f>VLOOKUP($B10,FactorScores[],3,FALSE)*Markers_Raw_Max[[#This Row],[Movement + Exercise Weight]]</f>
        <v>0</v>
      </c>
      <c r="E10">
        <f>VLOOKUP($B10,FactorScores[],3,FALSE)*Markers_Raw_Max[[#This Row],[Restorative Sleep Weight]]</f>
        <v>0.93333333333333202</v>
      </c>
      <c r="F10">
        <f>VLOOKUP($B10,FactorScores[],3,FALSE)*Markers_Raw_Max[[#This Row],[Stress Management Weight]]</f>
        <v>0.69999999999999907</v>
      </c>
      <c r="G10">
        <f>VLOOKUP($B10,FactorScores[],3,FALSE)*Markers_Raw_Max[[#This Row],[Cognitive Health Weight]]</f>
        <v>0.69999999999999907</v>
      </c>
      <c r="H10">
        <f>VLOOKUP($B10,FactorScores[],3,FALSE)*Markers_Raw_Max[[#This Row],[Connection + Purpose Weight]]</f>
        <v>0</v>
      </c>
      <c r="I10">
        <f>VLOOKUP($B10,FactorScores[],3,FALSE)*Markers_Raw_Max[[#This Row],[Core Care Weight]]</f>
        <v>0</v>
      </c>
    </row>
    <row r="11" spans="2:9" x14ac:dyDescent="0.25">
      <c r="B11" t="s">
        <v>44</v>
      </c>
      <c r="C11">
        <f>VLOOKUP($B11,FactorScores[],3,FALSE)*Markers_Raw_Max[[#This Row],[Healthful Nutrition Weight]]</f>
        <v>5</v>
      </c>
      <c r="D11">
        <f>VLOOKUP($B11,FactorScores[],3,FALSE)*Markers_Raw_Max[[#This Row],[Movement + Exercise Weight]]</f>
        <v>0</v>
      </c>
      <c r="E11">
        <f>VLOOKUP($B11,FactorScores[],3,FALSE)*Markers_Raw_Max[[#This Row],[Restorative Sleep Weight]]</f>
        <v>6</v>
      </c>
      <c r="F11">
        <f>VLOOKUP($B11,FactorScores[],3,FALSE)*Markers_Raw_Max[[#This Row],[Stress Management Weight]]</f>
        <v>4</v>
      </c>
      <c r="G11">
        <f>VLOOKUP($B11,FactorScores[],3,FALSE)*Markers_Raw_Max[[#This Row],[Cognitive Health Weight]]</f>
        <v>7</v>
      </c>
      <c r="H11">
        <f>VLOOKUP($B11,FactorScores[],3,FALSE)*Markers_Raw_Max[[#This Row],[Connection + Purpose Weight]]</f>
        <v>0</v>
      </c>
      <c r="I11">
        <f>VLOOKUP($B11,FactorScores[],3,FALSE)*Markers_Raw_Max[[#This Row],[Core Care Weight]]</f>
        <v>0</v>
      </c>
    </row>
    <row r="12" spans="2:9" x14ac:dyDescent="0.25">
      <c r="B12" t="s">
        <v>45</v>
      </c>
      <c r="C12">
        <f>VLOOKUP($B12,FactorScores[],3,FALSE)*Markers_Raw_Max[[#This Row],[Healthful Nutrition Weight]]</f>
        <v>5.4290290290290244</v>
      </c>
      <c r="D12">
        <f>VLOOKUP($B12,FactorScores[],3,FALSE)*Markers_Raw_Max[[#This Row],[Movement + Exercise Weight]]</f>
        <v>0</v>
      </c>
      <c r="E12">
        <f>VLOOKUP($B12,FactorScores[],3,FALSE)*Markers_Raw_Max[[#This Row],[Restorative Sleep Weight]]</f>
        <v>4.0717717717717683</v>
      </c>
      <c r="F12">
        <f>VLOOKUP($B12,FactorScores[],3,FALSE)*Markers_Raw_Max[[#This Row],[Stress Management Weight]]</f>
        <v>0</v>
      </c>
      <c r="G12">
        <f>VLOOKUP($B12,FactorScores[],3,FALSE)*Markers_Raw_Max[[#This Row],[Cognitive Health Weight]]</f>
        <v>0</v>
      </c>
      <c r="H12">
        <f>VLOOKUP($B12,FactorScores[],3,FALSE)*Markers_Raw_Max[[#This Row],[Connection + Purpose Weight]]</f>
        <v>0</v>
      </c>
      <c r="I12">
        <f>VLOOKUP($B12,FactorScores[],3,FALSE)*Markers_Raw_Max[[#This Row],[Core Care Weight]]</f>
        <v>0</v>
      </c>
    </row>
    <row r="13" spans="2:9" x14ac:dyDescent="0.25">
      <c r="B13" t="s">
        <v>46</v>
      </c>
      <c r="C13">
        <f>VLOOKUP($B13,FactorScores[],3,FALSE)*Markers_Raw_Max[[#This Row],[Healthful Nutrition Weight]]</f>
        <v>1.919433886777355</v>
      </c>
      <c r="D13">
        <f>VLOOKUP($B13,FactorScores[],3,FALSE)*Markers_Raw_Max[[#This Row],[Movement + Exercise Weight]]</f>
        <v>0</v>
      </c>
      <c r="E13">
        <f>VLOOKUP($B13,FactorScores[],3,FALSE)*Markers_Raw_Max[[#This Row],[Restorative Sleep Weight]]</f>
        <v>1.919433886777355</v>
      </c>
      <c r="F13">
        <f>VLOOKUP($B13,FactorScores[],3,FALSE)*Markers_Raw_Max[[#This Row],[Stress Management Weight]]</f>
        <v>1.535547109421884</v>
      </c>
      <c r="G13">
        <f>VLOOKUP($B13,FactorScores[],3,FALSE)*Markers_Raw_Max[[#This Row],[Cognitive Health Weight]]</f>
        <v>0</v>
      </c>
      <c r="H13">
        <f>VLOOKUP($B13,FactorScores[],3,FALSE)*Markers_Raw_Max[[#This Row],[Connection + Purpose Weight]]</f>
        <v>0</v>
      </c>
      <c r="I13">
        <f>VLOOKUP($B13,FactorScores[],3,FALSE)*Markers_Raw_Max[[#This Row],[Core Care Weight]]</f>
        <v>0</v>
      </c>
    </row>
    <row r="14" spans="2:9" x14ac:dyDescent="0.25">
      <c r="B14" t="s">
        <v>47</v>
      </c>
      <c r="C14">
        <f>VLOOKUP($B14,FactorScores[],3,FALSE)*Markers_Raw_Max[[#This Row],[Healthful Nutrition Weight]]</f>
        <v>0.70730052146581801</v>
      </c>
      <c r="D14">
        <f>VLOOKUP($B14,FactorScores[],3,FALSE)*Markers_Raw_Max[[#This Row],[Movement + Exercise Weight]]</f>
        <v>0</v>
      </c>
      <c r="E14">
        <f>VLOOKUP($B14,FactorScores[],3,FALSE)*Markers_Raw_Max[[#This Row],[Restorative Sleep Weight]]</f>
        <v>1.414601042931636</v>
      </c>
      <c r="F14">
        <f>VLOOKUP($B14,FactorScores[],3,FALSE)*Markers_Raw_Max[[#This Row],[Stress Management Weight]]</f>
        <v>0</v>
      </c>
      <c r="G14">
        <f>VLOOKUP($B14,FactorScores[],3,FALSE)*Markers_Raw_Max[[#This Row],[Cognitive Health Weight]]</f>
        <v>0</v>
      </c>
      <c r="H14">
        <f>VLOOKUP($B14,FactorScores[],3,FALSE)*Markers_Raw_Max[[#This Row],[Connection + Purpose Weight]]</f>
        <v>0</v>
      </c>
      <c r="I14">
        <f>VLOOKUP($B14,FactorScores[],3,FALSE)*Markers_Raw_Max[[#This Row],[Core Care Weight]]</f>
        <v>0</v>
      </c>
    </row>
    <row r="15" spans="2:9" x14ac:dyDescent="0.25">
      <c r="B15" t="s">
        <v>48</v>
      </c>
      <c r="C15">
        <f>VLOOKUP($B15,FactorScores[],3,FALSE)*Markers_Raw_Max[[#This Row],[Healthful Nutrition Weight]]</f>
        <v>2</v>
      </c>
      <c r="D15">
        <f>VLOOKUP($B15,FactorScores[],3,FALSE)*Markers_Raw_Max[[#This Row],[Movement + Exercise Weight]]</f>
        <v>0</v>
      </c>
      <c r="E15">
        <f>VLOOKUP($B15,FactorScores[],3,FALSE)*Markers_Raw_Max[[#This Row],[Restorative Sleep Weight]]</f>
        <v>3</v>
      </c>
      <c r="F15">
        <f>VLOOKUP($B15,FactorScores[],3,FALSE)*Markers_Raw_Max[[#This Row],[Stress Management Weight]]</f>
        <v>0</v>
      </c>
      <c r="G15">
        <f>VLOOKUP($B15,FactorScores[],3,FALSE)*Markers_Raw_Max[[#This Row],[Cognitive Health Weight]]</f>
        <v>0</v>
      </c>
      <c r="H15">
        <f>VLOOKUP($B15,FactorScores[],3,FALSE)*Markers_Raw_Max[[#This Row],[Connection + Purpose Weight]]</f>
        <v>0</v>
      </c>
      <c r="I15">
        <f>VLOOKUP($B15,FactorScores[],3,FALSE)*Markers_Raw_Max[[#This Row],[Core Care Weight]]</f>
        <v>0</v>
      </c>
    </row>
    <row r="16" spans="2:9" x14ac:dyDescent="0.25">
      <c r="B16" t="s">
        <v>49</v>
      </c>
      <c r="C16">
        <f>VLOOKUP($B16,FactorScores[],3,FALSE)*Markers_Raw_Max[[#This Row],[Healthful Nutrition Weight]]</f>
        <v>2.9020100502512558</v>
      </c>
      <c r="D16">
        <f>VLOOKUP($B16,FactorScores[],3,FALSE)*Markers_Raw_Max[[#This Row],[Movement + Exercise Weight]]</f>
        <v>0</v>
      </c>
      <c r="E16">
        <f>VLOOKUP($B16,FactorScores[],3,FALSE)*Markers_Raw_Max[[#This Row],[Restorative Sleep Weight]]</f>
        <v>1.4510050251256279</v>
      </c>
      <c r="F16">
        <f>VLOOKUP($B16,FactorScores[],3,FALSE)*Markers_Raw_Max[[#This Row],[Stress Management Weight]]</f>
        <v>2.1765075376884417</v>
      </c>
      <c r="G16">
        <f>VLOOKUP($B16,FactorScores[],3,FALSE)*Markers_Raw_Max[[#This Row],[Cognitive Health Weight]]</f>
        <v>0</v>
      </c>
      <c r="H16">
        <f>VLOOKUP($B16,FactorScores[],3,FALSE)*Markers_Raw_Max[[#This Row],[Connection + Purpose Weight]]</f>
        <v>0.72550251256281395</v>
      </c>
      <c r="I16">
        <f>VLOOKUP($B16,FactorScores[],3,FALSE)*Markers_Raw_Max[[#This Row],[Core Care Weight]]</f>
        <v>0</v>
      </c>
    </row>
    <row r="17" spans="2:9" x14ac:dyDescent="0.25">
      <c r="B17" t="s">
        <v>50</v>
      </c>
      <c r="C17">
        <f>VLOOKUP($B17,FactorScores[],3,FALSE)*Markers_Raw_Max[[#This Row],[Healthful Nutrition Weight]]</f>
        <v>3.1254180602006647</v>
      </c>
      <c r="D17">
        <f>VLOOKUP($B17,FactorScores[],3,FALSE)*Markers_Raw_Max[[#This Row],[Movement + Exercise Weight]]</f>
        <v>1.875250836120399</v>
      </c>
      <c r="E17">
        <f>VLOOKUP($B17,FactorScores[],3,FALSE)*Markers_Raw_Max[[#This Row],[Restorative Sleep Weight]]</f>
        <v>1.2501672240802659</v>
      </c>
      <c r="F17">
        <f>VLOOKUP($B17,FactorScores[],3,FALSE)*Markers_Raw_Max[[#This Row],[Stress Management Weight]]</f>
        <v>3.1254180602006647</v>
      </c>
      <c r="G17">
        <f>VLOOKUP($B17,FactorScores[],3,FALSE)*Markers_Raw_Max[[#This Row],[Cognitive Health Weight]]</f>
        <v>0</v>
      </c>
      <c r="H17">
        <f>VLOOKUP($B17,FactorScores[],3,FALSE)*Markers_Raw_Max[[#This Row],[Connection + Purpose Weight]]</f>
        <v>0</v>
      </c>
      <c r="I17">
        <f>VLOOKUP($B17,FactorScores[],3,FALSE)*Markers_Raw_Max[[#This Row],[Core Care Weight]]</f>
        <v>2.5003344481605319</v>
      </c>
    </row>
    <row r="18" spans="2:9" x14ac:dyDescent="0.25">
      <c r="B18" t="s">
        <v>51</v>
      </c>
      <c r="C18">
        <f>VLOOKUP($B18,FactorScores[],3,FALSE)*Markers_Raw_Max[[#This Row],[Healthful Nutrition Weight]]</f>
        <v>2</v>
      </c>
      <c r="D18">
        <f>VLOOKUP($B18,FactorScores[],3,FALSE)*Markers_Raw_Max[[#This Row],[Movement + Exercise Weight]]</f>
        <v>1</v>
      </c>
      <c r="E18">
        <f>VLOOKUP($B18,FactorScores[],3,FALSE)*Markers_Raw_Max[[#This Row],[Restorative Sleep Weight]]</f>
        <v>0</v>
      </c>
      <c r="F18">
        <f>VLOOKUP($B18,FactorScores[],3,FALSE)*Markers_Raw_Max[[#This Row],[Stress Management Weight]]</f>
        <v>5</v>
      </c>
      <c r="G18">
        <f>VLOOKUP($B18,FactorScores[],3,FALSE)*Markers_Raw_Max[[#This Row],[Cognitive Health Weight]]</f>
        <v>0</v>
      </c>
      <c r="H18">
        <f>VLOOKUP($B18,FactorScores[],3,FALSE)*Markers_Raw_Max[[#This Row],[Connection + Purpose Weight]]</f>
        <v>0</v>
      </c>
      <c r="I18">
        <f>VLOOKUP($B18,FactorScores[],3,FALSE)*Markers_Raw_Max[[#This Row],[Core Care Weight]]</f>
        <v>0</v>
      </c>
    </row>
    <row r="19" spans="2:9" x14ac:dyDescent="0.25">
      <c r="B19" t="s">
        <v>52</v>
      </c>
      <c r="C19">
        <f>VLOOKUP($B19,FactorScores[],3,FALSE)*Markers_Raw_Max[[#This Row],[Healthful Nutrition Weight]]</f>
        <v>2</v>
      </c>
      <c r="D19">
        <f>VLOOKUP($B19,FactorScores[],3,FALSE)*Markers_Raw_Max[[#This Row],[Movement + Exercise Weight]]</f>
        <v>1</v>
      </c>
      <c r="E19">
        <f>VLOOKUP($B19,FactorScores[],3,FALSE)*Markers_Raw_Max[[#This Row],[Restorative Sleep Weight]]</f>
        <v>0</v>
      </c>
      <c r="F19">
        <f>VLOOKUP($B19,FactorScores[],3,FALSE)*Markers_Raw_Max[[#This Row],[Stress Management Weight]]</f>
        <v>2</v>
      </c>
      <c r="G19">
        <f>VLOOKUP($B19,FactorScores[],3,FALSE)*Markers_Raw_Max[[#This Row],[Cognitive Health Weight]]</f>
        <v>0</v>
      </c>
      <c r="H19">
        <f>VLOOKUP($B19,FactorScores[],3,FALSE)*Markers_Raw_Max[[#This Row],[Connection + Purpose Weight]]</f>
        <v>0</v>
      </c>
      <c r="I19">
        <f>VLOOKUP($B19,FactorScores[],3,FALSE)*Markers_Raw_Max[[#This Row],[Core Care Weight]]</f>
        <v>0</v>
      </c>
    </row>
    <row r="20" spans="2:9" x14ac:dyDescent="0.25">
      <c r="B20" t="s">
        <v>53</v>
      </c>
      <c r="C20">
        <f>VLOOKUP($B20,FactorScores[],3,FALSE)*Markers_Raw_Max[[#This Row],[Healthful Nutrition Weight]]</f>
        <v>4</v>
      </c>
      <c r="D20">
        <f>VLOOKUP($B20,FactorScores[],3,FALSE)*Markers_Raw_Max[[#This Row],[Movement + Exercise Weight]]</f>
        <v>3</v>
      </c>
      <c r="E20">
        <f>VLOOKUP($B20,FactorScores[],3,FALSE)*Markers_Raw_Max[[#This Row],[Restorative Sleep Weight]]</f>
        <v>2</v>
      </c>
      <c r="F20">
        <f>VLOOKUP($B20,FactorScores[],3,FALSE)*Markers_Raw_Max[[#This Row],[Stress Management Weight]]</f>
        <v>6</v>
      </c>
      <c r="G20">
        <f>VLOOKUP($B20,FactorScores[],3,FALSE)*Markers_Raw_Max[[#This Row],[Cognitive Health Weight]]</f>
        <v>5</v>
      </c>
      <c r="H20">
        <f>VLOOKUP($B20,FactorScores[],3,FALSE)*Markers_Raw_Max[[#This Row],[Connection + Purpose Weight]]</f>
        <v>0</v>
      </c>
      <c r="I20">
        <f>VLOOKUP($B20,FactorScores[],3,FALSE)*Markers_Raw_Max[[#This Row],[Core Care Weight]]</f>
        <v>4</v>
      </c>
    </row>
    <row r="21" spans="2:9" x14ac:dyDescent="0.25">
      <c r="B21" t="s">
        <v>54</v>
      </c>
      <c r="C21">
        <f>VLOOKUP($B21,FactorScores[],3,FALSE)*Markers_Raw_Max[[#This Row],[Healthful Nutrition Weight]]</f>
        <v>0</v>
      </c>
      <c r="D21">
        <f>VLOOKUP($B21,FactorScores[],3,FALSE)*Markers_Raw_Max[[#This Row],[Movement + Exercise Weight]]</f>
        <v>0</v>
      </c>
      <c r="E21">
        <f>VLOOKUP($B21,FactorScores[],3,FALSE)*Markers_Raw_Max[[#This Row],[Restorative Sleep Weight]]</f>
        <v>0</v>
      </c>
      <c r="F21">
        <f>VLOOKUP($B21,FactorScores[],3,FALSE)*Markers_Raw_Max[[#This Row],[Stress Management Weight]]</f>
        <v>0</v>
      </c>
      <c r="G21">
        <f>VLOOKUP($B21,FactorScores[],3,FALSE)*Markers_Raw_Max[[#This Row],[Cognitive Health Weight]]</f>
        <v>0</v>
      </c>
      <c r="H21">
        <f>VLOOKUP($B21,FactorScores[],3,FALSE)*Markers_Raw_Max[[#This Row],[Connection + Purpose Weight]]</f>
        <v>0</v>
      </c>
      <c r="I21">
        <f>VLOOKUP($B21,FactorScores[],3,FALSE)*Markers_Raw_Max[[#This Row],[Core Care Weight]]</f>
        <v>0</v>
      </c>
    </row>
    <row r="22" spans="2:9" x14ac:dyDescent="0.25">
      <c r="B22" t="s">
        <v>55</v>
      </c>
      <c r="C22">
        <f>VLOOKUP($B22,FactorScores[],3,FALSE)*Markers_Raw_Max[[#This Row],[Healthful Nutrition Weight]]</f>
        <v>3.7333333333333281</v>
      </c>
      <c r="D22">
        <f>VLOOKUP($B22,FactorScores[],3,FALSE)*Markers_Raw_Max[[#This Row],[Movement + Exercise Weight]]</f>
        <v>2.3333333333333299</v>
      </c>
      <c r="E22">
        <f>VLOOKUP($B22,FactorScores[],3,FALSE)*Markers_Raw_Max[[#This Row],[Restorative Sleep Weight]]</f>
        <v>1.3999999999999981</v>
      </c>
      <c r="F22">
        <f>VLOOKUP($B22,FactorScores[],3,FALSE)*Markers_Raw_Max[[#This Row],[Stress Management Weight]]</f>
        <v>2.3333333333333299</v>
      </c>
      <c r="G22">
        <f>VLOOKUP($B22,FactorScores[],3,FALSE)*Markers_Raw_Max[[#This Row],[Cognitive Health Weight]]</f>
        <v>3.2666666666666622</v>
      </c>
      <c r="H22">
        <f>VLOOKUP($B22,FactorScores[],3,FALSE)*Markers_Raw_Max[[#This Row],[Connection + Purpose Weight]]</f>
        <v>0</v>
      </c>
      <c r="I22">
        <f>VLOOKUP($B22,FactorScores[],3,FALSE)*Markers_Raw_Max[[#This Row],[Core Care Weight]]</f>
        <v>3.7333333333333281</v>
      </c>
    </row>
    <row r="23" spans="2:9" x14ac:dyDescent="0.25">
      <c r="B23" t="s">
        <v>56</v>
      </c>
      <c r="C23">
        <f>VLOOKUP($B23,FactorScores[],3,FALSE)*Markers_Raw_Max[[#This Row],[Healthful Nutrition Weight]]</f>
        <v>2.1273273273273241</v>
      </c>
      <c r="D23">
        <f>VLOOKUP($B23,FactorScores[],3,FALSE)*Markers_Raw_Max[[#This Row],[Movement + Exercise Weight]]</f>
        <v>3.7228228228228173</v>
      </c>
      <c r="E23">
        <f>VLOOKUP($B23,FactorScores[],3,FALSE)*Markers_Raw_Max[[#This Row],[Restorative Sleep Weight]]</f>
        <v>0</v>
      </c>
      <c r="F23">
        <f>VLOOKUP($B23,FactorScores[],3,FALSE)*Markers_Raw_Max[[#This Row],[Stress Management Weight]]</f>
        <v>2.1273273273273241</v>
      </c>
      <c r="G23">
        <f>VLOOKUP($B23,FactorScores[],3,FALSE)*Markers_Raw_Max[[#This Row],[Cognitive Health Weight]]</f>
        <v>2.659159159159155</v>
      </c>
      <c r="H23">
        <f>VLOOKUP($B23,FactorScores[],3,FALSE)*Markers_Raw_Max[[#This Row],[Connection + Purpose Weight]]</f>
        <v>0</v>
      </c>
      <c r="I23">
        <f>VLOOKUP($B23,FactorScores[],3,FALSE)*Markers_Raw_Max[[#This Row],[Core Care Weight]]</f>
        <v>0</v>
      </c>
    </row>
    <row r="24" spans="2:9" x14ac:dyDescent="0.25">
      <c r="B24" t="s">
        <v>57</v>
      </c>
      <c r="C24">
        <f>VLOOKUP($B24,FactorScores[],3,FALSE)*Markers_Raw_Max[[#This Row],[Healthful Nutrition Weight]]</f>
        <v>1.354058116232463</v>
      </c>
      <c r="D24">
        <f>VLOOKUP($B24,FactorScores[],3,FALSE)*Markers_Raw_Max[[#This Row],[Movement + Exercise Weight]]</f>
        <v>3.1594689378757472</v>
      </c>
      <c r="E24">
        <f>VLOOKUP($B24,FactorScores[],3,FALSE)*Markers_Raw_Max[[#This Row],[Restorative Sleep Weight]]</f>
        <v>0</v>
      </c>
      <c r="F24">
        <f>VLOOKUP($B24,FactorScores[],3,FALSE)*Markers_Raw_Max[[#This Row],[Stress Management Weight]]</f>
        <v>2.2567635270541051</v>
      </c>
      <c r="G24">
        <f>VLOOKUP($B24,FactorScores[],3,FALSE)*Markers_Raw_Max[[#This Row],[Cognitive Health Weight]]</f>
        <v>2.7081162324649259</v>
      </c>
      <c r="H24">
        <f>VLOOKUP($B24,FactorScores[],3,FALSE)*Markers_Raw_Max[[#This Row],[Connection + Purpose Weight]]</f>
        <v>0</v>
      </c>
      <c r="I24">
        <f>VLOOKUP($B24,FactorScores[],3,FALSE)*Markers_Raw_Max[[#This Row],[Core Care Weight]]</f>
        <v>0</v>
      </c>
    </row>
    <row r="25" spans="2:9" x14ac:dyDescent="0.25">
      <c r="B25" t="s">
        <v>58</v>
      </c>
      <c r="C25">
        <f>VLOOKUP($B25,FactorScores[],3,FALSE)*Markers_Raw_Max[[#This Row],[Healthful Nutrition Weight]]</f>
        <v>2.3863636363636349</v>
      </c>
      <c r="D25">
        <f>VLOOKUP($B25,FactorScores[],3,FALSE)*Markers_Raw_Max[[#This Row],[Movement + Exercise Weight]]</f>
        <v>3.3409090909090891</v>
      </c>
      <c r="E25">
        <f>VLOOKUP($B25,FactorScores[],3,FALSE)*Markers_Raw_Max[[#This Row],[Restorative Sleep Weight]]</f>
        <v>0</v>
      </c>
      <c r="F25">
        <f>VLOOKUP($B25,FactorScores[],3,FALSE)*Markers_Raw_Max[[#This Row],[Stress Management Weight]]</f>
        <v>2.3863636363636349</v>
      </c>
      <c r="G25">
        <f>VLOOKUP($B25,FactorScores[],3,FALSE)*Markers_Raw_Max[[#This Row],[Cognitive Health Weight]]</f>
        <v>3.3409090909090891</v>
      </c>
      <c r="H25">
        <f>VLOOKUP($B25,FactorScores[],3,FALSE)*Markers_Raw_Max[[#This Row],[Connection + Purpose Weight]]</f>
        <v>0</v>
      </c>
      <c r="I25">
        <f>VLOOKUP($B25,FactorScores[],3,FALSE)*Markers_Raw_Max[[#This Row],[Core Care Weight]]</f>
        <v>0</v>
      </c>
    </row>
    <row r="26" spans="2:9" x14ac:dyDescent="0.25">
      <c r="B26" t="s">
        <v>59</v>
      </c>
      <c r="C26">
        <f>VLOOKUP($B26,FactorScores[],3,FALSE)*Markers_Raw_Max[[#This Row],[Healthful Nutrition Weight]]</f>
        <v>3</v>
      </c>
      <c r="D26">
        <f>VLOOKUP($B26,FactorScores[],3,FALSE)*Markers_Raw_Max[[#This Row],[Movement + Exercise Weight]]</f>
        <v>0</v>
      </c>
      <c r="E26">
        <f>VLOOKUP($B26,FactorScores[],3,FALSE)*Markers_Raw_Max[[#This Row],[Restorative Sleep Weight]]</f>
        <v>0</v>
      </c>
      <c r="F26">
        <f>VLOOKUP($B26,FactorScores[],3,FALSE)*Markers_Raw_Max[[#This Row],[Stress Management Weight]]</f>
        <v>0</v>
      </c>
      <c r="G26">
        <f>VLOOKUP($B26,FactorScores[],3,FALSE)*Markers_Raw_Max[[#This Row],[Cognitive Health Weight]]</f>
        <v>0</v>
      </c>
      <c r="H26">
        <f>VLOOKUP($B26,FactorScores[],3,FALSE)*Markers_Raw_Max[[#This Row],[Connection + Purpose Weight]]</f>
        <v>0</v>
      </c>
      <c r="I26">
        <f>VLOOKUP($B26,FactorScores[],3,FALSE)*Markers_Raw_Max[[#This Row],[Core Care Weight]]</f>
        <v>5</v>
      </c>
    </row>
    <row r="27" spans="2:9" x14ac:dyDescent="0.25">
      <c r="B27" t="s">
        <v>60</v>
      </c>
      <c r="C27">
        <f>VLOOKUP($B27,FactorScores[],3,FALSE)*Markers_Raw_Max[[#This Row],[Healthful Nutrition Weight]]</f>
        <v>3</v>
      </c>
      <c r="D27">
        <f>VLOOKUP($B27,FactorScores[],3,FALSE)*Markers_Raw_Max[[#This Row],[Movement + Exercise Weight]]</f>
        <v>0</v>
      </c>
      <c r="E27">
        <f>VLOOKUP($B27,FactorScores[],3,FALSE)*Markers_Raw_Max[[#This Row],[Restorative Sleep Weight]]</f>
        <v>0</v>
      </c>
      <c r="F27">
        <f>VLOOKUP($B27,FactorScores[],3,FALSE)*Markers_Raw_Max[[#This Row],[Stress Management Weight]]</f>
        <v>0</v>
      </c>
      <c r="G27">
        <f>VLOOKUP($B27,FactorScores[],3,FALSE)*Markers_Raw_Max[[#This Row],[Cognitive Health Weight]]</f>
        <v>0</v>
      </c>
      <c r="H27">
        <f>VLOOKUP($B27,FactorScores[],3,FALSE)*Markers_Raw_Max[[#This Row],[Connection + Purpose Weight]]</f>
        <v>0</v>
      </c>
      <c r="I27">
        <f>VLOOKUP($B27,FactorScores[],3,FALSE)*Markers_Raw_Max[[#This Row],[Core Care Weight]]</f>
        <v>4</v>
      </c>
    </row>
    <row r="28" spans="2:9" x14ac:dyDescent="0.25">
      <c r="B28" t="s">
        <v>61</v>
      </c>
      <c r="C28">
        <f>VLOOKUP($B28,FactorScores[],3,FALSE)*Markers_Raw_Max[[#This Row],[Healthful Nutrition Weight]]</f>
        <v>1</v>
      </c>
      <c r="D28">
        <f>VLOOKUP($B28,FactorScores[],3,FALSE)*Markers_Raw_Max[[#This Row],[Movement + Exercise Weight]]</f>
        <v>7</v>
      </c>
      <c r="E28">
        <f>VLOOKUP($B28,FactorScores[],3,FALSE)*Markers_Raw_Max[[#This Row],[Restorative Sleep Weight]]</f>
        <v>3</v>
      </c>
      <c r="F28">
        <f>VLOOKUP($B28,FactorScores[],3,FALSE)*Markers_Raw_Max[[#This Row],[Stress Management Weight]]</f>
        <v>3</v>
      </c>
      <c r="G28">
        <f>VLOOKUP($B28,FactorScores[],3,FALSE)*Markers_Raw_Max[[#This Row],[Cognitive Health Weight]]</f>
        <v>0</v>
      </c>
      <c r="H28">
        <f>VLOOKUP($B28,FactorScores[],3,FALSE)*Markers_Raw_Max[[#This Row],[Connection + Purpose Weight]]</f>
        <v>0</v>
      </c>
      <c r="I28">
        <f>VLOOKUP($B28,FactorScores[],3,FALSE)*Markers_Raw_Max[[#This Row],[Core Care Weight]]</f>
        <v>6</v>
      </c>
    </row>
    <row r="29" spans="2:9" x14ac:dyDescent="0.25">
      <c r="B29" t="s">
        <v>62</v>
      </c>
      <c r="C29">
        <f>VLOOKUP($B29,FactorScores[],3,FALSE)*Markers_Raw_Max[[#This Row],[Healthful Nutrition Weight]]</f>
        <v>2</v>
      </c>
      <c r="D29">
        <f>VLOOKUP($B29,FactorScores[],3,FALSE)*Markers_Raw_Max[[#This Row],[Movement + Exercise Weight]]</f>
        <v>0</v>
      </c>
      <c r="E29">
        <f>VLOOKUP($B29,FactorScores[],3,FALSE)*Markers_Raw_Max[[#This Row],[Restorative Sleep Weight]]</f>
        <v>0</v>
      </c>
      <c r="F29">
        <f>VLOOKUP($B29,FactorScores[],3,FALSE)*Markers_Raw_Max[[#This Row],[Stress Management Weight]]</f>
        <v>0</v>
      </c>
      <c r="G29">
        <f>VLOOKUP($B29,FactorScores[],3,FALSE)*Markers_Raw_Max[[#This Row],[Cognitive Health Weight]]</f>
        <v>0</v>
      </c>
      <c r="H29">
        <f>VLOOKUP($B29,FactorScores[],3,FALSE)*Markers_Raw_Max[[#This Row],[Connection + Purpose Weight]]</f>
        <v>0</v>
      </c>
      <c r="I29">
        <f>VLOOKUP($B29,FactorScores[],3,FALSE)*Markers_Raw_Max[[#This Row],[Core Care Weight]]</f>
        <v>0</v>
      </c>
    </row>
    <row r="30" spans="2:9" x14ac:dyDescent="0.25">
      <c r="B30" t="s">
        <v>63</v>
      </c>
      <c r="C30">
        <f>VLOOKUP($B30,FactorScores[],3,FALSE)*Markers_Raw_Max[[#This Row],[Healthful Nutrition Weight]]</f>
        <v>1.2603034344781581</v>
      </c>
      <c r="D30">
        <f>VLOOKUP($B30,FactorScores[],3,FALSE)*Markers_Raw_Max[[#This Row],[Movement + Exercise Weight]]</f>
        <v>0</v>
      </c>
      <c r="E30">
        <f>VLOOKUP($B30,FactorScores[],3,FALSE)*Markers_Raw_Max[[#This Row],[Restorative Sleep Weight]]</f>
        <v>0</v>
      </c>
      <c r="F30">
        <f>VLOOKUP($B30,FactorScores[],3,FALSE)*Markers_Raw_Max[[#This Row],[Stress Management Weight]]</f>
        <v>0</v>
      </c>
      <c r="G30">
        <f>VLOOKUP($B30,FactorScores[],3,FALSE)*Markers_Raw_Max[[#This Row],[Cognitive Health Weight]]</f>
        <v>0</v>
      </c>
      <c r="H30">
        <f>VLOOKUP($B30,FactorScores[],3,FALSE)*Markers_Raw_Max[[#This Row],[Connection + Purpose Weight]]</f>
        <v>0</v>
      </c>
      <c r="I30">
        <f>VLOOKUP($B30,FactorScores[],3,FALSE)*Markers_Raw_Max[[#This Row],[Core Care Weight]]</f>
        <v>0</v>
      </c>
    </row>
    <row r="31" spans="2:9" x14ac:dyDescent="0.25">
      <c r="B31" t="s">
        <v>64</v>
      </c>
      <c r="C31">
        <f>VLOOKUP($B31,FactorScores[],3,FALSE)*Markers_Raw_Max[[#This Row],[Healthful Nutrition Weight]]</f>
        <v>1.35</v>
      </c>
      <c r="D31">
        <f>VLOOKUP($B31,FactorScores[],3,FALSE)*Markers_Raw_Max[[#This Row],[Movement + Exercise Weight]]</f>
        <v>0</v>
      </c>
      <c r="E31">
        <f>VLOOKUP($B31,FactorScores[],3,FALSE)*Markers_Raw_Max[[#This Row],[Restorative Sleep Weight]]</f>
        <v>0</v>
      </c>
      <c r="F31">
        <f>VLOOKUP($B31,FactorScores[],3,FALSE)*Markers_Raw_Max[[#This Row],[Stress Management Weight]]</f>
        <v>0</v>
      </c>
      <c r="G31">
        <f>VLOOKUP($B31,FactorScores[],3,FALSE)*Markers_Raw_Max[[#This Row],[Cognitive Health Weight]]</f>
        <v>0</v>
      </c>
      <c r="H31">
        <f>VLOOKUP($B31,FactorScores[],3,FALSE)*Markers_Raw_Max[[#This Row],[Connection + Purpose Weight]]</f>
        <v>0</v>
      </c>
      <c r="I31">
        <f>VLOOKUP($B31,FactorScores[],3,FALSE)*Markers_Raw_Max[[#This Row],[Core Care Weight]]</f>
        <v>0</v>
      </c>
    </row>
    <row r="32" spans="2:9" x14ac:dyDescent="0.25">
      <c r="B32" t="s">
        <v>65</v>
      </c>
      <c r="C32">
        <f>VLOOKUP($B32,FactorScores[],3,FALSE)*Markers_Raw_Max[[#This Row],[Healthful Nutrition Weight]]</f>
        <v>3</v>
      </c>
      <c r="D32">
        <f>VLOOKUP($B32,FactorScores[],3,FALSE)*Markers_Raw_Max[[#This Row],[Movement + Exercise Weight]]</f>
        <v>0</v>
      </c>
      <c r="E32">
        <f>VLOOKUP($B32,FactorScores[],3,FALSE)*Markers_Raw_Max[[#This Row],[Restorative Sleep Weight]]</f>
        <v>0</v>
      </c>
      <c r="F32">
        <f>VLOOKUP($B32,FactorScores[],3,FALSE)*Markers_Raw_Max[[#This Row],[Stress Management Weight]]</f>
        <v>0</v>
      </c>
      <c r="G32">
        <f>VLOOKUP($B32,FactorScores[],3,FALSE)*Markers_Raw_Max[[#This Row],[Cognitive Health Weight]]</f>
        <v>0</v>
      </c>
      <c r="H32">
        <f>VLOOKUP($B32,FactorScores[],3,FALSE)*Markers_Raw_Max[[#This Row],[Connection + Purpose Weight]]</f>
        <v>0</v>
      </c>
      <c r="I32">
        <f>VLOOKUP($B32,FactorScores[],3,FALSE)*Markers_Raw_Max[[#This Row],[Core Care Weight]]</f>
        <v>0</v>
      </c>
    </row>
    <row r="33" spans="2:9" x14ac:dyDescent="0.25">
      <c r="B33" t="s">
        <v>66</v>
      </c>
      <c r="C33">
        <f>VLOOKUP($B33,FactorScores[],3,FALSE)*Markers_Raw_Max[[#This Row],[Healthful Nutrition Weight]]</f>
        <v>4</v>
      </c>
      <c r="D33">
        <f>VLOOKUP($B33,FactorScores[],3,FALSE)*Markers_Raw_Max[[#This Row],[Movement + Exercise Weight]]</f>
        <v>0</v>
      </c>
      <c r="E33">
        <f>VLOOKUP($B33,FactorScores[],3,FALSE)*Markers_Raw_Max[[#This Row],[Restorative Sleep Weight]]</f>
        <v>0</v>
      </c>
      <c r="F33">
        <f>VLOOKUP($B33,FactorScores[],3,FALSE)*Markers_Raw_Max[[#This Row],[Stress Management Weight]]</f>
        <v>3</v>
      </c>
      <c r="G33">
        <f>VLOOKUP($B33,FactorScores[],3,FALSE)*Markers_Raw_Max[[#This Row],[Cognitive Health Weight]]</f>
        <v>0</v>
      </c>
      <c r="H33">
        <f>VLOOKUP($B33,FactorScores[],3,FALSE)*Markers_Raw_Max[[#This Row],[Connection + Purpose Weight]]</f>
        <v>0</v>
      </c>
      <c r="I33">
        <f>VLOOKUP($B33,FactorScores[],3,FALSE)*Markers_Raw_Max[[#This Row],[Core Care Weight]]</f>
        <v>0</v>
      </c>
    </row>
    <row r="34" spans="2:9" x14ac:dyDescent="0.25">
      <c r="B34" t="s">
        <v>67</v>
      </c>
      <c r="C34">
        <f>VLOOKUP($B34,FactorScores[],3,FALSE)*Markers_Raw_Max[[#This Row],[Healthful Nutrition Weight]]</f>
        <v>4</v>
      </c>
      <c r="D34">
        <f>VLOOKUP($B34,FactorScores[],3,FALSE)*Markers_Raw_Max[[#This Row],[Movement + Exercise Weight]]</f>
        <v>0</v>
      </c>
      <c r="E34">
        <f>VLOOKUP($B34,FactorScores[],3,FALSE)*Markers_Raw_Max[[#This Row],[Restorative Sleep Weight]]</f>
        <v>0</v>
      </c>
      <c r="F34">
        <f>VLOOKUP($B34,FactorScores[],3,FALSE)*Markers_Raw_Max[[#This Row],[Stress Management Weight]]</f>
        <v>3</v>
      </c>
      <c r="G34">
        <f>VLOOKUP($B34,FactorScores[],3,FALSE)*Markers_Raw_Max[[#This Row],[Cognitive Health Weight]]</f>
        <v>0</v>
      </c>
      <c r="H34">
        <f>VLOOKUP($B34,FactorScores[],3,FALSE)*Markers_Raw_Max[[#This Row],[Connection + Purpose Weight]]</f>
        <v>0</v>
      </c>
      <c r="I34">
        <f>VLOOKUP($B34,FactorScores[],3,FALSE)*Markers_Raw_Max[[#This Row],[Core Care Weight]]</f>
        <v>5</v>
      </c>
    </row>
    <row r="35" spans="2:9" x14ac:dyDescent="0.25">
      <c r="B35" t="s">
        <v>68</v>
      </c>
      <c r="C35">
        <f>VLOOKUP($B35,FactorScores[],3,FALSE)*Markers_Raw_Max[[#This Row],[Healthful Nutrition Weight]]</f>
        <v>4</v>
      </c>
      <c r="D35">
        <f>VLOOKUP($B35,FactorScores[],3,FALSE)*Markers_Raw_Max[[#This Row],[Movement + Exercise Weight]]</f>
        <v>0</v>
      </c>
      <c r="E35">
        <f>VLOOKUP($B35,FactorScores[],3,FALSE)*Markers_Raw_Max[[#This Row],[Restorative Sleep Weight]]</f>
        <v>0</v>
      </c>
      <c r="F35">
        <f>VLOOKUP($B35,FactorScores[],3,FALSE)*Markers_Raw_Max[[#This Row],[Stress Management Weight]]</f>
        <v>0</v>
      </c>
      <c r="G35">
        <f>VLOOKUP($B35,FactorScores[],3,FALSE)*Markers_Raw_Max[[#This Row],[Cognitive Health Weight]]</f>
        <v>8</v>
      </c>
      <c r="H35">
        <f>VLOOKUP($B35,FactorScores[],3,FALSE)*Markers_Raw_Max[[#This Row],[Connection + Purpose Weight]]</f>
        <v>0</v>
      </c>
      <c r="I35">
        <f>VLOOKUP($B35,FactorScores[],3,FALSE)*Markers_Raw_Max[[#This Row],[Core Care Weight]]</f>
        <v>0</v>
      </c>
    </row>
    <row r="36" spans="2:9" x14ac:dyDescent="0.25">
      <c r="B36" t="s">
        <v>69</v>
      </c>
      <c r="C36">
        <f>VLOOKUP($B36,FactorScores[],3,FALSE)*Markers_Raw_Max[[#This Row],[Healthful Nutrition Weight]]</f>
        <v>2.3330220146764482</v>
      </c>
      <c r="D36">
        <f>VLOOKUP($B36,FactorScores[],3,FALSE)*Markers_Raw_Max[[#This Row],[Movement + Exercise Weight]]</f>
        <v>0</v>
      </c>
      <c r="E36">
        <f>VLOOKUP($B36,FactorScores[],3,FALSE)*Markers_Raw_Max[[#This Row],[Restorative Sleep Weight]]</f>
        <v>0</v>
      </c>
      <c r="F36">
        <f>VLOOKUP($B36,FactorScores[],3,FALSE)*Markers_Raw_Max[[#This Row],[Stress Management Weight]]</f>
        <v>0</v>
      </c>
      <c r="G36">
        <f>VLOOKUP($B36,FactorScores[],3,FALSE)*Markers_Raw_Max[[#This Row],[Cognitive Health Weight]]</f>
        <v>3.4995330220146723</v>
      </c>
      <c r="H36">
        <f>VLOOKUP($B36,FactorScores[],3,FALSE)*Markers_Raw_Max[[#This Row],[Connection + Purpose Weight]]</f>
        <v>0</v>
      </c>
      <c r="I36">
        <f>VLOOKUP($B36,FactorScores[],3,FALSE)*Markers_Raw_Max[[#This Row],[Core Care Weight]]</f>
        <v>0</v>
      </c>
    </row>
    <row r="37" spans="2:9" x14ac:dyDescent="0.25">
      <c r="B37" t="s">
        <v>70</v>
      </c>
      <c r="C37">
        <f>VLOOKUP($B37,FactorScores[],3,FALSE)*Markers_Raw_Max[[#This Row],[Healthful Nutrition Weight]]</f>
        <v>4</v>
      </c>
      <c r="D37">
        <f>VLOOKUP($B37,FactorScores[],3,FALSE)*Markers_Raw_Max[[#This Row],[Movement + Exercise Weight]]</f>
        <v>0</v>
      </c>
      <c r="E37">
        <f>VLOOKUP($B37,FactorScores[],3,FALSE)*Markers_Raw_Max[[#This Row],[Restorative Sleep Weight]]</f>
        <v>0</v>
      </c>
      <c r="F37">
        <f>VLOOKUP($B37,FactorScores[],3,FALSE)*Markers_Raw_Max[[#This Row],[Stress Management Weight]]</f>
        <v>0</v>
      </c>
      <c r="G37">
        <f>VLOOKUP($B37,FactorScores[],3,FALSE)*Markers_Raw_Max[[#This Row],[Cognitive Health Weight]]</f>
        <v>7</v>
      </c>
      <c r="H37">
        <f>VLOOKUP($B37,FactorScores[],3,FALSE)*Markers_Raw_Max[[#This Row],[Connection + Purpose Weight]]</f>
        <v>0</v>
      </c>
      <c r="I37">
        <f>VLOOKUP($B37,FactorScores[],3,FALSE)*Markers_Raw_Max[[#This Row],[Core Care Weight]]</f>
        <v>0</v>
      </c>
    </row>
    <row r="38" spans="2:9" x14ac:dyDescent="0.25">
      <c r="B38" t="s">
        <v>71</v>
      </c>
      <c r="C38">
        <f>VLOOKUP($B38,FactorScores[],3,FALSE)*Markers_Raw_Max[[#This Row],[Healthful Nutrition Weight]]</f>
        <v>0.63528676225408398</v>
      </c>
      <c r="D38">
        <f>VLOOKUP($B38,FactorScores[],3,FALSE)*Markers_Raw_Max[[#This Row],[Movement + Exercise Weight]]</f>
        <v>0</v>
      </c>
      <c r="E38">
        <f>VLOOKUP($B38,FactorScores[],3,FALSE)*Markers_Raw_Max[[#This Row],[Restorative Sleep Weight]]</f>
        <v>0</v>
      </c>
      <c r="F38">
        <f>VLOOKUP($B38,FactorScores[],3,FALSE)*Markers_Raw_Max[[#This Row],[Stress Management Weight]]</f>
        <v>0</v>
      </c>
      <c r="G38">
        <f>VLOOKUP($B38,FactorScores[],3,FALSE)*Markers_Raw_Max[[#This Row],[Cognitive Health Weight]]</f>
        <v>0</v>
      </c>
      <c r="H38">
        <f>VLOOKUP($B38,FactorScores[],3,FALSE)*Markers_Raw_Max[[#This Row],[Connection + Purpose Weight]]</f>
        <v>0</v>
      </c>
      <c r="I38">
        <f>VLOOKUP($B38,FactorScores[],3,FALSE)*Markers_Raw_Max[[#This Row],[Core Care Weight]]</f>
        <v>3.17643381127042</v>
      </c>
    </row>
    <row r="39" spans="2:9" x14ac:dyDescent="0.25">
      <c r="B39" t="s">
        <v>72</v>
      </c>
      <c r="C39">
        <f>VLOOKUP($B39,FactorScores[],3,FALSE)*Markers_Raw_Max[[#This Row],[Healthful Nutrition Weight]]</f>
        <v>0.51896551724137896</v>
      </c>
      <c r="D39">
        <f>VLOOKUP($B39,FactorScores[],3,FALSE)*Markers_Raw_Max[[#This Row],[Movement + Exercise Weight]]</f>
        <v>0</v>
      </c>
      <c r="E39">
        <f>VLOOKUP($B39,FactorScores[],3,FALSE)*Markers_Raw_Max[[#This Row],[Restorative Sleep Weight]]</f>
        <v>0</v>
      </c>
      <c r="F39">
        <f>VLOOKUP($B39,FactorScores[],3,FALSE)*Markers_Raw_Max[[#This Row],[Stress Management Weight]]</f>
        <v>0</v>
      </c>
      <c r="G39">
        <f>VLOOKUP($B39,FactorScores[],3,FALSE)*Markers_Raw_Max[[#This Row],[Cognitive Health Weight]]</f>
        <v>0</v>
      </c>
      <c r="H39">
        <f>VLOOKUP($B39,FactorScores[],3,FALSE)*Markers_Raw_Max[[#This Row],[Connection + Purpose Weight]]</f>
        <v>0</v>
      </c>
      <c r="I39">
        <f>VLOOKUP($B39,FactorScores[],3,FALSE)*Markers_Raw_Max[[#This Row],[Core Care Weight]]</f>
        <v>2.594827586206895</v>
      </c>
    </row>
    <row r="40" spans="2:9" x14ac:dyDescent="0.25">
      <c r="B40" t="s">
        <v>73</v>
      </c>
      <c r="C40">
        <f>VLOOKUP($B40,FactorScores[],3,FALSE)*Markers_Raw_Max[[#This Row],[Healthful Nutrition Weight]]</f>
        <v>0</v>
      </c>
      <c r="D40">
        <f>VLOOKUP($B40,FactorScores[],3,FALSE)*Markers_Raw_Max[[#This Row],[Movement + Exercise Weight]]</f>
        <v>3</v>
      </c>
      <c r="E40">
        <f>VLOOKUP($B40,FactorScores[],3,FALSE)*Markers_Raw_Max[[#This Row],[Restorative Sleep Weight]]</f>
        <v>0</v>
      </c>
      <c r="F40">
        <f>VLOOKUP($B40,FactorScores[],3,FALSE)*Markers_Raw_Max[[#This Row],[Stress Management Weight]]</f>
        <v>0</v>
      </c>
      <c r="G40">
        <f>VLOOKUP($B40,FactorScores[],3,FALSE)*Markers_Raw_Max[[#This Row],[Cognitive Health Weight]]</f>
        <v>0</v>
      </c>
      <c r="H40">
        <f>VLOOKUP($B40,FactorScores[],3,FALSE)*Markers_Raw_Max[[#This Row],[Connection + Purpose Weight]]</f>
        <v>0</v>
      </c>
      <c r="I40">
        <f>VLOOKUP($B40,FactorScores[],3,FALSE)*Markers_Raw_Max[[#This Row],[Core Care Weight]]</f>
        <v>7</v>
      </c>
    </row>
    <row r="41" spans="2:9" x14ac:dyDescent="0.25">
      <c r="B41" t="s">
        <v>74</v>
      </c>
      <c r="C41">
        <f>VLOOKUP($B41,FactorScores[],3,FALSE)*Markers_Raw_Max[[#This Row],[Healthful Nutrition Weight]]</f>
        <v>3</v>
      </c>
      <c r="D41">
        <f>VLOOKUP($B41,FactorScores[],3,FALSE)*Markers_Raw_Max[[#This Row],[Movement + Exercise Weight]]</f>
        <v>0</v>
      </c>
      <c r="E41">
        <f>VLOOKUP($B41,FactorScores[],3,FALSE)*Markers_Raw_Max[[#This Row],[Restorative Sleep Weight]]</f>
        <v>0</v>
      </c>
      <c r="F41">
        <f>VLOOKUP($B41,FactorScores[],3,FALSE)*Markers_Raw_Max[[#This Row],[Stress Management Weight]]</f>
        <v>0</v>
      </c>
      <c r="G41">
        <f>VLOOKUP($B41,FactorScores[],3,FALSE)*Markers_Raw_Max[[#This Row],[Cognitive Health Weight]]</f>
        <v>0</v>
      </c>
      <c r="H41">
        <f>VLOOKUP($B41,FactorScores[],3,FALSE)*Markers_Raw_Max[[#This Row],[Connection + Purpose Weight]]</f>
        <v>0</v>
      </c>
      <c r="I41">
        <f>VLOOKUP($B41,FactorScores[],3,FALSE)*Markers_Raw_Max[[#This Row],[Core Care Weight]]</f>
        <v>0</v>
      </c>
    </row>
    <row r="42" spans="2:9" x14ac:dyDescent="0.25">
      <c r="B42" t="s">
        <v>75</v>
      </c>
      <c r="C42">
        <f>VLOOKUP($B42,FactorScores[],3,FALSE)*Markers_Raw_Max[[#This Row],[Healthful Nutrition Weight]]</f>
        <v>3.2801507537688401</v>
      </c>
      <c r="D42">
        <f>VLOOKUP($B42,FactorScores[],3,FALSE)*Markers_Raw_Max[[#This Row],[Movement + Exercise Weight]]</f>
        <v>0</v>
      </c>
      <c r="E42">
        <f>VLOOKUP($B42,FactorScores[],3,FALSE)*Markers_Raw_Max[[#This Row],[Restorative Sleep Weight]]</f>
        <v>0</v>
      </c>
      <c r="F42">
        <f>VLOOKUP($B42,FactorScores[],3,FALSE)*Markers_Raw_Max[[#This Row],[Stress Management Weight]]</f>
        <v>0</v>
      </c>
      <c r="G42">
        <f>VLOOKUP($B42,FactorScores[],3,FALSE)*Markers_Raw_Max[[#This Row],[Cognitive Health Weight]]</f>
        <v>5.2482412060301442</v>
      </c>
      <c r="H42">
        <f>VLOOKUP($B42,FactorScores[],3,FALSE)*Markers_Raw_Max[[#This Row],[Connection + Purpose Weight]]</f>
        <v>0</v>
      </c>
      <c r="I42">
        <f>VLOOKUP($B42,FactorScores[],3,FALSE)*Markers_Raw_Max[[#This Row],[Core Care Weight]]</f>
        <v>1.9680904522613041</v>
      </c>
    </row>
    <row r="43" spans="2:9" x14ac:dyDescent="0.25">
      <c r="B43" t="s">
        <v>76</v>
      </c>
      <c r="C43">
        <f>VLOOKUP($B43,FactorScores[],3,FALSE)*Markers_Raw_Max[[#This Row],[Healthful Nutrition Weight]]</f>
        <v>0</v>
      </c>
      <c r="D43">
        <f>VLOOKUP($B43,FactorScores[],3,FALSE)*Markers_Raw_Max[[#This Row],[Movement + Exercise Weight]]</f>
        <v>1.2944723618090439</v>
      </c>
      <c r="E43">
        <f>VLOOKUP($B43,FactorScores[],3,FALSE)*Markers_Raw_Max[[#This Row],[Restorative Sleep Weight]]</f>
        <v>3.2361809045226098</v>
      </c>
      <c r="F43">
        <f>VLOOKUP($B43,FactorScores[],3,FALSE)*Markers_Raw_Max[[#This Row],[Stress Management Weight]]</f>
        <v>5.1778894472361756</v>
      </c>
      <c r="G43">
        <f>VLOOKUP($B43,FactorScores[],3,FALSE)*Markers_Raw_Max[[#This Row],[Cognitive Health Weight]]</f>
        <v>3.8834170854271317</v>
      </c>
      <c r="H43">
        <f>VLOOKUP($B43,FactorScores[],3,FALSE)*Markers_Raw_Max[[#This Row],[Connection + Purpose Weight]]</f>
        <v>3.2361809045226098</v>
      </c>
      <c r="I43">
        <f>VLOOKUP($B43,FactorScores[],3,FALSE)*Markers_Raw_Max[[#This Row],[Core Care Weight]]</f>
        <v>0</v>
      </c>
    </row>
    <row r="44" spans="2:9" x14ac:dyDescent="0.25">
      <c r="B44" t="s">
        <v>77</v>
      </c>
      <c r="C44">
        <f>VLOOKUP($B44,FactorScores[],3,FALSE)*Markers_Raw_Max[[#This Row],[Healthful Nutrition Weight]]</f>
        <v>2</v>
      </c>
      <c r="D44">
        <f>VLOOKUP($B44,FactorScores[],3,FALSE)*Markers_Raw_Max[[#This Row],[Movement + Exercise Weight]]</f>
        <v>0</v>
      </c>
      <c r="E44">
        <f>VLOOKUP($B44,FactorScores[],3,FALSE)*Markers_Raw_Max[[#This Row],[Restorative Sleep Weight]]</f>
        <v>0</v>
      </c>
      <c r="F44">
        <f>VLOOKUP($B44,FactorScores[],3,FALSE)*Markers_Raw_Max[[#This Row],[Stress Management Weight]]</f>
        <v>3</v>
      </c>
      <c r="G44">
        <f>VLOOKUP($B44,FactorScores[],3,FALSE)*Markers_Raw_Max[[#This Row],[Cognitive Health Weight]]</f>
        <v>0</v>
      </c>
      <c r="H44">
        <f>VLOOKUP($B44,FactorScores[],3,FALSE)*Markers_Raw_Max[[#This Row],[Connection + Purpose Weight]]</f>
        <v>0</v>
      </c>
      <c r="I44">
        <f>VLOOKUP($B44,FactorScores[],3,FALSE)*Markers_Raw_Max[[#This Row],[Core Care Weight]]</f>
        <v>0</v>
      </c>
    </row>
    <row r="45" spans="2:9" x14ac:dyDescent="0.25">
      <c r="B45" t="s">
        <v>78</v>
      </c>
      <c r="C45">
        <f>VLOOKUP($B45,FactorScores[],3,FALSE)*Markers_Raw_Max[[#This Row],[Healthful Nutrition Weight]]</f>
        <v>0.28717948717948599</v>
      </c>
      <c r="D45">
        <f>VLOOKUP($B45,FactorScores[],3,FALSE)*Markers_Raw_Max[[#This Row],[Movement + Exercise Weight]]</f>
        <v>0</v>
      </c>
      <c r="E45">
        <f>VLOOKUP($B45,FactorScores[],3,FALSE)*Markers_Raw_Max[[#This Row],[Restorative Sleep Weight]]</f>
        <v>0</v>
      </c>
      <c r="F45">
        <f>VLOOKUP($B45,FactorScores[],3,FALSE)*Markers_Raw_Max[[#This Row],[Stress Management Weight]]</f>
        <v>0.43076923076922902</v>
      </c>
      <c r="G45">
        <f>VLOOKUP($B45,FactorScores[],3,FALSE)*Markers_Raw_Max[[#This Row],[Cognitive Health Weight]]</f>
        <v>0</v>
      </c>
      <c r="H45">
        <f>VLOOKUP($B45,FactorScores[],3,FALSE)*Markers_Raw_Max[[#This Row],[Connection + Purpose Weight]]</f>
        <v>0</v>
      </c>
      <c r="I45">
        <f>VLOOKUP($B45,FactorScores[],3,FALSE)*Markers_Raw_Max[[#This Row],[Core Care Weight]]</f>
        <v>0</v>
      </c>
    </row>
    <row r="46" spans="2:9" x14ac:dyDescent="0.25">
      <c r="B46" t="s">
        <v>79</v>
      </c>
      <c r="C46">
        <f>VLOOKUP($B46,FactorScores[],3,FALSE)*Markers_Raw_Max[[#This Row],[Healthful Nutrition Weight]]</f>
        <v>0.1974358974358974</v>
      </c>
      <c r="D46">
        <f>VLOOKUP($B46,FactorScores[],3,FALSE)*Markers_Raw_Max[[#This Row],[Movement + Exercise Weight]]</f>
        <v>0</v>
      </c>
      <c r="E46">
        <f>VLOOKUP($B46,FactorScores[],3,FALSE)*Markers_Raw_Max[[#This Row],[Restorative Sleep Weight]]</f>
        <v>0.3948717948717948</v>
      </c>
      <c r="F46">
        <f>VLOOKUP($B46,FactorScores[],3,FALSE)*Markers_Raw_Max[[#This Row],[Stress Management Weight]]</f>
        <v>0.3948717948717948</v>
      </c>
      <c r="G46">
        <f>VLOOKUP($B46,FactorScores[],3,FALSE)*Markers_Raw_Max[[#This Row],[Cognitive Health Weight]]</f>
        <v>0.4935897435897435</v>
      </c>
      <c r="H46">
        <f>VLOOKUP($B46,FactorScores[],3,FALSE)*Markers_Raw_Max[[#This Row],[Connection + Purpose Weight]]</f>
        <v>0</v>
      </c>
      <c r="I46">
        <f>VLOOKUP($B46,FactorScores[],3,FALSE)*Markers_Raw_Max[[#This Row],[Core Care Weight]]</f>
        <v>0.7897435897435896</v>
      </c>
    </row>
    <row r="47" spans="2:9" x14ac:dyDescent="0.25">
      <c r="B47" t="s">
        <v>80</v>
      </c>
      <c r="C47">
        <f>VLOOKUP($B47,FactorScores[],3,FALSE)*Markers_Raw_Max[[#This Row],[Healthful Nutrition Weight]]</f>
        <v>0</v>
      </c>
      <c r="D47">
        <f>VLOOKUP($B47,FactorScores[],3,FALSE)*Markers_Raw_Max[[#This Row],[Movement + Exercise Weight]]</f>
        <v>0</v>
      </c>
      <c r="E47">
        <f>VLOOKUP($B47,FactorScores[],3,FALSE)*Markers_Raw_Max[[#This Row],[Restorative Sleep Weight]]</f>
        <v>0</v>
      </c>
      <c r="F47">
        <f>VLOOKUP($B47,FactorScores[],3,FALSE)*Markers_Raw_Max[[#This Row],[Stress Management Weight]]</f>
        <v>0</v>
      </c>
      <c r="G47">
        <f>VLOOKUP($B47,FactorScores[],3,FALSE)*Markers_Raw_Max[[#This Row],[Cognitive Health Weight]]</f>
        <v>0</v>
      </c>
      <c r="H47">
        <f>VLOOKUP($B47,FactorScores[],3,FALSE)*Markers_Raw_Max[[#This Row],[Connection + Purpose Weight]]</f>
        <v>0</v>
      </c>
      <c r="I47">
        <f>VLOOKUP($B47,FactorScores[],3,FALSE)*Markers_Raw_Max[[#This Row],[Core Care Weight]]</f>
        <v>0</v>
      </c>
    </row>
    <row r="48" spans="2:9" x14ac:dyDescent="0.25">
      <c r="B48" t="s">
        <v>81</v>
      </c>
      <c r="C48">
        <f>VLOOKUP($B48,FactorScores[],3,FALSE)*Markers_Raw_Max[[#This Row],[Healthful Nutrition Weight]]</f>
        <v>2.7428571428571442</v>
      </c>
      <c r="D48">
        <f>VLOOKUP($B48,FactorScores[],3,FALSE)*Markers_Raw_Max[[#This Row],[Movement + Exercise Weight]]</f>
        <v>0</v>
      </c>
      <c r="E48">
        <f>VLOOKUP($B48,FactorScores[],3,FALSE)*Markers_Raw_Max[[#This Row],[Restorative Sleep Weight]]</f>
        <v>0</v>
      </c>
      <c r="F48">
        <f>VLOOKUP($B48,FactorScores[],3,FALSE)*Markers_Raw_Max[[#This Row],[Stress Management Weight]]</f>
        <v>0</v>
      </c>
      <c r="G48">
        <f>VLOOKUP($B48,FactorScores[],3,FALSE)*Markers_Raw_Max[[#This Row],[Cognitive Health Weight]]</f>
        <v>0</v>
      </c>
      <c r="H48">
        <f>VLOOKUP($B48,FactorScores[],3,FALSE)*Markers_Raw_Max[[#This Row],[Connection + Purpose Weight]]</f>
        <v>0</v>
      </c>
      <c r="I48">
        <f>VLOOKUP($B48,FactorScores[],3,FALSE)*Markers_Raw_Max[[#This Row],[Core Care Weight]]</f>
        <v>0</v>
      </c>
    </row>
    <row r="49" spans="2:9" x14ac:dyDescent="0.25">
      <c r="B49" t="s">
        <v>82</v>
      </c>
      <c r="C49">
        <f>VLOOKUP($B49,FactorScores[],3,FALSE)*Markers_Raw_Max[[#This Row],[Healthful Nutrition Weight]]</f>
        <v>0</v>
      </c>
      <c r="D49">
        <f>VLOOKUP($B49,FactorScores[],3,FALSE)*Markers_Raw_Max[[#This Row],[Movement + Exercise Weight]]</f>
        <v>0</v>
      </c>
      <c r="E49">
        <f>VLOOKUP($B49,FactorScores[],3,FALSE)*Markers_Raw_Max[[#This Row],[Restorative Sleep Weight]]</f>
        <v>0</v>
      </c>
      <c r="F49">
        <f>VLOOKUP($B49,FactorScores[],3,FALSE)*Markers_Raw_Max[[#This Row],[Stress Management Weight]]</f>
        <v>0.60716763949548502</v>
      </c>
      <c r="G49">
        <f>VLOOKUP($B49,FactorScores[],3,FALSE)*Markers_Raw_Max[[#This Row],[Cognitive Health Weight]]</f>
        <v>0</v>
      </c>
      <c r="H49">
        <f>VLOOKUP($B49,FactorScores[],3,FALSE)*Markers_Raw_Max[[#This Row],[Connection + Purpose Weight]]</f>
        <v>0.36430058369729101</v>
      </c>
      <c r="I49">
        <f>VLOOKUP($B49,FactorScores[],3,FALSE)*Markers_Raw_Max[[#This Row],[Core Care Weight]]</f>
        <v>0</v>
      </c>
    </row>
    <row r="50" spans="2:9" x14ac:dyDescent="0.25">
      <c r="B50" t="s">
        <v>83</v>
      </c>
      <c r="C50">
        <f>VLOOKUP($B50,FactorScores[],3,FALSE)*Markers_Raw_Max[[#This Row],[Healthful Nutrition Weight]]</f>
        <v>5</v>
      </c>
      <c r="D50">
        <f>VLOOKUP($B50,FactorScores[],3,FALSE)*Markers_Raw_Max[[#This Row],[Movement + Exercise Weight]]</f>
        <v>0</v>
      </c>
      <c r="E50">
        <f>VLOOKUP($B50,FactorScores[],3,FALSE)*Markers_Raw_Max[[#This Row],[Restorative Sleep Weight]]</f>
        <v>0</v>
      </c>
      <c r="F50">
        <f>VLOOKUP($B50,FactorScores[],3,FALSE)*Markers_Raw_Max[[#This Row],[Stress Management Weight]]</f>
        <v>0</v>
      </c>
      <c r="G50">
        <f>VLOOKUP($B50,FactorScores[],3,FALSE)*Markers_Raw_Max[[#This Row],[Cognitive Health Weight]]</f>
        <v>0</v>
      </c>
      <c r="H50">
        <f>VLOOKUP($B50,FactorScores[],3,FALSE)*Markers_Raw_Max[[#This Row],[Connection + Purpose Weight]]</f>
        <v>0</v>
      </c>
      <c r="I50">
        <f>VLOOKUP($B50,FactorScores[],3,FALSE)*Markers_Raw_Max[[#This Row],[Core Care Weight]]</f>
        <v>0</v>
      </c>
    </row>
    <row r="51" spans="2:9" x14ac:dyDescent="0.25">
      <c r="B51" t="s">
        <v>84</v>
      </c>
      <c r="C51">
        <f>VLOOKUP($B51,FactorScores[],3,FALSE)*Markers_Raw_Max[[#This Row],[Healthful Nutrition Weight]]</f>
        <v>0</v>
      </c>
      <c r="D51">
        <f>VLOOKUP($B51,FactorScores[],3,FALSE)*Markers_Raw_Max[[#This Row],[Movement + Exercise Weight]]</f>
        <v>5</v>
      </c>
      <c r="E51">
        <f>VLOOKUP($B51,FactorScores[],3,FALSE)*Markers_Raw_Max[[#This Row],[Restorative Sleep Weight]]</f>
        <v>0</v>
      </c>
      <c r="F51">
        <f>VLOOKUP($B51,FactorScores[],3,FALSE)*Markers_Raw_Max[[#This Row],[Stress Management Weight]]</f>
        <v>3</v>
      </c>
      <c r="G51">
        <f>VLOOKUP($B51,FactorScores[],3,FALSE)*Markers_Raw_Max[[#This Row],[Cognitive Health Weight]]</f>
        <v>0</v>
      </c>
      <c r="H51">
        <f>VLOOKUP($B51,FactorScores[],3,FALSE)*Markers_Raw_Max[[#This Row],[Connection + Purpose Weight]]</f>
        <v>0</v>
      </c>
      <c r="I51">
        <f>VLOOKUP($B51,FactorScores[],3,FALSE)*Markers_Raw_Max[[#This Row],[Core Care Weight]]</f>
        <v>0</v>
      </c>
    </row>
    <row r="52" spans="2:9" x14ac:dyDescent="0.25">
      <c r="B52" t="s">
        <v>85</v>
      </c>
      <c r="C52">
        <f>VLOOKUP($B52,FactorScores[],3,FALSE)*Markers_Raw_Max[[#This Row],[Healthful Nutrition Weight]]</f>
        <v>3</v>
      </c>
      <c r="D52">
        <f>VLOOKUP($B52,FactorScores[],3,FALSE)*Markers_Raw_Max[[#This Row],[Movement + Exercise Weight]]</f>
        <v>0</v>
      </c>
      <c r="E52">
        <f>VLOOKUP($B52,FactorScores[],3,FALSE)*Markers_Raw_Max[[#This Row],[Restorative Sleep Weight]]</f>
        <v>0</v>
      </c>
      <c r="F52">
        <f>VLOOKUP($B52,FactorScores[],3,FALSE)*Markers_Raw_Max[[#This Row],[Stress Management Weight]]</f>
        <v>0</v>
      </c>
      <c r="G52">
        <f>VLOOKUP($B52,FactorScores[],3,FALSE)*Markers_Raw_Max[[#This Row],[Cognitive Health Weight]]</f>
        <v>0</v>
      </c>
      <c r="H52">
        <f>VLOOKUP($B52,FactorScores[],3,FALSE)*Markers_Raw_Max[[#This Row],[Connection + Purpose Weight]]</f>
        <v>0</v>
      </c>
      <c r="I52">
        <f>VLOOKUP($B52,FactorScores[],3,FALSE)*Markers_Raw_Max[[#This Row],[Core Care Weight]]</f>
        <v>0</v>
      </c>
    </row>
    <row r="53" spans="2:9" x14ac:dyDescent="0.25">
      <c r="B53" t="s">
        <v>86</v>
      </c>
      <c r="C53">
        <f>VLOOKUP($B53,FactorScores[],3,FALSE)*Markers_Raw_Max[[#This Row],[Healthful Nutrition Weight]]</f>
        <v>3</v>
      </c>
      <c r="D53">
        <f>VLOOKUP($B53,FactorScores[],3,FALSE)*Markers_Raw_Max[[#This Row],[Movement + Exercise Weight]]</f>
        <v>0</v>
      </c>
      <c r="E53">
        <f>VLOOKUP($B53,FactorScores[],3,FALSE)*Markers_Raw_Max[[#This Row],[Restorative Sleep Weight]]</f>
        <v>0</v>
      </c>
      <c r="F53">
        <f>VLOOKUP($B53,FactorScores[],3,FALSE)*Markers_Raw_Max[[#This Row],[Stress Management Weight]]</f>
        <v>0</v>
      </c>
      <c r="G53">
        <f>VLOOKUP($B53,FactorScores[],3,FALSE)*Markers_Raw_Max[[#This Row],[Cognitive Health Weight]]</f>
        <v>0</v>
      </c>
      <c r="H53">
        <f>VLOOKUP($B53,FactorScores[],3,FALSE)*Markers_Raw_Max[[#This Row],[Connection + Purpose Weight]]</f>
        <v>0</v>
      </c>
      <c r="I53">
        <f>VLOOKUP($B53,FactorScores[],3,FALSE)*Markers_Raw_Max[[#This Row],[Core Care Weight]]</f>
        <v>0</v>
      </c>
    </row>
    <row r="54" spans="2:9" x14ac:dyDescent="0.25">
      <c r="B54" t="s">
        <v>87</v>
      </c>
      <c r="C54">
        <f>VLOOKUP($B54,FactorScores[],3,FALSE)*Markers_Raw_Max[[#This Row],[Healthful Nutrition Weight]]</f>
        <v>2.3350140056022402</v>
      </c>
      <c r="D54">
        <f>VLOOKUP($B54,FactorScores[],3,FALSE)*Markers_Raw_Max[[#This Row],[Movement + Exercise Weight]]</f>
        <v>0</v>
      </c>
      <c r="E54">
        <f>VLOOKUP($B54,FactorScores[],3,FALSE)*Markers_Raw_Max[[#This Row],[Restorative Sleep Weight]]</f>
        <v>0</v>
      </c>
      <c r="F54">
        <f>VLOOKUP($B54,FactorScores[],3,FALSE)*Markers_Raw_Max[[#This Row],[Stress Management Weight]]</f>
        <v>2.3350140056022402</v>
      </c>
      <c r="G54">
        <f>VLOOKUP($B54,FactorScores[],3,FALSE)*Markers_Raw_Max[[#This Row],[Cognitive Health Weight]]</f>
        <v>0</v>
      </c>
      <c r="H54">
        <f>VLOOKUP($B54,FactorScores[],3,FALSE)*Markers_Raw_Max[[#This Row],[Connection + Purpose Weight]]</f>
        <v>0</v>
      </c>
      <c r="I54">
        <f>VLOOKUP($B54,FactorScores[],3,FALSE)*Markers_Raw_Max[[#This Row],[Core Care Weight]]</f>
        <v>2.3350140056022402</v>
      </c>
    </row>
    <row r="55" spans="2:9" x14ac:dyDescent="0.25">
      <c r="B55" t="s">
        <v>88</v>
      </c>
      <c r="C55">
        <f>VLOOKUP($B55,FactorScores[],3,FALSE)*Markers_Raw_Max[[#This Row],[Healthful Nutrition Weight]]</f>
        <v>5</v>
      </c>
      <c r="D55">
        <f>VLOOKUP($B55,FactorScores[],3,FALSE)*Markers_Raw_Max[[#This Row],[Movement + Exercise Weight]]</f>
        <v>0</v>
      </c>
      <c r="E55">
        <f>VLOOKUP($B55,FactorScores[],3,FALSE)*Markers_Raw_Max[[#This Row],[Restorative Sleep Weight]]</f>
        <v>0</v>
      </c>
      <c r="F55">
        <f>VLOOKUP($B55,FactorScores[],3,FALSE)*Markers_Raw_Max[[#This Row],[Stress Management Weight]]</f>
        <v>0</v>
      </c>
      <c r="G55">
        <f>VLOOKUP($B55,FactorScores[],3,FALSE)*Markers_Raw_Max[[#This Row],[Cognitive Health Weight]]</f>
        <v>0</v>
      </c>
      <c r="H55">
        <f>VLOOKUP($B55,FactorScores[],3,FALSE)*Markers_Raw_Max[[#This Row],[Connection + Purpose Weight]]</f>
        <v>0</v>
      </c>
      <c r="I55">
        <f>VLOOKUP($B55,FactorScores[],3,FALSE)*Markers_Raw_Max[[#This Row],[Core Care Weight]]</f>
        <v>0</v>
      </c>
    </row>
    <row r="56" spans="2:9" x14ac:dyDescent="0.25">
      <c r="B56" t="s">
        <v>89</v>
      </c>
      <c r="C56">
        <f>VLOOKUP($B56,FactorScores[],3,FALSE)*Markers_Raw_Max[[#This Row],[Healthful Nutrition Weight]]</f>
        <v>1.5785234899328879</v>
      </c>
      <c r="D56">
        <f>VLOOKUP($B56,FactorScores[],3,FALSE)*Markers_Raw_Max[[#This Row],[Movement + Exercise Weight]]</f>
        <v>0</v>
      </c>
      <c r="E56">
        <f>VLOOKUP($B56,FactorScores[],3,FALSE)*Markers_Raw_Max[[#This Row],[Restorative Sleep Weight]]</f>
        <v>0</v>
      </c>
      <c r="F56">
        <f>VLOOKUP($B56,FactorScores[],3,FALSE)*Markers_Raw_Max[[#This Row],[Stress Management Weight]]</f>
        <v>0</v>
      </c>
      <c r="G56">
        <f>VLOOKUP($B56,FactorScores[],3,FALSE)*Markers_Raw_Max[[#This Row],[Cognitive Health Weight]]</f>
        <v>0</v>
      </c>
      <c r="H56">
        <f>VLOOKUP($B56,FactorScores[],3,FALSE)*Markers_Raw_Max[[#This Row],[Connection + Purpose Weight]]</f>
        <v>0</v>
      </c>
      <c r="I56">
        <f>VLOOKUP($B56,FactorScores[],3,FALSE)*Markers_Raw_Max[[#This Row],[Core Care Weight]]</f>
        <v>0</v>
      </c>
    </row>
    <row r="57" spans="2:9" x14ac:dyDescent="0.25">
      <c r="B57" t="s">
        <v>90</v>
      </c>
      <c r="C57">
        <f>VLOOKUP($B57,FactorScores[],3,FALSE)*Markers_Raw_Max[[#This Row],[Healthful Nutrition Weight]]</f>
        <v>1.6137583892617411</v>
      </c>
      <c r="D57">
        <f>VLOOKUP($B57,FactorScores[],3,FALSE)*Markers_Raw_Max[[#This Row],[Movement + Exercise Weight]]</f>
        <v>0</v>
      </c>
      <c r="E57">
        <f>VLOOKUP($B57,FactorScores[],3,FALSE)*Markers_Raw_Max[[#This Row],[Restorative Sleep Weight]]</f>
        <v>0</v>
      </c>
      <c r="F57">
        <f>VLOOKUP($B57,FactorScores[],3,FALSE)*Markers_Raw_Max[[#This Row],[Stress Management Weight]]</f>
        <v>0</v>
      </c>
      <c r="G57">
        <f>VLOOKUP($B57,FactorScores[],3,FALSE)*Markers_Raw_Max[[#This Row],[Cognitive Health Weight]]</f>
        <v>0</v>
      </c>
      <c r="H57">
        <f>VLOOKUP($B57,FactorScores[],3,FALSE)*Markers_Raw_Max[[#This Row],[Connection + Purpose Weight]]</f>
        <v>0</v>
      </c>
      <c r="I57">
        <f>VLOOKUP($B57,FactorScores[],3,FALSE)*Markers_Raw_Max[[#This Row],[Core Care Weight]]</f>
        <v>0</v>
      </c>
    </row>
    <row r="58" spans="2:9" x14ac:dyDescent="0.25">
      <c r="B58" t="s">
        <v>91</v>
      </c>
      <c r="C58">
        <f>VLOOKUP($B58,FactorScores[],3,FALSE)*Markers_Raw_Max[[#This Row],[Healthful Nutrition Weight]]</f>
        <v>2.4633266533066118</v>
      </c>
      <c r="D58">
        <f>VLOOKUP($B58,FactorScores[],3,FALSE)*Markers_Raw_Max[[#This Row],[Movement + Exercise Weight]]</f>
        <v>0</v>
      </c>
      <c r="E58">
        <f>VLOOKUP($B58,FactorScores[],3,FALSE)*Markers_Raw_Max[[#This Row],[Restorative Sleep Weight]]</f>
        <v>0</v>
      </c>
      <c r="F58">
        <f>VLOOKUP($B58,FactorScores[],3,FALSE)*Markers_Raw_Max[[#This Row],[Stress Management Weight]]</f>
        <v>0</v>
      </c>
      <c r="G58">
        <f>VLOOKUP($B58,FactorScores[],3,FALSE)*Markers_Raw_Max[[#This Row],[Cognitive Health Weight]]</f>
        <v>0</v>
      </c>
      <c r="H58">
        <f>VLOOKUP($B58,FactorScores[],3,FALSE)*Markers_Raw_Max[[#This Row],[Connection + Purpose Weight]]</f>
        <v>0</v>
      </c>
      <c r="I58">
        <f>VLOOKUP($B58,FactorScores[],3,FALSE)*Markers_Raw_Max[[#This Row],[Core Care Weight]]</f>
        <v>0</v>
      </c>
    </row>
    <row r="59" spans="2:9" x14ac:dyDescent="0.25">
      <c r="B59" t="s">
        <v>92</v>
      </c>
      <c r="C59">
        <f>VLOOKUP($B59,FactorScores[],3,FALSE)*Markers_Raw_Max[[#This Row],[Healthful Nutrition Weight]]</f>
        <v>1.2743589743589721</v>
      </c>
      <c r="D59">
        <f>VLOOKUP($B59,FactorScores[],3,FALSE)*Markers_Raw_Max[[#This Row],[Movement + Exercise Weight]]</f>
        <v>0</v>
      </c>
      <c r="E59">
        <f>VLOOKUP($B59,FactorScores[],3,FALSE)*Markers_Raw_Max[[#This Row],[Restorative Sleep Weight]]</f>
        <v>0</v>
      </c>
      <c r="F59">
        <f>VLOOKUP($B59,FactorScores[],3,FALSE)*Markers_Raw_Max[[#This Row],[Stress Management Weight]]</f>
        <v>0</v>
      </c>
      <c r="G59">
        <f>VLOOKUP($B59,FactorScores[],3,FALSE)*Markers_Raw_Max[[#This Row],[Cognitive Health Weight]]</f>
        <v>0</v>
      </c>
      <c r="H59">
        <f>VLOOKUP($B59,FactorScores[],3,FALSE)*Markers_Raw_Max[[#This Row],[Connection + Purpose Weight]]</f>
        <v>0</v>
      </c>
      <c r="I59">
        <f>VLOOKUP($B59,FactorScores[],3,FALSE)*Markers_Raw_Max[[#This Row],[Core Care Weight]]</f>
        <v>0</v>
      </c>
    </row>
    <row r="60" spans="2:9" x14ac:dyDescent="0.25">
      <c r="B60" t="s">
        <v>93</v>
      </c>
      <c r="C60">
        <f>VLOOKUP($B60,FactorScores[],3,FALSE)*Markers_Raw_Max[[#This Row],[Healthful Nutrition Weight]]</f>
        <v>1.868976897689766</v>
      </c>
      <c r="D60">
        <f>VLOOKUP($B60,FactorScores[],3,FALSE)*Markers_Raw_Max[[#This Row],[Movement + Exercise Weight]]</f>
        <v>0</v>
      </c>
      <c r="E60">
        <f>VLOOKUP($B60,FactorScores[],3,FALSE)*Markers_Raw_Max[[#This Row],[Restorative Sleep Weight]]</f>
        <v>0</v>
      </c>
      <c r="F60">
        <f>VLOOKUP($B60,FactorScores[],3,FALSE)*Markers_Raw_Max[[#This Row],[Stress Management Weight]]</f>
        <v>0</v>
      </c>
      <c r="G60">
        <f>VLOOKUP($B60,FactorScores[],3,FALSE)*Markers_Raw_Max[[#This Row],[Cognitive Health Weight]]</f>
        <v>0</v>
      </c>
      <c r="H60">
        <f>VLOOKUP($B60,FactorScores[],3,FALSE)*Markers_Raw_Max[[#This Row],[Connection + Purpose Weight]]</f>
        <v>0</v>
      </c>
      <c r="I60">
        <f>VLOOKUP($B60,FactorScores[],3,FALSE)*Markers_Raw_Max[[#This Row],[Core Care Weight]]</f>
        <v>0</v>
      </c>
    </row>
    <row r="61" spans="2:9" x14ac:dyDescent="0.25">
      <c r="B61" t="s">
        <v>94</v>
      </c>
      <c r="C61">
        <f>VLOOKUP($B61,FactorScores[],3,FALSE)*Markers_Raw_Max[[#This Row],[Healthful Nutrition Weight]]</f>
        <v>0</v>
      </c>
      <c r="D61">
        <f>VLOOKUP($B61,FactorScores[],3,FALSE)*Markers_Raw_Max[[#This Row],[Movement + Exercise Weight]]</f>
        <v>0</v>
      </c>
      <c r="E61">
        <f>VLOOKUP($B61,FactorScores[],3,FALSE)*Markers_Raw_Max[[#This Row],[Restorative Sleep Weight]]</f>
        <v>0</v>
      </c>
      <c r="F61">
        <f>VLOOKUP($B61,FactorScores[],3,FALSE)*Markers_Raw_Max[[#This Row],[Stress Management Weight]]</f>
        <v>0</v>
      </c>
      <c r="G61">
        <f>VLOOKUP($B61,FactorScores[],3,FALSE)*Markers_Raw_Max[[#This Row],[Cognitive Health Weight]]</f>
        <v>0</v>
      </c>
      <c r="H61">
        <f>VLOOKUP($B61,FactorScores[],3,FALSE)*Markers_Raw_Max[[#This Row],[Connection + Purpose Weight]]</f>
        <v>0</v>
      </c>
      <c r="I61">
        <f>VLOOKUP($B61,FactorScores[],3,FALSE)*Markers_Raw_Max[[#This Row],[Core Care Weight]]</f>
        <v>0</v>
      </c>
    </row>
    <row r="62" spans="2:9" x14ac:dyDescent="0.25">
      <c r="B62" t="s">
        <v>95</v>
      </c>
      <c r="C62">
        <f>VLOOKUP($B62,FactorScores[],3,FALSE)*Markers_Raw_Max[[#This Row],[Healthful Nutrition Weight]]</f>
        <v>1.2132918426316941</v>
      </c>
      <c r="D62">
        <f>VLOOKUP($B62,FactorScores[],3,FALSE)*Markers_Raw_Max[[#This Row],[Movement + Exercise Weight]]</f>
        <v>0</v>
      </c>
      <c r="E62">
        <f>VLOOKUP($B62,FactorScores[],3,FALSE)*Markers_Raw_Max[[#This Row],[Restorative Sleep Weight]]</f>
        <v>0</v>
      </c>
      <c r="F62">
        <f>VLOOKUP($B62,FactorScores[],3,FALSE)*Markers_Raw_Max[[#This Row],[Stress Management Weight]]</f>
        <v>2.4265836852633882</v>
      </c>
      <c r="G62">
        <f>VLOOKUP($B62,FactorScores[],3,FALSE)*Markers_Raw_Max[[#This Row],[Cognitive Health Weight]]</f>
        <v>0</v>
      </c>
      <c r="H62">
        <f>VLOOKUP($B62,FactorScores[],3,FALSE)*Markers_Raw_Max[[#This Row],[Connection + Purpose Weight]]</f>
        <v>0</v>
      </c>
      <c r="I62">
        <f>VLOOKUP($B62,FactorScores[],3,FALSE)*Markers_Raw_Max[[#This Row],[Core Care Weight]]</f>
        <v>0</v>
      </c>
    </row>
    <row r="63" spans="2:9" x14ac:dyDescent="0.25">
      <c r="B63" t="s">
        <v>96</v>
      </c>
      <c r="C63">
        <f>VLOOKUP($B63,FactorScores[],3,FALSE)*Markers_Raw_Max[[#This Row],[Healthful Nutrition Weight]]</f>
        <v>0</v>
      </c>
      <c r="D63">
        <f>VLOOKUP($B63,FactorScores[],3,FALSE)*Markers_Raw_Max[[#This Row],[Movement + Exercise Weight]]</f>
        <v>1.1222444889779519</v>
      </c>
      <c r="E63">
        <f>VLOOKUP($B63,FactorScores[],3,FALSE)*Markers_Raw_Max[[#This Row],[Restorative Sleep Weight]]</f>
        <v>0</v>
      </c>
      <c r="F63">
        <f>VLOOKUP($B63,FactorScores[],3,FALSE)*Markers_Raw_Max[[#This Row],[Stress Management Weight]]</f>
        <v>0</v>
      </c>
      <c r="G63">
        <f>VLOOKUP($B63,FactorScores[],3,FALSE)*Markers_Raw_Max[[#This Row],[Cognitive Health Weight]]</f>
        <v>0.56112224448897596</v>
      </c>
      <c r="H63">
        <f>VLOOKUP($B63,FactorScores[],3,FALSE)*Markers_Raw_Max[[#This Row],[Connection + Purpose Weight]]</f>
        <v>0</v>
      </c>
      <c r="I63">
        <f>VLOOKUP($B63,FactorScores[],3,FALSE)*Markers_Raw_Max[[#This Row],[Core Care Weight]]</f>
        <v>0</v>
      </c>
    </row>
    <row r="64" spans="2:9" x14ac:dyDescent="0.25">
      <c r="B64" t="s">
        <v>97</v>
      </c>
      <c r="C64">
        <f>VLOOKUP($B64,FactorScores[],3,FALSE)*Markers_Raw_Max[[#This Row],[Healthful Nutrition Weight]]</f>
        <v>4.5072144288577141</v>
      </c>
      <c r="D64">
        <f>VLOOKUP($B64,FactorScores[],3,FALSE)*Markers_Raw_Max[[#This Row],[Movement + Exercise Weight]]</f>
        <v>3.8633266533066122</v>
      </c>
      <c r="E64">
        <f>VLOOKUP($B64,FactorScores[],3,FALSE)*Markers_Raw_Max[[#This Row],[Restorative Sleep Weight]]</f>
        <v>2.575551102204408</v>
      </c>
      <c r="F64">
        <f>VLOOKUP($B64,FactorScores[],3,FALSE)*Markers_Raw_Max[[#This Row],[Stress Management Weight]]</f>
        <v>2.575551102204408</v>
      </c>
      <c r="G64">
        <f>VLOOKUP($B64,FactorScores[],3,FALSE)*Markers_Raw_Max[[#This Row],[Cognitive Health Weight]]</f>
        <v>3.2194388777555099</v>
      </c>
      <c r="H64">
        <f>VLOOKUP($B64,FactorScores[],3,FALSE)*Markers_Raw_Max[[#This Row],[Connection + Purpose Weight]]</f>
        <v>0</v>
      </c>
      <c r="I64">
        <f>VLOOKUP($B64,FactorScores[],3,FALSE)*Markers_Raw_Max[[#This Row],[Core Care Weight]]</f>
        <v>0</v>
      </c>
    </row>
    <row r="65" spans="2:9" x14ac:dyDescent="0.25">
      <c r="B65" t="s">
        <v>98</v>
      </c>
      <c r="C65">
        <f>VLOOKUP($B65,FactorScores[],3,FALSE)*Markers_Raw_Max[[#This Row],[Healthful Nutrition Weight]]</f>
        <v>5</v>
      </c>
      <c r="D65">
        <f>VLOOKUP($B65,FactorScores[],3,FALSE)*Markers_Raw_Max[[#This Row],[Movement + Exercise Weight]]</f>
        <v>4</v>
      </c>
      <c r="E65">
        <f>VLOOKUP($B65,FactorScores[],3,FALSE)*Markers_Raw_Max[[#This Row],[Restorative Sleep Weight]]</f>
        <v>3</v>
      </c>
      <c r="F65">
        <f>VLOOKUP($B65,FactorScores[],3,FALSE)*Markers_Raw_Max[[#This Row],[Stress Management Weight]]</f>
        <v>3</v>
      </c>
      <c r="G65">
        <f>VLOOKUP($B65,FactorScores[],3,FALSE)*Markers_Raw_Max[[#This Row],[Cognitive Health Weight]]</f>
        <v>0</v>
      </c>
      <c r="H65">
        <f>VLOOKUP($B65,FactorScores[],3,FALSE)*Markers_Raw_Max[[#This Row],[Connection + Purpose Weight]]</f>
        <v>0</v>
      </c>
      <c r="I65">
        <f>VLOOKUP($B65,FactorScores[],3,FALSE)*Markers_Raw_Max[[#This Row],[Core Care Weight]]</f>
        <v>0</v>
      </c>
    </row>
    <row r="66" spans="2:9" x14ac:dyDescent="0.25">
      <c r="B66" t="s">
        <v>99</v>
      </c>
      <c r="C66">
        <f>VLOOKUP($B66,FactorScores[],3,FALSE)*Markers_Raw_Max[[#This Row],[Healthful Nutrition Weight]]</f>
        <v>1.0499999999999998</v>
      </c>
      <c r="D66">
        <f>VLOOKUP($B66,FactorScores[],3,FALSE)*Markers_Raw_Max[[#This Row],[Movement + Exercise Weight]]</f>
        <v>1.0499999999999998</v>
      </c>
      <c r="E66">
        <f>VLOOKUP($B66,FactorScores[],3,FALSE)*Markers_Raw_Max[[#This Row],[Restorative Sleep Weight]]</f>
        <v>0.7</v>
      </c>
      <c r="F66">
        <f>VLOOKUP($B66,FactorScores[],3,FALSE)*Markers_Raw_Max[[#This Row],[Stress Management Weight]]</f>
        <v>0.7</v>
      </c>
      <c r="G66">
        <f>VLOOKUP($B66,FactorScores[],3,FALSE)*Markers_Raw_Max[[#This Row],[Cognitive Health Weight]]</f>
        <v>0.7</v>
      </c>
      <c r="H66">
        <f>VLOOKUP($B66,FactorScores[],3,FALSE)*Markers_Raw_Max[[#This Row],[Connection + Purpose Weight]]</f>
        <v>0</v>
      </c>
      <c r="I66">
        <f>VLOOKUP($B66,FactorScores[],3,FALSE)*Markers_Raw_Max[[#This Row],[Core Care Weight]]</f>
        <v>0</v>
      </c>
    </row>
    <row r="67" spans="2:9" x14ac:dyDescent="0.25">
      <c r="B67" t="s">
        <v>100</v>
      </c>
      <c r="C67">
        <f>VLOOKUP($B67,FactorScores[],3,FALSE)*Markers_Raw_Max[[#This Row],[Healthful Nutrition Weight]]</f>
        <v>0</v>
      </c>
      <c r="D67">
        <f>VLOOKUP($B67,FactorScores[],3,FALSE)*Markers_Raw_Max[[#This Row],[Movement + Exercise Weight]]</f>
        <v>0</v>
      </c>
      <c r="E67">
        <f>VLOOKUP($B67,FactorScores[],3,FALSE)*Markers_Raw_Max[[#This Row],[Restorative Sleep Weight]]</f>
        <v>0</v>
      </c>
      <c r="F67">
        <f>VLOOKUP($B67,FactorScores[],3,FALSE)*Markers_Raw_Max[[#This Row],[Stress Management Weight]]</f>
        <v>0</v>
      </c>
      <c r="G67">
        <f>VLOOKUP($B67,FactorScores[],3,FALSE)*Markers_Raw_Max[[#This Row],[Cognitive Health Weight]]</f>
        <v>0</v>
      </c>
      <c r="H67">
        <f>VLOOKUP($B67,FactorScores[],3,FALSE)*Markers_Raw_Max[[#This Row],[Connection + Purpose Weight]]</f>
        <v>0</v>
      </c>
      <c r="I67">
        <f>VLOOKUP($B67,FactorScores[],3,FALSE)*Markers_Raw_Max[[#This Row],[Core Care Weight]]</f>
        <v>0</v>
      </c>
    </row>
    <row r="68" spans="2:9" x14ac:dyDescent="0.25">
      <c r="B68" t="s">
        <v>101</v>
      </c>
      <c r="C68">
        <f>VLOOKUP($B68,FactorScores[],3,FALSE)*Markers_Raw_Max[[#This Row],[Healthful Nutrition Weight]]</f>
        <v>0.82058613295210603</v>
      </c>
      <c r="D68">
        <f>VLOOKUP($B68,FactorScores[],3,FALSE)*Markers_Raw_Max[[#This Row],[Movement + Exercise Weight]]</f>
        <v>1.2308791994281592</v>
      </c>
      <c r="E68">
        <f>VLOOKUP($B68,FactorScores[],3,FALSE)*Markers_Raw_Max[[#This Row],[Restorative Sleep Weight]]</f>
        <v>0.82058613295210603</v>
      </c>
      <c r="F68">
        <f>VLOOKUP($B68,FactorScores[],3,FALSE)*Markers_Raw_Max[[#This Row],[Stress Management Weight]]</f>
        <v>1.6411722659042121</v>
      </c>
      <c r="G68">
        <f>VLOOKUP($B68,FactorScores[],3,FALSE)*Markers_Raw_Max[[#This Row],[Cognitive Health Weight]]</f>
        <v>0</v>
      </c>
      <c r="H68">
        <f>VLOOKUP($B68,FactorScores[],3,FALSE)*Markers_Raw_Max[[#This Row],[Connection + Purpose Weight]]</f>
        <v>0</v>
      </c>
      <c r="I68">
        <f>VLOOKUP($B68,FactorScores[],3,FALSE)*Markers_Raw_Max[[#This Row],[Core Care Weight]]</f>
        <v>0</v>
      </c>
    </row>
    <row r="69" spans="2:9" x14ac:dyDescent="0.25">
      <c r="B69" t="s">
        <v>102</v>
      </c>
      <c r="C69">
        <f>VLOOKUP($B69,FactorScores[],3,FALSE)*Markers_Raw_Max[[#This Row],[Healthful Nutrition Weight]]</f>
        <v>3.0138888888888848</v>
      </c>
      <c r="D69">
        <f>VLOOKUP($B69,FactorScores[],3,FALSE)*Markers_Raw_Max[[#This Row],[Movement + Exercise Weight]]</f>
        <v>3.0138888888888848</v>
      </c>
      <c r="E69">
        <f>VLOOKUP($B69,FactorScores[],3,FALSE)*Markers_Raw_Max[[#This Row],[Restorative Sleep Weight]]</f>
        <v>1.8083333333333309</v>
      </c>
      <c r="F69">
        <f>VLOOKUP($B69,FactorScores[],3,FALSE)*Markers_Raw_Max[[#This Row],[Stress Management Weight]]</f>
        <v>2.4111111111111079</v>
      </c>
      <c r="G69">
        <f>VLOOKUP($B69,FactorScores[],3,FALSE)*Markers_Raw_Max[[#This Row],[Cognitive Health Weight]]</f>
        <v>0</v>
      </c>
      <c r="H69">
        <f>VLOOKUP($B69,FactorScores[],3,FALSE)*Markers_Raw_Max[[#This Row],[Connection + Purpose Weight]]</f>
        <v>0</v>
      </c>
      <c r="I69">
        <f>VLOOKUP($B69,FactorScores[],3,FALSE)*Markers_Raw_Max[[#This Row],[Core Care Weight]]</f>
        <v>4.8222222222222157</v>
      </c>
    </row>
    <row r="70" spans="2:9" x14ac:dyDescent="0.25">
      <c r="B70" t="s">
        <v>103</v>
      </c>
      <c r="C70">
        <f>VLOOKUP($B70,FactorScores[],3,FALSE)*Markers_Raw_Max[[#This Row],[Healthful Nutrition Weight]]</f>
        <v>1.9024024024024</v>
      </c>
      <c r="D70">
        <f>VLOOKUP($B70,FactorScores[],3,FALSE)*Markers_Raw_Max[[#This Row],[Movement + Exercise Weight]]</f>
        <v>1.9024024024024</v>
      </c>
      <c r="E70">
        <f>VLOOKUP($B70,FactorScores[],3,FALSE)*Markers_Raw_Max[[#This Row],[Restorative Sleep Weight]]</f>
        <v>1.14144144144144</v>
      </c>
      <c r="F70">
        <f>VLOOKUP($B70,FactorScores[],3,FALSE)*Markers_Raw_Max[[#This Row],[Stress Management Weight]]</f>
        <v>1.14144144144144</v>
      </c>
      <c r="G70">
        <f>VLOOKUP($B70,FactorScores[],3,FALSE)*Markers_Raw_Max[[#This Row],[Cognitive Health Weight]]</f>
        <v>0</v>
      </c>
      <c r="H70">
        <f>VLOOKUP($B70,FactorScores[],3,FALSE)*Markers_Raw_Max[[#This Row],[Connection + Purpose Weight]]</f>
        <v>0</v>
      </c>
      <c r="I70">
        <f>VLOOKUP($B70,FactorScores[],3,FALSE)*Markers_Raw_Max[[#This Row],[Core Care Weight]]</f>
        <v>3.04384384384384</v>
      </c>
    </row>
    <row r="71" spans="2:9" x14ac:dyDescent="0.25">
      <c r="B71" t="s">
        <v>104</v>
      </c>
      <c r="C71">
        <f>VLOOKUP($B71,FactorScores[],3,FALSE)*Markers_Raw_Max[[#This Row],[Healthful Nutrition Weight]]</f>
        <v>0.95110220440881599</v>
      </c>
      <c r="D71">
        <f>VLOOKUP($B71,FactorScores[],3,FALSE)*Markers_Raw_Max[[#This Row],[Movement + Exercise Weight]]</f>
        <v>0</v>
      </c>
      <c r="E71">
        <f>VLOOKUP($B71,FactorScores[],3,FALSE)*Markers_Raw_Max[[#This Row],[Restorative Sleep Weight]]</f>
        <v>0</v>
      </c>
      <c r="F71">
        <f>VLOOKUP($B71,FactorScores[],3,FALSE)*Markers_Raw_Max[[#This Row],[Stress Management Weight]]</f>
        <v>0</v>
      </c>
      <c r="G71">
        <f>VLOOKUP($B71,FactorScores[],3,FALSE)*Markers_Raw_Max[[#This Row],[Cognitive Health Weight]]</f>
        <v>0</v>
      </c>
      <c r="H71">
        <f>VLOOKUP($B71,FactorScores[],3,FALSE)*Markers_Raw_Max[[#This Row],[Connection + Purpose Weight]]</f>
        <v>0</v>
      </c>
      <c r="I71">
        <f>VLOOKUP($B71,FactorScores[],3,FALSE)*Markers_Raw_Max[[#This Row],[Core Care Weight]]</f>
        <v>0</v>
      </c>
    </row>
    <row r="72" spans="2:9" x14ac:dyDescent="0.25">
      <c r="B72" t="s">
        <v>105</v>
      </c>
      <c r="C72">
        <f>VLOOKUP($B72,FactorScores[],3,FALSE)*Markers_Raw_Max[[#This Row],[Healthful Nutrition Weight]]</f>
        <v>0</v>
      </c>
      <c r="D72">
        <f>VLOOKUP($B72,FactorScores[],3,FALSE)*Markers_Raw_Max[[#This Row],[Movement + Exercise Weight]]</f>
        <v>3.4275459098497469</v>
      </c>
      <c r="E72">
        <f>VLOOKUP($B72,FactorScores[],3,FALSE)*Markers_Raw_Max[[#This Row],[Restorative Sleep Weight]]</f>
        <v>0</v>
      </c>
      <c r="F72">
        <f>VLOOKUP($B72,FactorScores[],3,FALSE)*Markers_Raw_Max[[#This Row],[Stress Management Weight]]</f>
        <v>0</v>
      </c>
      <c r="G72">
        <f>VLOOKUP($B72,FactorScores[],3,FALSE)*Markers_Raw_Max[[#This Row],[Cognitive Health Weight]]</f>
        <v>2.4482470784641048</v>
      </c>
      <c r="H72">
        <f>VLOOKUP($B72,FactorScores[],3,FALSE)*Markers_Raw_Max[[#This Row],[Connection + Purpose Weight]]</f>
        <v>0</v>
      </c>
      <c r="I72">
        <f>VLOOKUP($B72,FactorScores[],3,FALSE)*Markers_Raw_Max[[#This Row],[Core Care Weight]]</f>
        <v>0</v>
      </c>
    </row>
    <row r="73" spans="2:9" x14ac:dyDescent="0.25">
      <c r="B73" t="s">
        <v>106</v>
      </c>
      <c r="C73">
        <f>VLOOKUP($B73,FactorScores[],3,FALSE)*Markers_Raw_Max[[#This Row],[Healthful Nutrition Weight]]</f>
        <v>0</v>
      </c>
      <c r="D73">
        <f>VLOOKUP($B73,FactorScores[],3,FALSE)*Markers_Raw_Max[[#This Row],[Movement + Exercise Weight]]</f>
        <v>0.63031515757878798</v>
      </c>
      <c r="E73">
        <f>VLOOKUP($B73,FactorScores[],3,FALSE)*Markers_Raw_Max[[#This Row],[Restorative Sleep Weight]]</f>
        <v>1.8909454727363639</v>
      </c>
      <c r="F73">
        <f>VLOOKUP($B73,FactorScores[],3,FALSE)*Markers_Raw_Max[[#This Row],[Stress Management Weight]]</f>
        <v>1.8909454727363639</v>
      </c>
      <c r="G73">
        <f>VLOOKUP($B73,FactorScores[],3,FALSE)*Markers_Raw_Max[[#This Row],[Cognitive Health Weight]]</f>
        <v>0</v>
      </c>
      <c r="H73">
        <f>VLOOKUP($B73,FactorScores[],3,FALSE)*Markers_Raw_Max[[#This Row],[Connection + Purpose Weight]]</f>
        <v>0</v>
      </c>
      <c r="I73">
        <f>VLOOKUP($B73,FactorScores[],3,FALSE)*Markers_Raw_Max[[#This Row],[Core Care Weight]]</f>
        <v>2.5212606303151519</v>
      </c>
    </row>
    <row r="74" spans="2:9" x14ac:dyDescent="0.25">
      <c r="B74" t="s">
        <v>107</v>
      </c>
      <c r="C74">
        <f>VLOOKUP($B74,FactorScores[],3,FALSE)*Markers_Raw_Max[[#This Row],[Healthful Nutrition Weight]]</f>
        <v>0.23994664888296</v>
      </c>
      <c r="D74">
        <f>VLOOKUP($B74,FactorScores[],3,FALSE)*Markers_Raw_Max[[#This Row],[Movement + Exercise Weight]]</f>
        <v>0.23994664888296</v>
      </c>
      <c r="E74">
        <f>VLOOKUP($B74,FactorScores[],3,FALSE)*Markers_Raw_Max[[#This Row],[Restorative Sleep Weight]]</f>
        <v>0.83981327109035997</v>
      </c>
      <c r="F74">
        <f>VLOOKUP($B74,FactorScores[],3,FALSE)*Markers_Raw_Max[[#This Row],[Stress Management Weight]]</f>
        <v>0.71983994664887996</v>
      </c>
      <c r="G74">
        <f>VLOOKUP($B74,FactorScores[],3,FALSE)*Markers_Raw_Max[[#This Row],[Cognitive Health Weight]]</f>
        <v>0.71983994664887996</v>
      </c>
      <c r="H74">
        <f>VLOOKUP($B74,FactorScores[],3,FALSE)*Markers_Raw_Max[[#This Row],[Connection + Purpose Weight]]</f>
        <v>0</v>
      </c>
      <c r="I74">
        <f>VLOOKUP($B74,FactorScores[],3,FALSE)*Markers_Raw_Max[[#This Row],[Core Care Weight]]</f>
        <v>0</v>
      </c>
    </row>
    <row r="75" spans="2:9" x14ac:dyDescent="0.25">
      <c r="B75" t="s">
        <v>108</v>
      </c>
      <c r="C75">
        <f>VLOOKUP($B75,FactorScores[],3,FALSE)*Markers_Raw_Max[[#This Row],[Healthful Nutrition Weight]]</f>
        <v>0.62926463231615604</v>
      </c>
      <c r="D75">
        <f>VLOOKUP($B75,FactorScores[],3,FALSE)*Markers_Raw_Max[[#This Row],[Movement + Exercise Weight]]</f>
        <v>0.62926463231615604</v>
      </c>
      <c r="E75">
        <f>VLOOKUP($B75,FactorScores[],3,FALSE)*Markers_Raw_Max[[#This Row],[Restorative Sleep Weight]]</f>
        <v>2.2024262131065462</v>
      </c>
      <c r="F75">
        <f>VLOOKUP($B75,FactorScores[],3,FALSE)*Markers_Raw_Max[[#This Row],[Stress Management Weight]]</f>
        <v>1.8877938969484682</v>
      </c>
      <c r="G75">
        <f>VLOOKUP($B75,FactorScores[],3,FALSE)*Markers_Raw_Max[[#This Row],[Cognitive Health Weight]]</f>
        <v>2.2024262131065462</v>
      </c>
      <c r="H75">
        <f>VLOOKUP($B75,FactorScores[],3,FALSE)*Markers_Raw_Max[[#This Row],[Connection + Purpose Weight]]</f>
        <v>0</v>
      </c>
      <c r="I75">
        <f>VLOOKUP($B75,FactorScores[],3,FALSE)*Markers_Raw_Max[[#This Row],[Core Care Weight]]</f>
        <v>0</v>
      </c>
    </row>
    <row r="76" spans="2:9" x14ac:dyDescent="0.25">
      <c r="B76" t="s">
        <v>109</v>
      </c>
      <c r="C76">
        <f>SUBTOTAL(109,Patient_Pillar_Values[Healthful Nutrition Weight])</f>
        <v>157.60850716550578</v>
      </c>
      <c r="D76">
        <f>SUBTOTAL(109,Patient_Pillar_Values[Movement + Exercise Weight])</f>
        <v>67.207465610675087</v>
      </c>
      <c r="E76">
        <f>SUBTOTAL(109,Patient_Pillar_Values[Restorative Sleep Weight])</f>
        <v>45.050461950278944</v>
      </c>
      <c r="F76">
        <f>SUBTOTAL(109,Patient_Pillar_Values[Stress Management Weight])</f>
        <v>75.981411571622587</v>
      </c>
      <c r="G76">
        <f>SUBTOTAL(109,Patient_Pillar_Values[Cognitive Health Weight])</f>
        <v>73.358858378017061</v>
      </c>
      <c r="H76">
        <f>SUBTOTAL(109,Patient_Pillar_Values[Connection + Purpose Weight])</f>
        <v>4.3259840007827144</v>
      </c>
      <c r="I76">
        <f>SUBTOTAL(109,Patient_Pillar_Values[Core Care Weight])</f>
        <v>86.864552671002883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84AF-F1CA-4F95-87C7-371C7C74ED2C}">
  <dimension ref="B2:I76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8" sqref="C38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VLOOKUP($B3,FactorScores[],3,FALSE)*Markers_Raw_Max[[#This Row],[Healthful Nutrition Weight]]*HN_Marker_Norm</f>
        <v>0.55384615384615388</v>
      </c>
      <c r="D3">
        <f>VLOOKUP($B3,FactorScores[],3,FALSE)*Markers_Raw_Max[[#This Row],[Movement + Exercise Weight]]*ME_Marker_Norm</f>
        <v>0</v>
      </c>
      <c r="E3">
        <f>VLOOKUP($B3,FactorScores[],3,FALSE)*Markers_Raw_Max[[#This Row],[Restorative Sleep Weight]]*RS_Marker_Norm</f>
        <v>0</v>
      </c>
      <c r="F3">
        <f>VLOOKUP($B3,FactorScores[],3,FALSE)*Markers_Raw_Max[[#This Row],[Stress Management Weight]]*SM_Marker_Norm</f>
        <v>0</v>
      </c>
      <c r="G3">
        <f>VLOOKUP($B3,FactorScores[],3,FALSE)*Markers_Raw_Max[[#This Row],[Cognitive Health Weight]]*CH_Marker_Norm</f>
        <v>0</v>
      </c>
      <c r="H3">
        <f>VLOOKUP($B3,FactorScores[],3,FALSE)*Markers_Raw_Max[[#This Row],[Connection + Purpose Weight]]*CP_Marker_Norm</f>
        <v>0</v>
      </c>
      <c r="I3">
        <f>VLOOKUP($B3,FactorScores[],3,FALSE)*Markers_Raw_Max[[#This Row],[Core Care Weight]]*CC_Marker_Norm</f>
        <v>2.5291970802919708</v>
      </c>
    </row>
    <row r="4" spans="2:9" x14ac:dyDescent="0.25">
      <c r="B4" t="s">
        <v>37</v>
      </c>
      <c r="C4">
        <f>VLOOKUP($B4,FactorScores[],3,FALSE)*Markers_Raw_Max[[#This Row],[Healthful Nutrition Weight]]*HN_Marker_Norm</f>
        <v>1.20431528458204</v>
      </c>
      <c r="D4">
        <f>VLOOKUP($B4,FactorScores[],3,FALSE)*Markers_Raw_Max[[#This Row],[Movement + Exercise Weight]]*ME_Marker_Norm</f>
        <v>0.67742734757739753</v>
      </c>
      <c r="E4">
        <f>VLOOKUP($B4,FactorScores[],3,FALSE)*Markers_Raw_Max[[#This Row],[Restorative Sleep Weight]]*RS_Marker_Norm</f>
        <v>0</v>
      </c>
      <c r="F4">
        <f>VLOOKUP($B4,FactorScores[],3,FALSE)*Markers_Raw_Max[[#This Row],[Stress Management Weight]]*SM_Marker_Norm</f>
        <v>0</v>
      </c>
      <c r="G4">
        <f>VLOOKUP($B4,FactorScores[],3,FALSE)*Markers_Raw_Max[[#This Row],[Cognitive Health Weight]]*CH_Marker_Norm</f>
        <v>0.98554578144753258</v>
      </c>
      <c r="H4">
        <f>VLOOKUP($B4,FactorScores[],3,FALSE)*Markers_Raw_Max[[#This Row],[Connection + Purpose Weight]]*CP_Marker_Norm</f>
        <v>0</v>
      </c>
      <c r="I4">
        <f>VLOOKUP($B4,FactorScores[],3,FALSE)*Markers_Raw_Max[[#This Row],[Core Care Weight]]*CC_Marker_Norm</f>
        <v>1.5713237745915301</v>
      </c>
    </row>
    <row r="5" spans="2:9" x14ac:dyDescent="0.25">
      <c r="B5" t="s">
        <v>38</v>
      </c>
      <c r="C5">
        <f>VLOOKUP($B5,FactorScores[],3,FALSE)*Markers_Raw_Max[[#This Row],[Healthful Nutrition Weight]]*HN_Marker_Norm</f>
        <v>1.3846153846153846</v>
      </c>
      <c r="D5">
        <f>VLOOKUP($B5,FactorScores[],3,FALSE)*Markers_Raw_Max[[#This Row],[Movement + Exercise Weight]]*ME_Marker_Norm</f>
        <v>1.6615384615384616</v>
      </c>
      <c r="E5">
        <f>VLOOKUP($B5,FactorScores[],3,FALSE)*Markers_Raw_Max[[#This Row],[Restorative Sleep Weight]]*RS_Marker_Norm</f>
        <v>0</v>
      </c>
      <c r="F5">
        <f>VLOOKUP($B5,FactorScores[],3,FALSE)*Markers_Raw_Max[[#This Row],[Stress Management Weight]]*SM_Marker_Norm</f>
        <v>0</v>
      </c>
      <c r="G5">
        <f>VLOOKUP($B5,FactorScores[],3,FALSE)*Markers_Raw_Max[[#This Row],[Cognitive Health Weight]]*CH_Marker_Norm</f>
        <v>0</v>
      </c>
      <c r="H5">
        <f>VLOOKUP($B5,FactorScores[],3,FALSE)*Markers_Raw_Max[[#This Row],[Connection + Purpose Weight]]*CP_Marker_Norm</f>
        <v>0</v>
      </c>
      <c r="I5">
        <f>VLOOKUP($B5,FactorScores[],3,FALSE)*Markers_Raw_Max[[#This Row],[Core Care Weight]]*CC_Marker_Norm</f>
        <v>2.167883211678832</v>
      </c>
    </row>
    <row r="6" spans="2:9" x14ac:dyDescent="0.25">
      <c r="B6" t="s">
        <v>39</v>
      </c>
      <c r="C6">
        <f>VLOOKUP($B6,FactorScores[],3,FALSE)*Markers_Raw_Max[[#This Row],[Healthful Nutrition Weight]]*HN_Marker_Norm</f>
        <v>1.3939662138761688</v>
      </c>
      <c r="D6">
        <f>VLOOKUP($B6,FactorScores[],3,FALSE)*Markers_Raw_Max[[#This Row],[Movement + Exercise Weight]]*ME_Marker_Norm</f>
        <v>0.41818986416285064</v>
      </c>
      <c r="E6">
        <f>VLOOKUP($B6,FactorScores[],3,FALSE)*Markers_Raw_Max[[#This Row],[Restorative Sleep Weight]]*RS_Marker_Norm</f>
        <v>0</v>
      </c>
      <c r="F6">
        <f>VLOOKUP($B6,FactorScores[],3,FALSE)*Markers_Raw_Max[[#This Row],[Stress Management Weight]]*SM_Marker_Norm</f>
        <v>0</v>
      </c>
      <c r="G6">
        <f>VLOOKUP($B6,FactorScores[],3,FALSE)*Markers_Raw_Max[[#This Row],[Cognitive Health Weight]]*CH_Marker_Norm</f>
        <v>0.52148376346446601</v>
      </c>
      <c r="H6">
        <f>VLOOKUP($B6,FactorScores[],3,FALSE)*Markers_Raw_Max[[#This Row],[Connection + Purpose Weight]]*CP_Marker_Norm</f>
        <v>0</v>
      </c>
      <c r="I6">
        <f>VLOOKUP($B6,FactorScores[],3,FALSE)*Markers_Raw_Max[[#This Row],[Core Care Weight]]*CC_Marker_Norm</f>
        <v>1.6368928077177274</v>
      </c>
    </row>
    <row r="7" spans="2:9" x14ac:dyDescent="0.25">
      <c r="B7" t="s">
        <v>40</v>
      </c>
      <c r="C7">
        <f>VLOOKUP($B7,FactorScores[],3,FALSE)*Markers_Raw_Max[[#This Row],[Healthful Nutrition Weight]]*HN_Marker_Norm</f>
        <v>0.62707233754443192</v>
      </c>
      <c r="D7">
        <f>VLOOKUP($B7,FactorScores[],3,FALSE)*Markers_Raw_Max[[#This Row],[Movement + Exercise Weight]]*ME_Marker_Norm</f>
        <v>0.94060850631664794</v>
      </c>
      <c r="E7">
        <f>VLOOKUP($B7,FactorScores[],3,FALSE)*Markers_Raw_Max[[#This Row],[Restorative Sleep Weight]]*RS_Marker_Norm</f>
        <v>0</v>
      </c>
      <c r="F7">
        <f>VLOOKUP($B7,FactorScores[],3,FALSE)*Markers_Raw_Max[[#This Row],[Stress Management Weight]]*SM_Marker_Norm</f>
        <v>0</v>
      </c>
      <c r="G7">
        <f>VLOOKUP($B7,FactorScores[],3,FALSE)*Markers_Raw_Max[[#This Row],[Cognitive Health Weight]]*CH_Marker_Norm</f>
        <v>0</v>
      </c>
      <c r="H7">
        <f>VLOOKUP($B7,FactorScores[],3,FALSE)*Markers_Raw_Max[[#This Row],[Connection + Purpose Weight]]*CP_Marker_Norm</f>
        <v>0</v>
      </c>
      <c r="I7">
        <f>VLOOKUP($B7,FactorScores[],3,FALSE)*Markers_Raw_Max[[#This Row],[Core Care Weight]]*CC_Marker_Norm</f>
        <v>0</v>
      </c>
    </row>
    <row r="8" spans="2:9" x14ac:dyDescent="0.25">
      <c r="B8" t="s">
        <v>41</v>
      </c>
      <c r="C8">
        <f>VLOOKUP($B8,FactorScores[],3,FALSE)*Markers_Raw_Max[[#This Row],[Healthful Nutrition Weight]]*HN_Marker_Norm</f>
        <v>1.0172557172557162</v>
      </c>
      <c r="D8">
        <f>VLOOKUP($B8,FactorScores[],3,FALSE)*Markers_Raw_Max[[#This Row],[Movement + Exercise Weight]]*ME_Marker_Norm</f>
        <v>0.61035343035342982</v>
      </c>
      <c r="E8">
        <f>VLOOKUP($B8,FactorScores[],3,FALSE)*Markers_Raw_Max[[#This Row],[Restorative Sleep Weight]]*RS_Marker_Norm</f>
        <v>0</v>
      </c>
      <c r="F8">
        <f>VLOOKUP($B8,FactorScores[],3,FALSE)*Markers_Raw_Max[[#This Row],[Stress Management Weight]]*SM_Marker_Norm</f>
        <v>0</v>
      </c>
      <c r="G8">
        <f>VLOOKUP($B8,FactorScores[],3,FALSE)*Markers_Raw_Max[[#This Row],[Cognitive Health Weight]]*CH_Marker_Norm</f>
        <v>0.47569511958001115</v>
      </c>
      <c r="H8">
        <f>VLOOKUP($B8,FactorScores[],3,FALSE)*Markers_Raw_Max[[#This Row],[Connection + Purpose Weight]]*CP_Marker_Norm</f>
        <v>0</v>
      </c>
      <c r="I8">
        <f>VLOOKUP($B8,FactorScores[],3,FALSE)*Markers_Raw_Max[[#This Row],[Core Care Weight]]*CC_Marker_Norm</f>
        <v>1.0618070625369884</v>
      </c>
    </row>
    <row r="9" spans="2:9" x14ac:dyDescent="0.25">
      <c r="B9" t="s">
        <v>42</v>
      </c>
      <c r="C9">
        <f>VLOOKUP($B9,FactorScores[],3,FALSE)*Markers_Raw_Max[[#This Row],[Healthful Nutrition Weight]]*HN_Marker_Norm</f>
        <v>1.1271255060728735</v>
      </c>
      <c r="D9">
        <f>VLOOKUP($B9,FactorScores[],3,FALSE)*Markers_Raw_Max[[#This Row],[Movement + Exercise Weight]]*ME_Marker_Norm</f>
        <v>0</v>
      </c>
      <c r="E9">
        <f>VLOOKUP($B9,FactorScores[],3,FALSE)*Markers_Raw_Max[[#This Row],[Restorative Sleep Weight]]*RS_Marker_Norm</f>
        <v>0</v>
      </c>
      <c r="F9">
        <f>VLOOKUP($B9,FactorScores[],3,FALSE)*Markers_Raw_Max[[#This Row],[Stress Management Weight]]*SM_Marker_Norm</f>
        <v>0</v>
      </c>
      <c r="G9">
        <f>VLOOKUP($B9,FactorScores[],3,FALSE)*Markers_Raw_Max[[#This Row],[Cognitive Health Weight]]*CH_Marker_Norm</f>
        <v>0.79060961756910197</v>
      </c>
      <c r="H9">
        <f>VLOOKUP($B9,FactorScores[],3,FALSE)*Markers_Raw_Max[[#This Row],[Connection + Purpose Weight]]*CP_Marker_Norm</f>
        <v>0</v>
      </c>
      <c r="I9">
        <f>VLOOKUP($B9,FactorScores[],3,FALSE)*Markers_Raw_Max[[#This Row],[Core Care Weight]]*CC_Marker_Norm</f>
        <v>1.2867844794467913</v>
      </c>
    </row>
    <row r="10" spans="2:9" x14ac:dyDescent="0.25">
      <c r="B10" t="s">
        <v>43</v>
      </c>
      <c r="C10">
        <f>VLOOKUP($B10,FactorScores[],3,FALSE)*Markers_Raw_Max[[#This Row],[Healthful Nutrition Weight]]*HN_Marker_Norm</f>
        <v>0.12923076923076907</v>
      </c>
      <c r="D10">
        <f>VLOOKUP($B10,FactorScores[],3,FALSE)*Markers_Raw_Max[[#This Row],[Movement + Exercise Weight]]*ME_Marker_Norm</f>
        <v>0</v>
      </c>
      <c r="E10">
        <f>VLOOKUP($B10,FactorScores[],3,FALSE)*Markers_Raw_Max[[#This Row],[Restorative Sleep Weight]]*RS_Marker_Norm</f>
        <v>0.5999999999999992</v>
      </c>
      <c r="F10">
        <f>VLOOKUP($B10,FactorScores[],3,FALSE)*Markers_Raw_Max[[#This Row],[Stress Management Weight]]*SM_Marker_Norm</f>
        <v>0.13216783216783198</v>
      </c>
      <c r="G10">
        <f>VLOOKUP($B10,FactorScores[],3,FALSE)*Markers_Raw_Max[[#This Row],[Cognitive Health Weight]]*CH_Marker_Norm</f>
        <v>0.18129496402877673</v>
      </c>
      <c r="H10">
        <f>VLOOKUP($B10,FactorScores[],3,FALSE)*Markers_Raw_Max[[#This Row],[Connection + Purpose Weight]]*CP_Marker_Norm</f>
        <v>0</v>
      </c>
      <c r="I10">
        <f>VLOOKUP($B10,FactorScores[],3,FALSE)*Markers_Raw_Max[[#This Row],[Core Care Weight]]*CC_Marker_Norm</f>
        <v>0</v>
      </c>
    </row>
    <row r="11" spans="2:9" x14ac:dyDescent="0.25">
      <c r="B11" t="s">
        <v>44</v>
      </c>
      <c r="C11">
        <f>VLOOKUP($B11,FactorScores[],3,FALSE)*Markers_Raw_Max[[#This Row],[Healthful Nutrition Weight]]*HN_Marker_Norm</f>
        <v>1.3846153846153846</v>
      </c>
      <c r="D11">
        <f>VLOOKUP($B11,FactorScores[],3,FALSE)*Markers_Raw_Max[[#This Row],[Movement + Exercise Weight]]*ME_Marker_Norm</f>
        <v>0</v>
      </c>
      <c r="E11">
        <f>VLOOKUP($B11,FactorScores[],3,FALSE)*Markers_Raw_Max[[#This Row],[Restorative Sleep Weight]]*RS_Marker_Norm</f>
        <v>3.8571428571428577</v>
      </c>
      <c r="F11">
        <f>VLOOKUP($B11,FactorScores[],3,FALSE)*Markers_Raw_Max[[#This Row],[Stress Management Weight]]*SM_Marker_Norm</f>
        <v>0.75524475524475521</v>
      </c>
      <c r="G11">
        <f>VLOOKUP($B11,FactorScores[],3,FALSE)*Markers_Raw_Max[[#This Row],[Cognitive Health Weight]]*CH_Marker_Norm</f>
        <v>1.8129496402877698</v>
      </c>
      <c r="H11">
        <f>VLOOKUP($B11,FactorScores[],3,FALSE)*Markers_Raw_Max[[#This Row],[Connection + Purpose Weight]]*CP_Marker_Norm</f>
        <v>0</v>
      </c>
      <c r="I11">
        <f>VLOOKUP($B11,FactorScores[],3,FALSE)*Markers_Raw_Max[[#This Row],[Core Care Weight]]*CC_Marker_Norm</f>
        <v>0</v>
      </c>
    </row>
    <row r="12" spans="2:9" x14ac:dyDescent="0.25">
      <c r="B12" t="s">
        <v>45</v>
      </c>
      <c r="C12">
        <f>VLOOKUP($B12,FactorScores[],3,FALSE)*Markers_Raw_Max[[#This Row],[Healthful Nutrition Weight]]*HN_Marker_Norm</f>
        <v>1.5034234234234223</v>
      </c>
      <c r="D12">
        <f>VLOOKUP($B12,FactorScores[],3,FALSE)*Markers_Raw_Max[[#This Row],[Movement + Exercise Weight]]*ME_Marker_Norm</f>
        <v>0</v>
      </c>
      <c r="E12">
        <f>VLOOKUP($B12,FactorScores[],3,FALSE)*Markers_Raw_Max[[#This Row],[Restorative Sleep Weight]]*RS_Marker_Norm</f>
        <v>2.6175675675675656</v>
      </c>
      <c r="F12">
        <f>VLOOKUP($B12,FactorScores[],3,FALSE)*Markers_Raw_Max[[#This Row],[Stress Management Weight]]*SM_Marker_Norm</f>
        <v>0</v>
      </c>
      <c r="G12">
        <f>VLOOKUP($B12,FactorScores[],3,FALSE)*Markers_Raw_Max[[#This Row],[Cognitive Health Weight]]*CH_Marker_Norm</f>
        <v>0</v>
      </c>
      <c r="H12">
        <f>VLOOKUP($B12,FactorScores[],3,FALSE)*Markers_Raw_Max[[#This Row],[Connection + Purpose Weight]]*CP_Marker_Norm</f>
        <v>0</v>
      </c>
      <c r="I12">
        <f>VLOOKUP($B12,FactorScores[],3,FALSE)*Markers_Raw_Max[[#This Row],[Core Care Weight]]*CC_Marker_Norm</f>
        <v>0</v>
      </c>
    </row>
    <row r="13" spans="2:9" x14ac:dyDescent="0.25">
      <c r="B13" t="s">
        <v>46</v>
      </c>
      <c r="C13">
        <f>VLOOKUP($B13,FactorScores[],3,FALSE)*Markers_Raw_Max[[#This Row],[Healthful Nutrition Weight]]*HN_Marker_Norm</f>
        <v>0.53153553787680607</v>
      </c>
      <c r="D13">
        <f>VLOOKUP($B13,FactorScores[],3,FALSE)*Markers_Raw_Max[[#This Row],[Movement + Exercise Weight]]*ME_Marker_Norm</f>
        <v>0</v>
      </c>
      <c r="E13">
        <f>VLOOKUP($B13,FactorScores[],3,FALSE)*Markers_Raw_Max[[#This Row],[Restorative Sleep Weight]]*RS_Marker_Norm</f>
        <v>1.2339217843568713</v>
      </c>
      <c r="F13">
        <f>VLOOKUP($B13,FactorScores[],3,FALSE)*Markers_Raw_Max[[#This Row],[Stress Management Weight]]*SM_Marker_Norm</f>
        <v>0.28992847520553056</v>
      </c>
      <c r="G13">
        <f>VLOOKUP($B13,FactorScores[],3,FALSE)*Markers_Raw_Max[[#This Row],[Cognitive Health Weight]]*CH_Marker_Norm</f>
        <v>0</v>
      </c>
      <c r="H13">
        <f>VLOOKUP($B13,FactorScores[],3,FALSE)*Markers_Raw_Max[[#This Row],[Connection + Purpose Weight]]*CP_Marker_Norm</f>
        <v>0</v>
      </c>
      <c r="I13">
        <f>VLOOKUP($B13,FactorScores[],3,FALSE)*Markers_Raw_Max[[#This Row],[Core Care Weight]]*CC_Marker_Norm</f>
        <v>0</v>
      </c>
    </row>
    <row r="14" spans="2:9" x14ac:dyDescent="0.25">
      <c r="B14" t="s">
        <v>47</v>
      </c>
      <c r="C14">
        <f>VLOOKUP($B14,FactorScores[],3,FALSE)*Markers_Raw_Max[[#This Row],[Healthful Nutrition Weight]]*HN_Marker_Norm</f>
        <v>0.19586783671361116</v>
      </c>
      <c r="D14">
        <f>VLOOKUP($B14,FactorScores[],3,FALSE)*Markers_Raw_Max[[#This Row],[Movement + Exercise Weight]]*ME_Marker_Norm</f>
        <v>0</v>
      </c>
      <c r="E14">
        <f>VLOOKUP($B14,FactorScores[],3,FALSE)*Markers_Raw_Max[[#This Row],[Restorative Sleep Weight]]*RS_Marker_Norm</f>
        <v>0.90938638474176603</v>
      </c>
      <c r="F14">
        <f>VLOOKUP($B14,FactorScores[],3,FALSE)*Markers_Raw_Max[[#This Row],[Stress Management Weight]]*SM_Marker_Norm</f>
        <v>0</v>
      </c>
      <c r="G14">
        <f>VLOOKUP($B14,FactorScores[],3,FALSE)*Markers_Raw_Max[[#This Row],[Cognitive Health Weight]]*CH_Marker_Norm</f>
        <v>0</v>
      </c>
      <c r="H14">
        <f>VLOOKUP($B14,FactorScores[],3,FALSE)*Markers_Raw_Max[[#This Row],[Connection + Purpose Weight]]*CP_Marker_Norm</f>
        <v>0</v>
      </c>
      <c r="I14">
        <f>VLOOKUP($B14,FactorScores[],3,FALSE)*Markers_Raw_Max[[#This Row],[Core Care Weight]]*CC_Marker_Norm</f>
        <v>0</v>
      </c>
    </row>
    <row r="15" spans="2:9" x14ac:dyDescent="0.25">
      <c r="B15" t="s">
        <v>48</v>
      </c>
      <c r="C15">
        <f>VLOOKUP($B15,FactorScores[],3,FALSE)*Markers_Raw_Max[[#This Row],[Healthful Nutrition Weight]]*HN_Marker_Norm</f>
        <v>0.55384615384615388</v>
      </c>
      <c r="D15">
        <f>VLOOKUP($B15,FactorScores[],3,FALSE)*Markers_Raw_Max[[#This Row],[Movement + Exercise Weight]]*ME_Marker_Norm</f>
        <v>0</v>
      </c>
      <c r="E15">
        <f>VLOOKUP($B15,FactorScores[],3,FALSE)*Markers_Raw_Max[[#This Row],[Restorative Sleep Weight]]*RS_Marker_Norm</f>
        <v>1.9285714285714288</v>
      </c>
      <c r="F15">
        <f>VLOOKUP($B15,FactorScores[],3,FALSE)*Markers_Raw_Max[[#This Row],[Stress Management Weight]]*SM_Marker_Norm</f>
        <v>0</v>
      </c>
      <c r="G15">
        <f>VLOOKUP($B15,FactorScores[],3,FALSE)*Markers_Raw_Max[[#This Row],[Cognitive Health Weight]]*CH_Marker_Norm</f>
        <v>0</v>
      </c>
      <c r="H15">
        <f>VLOOKUP($B15,FactorScores[],3,FALSE)*Markers_Raw_Max[[#This Row],[Connection + Purpose Weight]]*CP_Marker_Norm</f>
        <v>0</v>
      </c>
      <c r="I15">
        <f>VLOOKUP($B15,FactorScores[],3,FALSE)*Markers_Raw_Max[[#This Row],[Core Care Weight]]*CC_Marker_Norm</f>
        <v>0</v>
      </c>
    </row>
    <row r="16" spans="2:9" x14ac:dyDescent="0.25">
      <c r="B16" t="s">
        <v>49</v>
      </c>
      <c r="C16">
        <f>VLOOKUP($B16,FactorScores[],3,FALSE)*Markers_Raw_Max[[#This Row],[Healthful Nutrition Weight]]*HN_Marker_Norm</f>
        <v>0.80363355237727085</v>
      </c>
      <c r="D16">
        <f>VLOOKUP($B16,FactorScores[],3,FALSE)*Markers_Raw_Max[[#This Row],[Movement + Exercise Weight]]*ME_Marker_Norm</f>
        <v>0</v>
      </c>
      <c r="E16">
        <f>VLOOKUP($B16,FactorScores[],3,FALSE)*Markers_Raw_Max[[#This Row],[Restorative Sleep Weight]]*RS_Marker_Norm</f>
        <v>0.93278894472361795</v>
      </c>
      <c r="F16">
        <f>VLOOKUP($B16,FactorScores[],3,FALSE)*Markers_Raw_Max[[#This Row],[Stress Management Weight]]*SM_Marker_Norm</f>
        <v>0.41094897564746802</v>
      </c>
      <c r="G16">
        <f>VLOOKUP($B16,FactorScores[],3,FALSE)*Markers_Raw_Max[[#This Row],[Cognitive Health Weight]]*CH_Marker_Norm</f>
        <v>0</v>
      </c>
      <c r="H16">
        <f>VLOOKUP($B16,FactorScores[],3,FALSE)*Markers_Raw_Max[[#This Row],[Connection + Purpose Weight]]*CP_Marker_Norm</f>
        <v>1.305904522613065</v>
      </c>
      <c r="I16">
        <f>VLOOKUP($B16,FactorScores[],3,FALSE)*Markers_Raw_Max[[#This Row],[Core Care Weight]]*CC_Marker_Norm</f>
        <v>0</v>
      </c>
    </row>
    <row r="17" spans="2:9" x14ac:dyDescent="0.25">
      <c r="B17" t="s">
        <v>50</v>
      </c>
      <c r="C17">
        <f>VLOOKUP($B17,FactorScores[],3,FALSE)*Markers_Raw_Max[[#This Row],[Healthful Nutrition Weight]]*HN_Marker_Norm</f>
        <v>0.86550038590172262</v>
      </c>
      <c r="D17">
        <f>VLOOKUP($B17,FactorScores[],3,FALSE)*Markers_Raw_Max[[#This Row],[Movement + Exercise Weight]]*ME_Marker_Norm</f>
        <v>0.77895034731155044</v>
      </c>
      <c r="E17">
        <f>VLOOKUP($B17,FactorScores[],3,FALSE)*Markers_Raw_Max[[#This Row],[Restorative Sleep Weight]]*RS_Marker_Norm</f>
        <v>0.80367892976588529</v>
      </c>
      <c r="F17">
        <f>VLOOKUP($B17,FactorScores[],3,FALSE)*Markers_Raw_Max[[#This Row],[Stress Management Weight]]*SM_Marker_Norm</f>
        <v>0.59011389947844717</v>
      </c>
      <c r="G17">
        <f>VLOOKUP($B17,FactorScores[],3,FALSE)*Markers_Raw_Max[[#This Row],[Cognitive Health Weight]]*CH_Marker_Norm</f>
        <v>0</v>
      </c>
      <c r="H17">
        <f>VLOOKUP($B17,FactorScores[],3,FALSE)*Markers_Raw_Max[[#This Row],[Connection + Purpose Weight]]*CP_Marker_Norm</f>
        <v>0</v>
      </c>
      <c r="I17">
        <f>VLOOKUP($B17,FactorScores[],3,FALSE)*Markers_Raw_Max[[#This Row],[Core Care Weight]]*CC_Marker_Norm</f>
        <v>0.90340551229157906</v>
      </c>
    </row>
    <row r="18" spans="2:9" x14ac:dyDescent="0.25">
      <c r="B18" t="s">
        <v>51</v>
      </c>
      <c r="C18">
        <f>VLOOKUP($B18,FactorScores[],3,FALSE)*Markers_Raw_Max[[#This Row],[Healthful Nutrition Weight]]*HN_Marker_Norm</f>
        <v>0.55384615384615388</v>
      </c>
      <c r="D18">
        <f>VLOOKUP($B18,FactorScores[],3,FALSE)*Markers_Raw_Max[[#This Row],[Movement + Exercise Weight]]*ME_Marker_Norm</f>
        <v>0.41538461538461541</v>
      </c>
      <c r="E18">
        <f>VLOOKUP($B18,FactorScores[],3,FALSE)*Markers_Raw_Max[[#This Row],[Restorative Sleep Weight]]*RS_Marker_Norm</f>
        <v>0</v>
      </c>
      <c r="F18">
        <f>VLOOKUP($B18,FactorScores[],3,FALSE)*Markers_Raw_Max[[#This Row],[Stress Management Weight]]*SM_Marker_Norm</f>
        <v>0.94405594405594395</v>
      </c>
      <c r="G18">
        <f>VLOOKUP($B18,FactorScores[],3,FALSE)*Markers_Raw_Max[[#This Row],[Cognitive Health Weight]]*CH_Marker_Norm</f>
        <v>0</v>
      </c>
      <c r="H18">
        <f>VLOOKUP($B18,FactorScores[],3,FALSE)*Markers_Raw_Max[[#This Row],[Connection + Purpose Weight]]*CP_Marker_Norm</f>
        <v>0</v>
      </c>
      <c r="I18">
        <f>VLOOKUP($B18,FactorScores[],3,FALSE)*Markers_Raw_Max[[#This Row],[Core Care Weight]]*CC_Marker_Norm</f>
        <v>0</v>
      </c>
    </row>
    <row r="19" spans="2:9" x14ac:dyDescent="0.25">
      <c r="B19" t="s">
        <v>52</v>
      </c>
      <c r="C19">
        <f>VLOOKUP($B19,FactorScores[],3,FALSE)*Markers_Raw_Max[[#This Row],[Healthful Nutrition Weight]]*HN_Marker_Norm</f>
        <v>0.55384615384615388</v>
      </c>
      <c r="D19">
        <f>VLOOKUP($B19,FactorScores[],3,FALSE)*Markers_Raw_Max[[#This Row],[Movement + Exercise Weight]]*ME_Marker_Norm</f>
        <v>0.41538461538461541</v>
      </c>
      <c r="E19">
        <f>VLOOKUP($B19,FactorScores[],3,FALSE)*Markers_Raw_Max[[#This Row],[Restorative Sleep Weight]]*RS_Marker_Norm</f>
        <v>0</v>
      </c>
      <c r="F19">
        <f>VLOOKUP($B19,FactorScores[],3,FALSE)*Markers_Raw_Max[[#This Row],[Stress Management Weight]]*SM_Marker_Norm</f>
        <v>0.3776223776223776</v>
      </c>
      <c r="G19">
        <f>VLOOKUP($B19,FactorScores[],3,FALSE)*Markers_Raw_Max[[#This Row],[Cognitive Health Weight]]*CH_Marker_Norm</f>
        <v>0</v>
      </c>
      <c r="H19">
        <f>VLOOKUP($B19,FactorScores[],3,FALSE)*Markers_Raw_Max[[#This Row],[Connection + Purpose Weight]]*CP_Marker_Norm</f>
        <v>0</v>
      </c>
      <c r="I19">
        <f>VLOOKUP($B19,FactorScores[],3,FALSE)*Markers_Raw_Max[[#This Row],[Core Care Weight]]*CC_Marker_Norm</f>
        <v>0</v>
      </c>
    </row>
    <row r="20" spans="2:9" x14ac:dyDescent="0.25">
      <c r="B20" t="s">
        <v>53</v>
      </c>
      <c r="C20">
        <f>VLOOKUP($B20,FactorScores[],3,FALSE)*Markers_Raw_Max[[#This Row],[Healthful Nutrition Weight]]*HN_Marker_Norm</f>
        <v>1.1076923076923078</v>
      </c>
      <c r="D20">
        <f>VLOOKUP($B20,FactorScores[],3,FALSE)*Markers_Raw_Max[[#This Row],[Movement + Exercise Weight]]*ME_Marker_Norm</f>
        <v>1.2461538461538462</v>
      </c>
      <c r="E20">
        <f>VLOOKUP($B20,FactorScores[],3,FALSE)*Markers_Raw_Max[[#This Row],[Restorative Sleep Weight]]*RS_Marker_Norm</f>
        <v>1.2857142857142858</v>
      </c>
      <c r="F20">
        <f>VLOOKUP($B20,FactorScores[],3,FALSE)*Markers_Raw_Max[[#This Row],[Stress Management Weight]]*SM_Marker_Norm</f>
        <v>1.1328671328671329</v>
      </c>
      <c r="G20">
        <f>VLOOKUP($B20,FactorScores[],3,FALSE)*Markers_Raw_Max[[#This Row],[Cognitive Health Weight]]*CH_Marker_Norm</f>
        <v>1.2949640287769784</v>
      </c>
      <c r="H20">
        <f>VLOOKUP($B20,FactorScores[],3,FALSE)*Markers_Raw_Max[[#This Row],[Connection + Purpose Weight]]*CP_Marker_Norm</f>
        <v>0</v>
      </c>
      <c r="I20">
        <f>VLOOKUP($B20,FactorScores[],3,FALSE)*Markers_Raw_Max[[#This Row],[Core Care Weight]]*CC_Marker_Norm</f>
        <v>1.4452554744525548</v>
      </c>
    </row>
    <row r="21" spans="2:9" x14ac:dyDescent="0.25">
      <c r="B21" t="s">
        <v>54</v>
      </c>
      <c r="C21">
        <f>VLOOKUP($B21,FactorScores[],3,FALSE)*Markers_Raw_Max[[#This Row],[Healthful Nutrition Weight]]*HN_Marker_Norm</f>
        <v>0</v>
      </c>
      <c r="D21">
        <f>VLOOKUP($B21,FactorScores[],3,FALSE)*Markers_Raw_Max[[#This Row],[Movement + Exercise Weight]]*ME_Marker_Norm</f>
        <v>0</v>
      </c>
      <c r="E21">
        <f>VLOOKUP($B21,FactorScores[],3,FALSE)*Markers_Raw_Max[[#This Row],[Restorative Sleep Weight]]*RS_Marker_Norm</f>
        <v>0</v>
      </c>
      <c r="F21">
        <f>VLOOKUP($B21,FactorScores[],3,FALSE)*Markers_Raw_Max[[#This Row],[Stress Management Weight]]*SM_Marker_Norm</f>
        <v>0</v>
      </c>
      <c r="G21">
        <f>VLOOKUP($B21,FactorScores[],3,FALSE)*Markers_Raw_Max[[#This Row],[Cognitive Health Weight]]*CH_Marker_Norm</f>
        <v>0</v>
      </c>
      <c r="H21">
        <f>VLOOKUP($B21,FactorScores[],3,FALSE)*Markers_Raw_Max[[#This Row],[Connection + Purpose Weight]]*CP_Marker_Norm</f>
        <v>0</v>
      </c>
      <c r="I21">
        <f>VLOOKUP($B21,FactorScores[],3,FALSE)*Markers_Raw_Max[[#This Row],[Core Care Weight]]*CC_Marker_Norm</f>
        <v>0</v>
      </c>
    </row>
    <row r="22" spans="2:9" x14ac:dyDescent="0.25">
      <c r="B22" t="s">
        <v>55</v>
      </c>
      <c r="C22">
        <f>VLOOKUP($B22,FactorScores[],3,FALSE)*Markers_Raw_Max[[#This Row],[Healthful Nutrition Weight]]*HN_Marker_Norm</f>
        <v>1.0338461538461525</v>
      </c>
      <c r="D22">
        <f>VLOOKUP($B22,FactorScores[],3,FALSE)*Markers_Raw_Max[[#This Row],[Movement + Exercise Weight]]*ME_Marker_Norm</f>
        <v>0.9692307692307679</v>
      </c>
      <c r="E22">
        <f>VLOOKUP($B22,FactorScores[],3,FALSE)*Markers_Raw_Max[[#This Row],[Restorative Sleep Weight]]*RS_Marker_Norm</f>
        <v>0.89999999999999891</v>
      </c>
      <c r="F22">
        <f>VLOOKUP($B22,FactorScores[],3,FALSE)*Markers_Raw_Max[[#This Row],[Stress Management Weight]]*SM_Marker_Norm</f>
        <v>0.44055944055943991</v>
      </c>
      <c r="G22">
        <f>VLOOKUP($B22,FactorScores[],3,FALSE)*Markers_Raw_Max[[#This Row],[Cognitive Health Weight]]*CH_Marker_Norm</f>
        <v>0.8460431654676247</v>
      </c>
      <c r="H22">
        <f>VLOOKUP($B22,FactorScores[],3,FALSE)*Markers_Raw_Max[[#This Row],[Connection + Purpose Weight]]*CP_Marker_Norm</f>
        <v>0</v>
      </c>
      <c r="I22">
        <f>VLOOKUP($B22,FactorScores[],3,FALSE)*Markers_Raw_Max[[#This Row],[Core Care Weight]]*CC_Marker_Norm</f>
        <v>1.3489051094890492</v>
      </c>
    </row>
    <row r="23" spans="2:9" x14ac:dyDescent="0.25">
      <c r="B23" t="s">
        <v>56</v>
      </c>
      <c r="C23">
        <f>VLOOKUP($B23,FactorScores[],3,FALSE)*Markers_Raw_Max[[#This Row],[Healthful Nutrition Weight]]*HN_Marker_Norm</f>
        <v>0.58910602910602827</v>
      </c>
      <c r="D23">
        <f>VLOOKUP($B23,FactorScores[],3,FALSE)*Markers_Raw_Max[[#This Row],[Movement + Exercise Weight]]*ME_Marker_Norm</f>
        <v>1.5464033264033241</v>
      </c>
      <c r="E23">
        <f>VLOOKUP($B23,FactorScores[],3,FALSE)*Markers_Raw_Max[[#This Row],[Restorative Sleep Weight]]*RS_Marker_Norm</f>
        <v>0</v>
      </c>
      <c r="F23">
        <f>VLOOKUP($B23,FactorScores[],3,FALSE)*Markers_Raw_Max[[#This Row],[Stress Management Weight]]*SM_Marker_Norm</f>
        <v>0.40166320166320102</v>
      </c>
      <c r="G23">
        <f>VLOOKUP($B23,FactorScores[],3,FALSE)*Markers_Raw_Max[[#This Row],[Cognitive Health Weight]]*CH_Marker_Norm</f>
        <v>0.68870309158078835</v>
      </c>
      <c r="H23">
        <f>VLOOKUP($B23,FactorScores[],3,FALSE)*Markers_Raw_Max[[#This Row],[Connection + Purpose Weight]]*CP_Marker_Norm</f>
        <v>0</v>
      </c>
      <c r="I23">
        <f>VLOOKUP($B23,FactorScores[],3,FALSE)*Markers_Raw_Max[[#This Row],[Core Care Weight]]*CC_Marker_Norm</f>
        <v>0</v>
      </c>
    </row>
    <row r="24" spans="2:9" x14ac:dyDescent="0.25">
      <c r="B24" t="s">
        <v>57</v>
      </c>
      <c r="C24">
        <f>VLOOKUP($B24,FactorScores[],3,FALSE)*Markers_Raw_Max[[#This Row],[Healthful Nutrition Weight]]*HN_Marker_Norm</f>
        <v>0.37496993987975902</v>
      </c>
      <c r="D24">
        <f>VLOOKUP($B24,FactorScores[],3,FALSE)*Markers_Raw_Max[[#This Row],[Movement + Exercise Weight]]*ME_Marker_Norm</f>
        <v>1.3123947895791566</v>
      </c>
      <c r="E24">
        <f>VLOOKUP($B24,FactorScores[],3,FALSE)*Markers_Raw_Max[[#This Row],[Restorative Sleep Weight]]*RS_Marker_Norm</f>
        <v>0</v>
      </c>
      <c r="F24">
        <f>VLOOKUP($B24,FactorScores[],3,FALSE)*Markers_Raw_Max[[#This Row],[Stress Management Weight]]*SM_Marker_Norm</f>
        <v>0.42610220440881702</v>
      </c>
      <c r="G24">
        <f>VLOOKUP($B24,FactorScores[],3,FALSE)*Markers_Raw_Max[[#This Row],[Cognitive Health Weight]]*CH_Marker_Norm</f>
        <v>0.70138262135782259</v>
      </c>
      <c r="H24">
        <f>VLOOKUP($B24,FactorScores[],3,FALSE)*Markers_Raw_Max[[#This Row],[Connection + Purpose Weight]]*CP_Marker_Norm</f>
        <v>0</v>
      </c>
      <c r="I24">
        <f>VLOOKUP($B24,FactorScores[],3,FALSE)*Markers_Raw_Max[[#This Row],[Core Care Weight]]*CC_Marker_Norm</f>
        <v>0</v>
      </c>
    </row>
    <row r="25" spans="2:9" x14ac:dyDescent="0.25">
      <c r="B25" t="s">
        <v>58</v>
      </c>
      <c r="C25">
        <f>VLOOKUP($B25,FactorScores[],3,FALSE)*Markers_Raw_Max[[#This Row],[Healthful Nutrition Weight]]*HN_Marker_Norm</f>
        <v>0.6608391608391605</v>
      </c>
      <c r="D25">
        <f>VLOOKUP($B25,FactorScores[],3,FALSE)*Markers_Raw_Max[[#This Row],[Movement + Exercise Weight]]*ME_Marker_Norm</f>
        <v>1.3877622377622372</v>
      </c>
      <c r="E25">
        <f>VLOOKUP($B25,FactorScores[],3,FALSE)*Markers_Raw_Max[[#This Row],[Restorative Sleep Weight]]*RS_Marker_Norm</f>
        <v>0</v>
      </c>
      <c r="F25">
        <f>VLOOKUP($B25,FactorScores[],3,FALSE)*Markers_Raw_Max[[#This Row],[Stress Management Weight]]*SM_Marker_Norm</f>
        <v>0.45057215511760934</v>
      </c>
      <c r="G25">
        <f>VLOOKUP($B25,FactorScores[],3,FALSE)*Markers_Raw_Max[[#This Row],[Cognitive Health Weight]]*CH_Marker_Norm</f>
        <v>0.86527141922825324</v>
      </c>
      <c r="H25">
        <f>VLOOKUP($B25,FactorScores[],3,FALSE)*Markers_Raw_Max[[#This Row],[Connection + Purpose Weight]]*CP_Marker_Norm</f>
        <v>0</v>
      </c>
      <c r="I25">
        <f>VLOOKUP($B25,FactorScores[],3,FALSE)*Markers_Raw_Max[[#This Row],[Core Care Weight]]*CC_Marker_Norm</f>
        <v>0</v>
      </c>
    </row>
    <row r="26" spans="2:9" x14ac:dyDescent="0.25">
      <c r="B26" t="s">
        <v>59</v>
      </c>
      <c r="C26">
        <f>VLOOKUP($B26,FactorScores[],3,FALSE)*Markers_Raw_Max[[#This Row],[Healthful Nutrition Weight]]*HN_Marker_Norm</f>
        <v>0.83076923076923082</v>
      </c>
      <c r="D26">
        <f>VLOOKUP($B26,FactorScores[],3,FALSE)*Markers_Raw_Max[[#This Row],[Movement + Exercise Weight]]*ME_Marker_Norm</f>
        <v>0</v>
      </c>
      <c r="E26">
        <f>VLOOKUP($B26,FactorScores[],3,FALSE)*Markers_Raw_Max[[#This Row],[Restorative Sleep Weight]]*RS_Marker_Norm</f>
        <v>0</v>
      </c>
      <c r="F26">
        <f>VLOOKUP($B26,FactorScores[],3,FALSE)*Markers_Raw_Max[[#This Row],[Stress Management Weight]]*SM_Marker_Norm</f>
        <v>0</v>
      </c>
      <c r="G26">
        <f>VLOOKUP($B26,FactorScores[],3,FALSE)*Markers_Raw_Max[[#This Row],[Cognitive Health Weight]]*CH_Marker_Norm</f>
        <v>0</v>
      </c>
      <c r="H26">
        <f>VLOOKUP($B26,FactorScores[],3,FALSE)*Markers_Raw_Max[[#This Row],[Connection + Purpose Weight]]*CP_Marker_Norm</f>
        <v>0</v>
      </c>
      <c r="I26">
        <f>VLOOKUP($B26,FactorScores[],3,FALSE)*Markers_Raw_Max[[#This Row],[Core Care Weight]]*CC_Marker_Norm</f>
        <v>1.8065693430656935</v>
      </c>
    </row>
    <row r="27" spans="2:9" x14ac:dyDescent="0.25">
      <c r="B27" t="s">
        <v>60</v>
      </c>
      <c r="C27">
        <f>VLOOKUP($B27,FactorScores[],3,FALSE)*Markers_Raw_Max[[#This Row],[Healthful Nutrition Weight]]*HN_Marker_Norm</f>
        <v>0.83076923076923082</v>
      </c>
      <c r="D27">
        <f>VLOOKUP($B27,FactorScores[],3,FALSE)*Markers_Raw_Max[[#This Row],[Movement + Exercise Weight]]*ME_Marker_Norm</f>
        <v>0</v>
      </c>
      <c r="E27">
        <f>VLOOKUP($B27,FactorScores[],3,FALSE)*Markers_Raw_Max[[#This Row],[Restorative Sleep Weight]]*RS_Marker_Norm</f>
        <v>0</v>
      </c>
      <c r="F27">
        <f>VLOOKUP($B27,FactorScores[],3,FALSE)*Markers_Raw_Max[[#This Row],[Stress Management Weight]]*SM_Marker_Norm</f>
        <v>0</v>
      </c>
      <c r="G27">
        <f>VLOOKUP($B27,FactorScores[],3,FALSE)*Markers_Raw_Max[[#This Row],[Cognitive Health Weight]]*CH_Marker_Norm</f>
        <v>0</v>
      </c>
      <c r="H27">
        <f>VLOOKUP($B27,FactorScores[],3,FALSE)*Markers_Raw_Max[[#This Row],[Connection + Purpose Weight]]*CP_Marker_Norm</f>
        <v>0</v>
      </c>
      <c r="I27">
        <f>VLOOKUP($B27,FactorScores[],3,FALSE)*Markers_Raw_Max[[#This Row],[Core Care Weight]]*CC_Marker_Norm</f>
        <v>1.4452554744525548</v>
      </c>
    </row>
    <row r="28" spans="2:9" x14ac:dyDescent="0.25">
      <c r="B28" t="s">
        <v>61</v>
      </c>
      <c r="C28">
        <f>VLOOKUP($B28,FactorScores[],3,FALSE)*Markers_Raw_Max[[#This Row],[Healthful Nutrition Weight]]*HN_Marker_Norm</f>
        <v>0.27692307692307694</v>
      </c>
      <c r="D28">
        <f>VLOOKUP($B28,FactorScores[],3,FALSE)*Markers_Raw_Max[[#This Row],[Movement + Exercise Weight]]*ME_Marker_Norm</f>
        <v>2.907692307692308</v>
      </c>
      <c r="E28">
        <f>VLOOKUP($B28,FactorScores[],3,FALSE)*Markers_Raw_Max[[#This Row],[Restorative Sleep Weight]]*RS_Marker_Norm</f>
        <v>1.9285714285714288</v>
      </c>
      <c r="F28">
        <f>VLOOKUP($B28,FactorScores[],3,FALSE)*Markers_Raw_Max[[#This Row],[Stress Management Weight]]*SM_Marker_Norm</f>
        <v>0.56643356643356646</v>
      </c>
      <c r="G28">
        <f>VLOOKUP($B28,FactorScores[],3,FALSE)*Markers_Raw_Max[[#This Row],[Cognitive Health Weight]]*CH_Marker_Norm</f>
        <v>0</v>
      </c>
      <c r="H28">
        <f>VLOOKUP($B28,FactorScores[],3,FALSE)*Markers_Raw_Max[[#This Row],[Connection + Purpose Weight]]*CP_Marker_Norm</f>
        <v>0</v>
      </c>
      <c r="I28">
        <f>VLOOKUP($B28,FactorScores[],3,FALSE)*Markers_Raw_Max[[#This Row],[Core Care Weight]]*CC_Marker_Norm</f>
        <v>2.167883211678832</v>
      </c>
    </row>
    <row r="29" spans="2:9" x14ac:dyDescent="0.25">
      <c r="B29" t="s">
        <v>62</v>
      </c>
      <c r="C29">
        <f>VLOOKUP($B29,FactorScores[],3,FALSE)*Markers_Raw_Max[[#This Row],[Healthful Nutrition Weight]]*HN_Marker_Norm</f>
        <v>0.55384615384615388</v>
      </c>
      <c r="D29">
        <f>VLOOKUP($B29,FactorScores[],3,FALSE)*Markers_Raw_Max[[#This Row],[Movement + Exercise Weight]]*ME_Marker_Norm</f>
        <v>0</v>
      </c>
      <c r="E29">
        <f>VLOOKUP($B29,FactorScores[],3,FALSE)*Markers_Raw_Max[[#This Row],[Restorative Sleep Weight]]*RS_Marker_Norm</f>
        <v>0</v>
      </c>
      <c r="F29">
        <f>VLOOKUP($B29,FactorScores[],3,FALSE)*Markers_Raw_Max[[#This Row],[Stress Management Weight]]*SM_Marker_Norm</f>
        <v>0</v>
      </c>
      <c r="G29">
        <f>VLOOKUP($B29,FactorScores[],3,FALSE)*Markers_Raw_Max[[#This Row],[Cognitive Health Weight]]*CH_Marker_Norm</f>
        <v>0</v>
      </c>
      <c r="H29">
        <f>VLOOKUP($B29,FactorScores[],3,FALSE)*Markers_Raw_Max[[#This Row],[Connection + Purpose Weight]]*CP_Marker_Norm</f>
        <v>0</v>
      </c>
      <c r="I29">
        <f>VLOOKUP($B29,FactorScores[],3,FALSE)*Markers_Raw_Max[[#This Row],[Core Care Weight]]*CC_Marker_Norm</f>
        <v>0</v>
      </c>
    </row>
    <row r="30" spans="2:9" x14ac:dyDescent="0.25">
      <c r="B30" t="s">
        <v>63</v>
      </c>
      <c r="C30">
        <f>VLOOKUP($B30,FactorScores[],3,FALSE)*Markers_Raw_Max[[#This Row],[Healthful Nutrition Weight]]*HN_Marker_Norm</f>
        <v>0.34900710493241305</v>
      </c>
      <c r="D30">
        <f>VLOOKUP($B30,FactorScores[],3,FALSE)*Markers_Raw_Max[[#This Row],[Movement + Exercise Weight]]*ME_Marker_Norm</f>
        <v>0</v>
      </c>
      <c r="E30">
        <f>VLOOKUP($B30,FactorScores[],3,FALSE)*Markers_Raw_Max[[#This Row],[Restorative Sleep Weight]]*RS_Marker_Norm</f>
        <v>0</v>
      </c>
      <c r="F30">
        <f>VLOOKUP($B30,FactorScores[],3,FALSE)*Markers_Raw_Max[[#This Row],[Stress Management Weight]]*SM_Marker_Norm</f>
        <v>0</v>
      </c>
      <c r="G30">
        <f>VLOOKUP($B30,FactorScores[],3,FALSE)*Markers_Raw_Max[[#This Row],[Cognitive Health Weight]]*CH_Marker_Norm</f>
        <v>0</v>
      </c>
      <c r="H30">
        <f>VLOOKUP($B30,FactorScores[],3,FALSE)*Markers_Raw_Max[[#This Row],[Connection + Purpose Weight]]*CP_Marker_Norm</f>
        <v>0</v>
      </c>
      <c r="I30">
        <f>VLOOKUP($B30,FactorScores[],3,FALSE)*Markers_Raw_Max[[#This Row],[Core Care Weight]]*CC_Marker_Norm</f>
        <v>0</v>
      </c>
    </row>
    <row r="31" spans="2:9" x14ac:dyDescent="0.25">
      <c r="B31" t="s">
        <v>64</v>
      </c>
      <c r="C31">
        <f>VLOOKUP($B31,FactorScores[],3,FALSE)*Markers_Raw_Max[[#This Row],[Healthful Nutrition Weight]]*HN_Marker_Norm</f>
        <v>0.37384615384615388</v>
      </c>
      <c r="D31">
        <f>VLOOKUP($B31,FactorScores[],3,FALSE)*Markers_Raw_Max[[#This Row],[Movement + Exercise Weight]]*ME_Marker_Norm</f>
        <v>0</v>
      </c>
      <c r="E31">
        <f>VLOOKUP($B31,FactorScores[],3,FALSE)*Markers_Raw_Max[[#This Row],[Restorative Sleep Weight]]*RS_Marker_Norm</f>
        <v>0</v>
      </c>
      <c r="F31">
        <f>VLOOKUP($B31,FactorScores[],3,FALSE)*Markers_Raw_Max[[#This Row],[Stress Management Weight]]*SM_Marker_Norm</f>
        <v>0</v>
      </c>
      <c r="G31">
        <f>VLOOKUP($B31,FactorScores[],3,FALSE)*Markers_Raw_Max[[#This Row],[Cognitive Health Weight]]*CH_Marker_Norm</f>
        <v>0</v>
      </c>
      <c r="H31">
        <f>VLOOKUP($B31,FactorScores[],3,FALSE)*Markers_Raw_Max[[#This Row],[Connection + Purpose Weight]]*CP_Marker_Norm</f>
        <v>0</v>
      </c>
      <c r="I31">
        <f>VLOOKUP($B31,FactorScores[],3,FALSE)*Markers_Raw_Max[[#This Row],[Core Care Weight]]*CC_Marker_Norm</f>
        <v>0</v>
      </c>
    </row>
    <row r="32" spans="2:9" x14ac:dyDescent="0.25">
      <c r="B32" t="s">
        <v>65</v>
      </c>
      <c r="C32">
        <f>VLOOKUP($B32,FactorScores[],3,FALSE)*Markers_Raw_Max[[#This Row],[Healthful Nutrition Weight]]*HN_Marker_Norm</f>
        <v>0.83076923076923082</v>
      </c>
      <c r="D32">
        <f>VLOOKUP($B32,FactorScores[],3,FALSE)*Markers_Raw_Max[[#This Row],[Movement + Exercise Weight]]*ME_Marker_Norm</f>
        <v>0</v>
      </c>
      <c r="E32">
        <f>VLOOKUP($B32,FactorScores[],3,FALSE)*Markers_Raw_Max[[#This Row],[Restorative Sleep Weight]]*RS_Marker_Norm</f>
        <v>0</v>
      </c>
      <c r="F32">
        <f>VLOOKUP($B32,FactorScores[],3,FALSE)*Markers_Raw_Max[[#This Row],[Stress Management Weight]]*SM_Marker_Norm</f>
        <v>0</v>
      </c>
      <c r="G32">
        <f>VLOOKUP($B32,FactorScores[],3,FALSE)*Markers_Raw_Max[[#This Row],[Cognitive Health Weight]]*CH_Marker_Norm</f>
        <v>0</v>
      </c>
      <c r="H32">
        <f>VLOOKUP($B32,FactorScores[],3,FALSE)*Markers_Raw_Max[[#This Row],[Connection + Purpose Weight]]*CP_Marker_Norm</f>
        <v>0</v>
      </c>
      <c r="I32">
        <f>VLOOKUP($B32,FactorScores[],3,FALSE)*Markers_Raw_Max[[#This Row],[Core Care Weight]]*CC_Marker_Norm</f>
        <v>0</v>
      </c>
    </row>
    <row r="33" spans="2:9" x14ac:dyDescent="0.25">
      <c r="B33" t="s">
        <v>66</v>
      </c>
      <c r="C33">
        <f>VLOOKUP($B33,FactorScores[],3,FALSE)*Markers_Raw_Max[[#This Row],[Healthful Nutrition Weight]]*HN_Marker_Norm</f>
        <v>1.1076923076923078</v>
      </c>
      <c r="D33">
        <f>VLOOKUP($B33,FactorScores[],3,FALSE)*Markers_Raw_Max[[#This Row],[Movement + Exercise Weight]]*ME_Marker_Norm</f>
        <v>0</v>
      </c>
      <c r="E33">
        <f>VLOOKUP($B33,FactorScores[],3,FALSE)*Markers_Raw_Max[[#This Row],[Restorative Sleep Weight]]*RS_Marker_Norm</f>
        <v>0</v>
      </c>
      <c r="F33">
        <f>VLOOKUP($B33,FactorScores[],3,FALSE)*Markers_Raw_Max[[#This Row],[Stress Management Weight]]*SM_Marker_Norm</f>
        <v>0.56643356643356646</v>
      </c>
      <c r="G33">
        <f>VLOOKUP($B33,FactorScores[],3,FALSE)*Markers_Raw_Max[[#This Row],[Cognitive Health Weight]]*CH_Marker_Norm</f>
        <v>0</v>
      </c>
      <c r="H33">
        <f>VLOOKUP($B33,FactorScores[],3,FALSE)*Markers_Raw_Max[[#This Row],[Connection + Purpose Weight]]*CP_Marker_Norm</f>
        <v>0</v>
      </c>
      <c r="I33">
        <f>VLOOKUP($B33,FactorScores[],3,FALSE)*Markers_Raw_Max[[#This Row],[Core Care Weight]]*CC_Marker_Norm</f>
        <v>0</v>
      </c>
    </row>
    <row r="34" spans="2:9" x14ac:dyDescent="0.25">
      <c r="B34" t="s">
        <v>67</v>
      </c>
      <c r="C34">
        <f>VLOOKUP($B34,FactorScores[],3,FALSE)*Markers_Raw_Max[[#This Row],[Healthful Nutrition Weight]]*HN_Marker_Norm</f>
        <v>1.1076923076923078</v>
      </c>
      <c r="D34">
        <f>VLOOKUP($B34,FactorScores[],3,FALSE)*Markers_Raw_Max[[#This Row],[Movement + Exercise Weight]]*ME_Marker_Norm</f>
        <v>0</v>
      </c>
      <c r="E34">
        <f>VLOOKUP($B34,FactorScores[],3,FALSE)*Markers_Raw_Max[[#This Row],[Restorative Sleep Weight]]*RS_Marker_Norm</f>
        <v>0</v>
      </c>
      <c r="F34">
        <f>VLOOKUP($B34,FactorScores[],3,FALSE)*Markers_Raw_Max[[#This Row],[Stress Management Weight]]*SM_Marker_Norm</f>
        <v>0.56643356643356646</v>
      </c>
      <c r="G34">
        <f>VLOOKUP($B34,FactorScores[],3,FALSE)*Markers_Raw_Max[[#This Row],[Cognitive Health Weight]]*CH_Marker_Norm</f>
        <v>0</v>
      </c>
      <c r="H34">
        <f>VLOOKUP($B34,FactorScores[],3,FALSE)*Markers_Raw_Max[[#This Row],[Connection + Purpose Weight]]*CP_Marker_Norm</f>
        <v>0</v>
      </c>
      <c r="I34">
        <f>VLOOKUP($B34,FactorScores[],3,FALSE)*Markers_Raw_Max[[#This Row],[Core Care Weight]]*CC_Marker_Norm</f>
        <v>1.8065693430656935</v>
      </c>
    </row>
    <row r="35" spans="2:9" x14ac:dyDescent="0.25">
      <c r="B35" t="s">
        <v>68</v>
      </c>
      <c r="C35">
        <f>VLOOKUP($B35,FactorScores[],3,FALSE)*Markers_Raw_Max[[#This Row],[Healthful Nutrition Weight]]*HN_Marker_Norm</f>
        <v>1.1076923076923078</v>
      </c>
      <c r="D35">
        <f>VLOOKUP($B35,FactorScores[],3,FALSE)*Markers_Raw_Max[[#This Row],[Movement + Exercise Weight]]*ME_Marker_Norm</f>
        <v>0</v>
      </c>
      <c r="E35">
        <f>VLOOKUP($B35,FactorScores[],3,FALSE)*Markers_Raw_Max[[#This Row],[Restorative Sleep Weight]]*RS_Marker_Norm</f>
        <v>0</v>
      </c>
      <c r="F35">
        <f>VLOOKUP($B35,FactorScores[],3,FALSE)*Markers_Raw_Max[[#This Row],[Stress Management Weight]]*SM_Marker_Norm</f>
        <v>0</v>
      </c>
      <c r="G35">
        <f>VLOOKUP($B35,FactorScores[],3,FALSE)*Markers_Raw_Max[[#This Row],[Cognitive Health Weight]]*CH_Marker_Norm</f>
        <v>2.0719424460431655</v>
      </c>
      <c r="H35">
        <f>VLOOKUP($B35,FactorScores[],3,FALSE)*Markers_Raw_Max[[#This Row],[Connection + Purpose Weight]]*CP_Marker_Norm</f>
        <v>0</v>
      </c>
      <c r="I35">
        <f>VLOOKUP($B35,FactorScores[],3,FALSE)*Markers_Raw_Max[[#This Row],[Core Care Weight]]*CC_Marker_Norm</f>
        <v>0</v>
      </c>
    </row>
    <row r="36" spans="2:9" x14ac:dyDescent="0.25">
      <c r="B36" t="s">
        <v>69</v>
      </c>
      <c r="C36">
        <f>VLOOKUP($B36,FactorScores[],3,FALSE)*Markers_Raw_Max[[#This Row],[Healthful Nutrition Weight]]*HN_Marker_Norm</f>
        <v>0.64606763483347796</v>
      </c>
      <c r="D36">
        <f>VLOOKUP($B36,FactorScores[],3,FALSE)*Markers_Raw_Max[[#This Row],[Movement + Exercise Weight]]*ME_Marker_Norm</f>
        <v>0</v>
      </c>
      <c r="E36">
        <f>VLOOKUP($B36,FactorScores[],3,FALSE)*Markers_Raw_Max[[#This Row],[Restorative Sleep Weight]]*RS_Marker_Norm</f>
        <v>0</v>
      </c>
      <c r="F36">
        <f>VLOOKUP($B36,FactorScores[],3,FALSE)*Markers_Raw_Max[[#This Row],[Stress Management Weight]]*SM_Marker_Norm</f>
        <v>0</v>
      </c>
      <c r="G36">
        <f>VLOOKUP($B36,FactorScores[],3,FALSE)*Markers_Raw_Max[[#This Row],[Cognitive Health Weight]]*CH_Marker_Norm</f>
        <v>0.90635387620523888</v>
      </c>
      <c r="H36">
        <f>VLOOKUP($B36,FactorScores[],3,FALSE)*Markers_Raw_Max[[#This Row],[Connection + Purpose Weight]]*CP_Marker_Norm</f>
        <v>0</v>
      </c>
      <c r="I36">
        <f>VLOOKUP($B36,FactorScores[],3,FALSE)*Markers_Raw_Max[[#This Row],[Core Care Weight]]*CC_Marker_Norm</f>
        <v>0</v>
      </c>
    </row>
    <row r="37" spans="2:9" x14ac:dyDescent="0.25">
      <c r="B37" t="s">
        <v>70</v>
      </c>
      <c r="C37">
        <f>VLOOKUP($B37,FactorScores[],3,FALSE)*Markers_Raw_Max[[#This Row],[Healthful Nutrition Weight]]*HN_Marker_Norm</f>
        <v>1.1076923076923078</v>
      </c>
      <c r="D37">
        <f>VLOOKUP($B37,FactorScores[],3,FALSE)*Markers_Raw_Max[[#This Row],[Movement + Exercise Weight]]*ME_Marker_Norm</f>
        <v>0</v>
      </c>
      <c r="E37">
        <f>VLOOKUP($B37,FactorScores[],3,FALSE)*Markers_Raw_Max[[#This Row],[Restorative Sleep Weight]]*RS_Marker_Norm</f>
        <v>0</v>
      </c>
      <c r="F37">
        <f>VLOOKUP($B37,FactorScores[],3,FALSE)*Markers_Raw_Max[[#This Row],[Stress Management Weight]]*SM_Marker_Norm</f>
        <v>0</v>
      </c>
      <c r="G37">
        <f>VLOOKUP($B37,FactorScores[],3,FALSE)*Markers_Raw_Max[[#This Row],[Cognitive Health Weight]]*CH_Marker_Norm</f>
        <v>1.8129496402877698</v>
      </c>
      <c r="H37">
        <f>VLOOKUP($B37,FactorScores[],3,FALSE)*Markers_Raw_Max[[#This Row],[Connection + Purpose Weight]]*CP_Marker_Norm</f>
        <v>0</v>
      </c>
      <c r="I37">
        <f>VLOOKUP($B37,FactorScores[],3,FALSE)*Markers_Raw_Max[[#This Row],[Core Care Weight]]*CC_Marker_Norm</f>
        <v>0</v>
      </c>
    </row>
    <row r="38" spans="2:9" x14ac:dyDescent="0.25">
      <c r="B38" t="s">
        <v>71</v>
      </c>
      <c r="C38">
        <f>VLOOKUP($B38,FactorScores[],3,FALSE)*Markers_Raw_Max[[#This Row],[Healthful Nutrition Weight]]*HN_Marker_Norm</f>
        <v>0.1759255649319002</v>
      </c>
      <c r="D38">
        <f>VLOOKUP($B38,FactorScores[],3,FALSE)*Markers_Raw_Max[[#This Row],[Movement + Exercise Weight]]*ME_Marker_Norm</f>
        <v>0</v>
      </c>
      <c r="E38">
        <f>VLOOKUP($B38,FactorScores[],3,FALSE)*Markers_Raw_Max[[#This Row],[Restorative Sleep Weight]]*RS_Marker_Norm</f>
        <v>0</v>
      </c>
      <c r="F38">
        <f>VLOOKUP($B38,FactorScores[],3,FALSE)*Markers_Raw_Max[[#This Row],[Stress Management Weight]]*SM_Marker_Norm</f>
        <v>0</v>
      </c>
      <c r="G38">
        <f>VLOOKUP($B38,FactorScores[],3,FALSE)*Markers_Raw_Max[[#This Row],[Cognitive Health Weight]]*CH_Marker_Norm</f>
        <v>0</v>
      </c>
      <c r="H38">
        <f>VLOOKUP($B38,FactorScores[],3,FALSE)*Markers_Raw_Max[[#This Row],[Connection + Purpose Weight]]*CP_Marker_Norm</f>
        <v>0</v>
      </c>
      <c r="I38">
        <f>VLOOKUP($B38,FactorScores[],3,FALSE)*Markers_Raw_Max[[#This Row],[Core Care Weight]]*CC_Marker_Norm</f>
        <v>1.147689588743692</v>
      </c>
    </row>
    <row r="39" spans="2:9" x14ac:dyDescent="0.25">
      <c r="B39" t="s">
        <v>72</v>
      </c>
      <c r="C39">
        <f>VLOOKUP($B39,FactorScores[],3,FALSE)*Markers_Raw_Max[[#This Row],[Healthful Nutrition Weight]]*HN_Marker_Norm</f>
        <v>0.1437135278514588</v>
      </c>
      <c r="D39">
        <f>VLOOKUP($B39,FactorScores[],3,FALSE)*Markers_Raw_Max[[#This Row],[Movement + Exercise Weight]]*ME_Marker_Norm</f>
        <v>0</v>
      </c>
      <c r="E39">
        <f>VLOOKUP($B39,FactorScores[],3,FALSE)*Markers_Raw_Max[[#This Row],[Restorative Sleep Weight]]*RS_Marker_Norm</f>
        <v>0</v>
      </c>
      <c r="F39">
        <f>VLOOKUP($B39,FactorScores[],3,FALSE)*Markers_Raw_Max[[#This Row],[Stress Management Weight]]*SM_Marker_Norm</f>
        <v>0</v>
      </c>
      <c r="G39">
        <f>VLOOKUP($B39,FactorScores[],3,FALSE)*Markers_Raw_Max[[#This Row],[Cognitive Health Weight]]*CH_Marker_Norm</f>
        <v>0</v>
      </c>
      <c r="H39">
        <f>VLOOKUP($B39,FactorScores[],3,FALSE)*Markers_Raw_Max[[#This Row],[Connection + Purpose Weight]]*CP_Marker_Norm</f>
        <v>0</v>
      </c>
      <c r="I39">
        <f>VLOOKUP($B39,FactorScores[],3,FALSE)*Markers_Raw_Max[[#This Row],[Core Care Weight]]*CC_Marker_Norm</f>
        <v>0.93754719355650584</v>
      </c>
    </row>
    <row r="40" spans="2:9" x14ac:dyDescent="0.25">
      <c r="B40" t="s">
        <v>73</v>
      </c>
      <c r="C40">
        <f>VLOOKUP($B40,FactorScores[],3,FALSE)*Markers_Raw_Max[[#This Row],[Healthful Nutrition Weight]]*HN_Marker_Norm</f>
        <v>0</v>
      </c>
      <c r="D40">
        <f>VLOOKUP($B40,FactorScores[],3,FALSE)*Markers_Raw_Max[[#This Row],[Movement + Exercise Weight]]*ME_Marker_Norm</f>
        <v>1.2461538461538462</v>
      </c>
      <c r="E40">
        <f>VLOOKUP($B40,FactorScores[],3,FALSE)*Markers_Raw_Max[[#This Row],[Restorative Sleep Weight]]*RS_Marker_Norm</f>
        <v>0</v>
      </c>
      <c r="F40">
        <f>VLOOKUP($B40,FactorScores[],3,FALSE)*Markers_Raw_Max[[#This Row],[Stress Management Weight]]*SM_Marker_Norm</f>
        <v>0</v>
      </c>
      <c r="G40">
        <f>VLOOKUP($B40,FactorScores[],3,FALSE)*Markers_Raw_Max[[#This Row],[Cognitive Health Weight]]*CH_Marker_Norm</f>
        <v>0</v>
      </c>
      <c r="H40">
        <f>VLOOKUP($B40,FactorScores[],3,FALSE)*Markers_Raw_Max[[#This Row],[Connection + Purpose Weight]]*CP_Marker_Norm</f>
        <v>0</v>
      </c>
      <c r="I40">
        <f>VLOOKUP($B40,FactorScores[],3,FALSE)*Markers_Raw_Max[[#This Row],[Core Care Weight]]*CC_Marker_Norm</f>
        <v>2.5291970802919708</v>
      </c>
    </row>
    <row r="41" spans="2:9" x14ac:dyDescent="0.25">
      <c r="B41" t="s">
        <v>74</v>
      </c>
      <c r="C41">
        <f>VLOOKUP($B41,FactorScores[],3,FALSE)*Markers_Raw_Max[[#This Row],[Healthful Nutrition Weight]]*HN_Marker_Norm</f>
        <v>0.83076923076923082</v>
      </c>
      <c r="D41">
        <f>VLOOKUP($B41,FactorScores[],3,FALSE)*Markers_Raw_Max[[#This Row],[Movement + Exercise Weight]]*ME_Marker_Norm</f>
        <v>0</v>
      </c>
      <c r="E41">
        <f>VLOOKUP($B41,FactorScores[],3,FALSE)*Markers_Raw_Max[[#This Row],[Restorative Sleep Weight]]*RS_Marker_Norm</f>
        <v>0</v>
      </c>
      <c r="F41">
        <f>VLOOKUP($B41,FactorScores[],3,FALSE)*Markers_Raw_Max[[#This Row],[Stress Management Weight]]*SM_Marker_Norm</f>
        <v>0</v>
      </c>
      <c r="G41">
        <f>VLOOKUP($B41,FactorScores[],3,FALSE)*Markers_Raw_Max[[#This Row],[Cognitive Health Weight]]*CH_Marker_Norm</f>
        <v>0</v>
      </c>
      <c r="H41">
        <f>VLOOKUP($B41,FactorScores[],3,FALSE)*Markers_Raw_Max[[#This Row],[Connection + Purpose Weight]]*CP_Marker_Norm</f>
        <v>0</v>
      </c>
      <c r="I41">
        <f>VLOOKUP($B41,FactorScores[],3,FALSE)*Markers_Raw_Max[[#This Row],[Core Care Weight]]*CC_Marker_Norm</f>
        <v>0</v>
      </c>
    </row>
    <row r="42" spans="2:9" x14ac:dyDescent="0.25">
      <c r="B42" t="s">
        <v>75</v>
      </c>
      <c r="C42">
        <f>VLOOKUP($B42,FactorScores[],3,FALSE)*Markers_Raw_Max[[#This Row],[Healthful Nutrition Weight]]*HN_Marker_Norm</f>
        <v>0.90834943950521729</v>
      </c>
      <c r="D42">
        <f>VLOOKUP($B42,FactorScores[],3,FALSE)*Markers_Raw_Max[[#This Row],[Movement + Exercise Weight]]*ME_Marker_Norm</f>
        <v>0</v>
      </c>
      <c r="E42">
        <f>VLOOKUP($B42,FactorScores[],3,FALSE)*Markers_Raw_Max[[#This Row],[Restorative Sleep Weight]]*RS_Marker_Norm</f>
        <v>0</v>
      </c>
      <c r="F42">
        <f>VLOOKUP($B42,FactorScores[],3,FALSE)*Markers_Raw_Max[[#This Row],[Stress Management Weight]]*SM_Marker_Norm</f>
        <v>0</v>
      </c>
      <c r="G42">
        <f>VLOOKUP($B42,FactorScores[],3,FALSE)*Markers_Raw_Max[[#This Row],[Cognitive Health Weight]]*CH_Marker_Norm</f>
        <v>1.3592567152308288</v>
      </c>
      <c r="H42">
        <f>VLOOKUP($B42,FactorScores[],3,FALSE)*Markers_Raw_Max[[#This Row],[Connection + Purpose Weight]]*CP_Marker_Norm</f>
        <v>0</v>
      </c>
      <c r="I42">
        <f>VLOOKUP($B42,FactorScores[],3,FALSE)*Markers_Raw_Max[[#This Row],[Core Care Weight]]*CC_Marker_Norm</f>
        <v>0.71109837508711349</v>
      </c>
    </row>
    <row r="43" spans="2:9" x14ac:dyDescent="0.25">
      <c r="B43" t="s">
        <v>76</v>
      </c>
      <c r="C43">
        <f>VLOOKUP($B43,FactorScores[],3,FALSE)*Markers_Raw_Max[[#This Row],[Healthful Nutrition Weight]]*HN_Marker_Norm</f>
        <v>0</v>
      </c>
      <c r="D43">
        <f>VLOOKUP($B43,FactorScores[],3,FALSE)*Markers_Raw_Max[[#This Row],[Movement + Exercise Weight]]*ME_Marker_Norm</f>
        <v>0.53770390413606439</v>
      </c>
      <c r="E43">
        <f>VLOOKUP($B43,FactorScores[],3,FALSE)*Markers_Raw_Max[[#This Row],[Restorative Sleep Weight]]*RS_Marker_Norm</f>
        <v>2.0804020100502494</v>
      </c>
      <c r="F43">
        <f>VLOOKUP($B43,FactorScores[],3,FALSE)*Markers_Raw_Max[[#This Row],[Stress Management Weight]]*SM_Marker_Norm</f>
        <v>0.97764346206557162</v>
      </c>
      <c r="G43">
        <f>VLOOKUP($B43,FactorScores[],3,FALSE)*Markers_Raw_Max[[#This Row],[Cognitive Health Weight]]*CH_Marker_Norm</f>
        <v>1.0057770868732139</v>
      </c>
      <c r="H43">
        <f>VLOOKUP($B43,FactorScores[],3,FALSE)*Markers_Raw_Max[[#This Row],[Connection + Purpose Weight]]*CP_Marker_Norm</f>
        <v>5.8251256281406967</v>
      </c>
      <c r="I43">
        <f>VLOOKUP($B43,FactorScores[],3,FALSE)*Markers_Raw_Max[[#This Row],[Core Care Weight]]*CC_Marker_Norm</f>
        <v>0</v>
      </c>
    </row>
    <row r="44" spans="2:9" x14ac:dyDescent="0.25">
      <c r="B44" t="s">
        <v>77</v>
      </c>
      <c r="C44">
        <f>VLOOKUP($B44,FactorScores[],3,FALSE)*Markers_Raw_Max[[#This Row],[Healthful Nutrition Weight]]*HN_Marker_Norm</f>
        <v>0.55384615384615388</v>
      </c>
      <c r="D44">
        <f>VLOOKUP($B44,FactorScores[],3,FALSE)*Markers_Raw_Max[[#This Row],[Movement + Exercise Weight]]*ME_Marker_Norm</f>
        <v>0</v>
      </c>
      <c r="E44">
        <f>VLOOKUP($B44,FactorScores[],3,FALSE)*Markers_Raw_Max[[#This Row],[Restorative Sleep Weight]]*RS_Marker_Norm</f>
        <v>0</v>
      </c>
      <c r="F44">
        <f>VLOOKUP($B44,FactorScores[],3,FALSE)*Markers_Raw_Max[[#This Row],[Stress Management Weight]]*SM_Marker_Norm</f>
        <v>0.56643356643356646</v>
      </c>
      <c r="G44">
        <f>VLOOKUP($B44,FactorScores[],3,FALSE)*Markers_Raw_Max[[#This Row],[Cognitive Health Weight]]*CH_Marker_Norm</f>
        <v>0</v>
      </c>
      <c r="H44">
        <f>VLOOKUP($B44,FactorScores[],3,FALSE)*Markers_Raw_Max[[#This Row],[Connection + Purpose Weight]]*CP_Marker_Norm</f>
        <v>0</v>
      </c>
      <c r="I44">
        <f>VLOOKUP($B44,FactorScores[],3,FALSE)*Markers_Raw_Max[[#This Row],[Core Care Weight]]*CC_Marker_Norm</f>
        <v>0</v>
      </c>
    </row>
    <row r="45" spans="2:9" x14ac:dyDescent="0.25">
      <c r="B45" t="s">
        <v>78</v>
      </c>
      <c r="C45">
        <f>VLOOKUP($B45,FactorScores[],3,FALSE)*Markers_Raw_Max[[#This Row],[Healthful Nutrition Weight]]*HN_Marker_Norm</f>
        <v>7.9526627218934581E-2</v>
      </c>
      <c r="D45">
        <f>VLOOKUP($B45,FactorScores[],3,FALSE)*Markers_Raw_Max[[#This Row],[Movement + Exercise Weight]]*ME_Marker_Norm</f>
        <v>0</v>
      </c>
      <c r="E45">
        <f>VLOOKUP($B45,FactorScores[],3,FALSE)*Markers_Raw_Max[[#This Row],[Restorative Sleep Weight]]*RS_Marker_Norm</f>
        <v>0</v>
      </c>
      <c r="F45">
        <f>VLOOKUP($B45,FactorScores[],3,FALSE)*Markers_Raw_Max[[#This Row],[Stress Management Weight]]*SM_Marker_Norm</f>
        <v>8.133405056481946E-2</v>
      </c>
      <c r="G45">
        <f>VLOOKUP($B45,FactorScores[],3,FALSE)*Markers_Raw_Max[[#This Row],[Cognitive Health Weight]]*CH_Marker_Norm</f>
        <v>0</v>
      </c>
      <c r="H45">
        <f>VLOOKUP($B45,FactorScores[],3,FALSE)*Markers_Raw_Max[[#This Row],[Connection + Purpose Weight]]*CP_Marker_Norm</f>
        <v>0</v>
      </c>
      <c r="I45">
        <f>VLOOKUP($B45,FactorScores[],3,FALSE)*Markers_Raw_Max[[#This Row],[Core Care Weight]]*CC_Marker_Norm</f>
        <v>0</v>
      </c>
    </row>
    <row r="46" spans="2:9" x14ac:dyDescent="0.25">
      <c r="B46" t="s">
        <v>79</v>
      </c>
      <c r="C46">
        <f>VLOOKUP($B46,FactorScores[],3,FALSE)*Markers_Raw_Max[[#This Row],[Healthful Nutrition Weight]]*HN_Marker_Norm</f>
        <v>5.4674556213017741E-2</v>
      </c>
      <c r="D46">
        <f>VLOOKUP($B46,FactorScores[],3,FALSE)*Markers_Raw_Max[[#This Row],[Movement + Exercise Weight]]*ME_Marker_Norm</f>
        <v>0</v>
      </c>
      <c r="E46">
        <f>VLOOKUP($B46,FactorScores[],3,FALSE)*Markers_Raw_Max[[#This Row],[Restorative Sleep Weight]]*RS_Marker_Norm</f>
        <v>0.25384615384615383</v>
      </c>
      <c r="F46">
        <f>VLOOKUP($B46,FactorScores[],3,FALSE)*Markers_Raw_Max[[#This Row],[Stress Management Weight]]*SM_Marker_Norm</f>
        <v>7.4556213017751463E-2</v>
      </c>
      <c r="G46">
        <f>VLOOKUP($B46,FactorScores[],3,FALSE)*Markers_Raw_Max[[#This Row],[Cognitive Health Weight]]*CH_Marker_Norm</f>
        <v>0.12783619258439399</v>
      </c>
      <c r="H46">
        <f>VLOOKUP($B46,FactorScores[],3,FALSE)*Markers_Raw_Max[[#This Row],[Connection + Purpose Weight]]*CP_Marker_Norm</f>
        <v>0</v>
      </c>
      <c r="I46">
        <f>VLOOKUP($B46,FactorScores[],3,FALSE)*Markers_Raw_Max[[#This Row],[Core Care Weight]]*CC_Marker_Norm</f>
        <v>0.28534531162268384</v>
      </c>
    </row>
    <row r="47" spans="2:9" x14ac:dyDescent="0.25">
      <c r="B47" t="s">
        <v>80</v>
      </c>
      <c r="C47">
        <f>VLOOKUP($B47,FactorScores[],3,FALSE)*Markers_Raw_Max[[#This Row],[Healthful Nutrition Weight]]*HN_Marker_Norm</f>
        <v>0</v>
      </c>
      <c r="D47">
        <f>VLOOKUP($B47,FactorScores[],3,FALSE)*Markers_Raw_Max[[#This Row],[Movement + Exercise Weight]]*ME_Marker_Norm</f>
        <v>0</v>
      </c>
      <c r="E47">
        <f>VLOOKUP($B47,FactorScores[],3,FALSE)*Markers_Raw_Max[[#This Row],[Restorative Sleep Weight]]*RS_Marker_Norm</f>
        <v>0</v>
      </c>
      <c r="F47">
        <f>VLOOKUP($B47,FactorScores[],3,FALSE)*Markers_Raw_Max[[#This Row],[Stress Management Weight]]*SM_Marker_Norm</f>
        <v>0</v>
      </c>
      <c r="G47">
        <f>VLOOKUP($B47,FactorScores[],3,FALSE)*Markers_Raw_Max[[#This Row],[Cognitive Health Weight]]*CH_Marker_Norm</f>
        <v>0</v>
      </c>
      <c r="H47">
        <f>VLOOKUP($B47,FactorScores[],3,FALSE)*Markers_Raw_Max[[#This Row],[Connection + Purpose Weight]]*CP_Marker_Norm</f>
        <v>0</v>
      </c>
      <c r="I47">
        <f>VLOOKUP($B47,FactorScores[],3,FALSE)*Markers_Raw_Max[[#This Row],[Core Care Weight]]*CC_Marker_Norm</f>
        <v>0</v>
      </c>
    </row>
    <row r="48" spans="2:9" x14ac:dyDescent="0.25">
      <c r="B48" t="s">
        <v>81</v>
      </c>
      <c r="C48">
        <f>VLOOKUP($B48,FactorScores[],3,FALSE)*Markers_Raw_Max[[#This Row],[Healthful Nutrition Weight]]*HN_Marker_Norm</f>
        <v>0.75956043956043995</v>
      </c>
      <c r="D48">
        <f>VLOOKUP($B48,FactorScores[],3,FALSE)*Markers_Raw_Max[[#This Row],[Movement + Exercise Weight]]*ME_Marker_Norm</f>
        <v>0</v>
      </c>
      <c r="E48">
        <f>VLOOKUP($B48,FactorScores[],3,FALSE)*Markers_Raw_Max[[#This Row],[Restorative Sleep Weight]]*RS_Marker_Norm</f>
        <v>0</v>
      </c>
      <c r="F48">
        <f>VLOOKUP($B48,FactorScores[],3,FALSE)*Markers_Raw_Max[[#This Row],[Stress Management Weight]]*SM_Marker_Norm</f>
        <v>0</v>
      </c>
      <c r="G48">
        <f>VLOOKUP($B48,FactorScores[],3,FALSE)*Markers_Raw_Max[[#This Row],[Cognitive Health Weight]]*CH_Marker_Norm</f>
        <v>0</v>
      </c>
      <c r="H48">
        <f>VLOOKUP($B48,FactorScores[],3,FALSE)*Markers_Raw_Max[[#This Row],[Connection + Purpose Weight]]*CP_Marker_Norm</f>
        <v>0</v>
      </c>
      <c r="I48">
        <f>VLOOKUP($B48,FactorScores[],3,FALSE)*Markers_Raw_Max[[#This Row],[Core Care Weight]]*CC_Marker_Norm</f>
        <v>0</v>
      </c>
    </row>
    <row r="49" spans="2:9" x14ac:dyDescent="0.25">
      <c r="B49" t="s">
        <v>82</v>
      </c>
      <c r="C49">
        <f>VLOOKUP($B49,FactorScores[],3,FALSE)*Markers_Raw_Max[[#This Row],[Healthful Nutrition Weight]]*HN_Marker_Norm</f>
        <v>0</v>
      </c>
      <c r="D49">
        <f>VLOOKUP($B49,FactorScores[],3,FALSE)*Markers_Raw_Max[[#This Row],[Movement + Exercise Weight]]*ME_Marker_Norm</f>
        <v>0</v>
      </c>
      <c r="E49">
        <f>VLOOKUP($B49,FactorScores[],3,FALSE)*Markers_Raw_Max[[#This Row],[Restorative Sleep Weight]]*RS_Marker_Norm</f>
        <v>0</v>
      </c>
      <c r="F49">
        <f>VLOOKUP($B49,FactorScores[],3,FALSE)*Markers_Raw_Max[[#This Row],[Stress Management Weight]]*SM_Marker_Norm</f>
        <v>0.11464004382082583</v>
      </c>
      <c r="G49">
        <f>VLOOKUP($B49,FactorScores[],3,FALSE)*Markers_Raw_Max[[#This Row],[Cognitive Health Weight]]*CH_Marker_Norm</f>
        <v>0</v>
      </c>
      <c r="H49">
        <f>VLOOKUP($B49,FactorScores[],3,FALSE)*Markers_Raw_Max[[#This Row],[Connection + Purpose Weight]]*CP_Marker_Norm</f>
        <v>0.65574105065512378</v>
      </c>
      <c r="I49">
        <f>VLOOKUP($B49,FactorScores[],3,FALSE)*Markers_Raw_Max[[#This Row],[Core Care Weight]]*CC_Marker_Norm</f>
        <v>0</v>
      </c>
    </row>
    <row r="50" spans="2:9" x14ac:dyDescent="0.25">
      <c r="B50" t="s">
        <v>83</v>
      </c>
      <c r="C50">
        <f>VLOOKUP($B50,FactorScores[],3,FALSE)*Markers_Raw_Max[[#This Row],[Healthful Nutrition Weight]]*HN_Marker_Norm</f>
        <v>1.3846153846153846</v>
      </c>
      <c r="D50">
        <f>VLOOKUP($B50,FactorScores[],3,FALSE)*Markers_Raw_Max[[#This Row],[Movement + Exercise Weight]]*ME_Marker_Norm</f>
        <v>0</v>
      </c>
      <c r="E50">
        <f>VLOOKUP($B50,FactorScores[],3,FALSE)*Markers_Raw_Max[[#This Row],[Restorative Sleep Weight]]*RS_Marker_Norm</f>
        <v>0</v>
      </c>
      <c r="F50">
        <f>VLOOKUP($B50,FactorScores[],3,FALSE)*Markers_Raw_Max[[#This Row],[Stress Management Weight]]*SM_Marker_Norm</f>
        <v>0</v>
      </c>
      <c r="G50">
        <f>VLOOKUP($B50,FactorScores[],3,FALSE)*Markers_Raw_Max[[#This Row],[Cognitive Health Weight]]*CH_Marker_Norm</f>
        <v>0</v>
      </c>
      <c r="H50">
        <f>VLOOKUP($B50,FactorScores[],3,FALSE)*Markers_Raw_Max[[#This Row],[Connection + Purpose Weight]]*CP_Marker_Norm</f>
        <v>0</v>
      </c>
      <c r="I50">
        <f>VLOOKUP($B50,FactorScores[],3,FALSE)*Markers_Raw_Max[[#This Row],[Core Care Weight]]*CC_Marker_Norm</f>
        <v>0</v>
      </c>
    </row>
    <row r="51" spans="2:9" x14ac:dyDescent="0.25">
      <c r="B51" t="s">
        <v>84</v>
      </c>
      <c r="C51">
        <f>VLOOKUP($B51,FactorScores[],3,FALSE)*Markers_Raw_Max[[#This Row],[Healthful Nutrition Weight]]*HN_Marker_Norm</f>
        <v>0</v>
      </c>
      <c r="D51">
        <f>VLOOKUP($B51,FactorScores[],3,FALSE)*Markers_Raw_Max[[#This Row],[Movement + Exercise Weight]]*ME_Marker_Norm</f>
        <v>2.0769230769230771</v>
      </c>
      <c r="E51">
        <f>VLOOKUP($B51,FactorScores[],3,FALSE)*Markers_Raw_Max[[#This Row],[Restorative Sleep Weight]]*RS_Marker_Norm</f>
        <v>0</v>
      </c>
      <c r="F51">
        <f>VLOOKUP($B51,FactorScores[],3,FALSE)*Markers_Raw_Max[[#This Row],[Stress Management Weight]]*SM_Marker_Norm</f>
        <v>0.56643356643356646</v>
      </c>
      <c r="G51">
        <f>VLOOKUP($B51,FactorScores[],3,FALSE)*Markers_Raw_Max[[#This Row],[Cognitive Health Weight]]*CH_Marker_Norm</f>
        <v>0</v>
      </c>
      <c r="H51">
        <f>VLOOKUP($B51,FactorScores[],3,FALSE)*Markers_Raw_Max[[#This Row],[Connection + Purpose Weight]]*CP_Marker_Norm</f>
        <v>0</v>
      </c>
      <c r="I51">
        <f>VLOOKUP($B51,FactorScores[],3,FALSE)*Markers_Raw_Max[[#This Row],[Core Care Weight]]*CC_Marker_Norm</f>
        <v>0</v>
      </c>
    </row>
    <row r="52" spans="2:9" x14ac:dyDescent="0.25">
      <c r="B52" t="s">
        <v>85</v>
      </c>
      <c r="C52">
        <f>VLOOKUP($B52,FactorScores[],3,FALSE)*Markers_Raw_Max[[#This Row],[Healthful Nutrition Weight]]*HN_Marker_Norm</f>
        <v>0.83076923076923082</v>
      </c>
      <c r="D52">
        <f>VLOOKUP($B52,FactorScores[],3,FALSE)*Markers_Raw_Max[[#This Row],[Movement + Exercise Weight]]*ME_Marker_Norm</f>
        <v>0</v>
      </c>
      <c r="E52">
        <f>VLOOKUP($B52,FactorScores[],3,FALSE)*Markers_Raw_Max[[#This Row],[Restorative Sleep Weight]]*RS_Marker_Norm</f>
        <v>0</v>
      </c>
      <c r="F52">
        <f>VLOOKUP($B52,FactorScores[],3,FALSE)*Markers_Raw_Max[[#This Row],[Stress Management Weight]]*SM_Marker_Norm</f>
        <v>0</v>
      </c>
      <c r="G52">
        <f>VLOOKUP($B52,FactorScores[],3,FALSE)*Markers_Raw_Max[[#This Row],[Cognitive Health Weight]]*CH_Marker_Norm</f>
        <v>0</v>
      </c>
      <c r="H52">
        <f>VLOOKUP($B52,FactorScores[],3,FALSE)*Markers_Raw_Max[[#This Row],[Connection + Purpose Weight]]*CP_Marker_Norm</f>
        <v>0</v>
      </c>
      <c r="I52">
        <f>VLOOKUP($B52,FactorScores[],3,FALSE)*Markers_Raw_Max[[#This Row],[Core Care Weight]]*CC_Marker_Norm</f>
        <v>0</v>
      </c>
    </row>
    <row r="53" spans="2:9" x14ac:dyDescent="0.25">
      <c r="B53" t="s">
        <v>86</v>
      </c>
      <c r="C53">
        <f>VLOOKUP($B53,FactorScores[],3,FALSE)*Markers_Raw_Max[[#This Row],[Healthful Nutrition Weight]]*HN_Marker_Norm</f>
        <v>0.83076923076923082</v>
      </c>
      <c r="D53">
        <f>VLOOKUP($B53,FactorScores[],3,FALSE)*Markers_Raw_Max[[#This Row],[Movement + Exercise Weight]]*ME_Marker_Norm</f>
        <v>0</v>
      </c>
      <c r="E53">
        <f>VLOOKUP($B53,FactorScores[],3,FALSE)*Markers_Raw_Max[[#This Row],[Restorative Sleep Weight]]*RS_Marker_Norm</f>
        <v>0</v>
      </c>
      <c r="F53">
        <f>VLOOKUP($B53,FactorScores[],3,FALSE)*Markers_Raw_Max[[#This Row],[Stress Management Weight]]*SM_Marker_Norm</f>
        <v>0</v>
      </c>
      <c r="G53">
        <f>VLOOKUP($B53,FactorScores[],3,FALSE)*Markers_Raw_Max[[#This Row],[Cognitive Health Weight]]*CH_Marker_Norm</f>
        <v>0</v>
      </c>
      <c r="H53">
        <f>VLOOKUP($B53,FactorScores[],3,FALSE)*Markers_Raw_Max[[#This Row],[Connection + Purpose Weight]]*CP_Marker_Norm</f>
        <v>0</v>
      </c>
      <c r="I53">
        <f>VLOOKUP($B53,FactorScores[],3,FALSE)*Markers_Raw_Max[[#This Row],[Core Care Weight]]*CC_Marker_Norm</f>
        <v>0</v>
      </c>
    </row>
    <row r="54" spans="2:9" x14ac:dyDescent="0.25">
      <c r="B54" t="s">
        <v>87</v>
      </c>
      <c r="C54">
        <f>VLOOKUP($B54,FactorScores[],3,FALSE)*Markers_Raw_Max[[#This Row],[Healthful Nutrition Weight]]*HN_Marker_Norm</f>
        <v>0.64661926308985118</v>
      </c>
      <c r="D54">
        <f>VLOOKUP($B54,FactorScores[],3,FALSE)*Markers_Raw_Max[[#This Row],[Movement + Exercise Weight]]*ME_Marker_Norm</f>
        <v>0</v>
      </c>
      <c r="E54">
        <f>VLOOKUP($B54,FactorScores[],3,FALSE)*Markers_Raw_Max[[#This Row],[Restorative Sleep Weight]]*RS_Marker_Norm</f>
        <v>0</v>
      </c>
      <c r="F54">
        <f>VLOOKUP($B54,FactorScores[],3,FALSE)*Markers_Raw_Max[[#This Row],[Stress Management Weight]]*SM_Marker_Norm</f>
        <v>0.44087677028853484</v>
      </c>
      <c r="G54">
        <f>VLOOKUP($B54,FactorScores[],3,FALSE)*Markers_Raw_Max[[#This Row],[Cognitive Health Weight]]*CH_Marker_Norm</f>
        <v>0</v>
      </c>
      <c r="H54">
        <f>VLOOKUP($B54,FactorScores[],3,FALSE)*Markers_Raw_Max[[#This Row],[Connection + Purpose Weight]]*CP_Marker_Norm</f>
        <v>0</v>
      </c>
      <c r="I54">
        <f>VLOOKUP($B54,FactorScores[],3,FALSE)*Markers_Raw_Max[[#This Row],[Core Care Weight]]*CC_Marker_Norm</f>
        <v>0.84367294363000644</v>
      </c>
    </row>
    <row r="55" spans="2:9" x14ac:dyDescent="0.25">
      <c r="B55" t="s">
        <v>88</v>
      </c>
      <c r="C55">
        <f>VLOOKUP($B55,FactorScores[],3,FALSE)*Markers_Raw_Max[[#This Row],[Healthful Nutrition Weight]]*HN_Marker_Norm</f>
        <v>1.3846153846153846</v>
      </c>
      <c r="D55">
        <f>VLOOKUP($B55,FactorScores[],3,FALSE)*Markers_Raw_Max[[#This Row],[Movement + Exercise Weight]]*ME_Marker_Norm</f>
        <v>0</v>
      </c>
      <c r="E55">
        <f>VLOOKUP($B55,FactorScores[],3,FALSE)*Markers_Raw_Max[[#This Row],[Restorative Sleep Weight]]*RS_Marker_Norm</f>
        <v>0</v>
      </c>
      <c r="F55">
        <f>VLOOKUP($B55,FactorScores[],3,FALSE)*Markers_Raw_Max[[#This Row],[Stress Management Weight]]*SM_Marker_Norm</f>
        <v>0</v>
      </c>
      <c r="G55">
        <f>VLOOKUP($B55,FactorScores[],3,FALSE)*Markers_Raw_Max[[#This Row],[Cognitive Health Weight]]*CH_Marker_Norm</f>
        <v>0</v>
      </c>
      <c r="H55">
        <f>VLOOKUP($B55,FactorScores[],3,FALSE)*Markers_Raw_Max[[#This Row],[Connection + Purpose Weight]]*CP_Marker_Norm</f>
        <v>0</v>
      </c>
      <c r="I55">
        <f>VLOOKUP($B55,FactorScores[],3,FALSE)*Markers_Raw_Max[[#This Row],[Core Care Weight]]*CC_Marker_Norm</f>
        <v>0</v>
      </c>
    </row>
    <row r="56" spans="2:9" x14ac:dyDescent="0.25">
      <c r="B56" t="s">
        <v>89</v>
      </c>
      <c r="C56">
        <f>VLOOKUP($B56,FactorScores[],3,FALSE)*Markers_Raw_Max[[#This Row],[Healthful Nutrition Weight]]*HN_Marker_Norm</f>
        <v>0.437129581827569</v>
      </c>
      <c r="D56">
        <f>VLOOKUP($B56,FactorScores[],3,FALSE)*Markers_Raw_Max[[#This Row],[Movement + Exercise Weight]]*ME_Marker_Norm</f>
        <v>0</v>
      </c>
      <c r="E56">
        <f>VLOOKUP($B56,FactorScores[],3,FALSE)*Markers_Raw_Max[[#This Row],[Restorative Sleep Weight]]*RS_Marker_Norm</f>
        <v>0</v>
      </c>
      <c r="F56">
        <f>VLOOKUP($B56,FactorScores[],3,FALSE)*Markers_Raw_Max[[#This Row],[Stress Management Weight]]*SM_Marker_Norm</f>
        <v>0</v>
      </c>
      <c r="G56">
        <f>VLOOKUP($B56,FactorScores[],3,FALSE)*Markers_Raw_Max[[#This Row],[Cognitive Health Weight]]*CH_Marker_Norm</f>
        <v>0</v>
      </c>
      <c r="H56">
        <f>VLOOKUP($B56,FactorScores[],3,FALSE)*Markers_Raw_Max[[#This Row],[Connection + Purpose Weight]]*CP_Marker_Norm</f>
        <v>0</v>
      </c>
      <c r="I56">
        <f>VLOOKUP($B56,FactorScores[],3,FALSE)*Markers_Raw_Max[[#This Row],[Core Care Weight]]*CC_Marker_Norm</f>
        <v>0</v>
      </c>
    </row>
    <row r="57" spans="2:9" x14ac:dyDescent="0.25">
      <c r="B57" t="s">
        <v>90</v>
      </c>
      <c r="C57">
        <f>VLOOKUP($B57,FactorScores[],3,FALSE)*Markers_Raw_Max[[#This Row],[Healthful Nutrition Weight]]*HN_Marker_Norm</f>
        <v>0.44688693856478984</v>
      </c>
      <c r="D57">
        <f>VLOOKUP($B57,FactorScores[],3,FALSE)*Markers_Raw_Max[[#This Row],[Movement + Exercise Weight]]*ME_Marker_Norm</f>
        <v>0</v>
      </c>
      <c r="E57">
        <f>VLOOKUP($B57,FactorScores[],3,FALSE)*Markers_Raw_Max[[#This Row],[Restorative Sleep Weight]]*RS_Marker_Norm</f>
        <v>0</v>
      </c>
      <c r="F57">
        <f>VLOOKUP($B57,FactorScores[],3,FALSE)*Markers_Raw_Max[[#This Row],[Stress Management Weight]]*SM_Marker_Norm</f>
        <v>0</v>
      </c>
      <c r="G57">
        <f>VLOOKUP($B57,FactorScores[],3,FALSE)*Markers_Raw_Max[[#This Row],[Cognitive Health Weight]]*CH_Marker_Norm</f>
        <v>0</v>
      </c>
      <c r="H57">
        <f>VLOOKUP($B57,FactorScores[],3,FALSE)*Markers_Raw_Max[[#This Row],[Connection + Purpose Weight]]*CP_Marker_Norm</f>
        <v>0</v>
      </c>
      <c r="I57">
        <f>VLOOKUP($B57,FactorScores[],3,FALSE)*Markers_Raw_Max[[#This Row],[Core Care Weight]]*CC_Marker_Norm</f>
        <v>0</v>
      </c>
    </row>
    <row r="58" spans="2:9" x14ac:dyDescent="0.25">
      <c r="B58" t="s">
        <v>91</v>
      </c>
      <c r="C58">
        <f>VLOOKUP($B58,FactorScores[],3,FALSE)*Markers_Raw_Max[[#This Row],[Healthful Nutrition Weight]]*HN_Marker_Norm</f>
        <v>0.68215199630029255</v>
      </c>
      <c r="D58">
        <f>VLOOKUP($B58,FactorScores[],3,FALSE)*Markers_Raw_Max[[#This Row],[Movement + Exercise Weight]]*ME_Marker_Norm</f>
        <v>0</v>
      </c>
      <c r="E58">
        <f>VLOOKUP($B58,FactorScores[],3,FALSE)*Markers_Raw_Max[[#This Row],[Restorative Sleep Weight]]*RS_Marker_Norm</f>
        <v>0</v>
      </c>
      <c r="F58">
        <f>VLOOKUP($B58,FactorScores[],3,FALSE)*Markers_Raw_Max[[#This Row],[Stress Management Weight]]*SM_Marker_Norm</f>
        <v>0</v>
      </c>
      <c r="G58">
        <f>VLOOKUP($B58,FactorScores[],3,FALSE)*Markers_Raw_Max[[#This Row],[Cognitive Health Weight]]*CH_Marker_Norm</f>
        <v>0</v>
      </c>
      <c r="H58">
        <f>VLOOKUP($B58,FactorScores[],3,FALSE)*Markers_Raw_Max[[#This Row],[Connection + Purpose Weight]]*CP_Marker_Norm</f>
        <v>0</v>
      </c>
      <c r="I58">
        <f>VLOOKUP($B58,FactorScores[],3,FALSE)*Markers_Raw_Max[[#This Row],[Core Care Weight]]*CC_Marker_Norm</f>
        <v>0</v>
      </c>
    </row>
    <row r="59" spans="2:9" x14ac:dyDescent="0.25">
      <c r="B59" t="s">
        <v>92</v>
      </c>
      <c r="C59">
        <f>VLOOKUP($B59,FactorScores[],3,FALSE)*Markers_Raw_Max[[#This Row],[Healthful Nutrition Weight]]*HN_Marker_Norm</f>
        <v>0.35289940828402305</v>
      </c>
      <c r="D59">
        <f>VLOOKUP($B59,FactorScores[],3,FALSE)*Markers_Raw_Max[[#This Row],[Movement + Exercise Weight]]*ME_Marker_Norm</f>
        <v>0</v>
      </c>
      <c r="E59">
        <f>VLOOKUP($B59,FactorScores[],3,FALSE)*Markers_Raw_Max[[#This Row],[Restorative Sleep Weight]]*RS_Marker_Norm</f>
        <v>0</v>
      </c>
      <c r="F59">
        <f>VLOOKUP($B59,FactorScores[],3,FALSE)*Markers_Raw_Max[[#This Row],[Stress Management Weight]]*SM_Marker_Norm</f>
        <v>0</v>
      </c>
      <c r="G59">
        <f>VLOOKUP($B59,FactorScores[],3,FALSE)*Markers_Raw_Max[[#This Row],[Cognitive Health Weight]]*CH_Marker_Norm</f>
        <v>0</v>
      </c>
      <c r="H59">
        <f>VLOOKUP($B59,FactorScores[],3,FALSE)*Markers_Raw_Max[[#This Row],[Connection + Purpose Weight]]*CP_Marker_Norm</f>
        <v>0</v>
      </c>
      <c r="I59">
        <f>VLOOKUP($B59,FactorScores[],3,FALSE)*Markers_Raw_Max[[#This Row],[Core Care Weight]]*CC_Marker_Norm</f>
        <v>0</v>
      </c>
    </row>
    <row r="60" spans="2:9" x14ac:dyDescent="0.25">
      <c r="B60" t="s">
        <v>93</v>
      </c>
      <c r="C60">
        <f>VLOOKUP($B60,FactorScores[],3,FALSE)*Markers_Raw_Max[[#This Row],[Healthful Nutrition Weight]]*HN_Marker_Norm</f>
        <v>0.51756283320639673</v>
      </c>
      <c r="D60">
        <f>VLOOKUP($B60,FactorScores[],3,FALSE)*Markers_Raw_Max[[#This Row],[Movement + Exercise Weight]]*ME_Marker_Norm</f>
        <v>0</v>
      </c>
      <c r="E60">
        <f>VLOOKUP($B60,FactorScores[],3,FALSE)*Markers_Raw_Max[[#This Row],[Restorative Sleep Weight]]*RS_Marker_Norm</f>
        <v>0</v>
      </c>
      <c r="F60">
        <f>VLOOKUP($B60,FactorScores[],3,FALSE)*Markers_Raw_Max[[#This Row],[Stress Management Weight]]*SM_Marker_Norm</f>
        <v>0</v>
      </c>
      <c r="G60">
        <f>VLOOKUP($B60,FactorScores[],3,FALSE)*Markers_Raw_Max[[#This Row],[Cognitive Health Weight]]*CH_Marker_Norm</f>
        <v>0</v>
      </c>
      <c r="H60">
        <f>VLOOKUP($B60,FactorScores[],3,FALSE)*Markers_Raw_Max[[#This Row],[Connection + Purpose Weight]]*CP_Marker_Norm</f>
        <v>0</v>
      </c>
      <c r="I60">
        <f>VLOOKUP($B60,FactorScores[],3,FALSE)*Markers_Raw_Max[[#This Row],[Core Care Weight]]*CC_Marker_Norm</f>
        <v>0</v>
      </c>
    </row>
    <row r="61" spans="2:9" x14ac:dyDescent="0.25">
      <c r="B61" t="s">
        <v>94</v>
      </c>
      <c r="C61">
        <f>VLOOKUP($B61,FactorScores[],3,FALSE)*Markers_Raw_Max[[#This Row],[Healthful Nutrition Weight]]*HN_Marker_Norm</f>
        <v>0</v>
      </c>
      <c r="D61">
        <f>VLOOKUP($B61,FactorScores[],3,FALSE)*Markers_Raw_Max[[#This Row],[Movement + Exercise Weight]]*ME_Marker_Norm</f>
        <v>0</v>
      </c>
      <c r="E61">
        <f>VLOOKUP($B61,FactorScores[],3,FALSE)*Markers_Raw_Max[[#This Row],[Restorative Sleep Weight]]*RS_Marker_Norm</f>
        <v>0</v>
      </c>
      <c r="F61">
        <f>VLOOKUP($B61,FactorScores[],3,FALSE)*Markers_Raw_Max[[#This Row],[Stress Management Weight]]*SM_Marker_Norm</f>
        <v>0</v>
      </c>
      <c r="G61">
        <f>VLOOKUP($B61,FactorScores[],3,FALSE)*Markers_Raw_Max[[#This Row],[Cognitive Health Weight]]*CH_Marker_Norm</f>
        <v>0</v>
      </c>
      <c r="H61">
        <f>VLOOKUP($B61,FactorScores[],3,FALSE)*Markers_Raw_Max[[#This Row],[Connection + Purpose Weight]]*CP_Marker_Norm</f>
        <v>0</v>
      </c>
      <c r="I61">
        <f>VLOOKUP($B61,FactorScores[],3,FALSE)*Markers_Raw_Max[[#This Row],[Core Care Weight]]*CC_Marker_Norm</f>
        <v>0</v>
      </c>
    </row>
    <row r="62" spans="2:9" x14ac:dyDescent="0.25">
      <c r="B62" t="s">
        <v>95</v>
      </c>
      <c r="C62">
        <f>VLOOKUP($B62,FactorScores[],3,FALSE)*Markers_Raw_Max[[#This Row],[Healthful Nutrition Weight]]*HN_Marker_Norm</f>
        <v>0.33598851026723836</v>
      </c>
      <c r="D62">
        <f>VLOOKUP($B62,FactorScores[],3,FALSE)*Markers_Raw_Max[[#This Row],[Movement + Exercise Weight]]*ME_Marker_Norm</f>
        <v>0</v>
      </c>
      <c r="E62">
        <f>VLOOKUP($B62,FactorScores[],3,FALSE)*Markers_Raw_Max[[#This Row],[Restorative Sleep Weight]]*RS_Marker_Norm</f>
        <v>0</v>
      </c>
      <c r="F62">
        <f>VLOOKUP($B62,FactorScores[],3,FALSE)*Markers_Raw_Max[[#This Row],[Stress Management Weight]]*SM_Marker_Norm</f>
        <v>0.45816615036441594</v>
      </c>
      <c r="G62">
        <f>VLOOKUP($B62,FactorScores[],3,FALSE)*Markers_Raw_Max[[#This Row],[Cognitive Health Weight]]*CH_Marker_Norm</f>
        <v>0</v>
      </c>
      <c r="H62">
        <f>VLOOKUP($B62,FactorScores[],3,FALSE)*Markers_Raw_Max[[#This Row],[Connection + Purpose Weight]]*CP_Marker_Norm</f>
        <v>0</v>
      </c>
      <c r="I62">
        <f>VLOOKUP($B62,FactorScores[],3,FALSE)*Markers_Raw_Max[[#This Row],[Core Care Weight]]*CC_Marker_Norm</f>
        <v>0</v>
      </c>
    </row>
    <row r="63" spans="2:9" x14ac:dyDescent="0.25">
      <c r="B63" t="s">
        <v>96</v>
      </c>
      <c r="C63">
        <f>VLOOKUP($B63,FactorScores[],3,FALSE)*Markers_Raw_Max[[#This Row],[Healthful Nutrition Weight]]*HN_Marker_Norm</f>
        <v>0</v>
      </c>
      <c r="D63">
        <f>VLOOKUP($B63,FactorScores[],3,FALSE)*Markers_Raw_Max[[#This Row],[Movement + Exercise Weight]]*ME_Marker_Norm</f>
        <v>0.46616309542161083</v>
      </c>
      <c r="E63">
        <f>VLOOKUP($B63,FactorScores[],3,FALSE)*Markers_Raw_Max[[#This Row],[Restorative Sleep Weight]]*RS_Marker_Norm</f>
        <v>0</v>
      </c>
      <c r="F63">
        <f>VLOOKUP($B63,FactorScores[],3,FALSE)*Markers_Raw_Max[[#This Row],[Stress Management Weight]]*SM_Marker_Norm</f>
        <v>0</v>
      </c>
      <c r="G63">
        <f>VLOOKUP($B63,FactorScores[],3,FALSE)*Markers_Raw_Max[[#This Row],[Cognitive Health Weight]]*CH_Marker_Norm</f>
        <v>0.14532662447196501</v>
      </c>
      <c r="H63">
        <f>VLOOKUP($B63,FactorScores[],3,FALSE)*Markers_Raw_Max[[#This Row],[Connection + Purpose Weight]]*CP_Marker_Norm</f>
        <v>0</v>
      </c>
      <c r="I63">
        <f>VLOOKUP($B63,FactorScores[],3,FALSE)*Markers_Raw_Max[[#This Row],[Core Care Weight]]*CC_Marker_Norm</f>
        <v>0</v>
      </c>
    </row>
    <row r="64" spans="2:9" x14ac:dyDescent="0.25">
      <c r="B64" t="s">
        <v>97</v>
      </c>
      <c r="C64">
        <f>VLOOKUP($B64,FactorScores[],3,FALSE)*Markers_Raw_Max[[#This Row],[Healthful Nutrition Weight]]*HN_Marker_Norm</f>
        <v>1.248151687991367</v>
      </c>
      <c r="D64">
        <f>VLOOKUP($B64,FactorScores[],3,FALSE)*Markers_Raw_Max[[#This Row],[Movement + Exercise Weight]]*ME_Marker_Norm</f>
        <v>1.6047664559889006</v>
      </c>
      <c r="E64">
        <f>VLOOKUP($B64,FactorScores[],3,FALSE)*Markers_Raw_Max[[#This Row],[Restorative Sleep Weight]]*RS_Marker_Norm</f>
        <v>1.6557114228456911</v>
      </c>
      <c r="F64">
        <f>VLOOKUP($B64,FactorScores[],3,FALSE)*Markers_Raw_Max[[#This Row],[Stress Management Weight]]*SM_Marker_Norm</f>
        <v>0.48629286545118189</v>
      </c>
      <c r="G64">
        <f>VLOOKUP($B64,FactorScores[],3,FALSE)*Markers_Raw_Max[[#This Row],[Cognitive Health Weight]]*CH_Marker_Norm</f>
        <v>0.83381150790790182</v>
      </c>
      <c r="H64">
        <f>VLOOKUP($B64,FactorScores[],3,FALSE)*Markers_Raw_Max[[#This Row],[Connection + Purpose Weight]]*CP_Marker_Norm</f>
        <v>0</v>
      </c>
      <c r="I64">
        <f>VLOOKUP($B64,FactorScores[],3,FALSE)*Markers_Raw_Max[[#This Row],[Core Care Weight]]*CC_Marker_Norm</f>
        <v>0</v>
      </c>
    </row>
    <row r="65" spans="2:9" x14ac:dyDescent="0.25">
      <c r="B65" t="s">
        <v>98</v>
      </c>
      <c r="C65">
        <f>VLOOKUP($B65,FactorScores[],3,FALSE)*Markers_Raw_Max[[#This Row],[Healthful Nutrition Weight]]*HN_Marker_Norm</f>
        <v>1.3846153846153846</v>
      </c>
      <c r="D65">
        <f>VLOOKUP($B65,FactorScores[],3,FALSE)*Markers_Raw_Max[[#This Row],[Movement + Exercise Weight]]*ME_Marker_Norm</f>
        <v>1.6615384615384616</v>
      </c>
      <c r="E65">
        <f>VLOOKUP($B65,FactorScores[],3,FALSE)*Markers_Raw_Max[[#This Row],[Restorative Sleep Weight]]*RS_Marker_Norm</f>
        <v>1.9285714285714288</v>
      </c>
      <c r="F65">
        <f>VLOOKUP($B65,FactorScores[],3,FALSE)*Markers_Raw_Max[[#This Row],[Stress Management Weight]]*SM_Marker_Norm</f>
        <v>0.56643356643356646</v>
      </c>
      <c r="G65">
        <f>VLOOKUP($B65,FactorScores[],3,FALSE)*Markers_Raw_Max[[#This Row],[Cognitive Health Weight]]*CH_Marker_Norm</f>
        <v>0</v>
      </c>
      <c r="H65">
        <f>VLOOKUP($B65,FactorScores[],3,FALSE)*Markers_Raw_Max[[#This Row],[Connection + Purpose Weight]]*CP_Marker_Norm</f>
        <v>0</v>
      </c>
      <c r="I65">
        <f>VLOOKUP($B65,FactorScores[],3,FALSE)*Markers_Raw_Max[[#This Row],[Core Care Weight]]*CC_Marker_Norm</f>
        <v>0</v>
      </c>
    </row>
    <row r="66" spans="2:9" x14ac:dyDescent="0.25">
      <c r="B66" t="s">
        <v>99</v>
      </c>
      <c r="C66">
        <f>VLOOKUP($B66,FactorScores[],3,FALSE)*Markers_Raw_Max[[#This Row],[Healthful Nutrition Weight]]*HN_Marker_Norm</f>
        <v>0.29076923076923072</v>
      </c>
      <c r="D66">
        <f>VLOOKUP($B66,FactorScores[],3,FALSE)*Markers_Raw_Max[[#This Row],[Movement + Exercise Weight]]*ME_Marker_Norm</f>
        <v>0.43615384615384611</v>
      </c>
      <c r="E66">
        <f>VLOOKUP($B66,FactorScores[],3,FALSE)*Markers_Raw_Max[[#This Row],[Restorative Sleep Weight]]*RS_Marker_Norm</f>
        <v>0.45</v>
      </c>
      <c r="F66">
        <f>VLOOKUP($B66,FactorScores[],3,FALSE)*Markers_Raw_Max[[#This Row],[Stress Management Weight]]*SM_Marker_Norm</f>
        <v>0.13216783216783215</v>
      </c>
      <c r="G66">
        <f>VLOOKUP($B66,FactorScores[],3,FALSE)*Markers_Raw_Max[[#This Row],[Cognitive Health Weight]]*CH_Marker_Norm</f>
        <v>0.18129496402877696</v>
      </c>
      <c r="H66">
        <f>VLOOKUP($B66,FactorScores[],3,FALSE)*Markers_Raw_Max[[#This Row],[Connection + Purpose Weight]]*CP_Marker_Norm</f>
        <v>0</v>
      </c>
      <c r="I66">
        <f>VLOOKUP($B66,FactorScores[],3,FALSE)*Markers_Raw_Max[[#This Row],[Core Care Weight]]*CC_Marker_Norm</f>
        <v>0</v>
      </c>
    </row>
    <row r="67" spans="2:9" x14ac:dyDescent="0.25">
      <c r="B67" t="s">
        <v>100</v>
      </c>
      <c r="C67">
        <f>VLOOKUP($B67,FactorScores[],3,FALSE)*Markers_Raw_Max[[#This Row],[Healthful Nutrition Weight]]*HN_Marker_Norm</f>
        <v>0</v>
      </c>
      <c r="D67">
        <f>VLOOKUP($B67,FactorScores[],3,FALSE)*Markers_Raw_Max[[#This Row],[Movement + Exercise Weight]]*ME_Marker_Norm</f>
        <v>0</v>
      </c>
      <c r="E67">
        <f>VLOOKUP($B67,FactorScores[],3,FALSE)*Markers_Raw_Max[[#This Row],[Restorative Sleep Weight]]*RS_Marker_Norm</f>
        <v>0</v>
      </c>
      <c r="F67">
        <f>VLOOKUP($B67,FactorScores[],3,FALSE)*Markers_Raw_Max[[#This Row],[Stress Management Weight]]*SM_Marker_Norm</f>
        <v>0</v>
      </c>
      <c r="G67">
        <f>VLOOKUP($B67,FactorScores[],3,FALSE)*Markers_Raw_Max[[#This Row],[Cognitive Health Weight]]*CH_Marker_Norm</f>
        <v>0</v>
      </c>
      <c r="H67">
        <f>VLOOKUP($B67,FactorScores[],3,FALSE)*Markers_Raw_Max[[#This Row],[Connection + Purpose Weight]]*CP_Marker_Norm</f>
        <v>0</v>
      </c>
      <c r="I67">
        <f>VLOOKUP($B67,FactorScores[],3,FALSE)*Markers_Raw_Max[[#This Row],[Core Care Weight]]*CC_Marker_Norm</f>
        <v>0</v>
      </c>
    </row>
    <row r="68" spans="2:9" x14ac:dyDescent="0.25">
      <c r="B68" t="s">
        <v>101</v>
      </c>
      <c r="C68">
        <f>VLOOKUP($B68,FactorScores[],3,FALSE)*Markers_Raw_Max[[#This Row],[Healthful Nutrition Weight]]*HN_Marker_Norm</f>
        <v>0.2272392368175063</v>
      </c>
      <c r="D68">
        <f>VLOOKUP($B68,FactorScores[],3,FALSE)*Markers_Raw_Max[[#This Row],[Movement + Exercise Weight]]*ME_Marker_Norm</f>
        <v>0.51128828283938921</v>
      </c>
      <c r="E68">
        <f>VLOOKUP($B68,FactorScores[],3,FALSE)*Markers_Raw_Max[[#This Row],[Restorative Sleep Weight]]*RS_Marker_Norm</f>
        <v>0.52751965689778246</v>
      </c>
      <c r="F68">
        <f>VLOOKUP($B68,FactorScores[],3,FALSE)*Markers_Raw_Max[[#This Row],[Stress Management Weight]]*SM_Marker_Norm</f>
        <v>0.30987168656932673</v>
      </c>
      <c r="G68">
        <f>VLOOKUP($B68,FactorScores[],3,FALSE)*Markers_Raw_Max[[#This Row],[Cognitive Health Weight]]*CH_Marker_Norm</f>
        <v>0</v>
      </c>
      <c r="H68">
        <f>VLOOKUP($B68,FactorScores[],3,FALSE)*Markers_Raw_Max[[#This Row],[Connection + Purpose Weight]]*CP_Marker_Norm</f>
        <v>0</v>
      </c>
      <c r="I68">
        <f>VLOOKUP($B68,FactorScores[],3,FALSE)*Markers_Raw_Max[[#This Row],[Core Care Weight]]*CC_Marker_Norm</f>
        <v>0</v>
      </c>
    </row>
    <row r="69" spans="2:9" x14ac:dyDescent="0.25">
      <c r="B69" t="s">
        <v>102</v>
      </c>
      <c r="C69">
        <f>VLOOKUP($B69,FactorScores[],3,FALSE)*Markers_Raw_Max[[#This Row],[Healthful Nutrition Weight]]*HN_Marker_Norm</f>
        <v>0.83461538461538354</v>
      </c>
      <c r="D69">
        <f>VLOOKUP($B69,FactorScores[],3,FALSE)*Markers_Raw_Max[[#This Row],[Movement + Exercise Weight]]*ME_Marker_Norm</f>
        <v>1.2519230769230754</v>
      </c>
      <c r="E69">
        <f>VLOOKUP($B69,FactorScores[],3,FALSE)*Markers_Raw_Max[[#This Row],[Restorative Sleep Weight]]*RS_Marker_Norm</f>
        <v>1.1624999999999985</v>
      </c>
      <c r="F69">
        <f>VLOOKUP($B69,FactorScores[],3,FALSE)*Markers_Raw_Max[[#This Row],[Stress Management Weight]]*SM_Marker_Norm</f>
        <v>0.45524475524475461</v>
      </c>
      <c r="G69">
        <f>VLOOKUP($B69,FactorScores[],3,FALSE)*Markers_Raw_Max[[#This Row],[Cognitive Health Weight]]*CH_Marker_Norm</f>
        <v>0</v>
      </c>
      <c r="H69">
        <f>VLOOKUP($B69,FactorScores[],3,FALSE)*Markers_Raw_Max[[#This Row],[Connection + Purpose Weight]]*CP_Marker_Norm</f>
        <v>0</v>
      </c>
      <c r="I69">
        <f>VLOOKUP($B69,FactorScores[],3,FALSE)*Markers_Raw_Max[[#This Row],[Core Care Weight]]*CC_Marker_Norm</f>
        <v>1.7423357664233554</v>
      </c>
    </row>
    <row r="70" spans="2:9" x14ac:dyDescent="0.25">
      <c r="B70" t="s">
        <v>103</v>
      </c>
      <c r="C70">
        <f>VLOOKUP($B70,FactorScores[],3,FALSE)*Markers_Raw_Max[[#This Row],[Healthful Nutrition Weight]]*HN_Marker_Norm</f>
        <v>0.52681912681912613</v>
      </c>
      <c r="D70">
        <f>VLOOKUP($B70,FactorScores[],3,FALSE)*Markers_Raw_Max[[#This Row],[Movement + Exercise Weight]]*ME_Marker_Norm</f>
        <v>0.79022869022868925</v>
      </c>
      <c r="E70">
        <f>VLOOKUP($B70,FactorScores[],3,FALSE)*Markers_Raw_Max[[#This Row],[Restorative Sleep Weight]]*RS_Marker_Norm</f>
        <v>0.73378378378378295</v>
      </c>
      <c r="F70">
        <f>VLOOKUP($B70,FactorScores[],3,FALSE)*Markers_Raw_Max[[#This Row],[Stress Management Weight]]*SM_Marker_Norm</f>
        <v>0.21551691551691524</v>
      </c>
      <c r="G70">
        <f>VLOOKUP($B70,FactorScores[],3,FALSE)*Markers_Raw_Max[[#This Row],[Cognitive Health Weight]]*CH_Marker_Norm</f>
        <v>0</v>
      </c>
      <c r="H70">
        <f>VLOOKUP($B70,FactorScores[],3,FALSE)*Markers_Raw_Max[[#This Row],[Connection + Purpose Weight]]*CP_Marker_Norm</f>
        <v>0</v>
      </c>
      <c r="I70">
        <f>VLOOKUP($B70,FactorScores[],3,FALSE)*Markers_Raw_Max[[#This Row],[Core Care Weight]]*CC_Marker_Norm</f>
        <v>1.0997829946735043</v>
      </c>
    </row>
    <row r="71" spans="2:9" x14ac:dyDescent="0.25">
      <c r="B71" t="s">
        <v>104</v>
      </c>
      <c r="C71">
        <f>VLOOKUP($B71,FactorScores[],3,FALSE)*Markers_Raw_Max[[#This Row],[Healthful Nutrition Weight]]*HN_Marker_Norm</f>
        <v>0.2633821489132106</v>
      </c>
      <c r="D71">
        <f>VLOOKUP($B71,FactorScores[],3,FALSE)*Markers_Raw_Max[[#This Row],[Movement + Exercise Weight]]*ME_Marker_Norm</f>
        <v>0</v>
      </c>
      <c r="E71">
        <f>VLOOKUP($B71,FactorScores[],3,FALSE)*Markers_Raw_Max[[#This Row],[Restorative Sleep Weight]]*RS_Marker_Norm</f>
        <v>0</v>
      </c>
      <c r="F71">
        <f>VLOOKUP($B71,FactorScores[],3,FALSE)*Markers_Raw_Max[[#This Row],[Stress Management Weight]]*SM_Marker_Norm</f>
        <v>0</v>
      </c>
      <c r="G71">
        <f>VLOOKUP($B71,FactorScores[],3,FALSE)*Markers_Raw_Max[[#This Row],[Cognitive Health Weight]]*CH_Marker_Norm</f>
        <v>0</v>
      </c>
      <c r="H71">
        <f>VLOOKUP($B71,FactorScores[],3,FALSE)*Markers_Raw_Max[[#This Row],[Connection + Purpose Weight]]*CP_Marker_Norm</f>
        <v>0</v>
      </c>
      <c r="I71">
        <f>VLOOKUP($B71,FactorScores[],3,FALSE)*Markers_Raw_Max[[#This Row],[Core Care Weight]]*CC_Marker_Norm</f>
        <v>0</v>
      </c>
    </row>
    <row r="72" spans="2:9" x14ac:dyDescent="0.25">
      <c r="B72" t="s">
        <v>105</v>
      </c>
      <c r="C72">
        <f>VLOOKUP($B72,FactorScores[],3,FALSE)*Markers_Raw_Max[[#This Row],[Healthful Nutrition Weight]]*HN_Marker_Norm</f>
        <v>0</v>
      </c>
      <c r="D72">
        <f>VLOOKUP($B72,FactorScores[],3,FALSE)*Markers_Raw_Max[[#This Row],[Movement + Exercise Weight]]*ME_Marker_Norm</f>
        <v>1.4237498394760488</v>
      </c>
      <c r="E72">
        <f>VLOOKUP($B72,FactorScores[],3,FALSE)*Markers_Raw_Max[[#This Row],[Restorative Sleep Weight]]*RS_Marker_Norm</f>
        <v>0</v>
      </c>
      <c r="F72">
        <f>VLOOKUP($B72,FactorScores[],3,FALSE)*Markers_Raw_Max[[#This Row],[Stress Management Weight]]*SM_Marker_Norm</f>
        <v>0</v>
      </c>
      <c r="G72">
        <f>VLOOKUP($B72,FactorScores[],3,FALSE)*Markers_Raw_Max[[#This Row],[Cognitive Health Weight]]*CH_Marker_Norm</f>
        <v>0.63407838003386885</v>
      </c>
      <c r="H72">
        <f>VLOOKUP($B72,FactorScores[],3,FALSE)*Markers_Raw_Max[[#This Row],[Connection + Purpose Weight]]*CP_Marker_Norm</f>
        <v>0</v>
      </c>
      <c r="I72">
        <f>VLOOKUP($B72,FactorScores[],3,FALSE)*Markers_Raw_Max[[#This Row],[Core Care Weight]]*CC_Marker_Norm</f>
        <v>0</v>
      </c>
    </row>
    <row r="73" spans="2:9" x14ac:dyDescent="0.25">
      <c r="B73" t="s">
        <v>106</v>
      </c>
      <c r="C73">
        <f>VLOOKUP($B73,FactorScores[],3,FALSE)*Markers_Raw_Max[[#This Row],[Healthful Nutrition Weight]]*HN_Marker_Norm</f>
        <v>0</v>
      </c>
      <c r="D73">
        <f>VLOOKUP($B73,FactorScores[],3,FALSE)*Markers_Raw_Max[[#This Row],[Movement + Exercise Weight]]*ME_Marker_Norm</f>
        <v>0.26182321930195812</v>
      </c>
      <c r="E73">
        <f>VLOOKUP($B73,FactorScores[],3,FALSE)*Markers_Raw_Max[[#This Row],[Restorative Sleep Weight]]*RS_Marker_Norm</f>
        <v>1.2156078039019482</v>
      </c>
      <c r="F73">
        <f>VLOOKUP($B73,FactorScores[],3,FALSE)*Markers_Raw_Max[[#This Row],[Stress Management Weight]]*SM_Marker_Norm</f>
        <v>0.35703166268448827</v>
      </c>
      <c r="G73">
        <f>VLOOKUP($B73,FactorScores[],3,FALSE)*Markers_Raw_Max[[#This Row],[Cognitive Health Weight]]*CH_Marker_Norm</f>
        <v>0</v>
      </c>
      <c r="H73">
        <f>VLOOKUP($B73,FactorScores[],3,FALSE)*Markers_Raw_Max[[#This Row],[Connection + Purpose Weight]]*CP_Marker_Norm</f>
        <v>0</v>
      </c>
      <c r="I73">
        <f>VLOOKUP($B73,FactorScores[],3,FALSE)*Markers_Raw_Max[[#This Row],[Core Care Weight]]*CC_Marker_Norm</f>
        <v>0.91096643212116801</v>
      </c>
    </row>
    <row r="74" spans="2:9" x14ac:dyDescent="0.25">
      <c r="B74" t="s">
        <v>107</v>
      </c>
      <c r="C74">
        <f>VLOOKUP($B74,FactorScores[],3,FALSE)*Markers_Raw_Max[[#This Row],[Healthful Nutrition Weight]]*HN_Marker_Norm</f>
        <v>6.6446764306050468E-2</v>
      </c>
      <c r="D74">
        <f>VLOOKUP($B74,FactorScores[],3,FALSE)*Markers_Raw_Max[[#This Row],[Movement + Exercise Weight]]*ME_Marker_Norm</f>
        <v>9.9670146459075695E-2</v>
      </c>
      <c r="E74">
        <f>VLOOKUP($B74,FactorScores[],3,FALSE)*Markers_Raw_Max[[#This Row],[Restorative Sleep Weight]]*RS_Marker_Norm</f>
        <v>0.53987995998666005</v>
      </c>
      <c r="F74">
        <f>VLOOKUP($B74,FactorScores[],3,FALSE)*Markers_Raw_Max[[#This Row],[Stress Management Weight]]*SM_Marker_Norm</f>
        <v>0.13591383608055774</v>
      </c>
      <c r="G74">
        <f>VLOOKUP($B74,FactorScores[],3,FALSE)*Markers_Raw_Max[[#This Row],[Cognitive Health Weight]]*CH_Marker_Norm</f>
        <v>0.18643336747740777</v>
      </c>
      <c r="H74">
        <f>VLOOKUP($B74,FactorScores[],3,FALSE)*Markers_Raw_Max[[#This Row],[Connection + Purpose Weight]]*CP_Marker_Norm</f>
        <v>0</v>
      </c>
      <c r="I74">
        <f>VLOOKUP($B74,FactorScores[],3,FALSE)*Markers_Raw_Max[[#This Row],[Core Care Weight]]*CC_Marker_Norm</f>
        <v>0</v>
      </c>
    </row>
    <row r="75" spans="2:9" x14ac:dyDescent="0.25">
      <c r="B75" t="s">
        <v>108</v>
      </c>
      <c r="C75">
        <f>VLOOKUP($B75,FactorScores[],3,FALSE)*Markers_Raw_Max[[#This Row],[Healthful Nutrition Weight]]*HN_Marker_Norm</f>
        <v>0.17425789817985859</v>
      </c>
      <c r="D75">
        <f>VLOOKUP($B75,FactorScores[],3,FALSE)*Markers_Raw_Max[[#This Row],[Movement + Exercise Weight]]*ME_Marker_Norm</f>
        <v>0.26138684726978789</v>
      </c>
      <c r="E75">
        <f>VLOOKUP($B75,FactorScores[],3,FALSE)*Markers_Raw_Max[[#This Row],[Restorative Sleep Weight]]*RS_Marker_Norm</f>
        <v>1.4158454227113513</v>
      </c>
      <c r="F75">
        <f>VLOOKUP($B75,FactorScores[],3,FALSE)*Markers_Raw_Max[[#This Row],[Stress Management Weight]]*SM_Marker_Norm</f>
        <v>0.35643660991334714</v>
      </c>
      <c r="G75">
        <f>VLOOKUP($B75,FactorScores[],3,FALSE)*Markers_Raw_Max[[#This Row],[Cognitive Health Weight]]*CH_Marker_Norm</f>
        <v>0.57041254440169542</v>
      </c>
      <c r="H75">
        <f>VLOOKUP($B75,FactorScores[],3,FALSE)*Markers_Raw_Max[[#This Row],[Connection + Purpose Weight]]*CP_Marker_Norm</f>
        <v>0</v>
      </c>
      <c r="I75">
        <f>VLOOKUP($B75,FactorScores[],3,FALSE)*Markers_Raw_Max[[#This Row],[Core Care Weight]]*CC_Marker_Norm</f>
        <v>0</v>
      </c>
    </row>
    <row r="76" spans="2:9" x14ac:dyDescent="0.25">
      <c r="B76" t="s">
        <v>109</v>
      </c>
      <c r="C76">
        <f>SUBTOTAL(109,PatientValues[Healthful Nutrition Weight])</f>
        <v>43.64543275352468</v>
      </c>
      <c r="D76">
        <f>SUBTOTAL(109,PatientValues[Movement + Exercise Weight])</f>
        <v>27.916947253665043</v>
      </c>
      <c r="E76">
        <f>SUBTOTAL(109,PatientValues[Restorative Sleep Weight])</f>
        <v>28.961011253750755</v>
      </c>
      <c r="F76">
        <f>SUBTOTAL(109,PatientValues[Stress Management Weight])</f>
        <v>14.346140646390278</v>
      </c>
      <c r="G76">
        <f>SUBTOTAL(109,PatientValues[Cognitive Health Weight])</f>
        <v>18.999416558335355</v>
      </c>
      <c r="H76">
        <f>SUBTOTAL(109,PatientValues[Connection + Purpose Weight])</f>
        <v>7.786771201408885</v>
      </c>
      <c r="I76">
        <f>SUBTOTAL(109,PatientValues[Core Care Weight])</f>
        <v>31.385367570909796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1234-80BA-4068-89D6-1723F74CD9D8}">
  <dimension ref="B2:I76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44.54296875" bestFit="1" customWidth="1"/>
    <col min="3" max="3" width="23.08984375" bestFit="1" customWidth="1"/>
    <col min="4" max="4" width="26.6328125" bestFit="1" customWidth="1"/>
    <col min="5" max="5" width="23.54296875" bestFit="1" customWidth="1"/>
    <col min="6" max="6" width="25.453125" bestFit="1" customWidth="1"/>
    <col min="7" max="7" width="22.08984375" bestFit="1" customWidth="1"/>
    <col min="8" max="8" width="27" bestFit="1" customWidth="1"/>
    <col min="9" max="9" width="17.54296875" bestFit="1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FactorPillarNormalized[[#This Row],[Healthful Nutrition Weight]]-PatientValues[[#This Row],[Healthful Nutrition Weight]]</f>
        <v>0</v>
      </c>
      <c r="D3">
        <f>FactorPillarNormalized[[#This Row],[Movement + Exercise Weight]]-PatientValues[[#This Row],[Movement + Exercise Weight]]</f>
        <v>0</v>
      </c>
      <c r="E3">
        <f>FactorPillarNormalized[[#This Row],[Restorative Sleep Weight]]-PatientValues[[#This Row],[Restorative Sleep Weight]]</f>
        <v>0</v>
      </c>
      <c r="F3">
        <f>VLOOKUP(Sample_Patient_Norm!$B3,FactorScores[],3,FALSE)*Markers_Raw_Max[[#This Row],[Stress Management Weight]]*SM_Marker_Norm</f>
        <v>0</v>
      </c>
      <c r="G3">
        <f>VLOOKUP(Sample_Patient_Norm!$B3,FactorScores[],3,FALSE)*Markers_Raw_Max[[#This Row],[Cognitive Health Weight]]*CH_Marker_Norm</f>
        <v>0</v>
      </c>
      <c r="H3">
        <f>VLOOKUP(Sample_Patient_Norm!$B3,FactorScores[],3,FALSE)*Markers_Raw_Max[[#This Row],[Connection + Purpose Weight]]*CP_Marker_Norm</f>
        <v>0</v>
      </c>
      <c r="I3">
        <f>VLOOKUP(Sample_Patient_Norm!$B3,FactorScores[],3,FALSE)*Markers_Raw_Max[[#This Row],[Core Care Weight]]*CC_Marker_Norm</f>
        <v>2.5291970802919708</v>
      </c>
    </row>
    <row r="4" spans="2:9" x14ac:dyDescent="0.25">
      <c r="B4" t="s">
        <v>37</v>
      </c>
      <c r="C4">
        <f>FactorPillarNormalized[[#This Row],[Healthful Nutrition Weight]]-PatientValues[[#This Row],[Healthful Nutrition Weight]]</f>
        <v>1.0110693308025755</v>
      </c>
      <c r="D4">
        <f>FactorPillarNormalized[[#This Row],[Movement + Exercise Weight]]-PatientValues[[#This Row],[Movement + Exercise Weight]]</f>
        <v>0.56872649857644864</v>
      </c>
      <c r="E4">
        <f>FactorPillarNormalized[[#This Row],[Restorative Sleep Weight]]-PatientValues[[#This Row],[Restorative Sleep Weight]]</f>
        <v>0</v>
      </c>
      <c r="F4">
        <f>VLOOKUP(Sample_Patient_Norm!$B4,FactorScores[],3,FALSE)*Markers_Raw_Max[[#This Row],[Stress Management Weight]]*SM_Marker_Norm</f>
        <v>0</v>
      </c>
      <c r="G4">
        <f>VLOOKUP(Sample_Patient_Norm!$B4,FactorScores[],3,FALSE)*Markers_Raw_Max[[#This Row],[Cognitive Health Weight]]*CH_Marker_Norm</f>
        <v>0.98554578144753258</v>
      </c>
      <c r="H4">
        <f>VLOOKUP(Sample_Patient_Norm!$B4,FactorScores[],3,FALSE)*Markers_Raw_Max[[#This Row],[Connection + Purpose Weight]]*CP_Marker_Norm</f>
        <v>0</v>
      </c>
      <c r="I4">
        <f>VLOOKUP(Sample_Patient_Norm!$B4,FactorScores[],3,FALSE)*Markers_Raw_Max[[#This Row],[Core Care Weight]]*CC_Marker_Norm</f>
        <v>1.5713237745915301</v>
      </c>
    </row>
    <row r="5" spans="2:9" x14ac:dyDescent="0.25">
      <c r="B5" t="s">
        <v>38</v>
      </c>
      <c r="C5">
        <f>FactorPillarNormalized[[#This Row],[Healthful Nutrition Weight]]-PatientValues[[#This Row],[Healthful Nutrition Weight]]</f>
        <v>0</v>
      </c>
      <c r="D5">
        <f>FactorPillarNormalized[[#This Row],[Movement + Exercise Weight]]-PatientValues[[#This Row],[Movement + Exercise Weight]]</f>
        <v>0</v>
      </c>
      <c r="E5">
        <f>FactorPillarNormalized[[#This Row],[Restorative Sleep Weight]]-PatientValues[[#This Row],[Restorative Sleep Weight]]</f>
        <v>0</v>
      </c>
      <c r="F5">
        <f>VLOOKUP(Sample_Patient_Norm!$B5,FactorScores[],3,FALSE)*Markers_Raw_Max[[#This Row],[Stress Management Weight]]*SM_Marker_Norm</f>
        <v>0</v>
      </c>
      <c r="G5">
        <f>VLOOKUP(Sample_Patient_Norm!$B5,FactorScores[],3,FALSE)*Markers_Raw_Max[[#This Row],[Cognitive Health Weight]]*CH_Marker_Norm</f>
        <v>0</v>
      </c>
      <c r="H5">
        <f>VLOOKUP(Sample_Patient_Norm!$B5,FactorScores[],3,FALSE)*Markers_Raw_Max[[#This Row],[Connection + Purpose Weight]]*CP_Marker_Norm</f>
        <v>0</v>
      </c>
      <c r="I5">
        <f>VLOOKUP(Sample_Patient_Norm!$B5,FactorScores[],3,FALSE)*Markers_Raw_Max[[#This Row],[Core Care Weight]]*CC_Marker_Norm</f>
        <v>2.167883211678832</v>
      </c>
    </row>
    <row r="6" spans="2:9" x14ac:dyDescent="0.25">
      <c r="B6" t="s">
        <v>39</v>
      </c>
      <c r="C6">
        <f>FactorPillarNormalized[[#This Row],[Healthful Nutrition Weight]]-PatientValues[[#This Row],[Healthful Nutrition Weight]]</f>
        <v>1.3752645553546003</v>
      </c>
      <c r="D6">
        <f>FactorPillarNormalized[[#This Row],[Movement + Exercise Weight]]-PatientValues[[#This Row],[Movement + Exercise Weight]]</f>
        <v>0.41257936660638017</v>
      </c>
      <c r="E6">
        <f>FactorPillarNormalized[[#This Row],[Restorative Sleep Weight]]-PatientValues[[#This Row],[Restorative Sleep Weight]]</f>
        <v>0</v>
      </c>
      <c r="F6">
        <f>VLOOKUP(Sample_Patient_Norm!$B6,FactorScores[],3,FALSE)*Markers_Raw_Max[[#This Row],[Stress Management Weight]]*SM_Marker_Norm</f>
        <v>0</v>
      </c>
      <c r="G6">
        <f>VLOOKUP(Sample_Patient_Norm!$B6,FactorScores[],3,FALSE)*Markers_Raw_Max[[#This Row],[Cognitive Health Weight]]*CH_Marker_Norm</f>
        <v>0.52148376346446601</v>
      </c>
      <c r="H6">
        <f>VLOOKUP(Sample_Patient_Norm!$B6,FactorScores[],3,FALSE)*Markers_Raw_Max[[#This Row],[Connection + Purpose Weight]]*CP_Marker_Norm</f>
        <v>0</v>
      </c>
      <c r="I6">
        <f>VLOOKUP(Sample_Patient_Norm!$B6,FactorScores[],3,FALSE)*Markers_Raw_Max[[#This Row],[Core Care Weight]]*CC_Marker_Norm</f>
        <v>1.6368928077177274</v>
      </c>
    </row>
    <row r="7" spans="2:9" x14ac:dyDescent="0.25">
      <c r="B7" t="s">
        <v>40</v>
      </c>
      <c r="C7">
        <f>FactorPillarNormalized[[#This Row],[Healthful Nutrition Weight]]-PatientValues[[#This Row],[Healthful Nutrition Weight]]</f>
        <v>0.75754304707095266</v>
      </c>
      <c r="D7">
        <f>FactorPillarNormalized[[#This Row],[Movement + Exercise Weight]]-PatientValues[[#This Row],[Movement + Exercise Weight]]</f>
        <v>1.1363145706064293</v>
      </c>
      <c r="E7">
        <f>FactorPillarNormalized[[#This Row],[Restorative Sleep Weight]]-PatientValues[[#This Row],[Restorative Sleep Weight]]</f>
        <v>0</v>
      </c>
      <c r="F7">
        <f>VLOOKUP(Sample_Patient_Norm!$B7,FactorScores[],3,FALSE)*Markers_Raw_Max[[#This Row],[Stress Management Weight]]*SM_Marker_Norm</f>
        <v>0</v>
      </c>
      <c r="G7">
        <f>VLOOKUP(Sample_Patient_Norm!$B7,FactorScores[],3,FALSE)*Markers_Raw_Max[[#This Row],[Cognitive Health Weight]]*CH_Marker_Norm</f>
        <v>0</v>
      </c>
      <c r="H7">
        <f>VLOOKUP(Sample_Patient_Norm!$B7,FactorScores[],3,FALSE)*Markers_Raw_Max[[#This Row],[Connection + Purpose Weight]]*CP_Marker_Norm</f>
        <v>0</v>
      </c>
      <c r="I7">
        <f>VLOOKUP(Sample_Patient_Norm!$B7,FactorScores[],3,FALSE)*Markers_Raw_Max[[#This Row],[Core Care Weight]]*CC_Marker_Norm</f>
        <v>0</v>
      </c>
    </row>
    <row r="8" spans="2:9" x14ac:dyDescent="0.25">
      <c r="B8" t="s">
        <v>41</v>
      </c>
      <c r="C8">
        <f>FactorPillarNormalized[[#This Row],[Healthful Nutrition Weight]]-PatientValues[[#This Row],[Healthful Nutrition Weight]]</f>
        <v>1.751975051975053</v>
      </c>
      <c r="D8">
        <f>FactorPillarNormalized[[#This Row],[Movement + Exercise Weight]]-PatientValues[[#This Row],[Movement + Exercise Weight]]</f>
        <v>1.0511850311850317</v>
      </c>
      <c r="E8">
        <f>FactorPillarNormalized[[#This Row],[Restorative Sleep Weight]]-PatientValues[[#This Row],[Restorative Sleep Weight]]</f>
        <v>0</v>
      </c>
      <c r="F8">
        <f>VLOOKUP(Sample_Patient_Norm!$B8,FactorScores[],3,FALSE)*Markers_Raw_Max[[#This Row],[Stress Management Weight]]*SM_Marker_Norm</f>
        <v>0</v>
      </c>
      <c r="G8">
        <f>VLOOKUP(Sample_Patient_Norm!$B8,FactorScores[],3,FALSE)*Markers_Raw_Max[[#This Row],[Cognitive Health Weight]]*CH_Marker_Norm</f>
        <v>0.47569511958001115</v>
      </c>
      <c r="H8">
        <f>VLOOKUP(Sample_Patient_Norm!$B8,FactorScores[],3,FALSE)*Markers_Raw_Max[[#This Row],[Connection + Purpose Weight]]*CP_Marker_Norm</f>
        <v>0</v>
      </c>
      <c r="I8">
        <f>VLOOKUP(Sample_Patient_Norm!$B8,FactorScores[],3,FALSE)*Markers_Raw_Max[[#This Row],[Core Care Weight]]*CC_Marker_Norm</f>
        <v>1.0618070625369884</v>
      </c>
    </row>
    <row r="9" spans="2:9" x14ac:dyDescent="0.25">
      <c r="B9" t="s">
        <v>42</v>
      </c>
      <c r="C9">
        <f>FactorPillarNormalized[[#This Row],[Healthful Nutrition Weight]]-PatientValues[[#This Row],[Healthful Nutrition Weight]]</f>
        <v>1.088259109311742</v>
      </c>
      <c r="D9">
        <f>FactorPillarNormalized[[#This Row],[Movement + Exercise Weight]]-PatientValues[[#This Row],[Movement + Exercise Weight]]</f>
        <v>0</v>
      </c>
      <c r="E9">
        <f>FactorPillarNormalized[[#This Row],[Restorative Sleep Weight]]-PatientValues[[#This Row],[Restorative Sleep Weight]]</f>
        <v>0</v>
      </c>
      <c r="F9">
        <f>VLOOKUP(Sample_Patient_Norm!$B9,FactorScores[],3,FALSE)*Markers_Raw_Max[[#This Row],[Stress Management Weight]]*SM_Marker_Norm</f>
        <v>0</v>
      </c>
      <c r="G9">
        <f>VLOOKUP(Sample_Patient_Norm!$B9,FactorScores[],3,FALSE)*Markers_Raw_Max[[#This Row],[Cognitive Health Weight]]*CH_Marker_Norm</f>
        <v>0.79060961756910197</v>
      </c>
      <c r="H9">
        <f>VLOOKUP(Sample_Patient_Norm!$B9,FactorScores[],3,FALSE)*Markers_Raw_Max[[#This Row],[Connection + Purpose Weight]]*CP_Marker_Norm</f>
        <v>0</v>
      </c>
      <c r="I9">
        <f>VLOOKUP(Sample_Patient_Norm!$B9,FactorScores[],3,FALSE)*Markers_Raw_Max[[#This Row],[Core Care Weight]]*CC_Marker_Norm</f>
        <v>1.2867844794467913</v>
      </c>
    </row>
    <row r="10" spans="2:9" x14ac:dyDescent="0.25">
      <c r="B10" t="s">
        <v>43</v>
      </c>
      <c r="C10">
        <f>FactorPillarNormalized[[#This Row],[Healthful Nutrition Weight]]-PatientValues[[#This Row],[Healthful Nutrition Weight]]</f>
        <v>0.42461538461538484</v>
      </c>
      <c r="D10">
        <f>FactorPillarNormalized[[#This Row],[Movement + Exercise Weight]]-PatientValues[[#This Row],[Movement + Exercise Weight]]</f>
        <v>0</v>
      </c>
      <c r="E10">
        <f>FactorPillarNormalized[[#This Row],[Restorative Sleep Weight]]-PatientValues[[#This Row],[Restorative Sleep Weight]]</f>
        <v>1.9714285714285724</v>
      </c>
      <c r="F10">
        <f>VLOOKUP(Sample_Patient_Norm!$B10,FactorScores[],3,FALSE)*Markers_Raw_Max[[#This Row],[Stress Management Weight]]*SM_Marker_Norm</f>
        <v>0.13216783216783198</v>
      </c>
      <c r="G10">
        <f>VLOOKUP(Sample_Patient_Norm!$B10,FactorScores[],3,FALSE)*Markers_Raw_Max[[#This Row],[Cognitive Health Weight]]*CH_Marker_Norm</f>
        <v>0.18129496402877673</v>
      </c>
      <c r="H10">
        <f>VLOOKUP(Sample_Patient_Norm!$B10,FactorScores[],3,FALSE)*Markers_Raw_Max[[#This Row],[Connection + Purpose Weight]]*CP_Marker_Norm</f>
        <v>0</v>
      </c>
      <c r="I10">
        <f>VLOOKUP(Sample_Patient_Norm!$B10,FactorScores[],3,FALSE)*Markers_Raw_Max[[#This Row],[Core Care Weight]]*CC_Marker_Norm</f>
        <v>0</v>
      </c>
    </row>
    <row r="11" spans="2:9" x14ac:dyDescent="0.25">
      <c r="B11" t="s">
        <v>44</v>
      </c>
      <c r="C11">
        <f>FactorPillarNormalized[[#This Row],[Healthful Nutrition Weight]]-PatientValues[[#This Row],[Healthful Nutrition Weight]]</f>
        <v>0</v>
      </c>
      <c r="D11">
        <f>FactorPillarNormalized[[#This Row],[Movement + Exercise Weight]]-PatientValues[[#This Row],[Movement + Exercise Weight]]</f>
        <v>0</v>
      </c>
      <c r="E11">
        <f>FactorPillarNormalized[[#This Row],[Restorative Sleep Weight]]-PatientValues[[#This Row],[Restorative Sleep Weight]]</f>
        <v>0</v>
      </c>
      <c r="F11">
        <f>VLOOKUP(Sample_Patient_Norm!$B11,FactorScores[],3,FALSE)*Markers_Raw_Max[[#This Row],[Stress Management Weight]]*SM_Marker_Norm</f>
        <v>0.75524475524475521</v>
      </c>
      <c r="G11">
        <f>VLOOKUP(Sample_Patient_Norm!$B11,FactorScores[],3,FALSE)*Markers_Raw_Max[[#This Row],[Cognitive Health Weight]]*CH_Marker_Norm</f>
        <v>1.8129496402877698</v>
      </c>
      <c r="H11">
        <f>VLOOKUP(Sample_Patient_Norm!$B11,FactorScores[],3,FALSE)*Markers_Raw_Max[[#This Row],[Connection + Purpose Weight]]*CP_Marker_Norm</f>
        <v>0</v>
      </c>
      <c r="I11">
        <f>VLOOKUP(Sample_Patient_Norm!$B11,FactorScores[],3,FALSE)*Markers_Raw_Max[[#This Row],[Core Care Weight]]*CC_Marker_Norm</f>
        <v>0</v>
      </c>
    </row>
    <row r="12" spans="2:9" x14ac:dyDescent="0.25">
      <c r="B12" t="s">
        <v>45</v>
      </c>
      <c r="C12">
        <f>FactorPillarNormalized[[#This Row],[Healthful Nutrition Weight]]-PatientValues[[#This Row],[Healthful Nutrition Weight]]</f>
        <v>0.71196119196119323</v>
      </c>
      <c r="D12">
        <f>FactorPillarNormalized[[#This Row],[Movement + Exercise Weight]]-PatientValues[[#This Row],[Movement + Exercise Weight]]</f>
        <v>0</v>
      </c>
      <c r="E12">
        <f>FactorPillarNormalized[[#This Row],[Restorative Sleep Weight]]-PatientValues[[#This Row],[Restorative Sleep Weight]]</f>
        <v>1.2395752895752921</v>
      </c>
      <c r="F12">
        <f>VLOOKUP(Sample_Patient_Norm!$B12,FactorScores[],3,FALSE)*Markers_Raw_Max[[#This Row],[Stress Management Weight]]*SM_Marker_Norm</f>
        <v>0</v>
      </c>
      <c r="G12">
        <f>VLOOKUP(Sample_Patient_Norm!$B12,FactorScores[],3,FALSE)*Markers_Raw_Max[[#This Row],[Cognitive Health Weight]]*CH_Marker_Norm</f>
        <v>0</v>
      </c>
      <c r="H12">
        <f>VLOOKUP(Sample_Patient_Norm!$B12,FactorScores[],3,FALSE)*Markers_Raw_Max[[#This Row],[Connection + Purpose Weight]]*CP_Marker_Norm</f>
        <v>0</v>
      </c>
      <c r="I12">
        <f>VLOOKUP(Sample_Patient_Norm!$B12,FactorScores[],3,FALSE)*Markers_Raw_Max[[#This Row],[Core Care Weight]]*CC_Marker_Norm</f>
        <v>0</v>
      </c>
    </row>
    <row r="13" spans="2:9" x14ac:dyDescent="0.25">
      <c r="B13" t="s">
        <v>46</v>
      </c>
      <c r="C13">
        <f>FactorPillarNormalized[[#This Row],[Healthful Nutrition Weight]]-PatientValues[[#This Row],[Healthful Nutrition Weight]]</f>
        <v>0.85307984673857851</v>
      </c>
      <c r="D13">
        <f>FactorPillarNormalized[[#This Row],[Movement + Exercise Weight]]-PatientValues[[#This Row],[Movement + Exercise Weight]]</f>
        <v>0</v>
      </c>
      <c r="E13">
        <f>FactorPillarNormalized[[#This Row],[Restorative Sleep Weight]]-PatientValues[[#This Row],[Restorative Sleep Weight]]</f>
        <v>1.9803639299288431</v>
      </c>
      <c r="F13">
        <f>VLOOKUP(Sample_Patient_Norm!$B13,FactorScores[],3,FALSE)*Markers_Raw_Max[[#This Row],[Stress Management Weight]]*SM_Marker_Norm</f>
        <v>0.28992847520553056</v>
      </c>
      <c r="G13">
        <f>VLOOKUP(Sample_Patient_Norm!$B13,FactorScores[],3,FALSE)*Markers_Raw_Max[[#This Row],[Cognitive Health Weight]]*CH_Marker_Norm</f>
        <v>0</v>
      </c>
      <c r="H13">
        <f>VLOOKUP(Sample_Patient_Norm!$B13,FactorScores[],3,FALSE)*Markers_Raw_Max[[#This Row],[Connection + Purpose Weight]]*CP_Marker_Norm</f>
        <v>0</v>
      </c>
      <c r="I13">
        <f>VLOOKUP(Sample_Patient_Norm!$B13,FactorScores[],3,FALSE)*Markers_Raw_Max[[#This Row],[Core Care Weight]]*CC_Marker_Norm</f>
        <v>0</v>
      </c>
    </row>
    <row r="14" spans="2:9" x14ac:dyDescent="0.25">
      <c r="B14" t="s">
        <v>47</v>
      </c>
      <c r="C14">
        <f>FactorPillarNormalized[[#This Row],[Healthful Nutrition Weight]]-PatientValues[[#This Row],[Healthful Nutrition Weight]]</f>
        <v>0.35797831713254269</v>
      </c>
      <c r="D14">
        <f>FactorPillarNormalized[[#This Row],[Movement + Exercise Weight]]-PatientValues[[#This Row],[Movement + Exercise Weight]]</f>
        <v>0</v>
      </c>
      <c r="E14">
        <f>FactorPillarNormalized[[#This Row],[Restorative Sleep Weight]]-PatientValues[[#This Row],[Restorative Sleep Weight]]</f>
        <v>1.6620421866868056</v>
      </c>
      <c r="F14">
        <f>VLOOKUP(Sample_Patient_Norm!$B14,FactorScores[],3,FALSE)*Markers_Raw_Max[[#This Row],[Stress Management Weight]]*SM_Marker_Norm</f>
        <v>0</v>
      </c>
      <c r="G14">
        <f>VLOOKUP(Sample_Patient_Norm!$B14,FactorScores[],3,FALSE)*Markers_Raw_Max[[#This Row],[Cognitive Health Weight]]*CH_Marker_Norm</f>
        <v>0</v>
      </c>
      <c r="H14">
        <f>VLOOKUP(Sample_Patient_Norm!$B14,FactorScores[],3,FALSE)*Markers_Raw_Max[[#This Row],[Connection + Purpose Weight]]*CP_Marker_Norm</f>
        <v>0</v>
      </c>
      <c r="I14">
        <f>VLOOKUP(Sample_Patient_Norm!$B14,FactorScores[],3,FALSE)*Markers_Raw_Max[[#This Row],[Core Care Weight]]*CC_Marker_Norm</f>
        <v>0</v>
      </c>
    </row>
    <row r="15" spans="2:9" x14ac:dyDescent="0.25">
      <c r="B15" t="s">
        <v>48</v>
      </c>
      <c r="C15">
        <f>FactorPillarNormalized[[#This Row],[Healthful Nutrition Weight]]-PatientValues[[#This Row],[Healthful Nutrition Weight]]</f>
        <v>0</v>
      </c>
      <c r="D15">
        <f>FactorPillarNormalized[[#This Row],[Movement + Exercise Weight]]-PatientValues[[#This Row],[Movement + Exercise Weight]]</f>
        <v>0</v>
      </c>
      <c r="E15">
        <f>FactorPillarNormalized[[#This Row],[Restorative Sleep Weight]]-PatientValues[[#This Row],[Restorative Sleep Weight]]</f>
        <v>0</v>
      </c>
      <c r="F15">
        <f>VLOOKUP(Sample_Patient_Norm!$B15,FactorScores[],3,FALSE)*Markers_Raw_Max[[#This Row],[Stress Management Weight]]*SM_Marker_Norm</f>
        <v>0</v>
      </c>
      <c r="G15">
        <f>VLOOKUP(Sample_Patient_Norm!$B15,FactorScores[],3,FALSE)*Markers_Raw_Max[[#This Row],[Cognitive Health Weight]]*CH_Marker_Norm</f>
        <v>0</v>
      </c>
      <c r="H15">
        <f>VLOOKUP(Sample_Patient_Norm!$B15,FactorScores[],3,FALSE)*Markers_Raw_Max[[#This Row],[Connection + Purpose Weight]]*CP_Marker_Norm</f>
        <v>0</v>
      </c>
      <c r="I15">
        <f>VLOOKUP(Sample_Patient_Norm!$B15,FactorScores[],3,FALSE)*Markers_Raw_Max[[#This Row],[Core Care Weight]]*CC_Marker_Norm</f>
        <v>0</v>
      </c>
    </row>
    <row r="16" spans="2:9" x14ac:dyDescent="0.25">
      <c r="B16" t="s">
        <v>49</v>
      </c>
      <c r="C16">
        <f>FactorPillarNormalized[[#This Row],[Healthful Nutrition Weight]]-PatientValues[[#This Row],[Healthful Nutrition Weight]]</f>
        <v>1.4117510630073447</v>
      </c>
      <c r="D16">
        <f>FactorPillarNormalized[[#This Row],[Movement + Exercise Weight]]-PatientValues[[#This Row],[Movement + Exercise Weight]]</f>
        <v>0</v>
      </c>
      <c r="E16">
        <f>FactorPillarNormalized[[#This Row],[Restorative Sleep Weight]]-PatientValues[[#This Row],[Restorative Sleep Weight]]</f>
        <v>1.6386396267049537</v>
      </c>
      <c r="F16">
        <f>VLOOKUP(Sample_Patient_Norm!$B16,FactorScores[],3,FALSE)*Markers_Raw_Max[[#This Row],[Stress Management Weight]]*SM_Marker_Norm</f>
        <v>0.41094897564746802</v>
      </c>
      <c r="G16">
        <f>VLOOKUP(Sample_Patient_Norm!$B16,FactorScores[],3,FALSE)*Markers_Raw_Max[[#This Row],[Cognitive Health Weight]]*CH_Marker_Norm</f>
        <v>0</v>
      </c>
      <c r="H16">
        <f>VLOOKUP(Sample_Patient_Norm!$B16,FactorScores[],3,FALSE)*Markers_Raw_Max[[#This Row],[Connection + Purpose Weight]]*CP_Marker_Norm</f>
        <v>1.305904522613065</v>
      </c>
      <c r="I16">
        <f>VLOOKUP(Sample_Patient_Norm!$B16,FactorScores[],3,FALSE)*Markers_Raw_Max[[#This Row],[Core Care Weight]]*CC_Marker_Norm</f>
        <v>0</v>
      </c>
    </row>
    <row r="17" spans="2:9" x14ac:dyDescent="0.25">
      <c r="B17" t="s">
        <v>50</v>
      </c>
      <c r="C17">
        <f>FactorPillarNormalized[[#This Row],[Healthful Nutrition Weight]]-PatientValues[[#This Row],[Healthful Nutrition Weight]]</f>
        <v>0.51911499871366196</v>
      </c>
      <c r="D17">
        <f>FactorPillarNormalized[[#This Row],[Movement + Exercise Weight]]-PatientValues[[#This Row],[Movement + Exercise Weight]]</f>
        <v>0.46720349884229573</v>
      </c>
      <c r="E17">
        <f>FactorPillarNormalized[[#This Row],[Restorative Sleep Weight]]-PatientValues[[#This Row],[Restorative Sleep Weight]]</f>
        <v>0.48203535594840052</v>
      </c>
      <c r="F17">
        <f>VLOOKUP(Sample_Patient_Norm!$B17,FactorScores[],3,FALSE)*Markers_Raw_Max[[#This Row],[Stress Management Weight]]*SM_Marker_Norm</f>
        <v>0.59011389947844717</v>
      </c>
      <c r="G17">
        <f>VLOOKUP(Sample_Patient_Norm!$B17,FactorScores[],3,FALSE)*Markers_Raw_Max[[#This Row],[Cognitive Health Weight]]*CH_Marker_Norm</f>
        <v>0</v>
      </c>
      <c r="H17">
        <f>VLOOKUP(Sample_Patient_Norm!$B17,FactorScores[],3,FALSE)*Markers_Raw_Max[[#This Row],[Connection + Purpose Weight]]*CP_Marker_Norm</f>
        <v>0</v>
      </c>
      <c r="I17">
        <f>VLOOKUP(Sample_Patient_Norm!$B17,FactorScores[],3,FALSE)*Markers_Raw_Max[[#This Row],[Core Care Weight]]*CC_Marker_Norm</f>
        <v>0.90340551229157906</v>
      </c>
    </row>
    <row r="18" spans="2:9" x14ac:dyDescent="0.25">
      <c r="B18" t="s">
        <v>51</v>
      </c>
      <c r="C18">
        <f>FactorPillarNormalized[[#This Row],[Healthful Nutrition Weight]]-PatientValues[[#This Row],[Healthful Nutrition Weight]]</f>
        <v>0</v>
      </c>
      <c r="D18">
        <f>FactorPillarNormalized[[#This Row],[Movement + Exercise Weight]]-PatientValues[[#This Row],[Movement + Exercise Weight]]</f>
        <v>0</v>
      </c>
      <c r="E18">
        <f>FactorPillarNormalized[[#This Row],[Restorative Sleep Weight]]-PatientValues[[#This Row],[Restorative Sleep Weight]]</f>
        <v>0</v>
      </c>
      <c r="F18">
        <f>VLOOKUP(Sample_Patient_Norm!$B18,FactorScores[],3,FALSE)*Markers_Raw_Max[[#This Row],[Stress Management Weight]]*SM_Marker_Norm</f>
        <v>0.94405594405594395</v>
      </c>
      <c r="G18">
        <f>VLOOKUP(Sample_Patient_Norm!$B18,FactorScores[],3,FALSE)*Markers_Raw_Max[[#This Row],[Cognitive Health Weight]]*CH_Marker_Norm</f>
        <v>0</v>
      </c>
      <c r="H18">
        <f>VLOOKUP(Sample_Patient_Norm!$B18,FactorScores[],3,FALSE)*Markers_Raw_Max[[#This Row],[Connection + Purpose Weight]]*CP_Marker_Norm</f>
        <v>0</v>
      </c>
      <c r="I18">
        <f>VLOOKUP(Sample_Patient_Norm!$B18,FactorScores[],3,FALSE)*Markers_Raw_Max[[#This Row],[Core Care Weight]]*CC_Marker_Norm</f>
        <v>0</v>
      </c>
    </row>
    <row r="19" spans="2:9" x14ac:dyDescent="0.25">
      <c r="B19" t="s">
        <v>52</v>
      </c>
      <c r="C19">
        <f>FactorPillarNormalized[[#This Row],[Healthful Nutrition Weight]]-PatientValues[[#This Row],[Healthful Nutrition Weight]]</f>
        <v>0</v>
      </c>
      <c r="D19">
        <f>FactorPillarNormalized[[#This Row],[Movement + Exercise Weight]]-PatientValues[[#This Row],[Movement + Exercise Weight]]</f>
        <v>0</v>
      </c>
      <c r="E19">
        <f>FactorPillarNormalized[[#This Row],[Restorative Sleep Weight]]-PatientValues[[#This Row],[Restorative Sleep Weight]]</f>
        <v>0</v>
      </c>
      <c r="F19">
        <f>VLOOKUP(Sample_Patient_Norm!$B19,FactorScores[],3,FALSE)*Markers_Raw_Max[[#This Row],[Stress Management Weight]]*SM_Marker_Norm</f>
        <v>0.3776223776223776</v>
      </c>
      <c r="G19">
        <f>VLOOKUP(Sample_Patient_Norm!$B19,FactorScores[],3,FALSE)*Markers_Raw_Max[[#This Row],[Cognitive Health Weight]]*CH_Marker_Norm</f>
        <v>0</v>
      </c>
      <c r="H19">
        <f>VLOOKUP(Sample_Patient_Norm!$B19,FactorScores[],3,FALSE)*Markers_Raw_Max[[#This Row],[Connection + Purpose Weight]]*CP_Marker_Norm</f>
        <v>0</v>
      </c>
      <c r="I19">
        <f>VLOOKUP(Sample_Patient_Norm!$B19,FactorScores[],3,FALSE)*Markers_Raw_Max[[#This Row],[Core Care Weight]]*CC_Marker_Norm</f>
        <v>0</v>
      </c>
    </row>
    <row r="20" spans="2:9" x14ac:dyDescent="0.25">
      <c r="B20" t="s">
        <v>53</v>
      </c>
      <c r="C20">
        <f>FactorPillarNormalized[[#This Row],[Healthful Nutrition Weight]]-PatientValues[[#This Row],[Healthful Nutrition Weight]]</f>
        <v>0</v>
      </c>
      <c r="D20">
        <f>FactorPillarNormalized[[#This Row],[Movement + Exercise Weight]]-PatientValues[[#This Row],[Movement + Exercise Weight]]</f>
        <v>0</v>
      </c>
      <c r="E20">
        <f>FactorPillarNormalized[[#This Row],[Restorative Sleep Weight]]-PatientValues[[#This Row],[Restorative Sleep Weight]]</f>
        <v>0</v>
      </c>
      <c r="F20">
        <f>VLOOKUP(Sample_Patient_Norm!$B20,FactorScores[],3,FALSE)*Markers_Raw_Max[[#This Row],[Stress Management Weight]]*SM_Marker_Norm</f>
        <v>1.1328671328671329</v>
      </c>
      <c r="G20">
        <f>VLOOKUP(Sample_Patient_Norm!$B20,FactorScores[],3,FALSE)*Markers_Raw_Max[[#This Row],[Cognitive Health Weight]]*CH_Marker_Norm</f>
        <v>1.2949640287769784</v>
      </c>
      <c r="H20">
        <f>VLOOKUP(Sample_Patient_Norm!$B20,FactorScores[],3,FALSE)*Markers_Raw_Max[[#This Row],[Connection + Purpose Weight]]*CP_Marker_Norm</f>
        <v>0</v>
      </c>
      <c r="I20">
        <f>VLOOKUP(Sample_Patient_Norm!$B20,FactorScores[],3,FALSE)*Markers_Raw_Max[[#This Row],[Core Care Weight]]*CC_Marker_Norm</f>
        <v>1.4452554744525548</v>
      </c>
    </row>
    <row r="21" spans="2:9" x14ac:dyDescent="0.25">
      <c r="B21" t="s">
        <v>54</v>
      </c>
      <c r="C21">
        <f>FactorPillarNormalized[[#This Row],[Healthful Nutrition Weight]]-PatientValues[[#This Row],[Healthful Nutrition Weight]]</f>
        <v>0.55384615384615388</v>
      </c>
      <c r="D21">
        <f>FactorPillarNormalized[[#This Row],[Movement + Exercise Weight]]-PatientValues[[#This Row],[Movement + Exercise Weight]]</f>
        <v>0.41538461538461541</v>
      </c>
      <c r="E21">
        <f>FactorPillarNormalized[[#This Row],[Restorative Sleep Weight]]-PatientValues[[#This Row],[Restorative Sleep Weight]]</f>
        <v>0</v>
      </c>
      <c r="F21">
        <f>VLOOKUP(Sample_Patient_Norm!$B21,FactorScores[],3,FALSE)*Markers_Raw_Max[[#This Row],[Stress Management Weight]]*SM_Marker_Norm</f>
        <v>0</v>
      </c>
      <c r="G21">
        <f>VLOOKUP(Sample_Patient_Norm!$B21,FactorScores[],3,FALSE)*Markers_Raw_Max[[#This Row],[Cognitive Health Weight]]*CH_Marker_Norm</f>
        <v>0</v>
      </c>
      <c r="H21">
        <f>VLOOKUP(Sample_Patient_Norm!$B21,FactorScores[],3,FALSE)*Markers_Raw_Max[[#This Row],[Connection + Purpose Weight]]*CP_Marker_Norm</f>
        <v>0</v>
      </c>
      <c r="I21">
        <f>VLOOKUP(Sample_Patient_Norm!$B21,FactorScores[],3,FALSE)*Markers_Raw_Max[[#This Row],[Core Care Weight]]*CC_Marker_Norm</f>
        <v>0</v>
      </c>
    </row>
    <row r="22" spans="2:9" x14ac:dyDescent="0.25">
      <c r="B22" t="s">
        <v>55</v>
      </c>
      <c r="C22">
        <f>FactorPillarNormalized[[#This Row],[Healthful Nutrition Weight]]-PatientValues[[#This Row],[Healthful Nutrition Weight]]</f>
        <v>1.181538461538463</v>
      </c>
      <c r="D22">
        <f>FactorPillarNormalized[[#This Row],[Movement + Exercise Weight]]-PatientValues[[#This Row],[Movement + Exercise Weight]]</f>
        <v>1.1076923076923091</v>
      </c>
      <c r="E22">
        <f>FactorPillarNormalized[[#This Row],[Restorative Sleep Weight]]-PatientValues[[#This Row],[Restorative Sleep Weight]]</f>
        <v>1.0285714285714298</v>
      </c>
      <c r="F22">
        <f>VLOOKUP(Sample_Patient_Norm!$B22,FactorScores[],3,FALSE)*Markers_Raw_Max[[#This Row],[Stress Management Weight]]*SM_Marker_Norm</f>
        <v>0.44055944055943991</v>
      </c>
      <c r="G22">
        <f>VLOOKUP(Sample_Patient_Norm!$B22,FactorScores[],3,FALSE)*Markers_Raw_Max[[#This Row],[Cognitive Health Weight]]*CH_Marker_Norm</f>
        <v>0.8460431654676247</v>
      </c>
      <c r="H22">
        <f>VLOOKUP(Sample_Patient_Norm!$B22,FactorScores[],3,FALSE)*Markers_Raw_Max[[#This Row],[Connection + Purpose Weight]]*CP_Marker_Norm</f>
        <v>0</v>
      </c>
      <c r="I22">
        <f>VLOOKUP(Sample_Patient_Norm!$B22,FactorScores[],3,FALSE)*Markers_Raw_Max[[#This Row],[Core Care Weight]]*CC_Marker_Norm</f>
        <v>1.3489051094890492</v>
      </c>
    </row>
    <row r="23" spans="2:9" x14ac:dyDescent="0.25">
      <c r="B23" t="s">
        <v>56</v>
      </c>
      <c r="C23">
        <f>FactorPillarNormalized[[#This Row],[Healthful Nutrition Weight]]-PatientValues[[#This Row],[Healthful Nutrition Weight]]</f>
        <v>0.51858627858627948</v>
      </c>
      <c r="D23">
        <f>FactorPillarNormalized[[#This Row],[Movement + Exercise Weight]]-PatientValues[[#This Row],[Movement + Exercise Weight]]</f>
        <v>1.3612889812889839</v>
      </c>
      <c r="E23">
        <f>FactorPillarNormalized[[#This Row],[Restorative Sleep Weight]]-PatientValues[[#This Row],[Restorative Sleep Weight]]</f>
        <v>0</v>
      </c>
      <c r="F23">
        <f>VLOOKUP(Sample_Patient_Norm!$B23,FactorScores[],3,FALSE)*Markers_Raw_Max[[#This Row],[Stress Management Weight]]*SM_Marker_Norm</f>
        <v>0.40166320166320102</v>
      </c>
      <c r="G23">
        <f>VLOOKUP(Sample_Patient_Norm!$B23,FactorScores[],3,FALSE)*Markers_Raw_Max[[#This Row],[Cognitive Health Weight]]*CH_Marker_Norm</f>
        <v>0.68870309158078835</v>
      </c>
      <c r="H23">
        <f>VLOOKUP(Sample_Patient_Norm!$B23,FactorScores[],3,FALSE)*Markers_Raw_Max[[#This Row],[Connection + Purpose Weight]]*CP_Marker_Norm</f>
        <v>0</v>
      </c>
      <c r="I23">
        <f>VLOOKUP(Sample_Patient_Norm!$B23,FactorScores[],3,FALSE)*Markers_Raw_Max[[#This Row],[Core Care Weight]]*CC_Marker_Norm</f>
        <v>0</v>
      </c>
    </row>
    <row r="24" spans="2:9" x14ac:dyDescent="0.25">
      <c r="B24" t="s">
        <v>57</v>
      </c>
      <c r="C24">
        <f>FactorPillarNormalized[[#This Row],[Healthful Nutrition Weight]]-PatientValues[[#This Row],[Healthful Nutrition Weight]]</f>
        <v>0.4557992908894718</v>
      </c>
      <c r="D24">
        <f>FactorPillarNormalized[[#This Row],[Movement + Exercise Weight]]-PatientValues[[#This Row],[Movement + Exercise Weight]]</f>
        <v>1.5952975181131515</v>
      </c>
      <c r="E24">
        <f>FactorPillarNormalized[[#This Row],[Restorative Sleep Weight]]-PatientValues[[#This Row],[Restorative Sleep Weight]]</f>
        <v>0</v>
      </c>
      <c r="F24">
        <f>VLOOKUP(Sample_Patient_Norm!$B24,FactorScores[],3,FALSE)*Markers_Raw_Max[[#This Row],[Stress Management Weight]]*SM_Marker_Norm</f>
        <v>0.42610220440881702</v>
      </c>
      <c r="G24">
        <f>VLOOKUP(Sample_Patient_Norm!$B24,FactorScores[],3,FALSE)*Markers_Raw_Max[[#This Row],[Cognitive Health Weight]]*CH_Marker_Norm</f>
        <v>0.70138262135782259</v>
      </c>
      <c r="H24">
        <f>VLOOKUP(Sample_Patient_Norm!$B24,FactorScores[],3,FALSE)*Markers_Raw_Max[[#This Row],[Connection + Purpose Weight]]*CP_Marker_Norm</f>
        <v>0</v>
      </c>
      <c r="I24">
        <f>VLOOKUP(Sample_Patient_Norm!$B24,FactorScores[],3,FALSE)*Markers_Raw_Max[[#This Row],[Core Care Weight]]*CC_Marker_Norm</f>
        <v>0</v>
      </c>
    </row>
    <row r="25" spans="2:9" x14ac:dyDescent="0.25">
      <c r="B25" t="s">
        <v>58</v>
      </c>
      <c r="C25">
        <f>FactorPillarNormalized[[#This Row],[Healthful Nutrition Weight]]-PatientValues[[#This Row],[Healthful Nutrition Weight]]</f>
        <v>0.72377622377622408</v>
      </c>
      <c r="D25">
        <f>FactorPillarNormalized[[#This Row],[Movement + Exercise Weight]]-PatientValues[[#This Row],[Movement + Exercise Weight]]</f>
        <v>1.5199300699300708</v>
      </c>
      <c r="E25">
        <f>FactorPillarNormalized[[#This Row],[Restorative Sleep Weight]]-PatientValues[[#This Row],[Restorative Sleep Weight]]</f>
        <v>0</v>
      </c>
      <c r="F25">
        <f>VLOOKUP(Sample_Patient_Norm!$B25,FactorScores[],3,FALSE)*Markers_Raw_Max[[#This Row],[Stress Management Weight]]*SM_Marker_Norm</f>
        <v>0.45057215511760934</v>
      </c>
      <c r="G25">
        <f>VLOOKUP(Sample_Patient_Norm!$B25,FactorScores[],3,FALSE)*Markers_Raw_Max[[#This Row],[Cognitive Health Weight]]*CH_Marker_Norm</f>
        <v>0.86527141922825324</v>
      </c>
      <c r="H25">
        <f>VLOOKUP(Sample_Patient_Norm!$B25,FactorScores[],3,FALSE)*Markers_Raw_Max[[#This Row],[Connection + Purpose Weight]]*CP_Marker_Norm</f>
        <v>0</v>
      </c>
      <c r="I25">
        <f>VLOOKUP(Sample_Patient_Norm!$B25,FactorScores[],3,FALSE)*Markers_Raw_Max[[#This Row],[Core Care Weight]]*CC_Marker_Norm</f>
        <v>0</v>
      </c>
    </row>
    <row r="26" spans="2:9" x14ac:dyDescent="0.25">
      <c r="B26" t="s">
        <v>59</v>
      </c>
      <c r="C26">
        <f>FactorPillarNormalized[[#This Row],[Healthful Nutrition Weight]]-PatientValues[[#This Row],[Healthful Nutrition Weight]]</f>
        <v>0</v>
      </c>
      <c r="D26">
        <f>FactorPillarNormalized[[#This Row],[Movement + Exercise Weight]]-PatientValues[[#This Row],[Movement + Exercise Weight]]</f>
        <v>0</v>
      </c>
      <c r="E26">
        <f>FactorPillarNormalized[[#This Row],[Restorative Sleep Weight]]-PatientValues[[#This Row],[Restorative Sleep Weight]]</f>
        <v>0</v>
      </c>
      <c r="F26">
        <f>VLOOKUP(Sample_Patient_Norm!$B26,FactorScores[],3,FALSE)*Markers_Raw_Max[[#This Row],[Stress Management Weight]]*SM_Marker_Norm</f>
        <v>0</v>
      </c>
      <c r="G26">
        <f>VLOOKUP(Sample_Patient_Norm!$B26,FactorScores[],3,FALSE)*Markers_Raw_Max[[#This Row],[Cognitive Health Weight]]*CH_Marker_Norm</f>
        <v>0</v>
      </c>
      <c r="H26">
        <f>VLOOKUP(Sample_Patient_Norm!$B26,FactorScores[],3,FALSE)*Markers_Raw_Max[[#This Row],[Connection + Purpose Weight]]*CP_Marker_Norm</f>
        <v>0</v>
      </c>
      <c r="I26">
        <f>VLOOKUP(Sample_Patient_Norm!$B26,FactorScores[],3,FALSE)*Markers_Raw_Max[[#This Row],[Core Care Weight]]*CC_Marker_Norm</f>
        <v>1.8065693430656935</v>
      </c>
    </row>
    <row r="27" spans="2:9" x14ac:dyDescent="0.25">
      <c r="B27" t="s">
        <v>60</v>
      </c>
      <c r="C27">
        <f>FactorPillarNormalized[[#This Row],[Healthful Nutrition Weight]]-PatientValues[[#This Row],[Healthful Nutrition Weight]]</f>
        <v>0</v>
      </c>
      <c r="D27">
        <f>FactorPillarNormalized[[#This Row],[Movement + Exercise Weight]]-PatientValues[[#This Row],[Movement + Exercise Weight]]</f>
        <v>0</v>
      </c>
      <c r="E27">
        <f>FactorPillarNormalized[[#This Row],[Restorative Sleep Weight]]-PatientValues[[#This Row],[Restorative Sleep Weight]]</f>
        <v>0</v>
      </c>
      <c r="F27">
        <f>VLOOKUP(Sample_Patient_Norm!$B27,FactorScores[],3,FALSE)*Markers_Raw_Max[[#This Row],[Stress Management Weight]]*SM_Marker_Norm</f>
        <v>0</v>
      </c>
      <c r="G27">
        <f>VLOOKUP(Sample_Patient_Norm!$B27,FactorScores[],3,FALSE)*Markers_Raw_Max[[#This Row],[Cognitive Health Weight]]*CH_Marker_Norm</f>
        <v>0</v>
      </c>
      <c r="H27">
        <f>VLOOKUP(Sample_Patient_Norm!$B27,FactorScores[],3,FALSE)*Markers_Raw_Max[[#This Row],[Connection + Purpose Weight]]*CP_Marker_Norm</f>
        <v>0</v>
      </c>
      <c r="I27">
        <f>VLOOKUP(Sample_Patient_Norm!$B27,FactorScores[],3,FALSE)*Markers_Raw_Max[[#This Row],[Core Care Weight]]*CC_Marker_Norm</f>
        <v>1.4452554744525548</v>
      </c>
    </row>
    <row r="28" spans="2:9" x14ac:dyDescent="0.25">
      <c r="B28" t="s">
        <v>61</v>
      </c>
      <c r="C28">
        <f>FactorPillarNormalized[[#This Row],[Healthful Nutrition Weight]]-PatientValues[[#This Row],[Healthful Nutrition Weight]]</f>
        <v>0</v>
      </c>
      <c r="D28">
        <f>FactorPillarNormalized[[#This Row],[Movement + Exercise Weight]]-PatientValues[[#This Row],[Movement + Exercise Weight]]</f>
        <v>0</v>
      </c>
      <c r="E28">
        <f>FactorPillarNormalized[[#This Row],[Restorative Sleep Weight]]-PatientValues[[#This Row],[Restorative Sleep Weight]]</f>
        <v>0</v>
      </c>
      <c r="F28">
        <f>VLOOKUP(Sample_Patient_Norm!$B28,FactorScores[],3,FALSE)*Markers_Raw_Max[[#This Row],[Stress Management Weight]]*SM_Marker_Norm</f>
        <v>0.56643356643356646</v>
      </c>
      <c r="G28">
        <f>VLOOKUP(Sample_Patient_Norm!$B28,FactorScores[],3,FALSE)*Markers_Raw_Max[[#This Row],[Cognitive Health Weight]]*CH_Marker_Norm</f>
        <v>0</v>
      </c>
      <c r="H28">
        <f>VLOOKUP(Sample_Patient_Norm!$B28,FactorScores[],3,FALSE)*Markers_Raw_Max[[#This Row],[Connection + Purpose Weight]]*CP_Marker_Norm</f>
        <v>0</v>
      </c>
      <c r="I28">
        <f>VLOOKUP(Sample_Patient_Norm!$B28,FactorScores[],3,FALSE)*Markers_Raw_Max[[#This Row],[Core Care Weight]]*CC_Marker_Norm</f>
        <v>2.167883211678832</v>
      </c>
    </row>
    <row r="29" spans="2:9" x14ac:dyDescent="0.25">
      <c r="B29" t="s">
        <v>62</v>
      </c>
      <c r="C29">
        <f>FactorPillarNormalized[[#This Row],[Healthful Nutrition Weight]]-PatientValues[[#This Row],[Healthful Nutrition Weight]]</f>
        <v>0</v>
      </c>
      <c r="D29">
        <f>FactorPillarNormalized[[#This Row],[Movement + Exercise Weight]]-PatientValues[[#This Row],[Movement + Exercise Weight]]</f>
        <v>0</v>
      </c>
      <c r="E29">
        <f>FactorPillarNormalized[[#This Row],[Restorative Sleep Weight]]-PatientValues[[#This Row],[Restorative Sleep Weight]]</f>
        <v>0</v>
      </c>
      <c r="F29">
        <f>VLOOKUP(Sample_Patient_Norm!$B29,FactorScores[],3,FALSE)*Markers_Raw_Max[[#This Row],[Stress Management Weight]]*SM_Marker_Norm</f>
        <v>0</v>
      </c>
      <c r="G29">
        <f>VLOOKUP(Sample_Patient_Norm!$B29,FactorScores[],3,FALSE)*Markers_Raw_Max[[#This Row],[Cognitive Health Weight]]*CH_Marker_Norm</f>
        <v>0</v>
      </c>
      <c r="H29">
        <f>VLOOKUP(Sample_Patient_Norm!$B29,FactorScores[],3,FALSE)*Markers_Raw_Max[[#This Row],[Connection + Purpose Weight]]*CP_Marker_Norm</f>
        <v>0</v>
      </c>
      <c r="I29">
        <f>VLOOKUP(Sample_Patient_Norm!$B29,FactorScores[],3,FALSE)*Markers_Raw_Max[[#This Row],[Core Care Weight]]*CC_Marker_Norm</f>
        <v>0</v>
      </c>
    </row>
    <row r="30" spans="2:9" x14ac:dyDescent="0.25">
      <c r="B30" t="s">
        <v>63</v>
      </c>
      <c r="C30">
        <f>FactorPillarNormalized[[#This Row],[Healthful Nutrition Weight]]-PatientValues[[#This Row],[Healthful Nutrition Weight]]</f>
        <v>0.20483904891374083</v>
      </c>
      <c r="D30">
        <f>FactorPillarNormalized[[#This Row],[Movement + Exercise Weight]]-PatientValues[[#This Row],[Movement + Exercise Weight]]</f>
        <v>0</v>
      </c>
      <c r="E30">
        <f>FactorPillarNormalized[[#This Row],[Restorative Sleep Weight]]-PatientValues[[#This Row],[Restorative Sleep Weight]]</f>
        <v>0</v>
      </c>
      <c r="F30">
        <f>VLOOKUP(Sample_Patient_Norm!$B30,FactorScores[],3,FALSE)*Markers_Raw_Max[[#This Row],[Stress Management Weight]]*SM_Marker_Norm</f>
        <v>0</v>
      </c>
      <c r="G30">
        <f>VLOOKUP(Sample_Patient_Norm!$B30,FactorScores[],3,FALSE)*Markers_Raw_Max[[#This Row],[Cognitive Health Weight]]*CH_Marker_Norm</f>
        <v>0</v>
      </c>
      <c r="H30">
        <f>VLOOKUP(Sample_Patient_Norm!$B30,FactorScores[],3,FALSE)*Markers_Raw_Max[[#This Row],[Connection + Purpose Weight]]*CP_Marker_Norm</f>
        <v>0</v>
      </c>
      <c r="I30">
        <f>VLOOKUP(Sample_Patient_Norm!$B30,FactorScores[],3,FALSE)*Markers_Raw_Max[[#This Row],[Core Care Weight]]*CC_Marker_Norm</f>
        <v>0</v>
      </c>
    </row>
    <row r="31" spans="2:9" x14ac:dyDescent="0.25">
      <c r="B31" t="s">
        <v>64</v>
      </c>
      <c r="C31">
        <f>FactorPillarNormalized[[#This Row],[Healthful Nutrition Weight]]-PatientValues[[#This Row],[Healthful Nutrition Weight]]</f>
        <v>0.45692307692307693</v>
      </c>
      <c r="D31">
        <f>FactorPillarNormalized[[#This Row],[Movement + Exercise Weight]]-PatientValues[[#This Row],[Movement + Exercise Weight]]</f>
        <v>0</v>
      </c>
      <c r="E31">
        <f>FactorPillarNormalized[[#This Row],[Restorative Sleep Weight]]-PatientValues[[#This Row],[Restorative Sleep Weight]]</f>
        <v>0</v>
      </c>
      <c r="F31">
        <f>VLOOKUP(Sample_Patient_Norm!$B31,FactorScores[],3,FALSE)*Markers_Raw_Max[[#This Row],[Stress Management Weight]]*SM_Marker_Norm</f>
        <v>0</v>
      </c>
      <c r="G31">
        <f>VLOOKUP(Sample_Patient_Norm!$B31,FactorScores[],3,FALSE)*Markers_Raw_Max[[#This Row],[Cognitive Health Weight]]*CH_Marker_Norm</f>
        <v>0</v>
      </c>
      <c r="H31">
        <f>VLOOKUP(Sample_Patient_Norm!$B31,FactorScores[],3,FALSE)*Markers_Raw_Max[[#This Row],[Connection + Purpose Weight]]*CP_Marker_Norm</f>
        <v>0</v>
      </c>
      <c r="I31">
        <f>VLOOKUP(Sample_Patient_Norm!$B31,FactorScores[],3,FALSE)*Markers_Raw_Max[[#This Row],[Core Care Weight]]*CC_Marker_Norm</f>
        <v>0</v>
      </c>
    </row>
    <row r="32" spans="2:9" x14ac:dyDescent="0.25">
      <c r="B32" t="s">
        <v>65</v>
      </c>
      <c r="C32">
        <f>FactorPillarNormalized[[#This Row],[Healthful Nutrition Weight]]-PatientValues[[#This Row],[Healthful Nutrition Weight]]</f>
        <v>0</v>
      </c>
      <c r="D32">
        <f>FactorPillarNormalized[[#This Row],[Movement + Exercise Weight]]-PatientValues[[#This Row],[Movement + Exercise Weight]]</f>
        <v>0</v>
      </c>
      <c r="E32">
        <f>FactorPillarNormalized[[#This Row],[Restorative Sleep Weight]]-PatientValues[[#This Row],[Restorative Sleep Weight]]</f>
        <v>0</v>
      </c>
      <c r="F32">
        <f>VLOOKUP(Sample_Patient_Norm!$B32,FactorScores[],3,FALSE)*Markers_Raw_Max[[#This Row],[Stress Management Weight]]*SM_Marker_Norm</f>
        <v>0</v>
      </c>
      <c r="G32">
        <f>VLOOKUP(Sample_Patient_Norm!$B32,FactorScores[],3,FALSE)*Markers_Raw_Max[[#This Row],[Cognitive Health Weight]]*CH_Marker_Norm</f>
        <v>0</v>
      </c>
      <c r="H32">
        <f>VLOOKUP(Sample_Patient_Norm!$B32,FactorScores[],3,FALSE)*Markers_Raw_Max[[#This Row],[Connection + Purpose Weight]]*CP_Marker_Norm</f>
        <v>0</v>
      </c>
      <c r="I32">
        <f>VLOOKUP(Sample_Patient_Norm!$B32,FactorScores[],3,FALSE)*Markers_Raw_Max[[#This Row],[Core Care Weight]]*CC_Marker_Norm</f>
        <v>0</v>
      </c>
    </row>
    <row r="33" spans="2:9" x14ac:dyDescent="0.25">
      <c r="B33" t="s">
        <v>66</v>
      </c>
      <c r="C33">
        <f>FactorPillarNormalized[[#This Row],[Healthful Nutrition Weight]]-PatientValues[[#This Row],[Healthful Nutrition Weight]]</f>
        <v>0</v>
      </c>
      <c r="D33">
        <f>FactorPillarNormalized[[#This Row],[Movement + Exercise Weight]]-PatientValues[[#This Row],[Movement + Exercise Weight]]</f>
        <v>0</v>
      </c>
      <c r="E33">
        <f>FactorPillarNormalized[[#This Row],[Restorative Sleep Weight]]-PatientValues[[#This Row],[Restorative Sleep Weight]]</f>
        <v>0</v>
      </c>
      <c r="F33">
        <f>VLOOKUP(Sample_Patient_Norm!$B33,FactorScores[],3,FALSE)*Markers_Raw_Max[[#This Row],[Stress Management Weight]]*SM_Marker_Norm</f>
        <v>0.56643356643356646</v>
      </c>
      <c r="G33">
        <f>VLOOKUP(Sample_Patient_Norm!$B33,FactorScores[],3,FALSE)*Markers_Raw_Max[[#This Row],[Cognitive Health Weight]]*CH_Marker_Norm</f>
        <v>0</v>
      </c>
      <c r="H33">
        <f>VLOOKUP(Sample_Patient_Norm!$B33,FactorScores[],3,FALSE)*Markers_Raw_Max[[#This Row],[Connection + Purpose Weight]]*CP_Marker_Norm</f>
        <v>0</v>
      </c>
      <c r="I33">
        <f>VLOOKUP(Sample_Patient_Norm!$B33,FactorScores[],3,FALSE)*Markers_Raw_Max[[#This Row],[Core Care Weight]]*CC_Marker_Norm</f>
        <v>0</v>
      </c>
    </row>
    <row r="34" spans="2:9" x14ac:dyDescent="0.25">
      <c r="B34" t="s">
        <v>67</v>
      </c>
      <c r="C34">
        <f>FactorPillarNormalized[[#This Row],[Healthful Nutrition Weight]]-PatientValues[[#This Row],[Healthful Nutrition Weight]]</f>
        <v>0</v>
      </c>
      <c r="D34">
        <f>FactorPillarNormalized[[#This Row],[Movement + Exercise Weight]]-PatientValues[[#This Row],[Movement + Exercise Weight]]</f>
        <v>0</v>
      </c>
      <c r="E34">
        <f>FactorPillarNormalized[[#This Row],[Restorative Sleep Weight]]-PatientValues[[#This Row],[Restorative Sleep Weight]]</f>
        <v>0</v>
      </c>
      <c r="F34">
        <f>VLOOKUP(Sample_Patient_Norm!$B34,FactorScores[],3,FALSE)*Markers_Raw_Max[[#This Row],[Stress Management Weight]]*SM_Marker_Norm</f>
        <v>0.56643356643356646</v>
      </c>
      <c r="G34">
        <f>VLOOKUP(Sample_Patient_Norm!$B34,FactorScores[],3,FALSE)*Markers_Raw_Max[[#This Row],[Cognitive Health Weight]]*CH_Marker_Norm</f>
        <v>0</v>
      </c>
      <c r="H34">
        <f>VLOOKUP(Sample_Patient_Norm!$B34,FactorScores[],3,FALSE)*Markers_Raw_Max[[#This Row],[Connection + Purpose Weight]]*CP_Marker_Norm</f>
        <v>0</v>
      </c>
      <c r="I34">
        <f>VLOOKUP(Sample_Patient_Norm!$B34,FactorScores[],3,FALSE)*Markers_Raw_Max[[#This Row],[Core Care Weight]]*CC_Marker_Norm</f>
        <v>1.8065693430656935</v>
      </c>
    </row>
    <row r="35" spans="2:9" x14ac:dyDescent="0.25">
      <c r="B35" t="s">
        <v>68</v>
      </c>
      <c r="C35">
        <f>FactorPillarNormalized[[#This Row],[Healthful Nutrition Weight]]-PatientValues[[#This Row],[Healthful Nutrition Weight]]</f>
        <v>0</v>
      </c>
      <c r="D35">
        <f>FactorPillarNormalized[[#This Row],[Movement + Exercise Weight]]-PatientValues[[#This Row],[Movement + Exercise Weight]]</f>
        <v>0</v>
      </c>
      <c r="E35">
        <f>FactorPillarNormalized[[#This Row],[Restorative Sleep Weight]]-PatientValues[[#This Row],[Restorative Sleep Weight]]</f>
        <v>0</v>
      </c>
      <c r="F35">
        <f>VLOOKUP(Sample_Patient_Norm!$B35,FactorScores[],3,FALSE)*Markers_Raw_Max[[#This Row],[Stress Management Weight]]*SM_Marker_Norm</f>
        <v>0</v>
      </c>
      <c r="G35">
        <f>VLOOKUP(Sample_Patient_Norm!$B35,FactorScores[],3,FALSE)*Markers_Raw_Max[[#This Row],[Cognitive Health Weight]]*CH_Marker_Norm</f>
        <v>2.0719424460431655</v>
      </c>
      <c r="H35">
        <f>VLOOKUP(Sample_Patient_Norm!$B35,FactorScores[],3,FALSE)*Markers_Raw_Max[[#This Row],[Connection + Purpose Weight]]*CP_Marker_Norm</f>
        <v>0</v>
      </c>
      <c r="I35">
        <f>VLOOKUP(Sample_Patient_Norm!$B35,FactorScores[],3,FALSE)*Markers_Raw_Max[[#This Row],[Core Care Weight]]*CC_Marker_Norm</f>
        <v>0</v>
      </c>
    </row>
    <row r="36" spans="2:9" x14ac:dyDescent="0.25">
      <c r="B36" t="s">
        <v>69</v>
      </c>
      <c r="C36">
        <f>FactorPillarNormalized[[#This Row],[Healthful Nutrition Weight]]-PatientValues[[#This Row],[Healthful Nutrition Weight]]</f>
        <v>0.4616246728588298</v>
      </c>
      <c r="D36">
        <f>FactorPillarNormalized[[#This Row],[Movement + Exercise Weight]]-PatientValues[[#This Row],[Movement + Exercise Weight]]</f>
        <v>0</v>
      </c>
      <c r="E36">
        <f>FactorPillarNormalized[[#This Row],[Restorative Sleep Weight]]-PatientValues[[#This Row],[Restorative Sleep Weight]]</f>
        <v>0</v>
      </c>
      <c r="F36">
        <f>VLOOKUP(Sample_Patient_Norm!$B36,FactorScores[],3,FALSE)*Markers_Raw_Max[[#This Row],[Stress Management Weight]]*SM_Marker_Norm</f>
        <v>0</v>
      </c>
      <c r="G36">
        <f>VLOOKUP(Sample_Patient_Norm!$B36,FactorScores[],3,FALSE)*Markers_Raw_Max[[#This Row],[Cognitive Health Weight]]*CH_Marker_Norm</f>
        <v>0.90635387620523888</v>
      </c>
      <c r="H36">
        <f>VLOOKUP(Sample_Patient_Norm!$B36,FactorScores[],3,FALSE)*Markers_Raw_Max[[#This Row],[Connection + Purpose Weight]]*CP_Marker_Norm</f>
        <v>0</v>
      </c>
      <c r="I36">
        <f>VLOOKUP(Sample_Patient_Norm!$B36,FactorScores[],3,FALSE)*Markers_Raw_Max[[#This Row],[Core Care Weight]]*CC_Marker_Norm</f>
        <v>0</v>
      </c>
    </row>
    <row r="37" spans="2:9" x14ac:dyDescent="0.25">
      <c r="B37" t="s">
        <v>70</v>
      </c>
      <c r="C37">
        <f>FactorPillarNormalized[[#This Row],[Healthful Nutrition Weight]]-PatientValues[[#This Row],[Healthful Nutrition Weight]]</f>
        <v>0</v>
      </c>
      <c r="D37">
        <f>FactorPillarNormalized[[#This Row],[Movement + Exercise Weight]]-PatientValues[[#This Row],[Movement + Exercise Weight]]</f>
        <v>0</v>
      </c>
      <c r="E37">
        <f>FactorPillarNormalized[[#This Row],[Restorative Sleep Weight]]-PatientValues[[#This Row],[Restorative Sleep Weight]]</f>
        <v>0</v>
      </c>
      <c r="F37">
        <f>VLOOKUP(Sample_Patient_Norm!$B37,FactorScores[],3,FALSE)*Markers_Raw_Max[[#This Row],[Stress Management Weight]]*SM_Marker_Norm</f>
        <v>0</v>
      </c>
      <c r="G37">
        <f>VLOOKUP(Sample_Patient_Norm!$B37,FactorScores[],3,FALSE)*Markers_Raw_Max[[#This Row],[Cognitive Health Weight]]*CH_Marker_Norm</f>
        <v>1.8129496402877698</v>
      </c>
      <c r="H37">
        <f>VLOOKUP(Sample_Patient_Norm!$B37,FactorScores[],3,FALSE)*Markers_Raw_Max[[#This Row],[Connection + Purpose Weight]]*CP_Marker_Norm</f>
        <v>0</v>
      </c>
      <c r="I37">
        <f>VLOOKUP(Sample_Patient_Norm!$B37,FactorScores[],3,FALSE)*Markers_Raw_Max[[#This Row],[Core Care Weight]]*CC_Marker_Norm</f>
        <v>0</v>
      </c>
    </row>
    <row r="38" spans="2:9" x14ac:dyDescent="0.25">
      <c r="B38" t="s">
        <v>71</v>
      </c>
      <c r="C38">
        <f>FactorPillarNormalized[[#This Row],[Healthful Nutrition Weight]]-PatientValues[[#This Row],[Healthful Nutrition Weight]]</f>
        <v>0.10099751199117674</v>
      </c>
      <c r="D38">
        <f>FactorPillarNormalized[[#This Row],[Movement + Exercise Weight]]-PatientValues[[#This Row],[Movement + Exercise Weight]]</f>
        <v>0</v>
      </c>
      <c r="E38">
        <f>FactorPillarNormalized[[#This Row],[Restorative Sleep Weight]]-PatientValues[[#This Row],[Restorative Sleep Weight]]</f>
        <v>0</v>
      </c>
      <c r="F38">
        <f>VLOOKUP(Sample_Patient_Norm!$B38,FactorScores[],3,FALSE)*Markers_Raw_Max[[#This Row],[Stress Management Weight]]*SM_Marker_Norm</f>
        <v>0</v>
      </c>
      <c r="G38">
        <f>VLOOKUP(Sample_Patient_Norm!$B38,FactorScores[],3,FALSE)*Markers_Raw_Max[[#This Row],[Cognitive Health Weight]]*CH_Marker_Norm</f>
        <v>0</v>
      </c>
      <c r="H38">
        <f>VLOOKUP(Sample_Patient_Norm!$B38,FactorScores[],3,FALSE)*Markers_Raw_Max[[#This Row],[Connection + Purpose Weight]]*CP_Marker_Norm</f>
        <v>0</v>
      </c>
      <c r="I38">
        <f>VLOOKUP(Sample_Patient_Norm!$B38,FactorScores[],3,FALSE)*Markers_Raw_Max[[#This Row],[Core Care Weight]]*CC_Marker_Norm</f>
        <v>1.147689588743692</v>
      </c>
    </row>
    <row r="39" spans="2:9" x14ac:dyDescent="0.25">
      <c r="B39" t="s">
        <v>72</v>
      </c>
      <c r="C39">
        <f>FactorPillarNormalized[[#This Row],[Healthful Nutrition Weight]]-PatientValues[[#This Row],[Healthful Nutrition Weight]]</f>
        <v>0.13320954907161814</v>
      </c>
      <c r="D39">
        <f>FactorPillarNormalized[[#This Row],[Movement + Exercise Weight]]-PatientValues[[#This Row],[Movement + Exercise Weight]]</f>
        <v>0</v>
      </c>
      <c r="E39">
        <f>FactorPillarNormalized[[#This Row],[Restorative Sleep Weight]]-PatientValues[[#This Row],[Restorative Sleep Weight]]</f>
        <v>0</v>
      </c>
      <c r="F39">
        <f>VLOOKUP(Sample_Patient_Norm!$B39,FactorScores[],3,FALSE)*Markers_Raw_Max[[#This Row],[Stress Management Weight]]*SM_Marker_Norm</f>
        <v>0</v>
      </c>
      <c r="G39">
        <f>VLOOKUP(Sample_Patient_Norm!$B39,FactorScores[],3,FALSE)*Markers_Raw_Max[[#This Row],[Cognitive Health Weight]]*CH_Marker_Norm</f>
        <v>0</v>
      </c>
      <c r="H39">
        <f>VLOOKUP(Sample_Patient_Norm!$B39,FactorScores[],3,FALSE)*Markers_Raw_Max[[#This Row],[Connection + Purpose Weight]]*CP_Marker_Norm</f>
        <v>0</v>
      </c>
      <c r="I39">
        <f>VLOOKUP(Sample_Patient_Norm!$B39,FactorScores[],3,FALSE)*Markers_Raw_Max[[#This Row],[Core Care Weight]]*CC_Marker_Norm</f>
        <v>0.93754719355650584</v>
      </c>
    </row>
    <row r="40" spans="2:9" x14ac:dyDescent="0.25">
      <c r="B40" t="s">
        <v>73</v>
      </c>
      <c r="C40">
        <f>FactorPillarNormalized[[#This Row],[Healthful Nutrition Weight]]-PatientValues[[#This Row],[Healthful Nutrition Weight]]</f>
        <v>0</v>
      </c>
      <c r="D40">
        <f>FactorPillarNormalized[[#This Row],[Movement + Exercise Weight]]-PatientValues[[#This Row],[Movement + Exercise Weight]]</f>
        <v>0</v>
      </c>
      <c r="E40">
        <f>FactorPillarNormalized[[#This Row],[Restorative Sleep Weight]]-PatientValues[[#This Row],[Restorative Sleep Weight]]</f>
        <v>0</v>
      </c>
      <c r="F40">
        <f>VLOOKUP(Sample_Patient_Norm!$B40,FactorScores[],3,FALSE)*Markers_Raw_Max[[#This Row],[Stress Management Weight]]*SM_Marker_Norm</f>
        <v>0</v>
      </c>
      <c r="G40">
        <f>VLOOKUP(Sample_Patient_Norm!$B40,FactorScores[],3,FALSE)*Markers_Raw_Max[[#This Row],[Cognitive Health Weight]]*CH_Marker_Norm</f>
        <v>0</v>
      </c>
      <c r="H40">
        <f>VLOOKUP(Sample_Patient_Norm!$B40,FactorScores[],3,FALSE)*Markers_Raw_Max[[#This Row],[Connection + Purpose Weight]]*CP_Marker_Norm</f>
        <v>0</v>
      </c>
      <c r="I40">
        <f>VLOOKUP(Sample_Patient_Norm!$B40,FactorScores[],3,FALSE)*Markers_Raw_Max[[#This Row],[Core Care Weight]]*CC_Marker_Norm</f>
        <v>2.5291970802919708</v>
      </c>
    </row>
    <row r="41" spans="2:9" x14ac:dyDescent="0.25">
      <c r="B41" t="s">
        <v>74</v>
      </c>
      <c r="C41">
        <f>FactorPillarNormalized[[#This Row],[Healthful Nutrition Weight]]-PatientValues[[#This Row],[Healthful Nutrition Weight]]</f>
        <v>0</v>
      </c>
      <c r="D41">
        <f>FactorPillarNormalized[[#This Row],[Movement + Exercise Weight]]-PatientValues[[#This Row],[Movement + Exercise Weight]]</f>
        <v>0</v>
      </c>
      <c r="E41">
        <f>FactorPillarNormalized[[#This Row],[Restorative Sleep Weight]]-PatientValues[[#This Row],[Restorative Sleep Weight]]</f>
        <v>0</v>
      </c>
      <c r="F41">
        <f>VLOOKUP(Sample_Patient_Norm!$B41,FactorScores[],3,FALSE)*Markers_Raw_Max[[#This Row],[Stress Management Weight]]*SM_Marker_Norm</f>
        <v>0</v>
      </c>
      <c r="G41">
        <f>VLOOKUP(Sample_Patient_Norm!$B41,FactorScores[],3,FALSE)*Markers_Raw_Max[[#This Row],[Cognitive Health Weight]]*CH_Marker_Norm</f>
        <v>0</v>
      </c>
      <c r="H41">
        <f>VLOOKUP(Sample_Patient_Norm!$B41,FactorScores[],3,FALSE)*Markers_Raw_Max[[#This Row],[Connection + Purpose Weight]]*CP_Marker_Norm</f>
        <v>0</v>
      </c>
      <c r="I41">
        <f>VLOOKUP(Sample_Patient_Norm!$B41,FactorScores[],3,FALSE)*Markers_Raw_Max[[#This Row],[Core Care Weight]]*CC_Marker_Norm</f>
        <v>0</v>
      </c>
    </row>
    <row r="42" spans="2:9" x14ac:dyDescent="0.25">
      <c r="B42" t="s">
        <v>75</v>
      </c>
      <c r="C42">
        <f>FactorPillarNormalized[[#This Row],[Healthful Nutrition Weight]]-PatientValues[[#This Row],[Healthful Nutrition Weight]]</f>
        <v>0.47626594511016729</v>
      </c>
      <c r="D42">
        <f>FactorPillarNormalized[[#This Row],[Movement + Exercise Weight]]-PatientValues[[#This Row],[Movement + Exercise Weight]]</f>
        <v>0</v>
      </c>
      <c r="E42">
        <f>FactorPillarNormalized[[#This Row],[Restorative Sleep Weight]]-PatientValues[[#This Row],[Restorative Sleep Weight]]</f>
        <v>0</v>
      </c>
      <c r="F42">
        <f>VLOOKUP(Sample_Patient_Norm!$B42,FactorScores[],3,FALSE)*Markers_Raw_Max[[#This Row],[Stress Management Weight]]*SM_Marker_Norm</f>
        <v>0</v>
      </c>
      <c r="G42">
        <f>VLOOKUP(Sample_Patient_Norm!$B42,FactorScores[],3,FALSE)*Markers_Raw_Max[[#This Row],[Cognitive Health Weight]]*CH_Marker_Norm</f>
        <v>1.3592567152308288</v>
      </c>
      <c r="H42">
        <f>VLOOKUP(Sample_Patient_Norm!$B42,FactorScores[],3,FALSE)*Markers_Raw_Max[[#This Row],[Connection + Purpose Weight]]*CP_Marker_Norm</f>
        <v>0</v>
      </c>
      <c r="I42">
        <f>VLOOKUP(Sample_Patient_Norm!$B42,FactorScores[],3,FALSE)*Markers_Raw_Max[[#This Row],[Core Care Weight]]*CC_Marker_Norm</f>
        <v>0.71109837508711349</v>
      </c>
    </row>
    <row r="43" spans="2:9" x14ac:dyDescent="0.25">
      <c r="B43" t="s">
        <v>76</v>
      </c>
      <c r="C43">
        <f>FactorPillarNormalized[[#This Row],[Healthful Nutrition Weight]]-PatientValues[[#This Row],[Healthful Nutrition Weight]]</f>
        <v>0</v>
      </c>
      <c r="D43">
        <f>FactorPillarNormalized[[#This Row],[Movement + Exercise Weight]]-PatientValues[[#This Row],[Movement + Exercise Weight]]</f>
        <v>0.29306532663316642</v>
      </c>
      <c r="E43">
        <f>FactorPillarNormalized[[#This Row],[Restorative Sleep Weight]]-PatientValues[[#This Row],[Restorative Sleep Weight]]</f>
        <v>1.133883704235465</v>
      </c>
      <c r="F43">
        <f>VLOOKUP(Sample_Patient_Norm!$B43,FactorScores[],3,FALSE)*Markers_Raw_Max[[#This Row],[Stress Management Weight]]*SM_Marker_Norm</f>
        <v>0.97764346206557162</v>
      </c>
      <c r="G43">
        <f>VLOOKUP(Sample_Patient_Norm!$B43,FactorScores[],3,FALSE)*Markers_Raw_Max[[#This Row],[Cognitive Health Weight]]*CH_Marker_Norm</f>
        <v>1.0057770868732139</v>
      </c>
      <c r="H43">
        <f>VLOOKUP(Sample_Patient_Norm!$B43,FactorScores[],3,FALSE)*Markers_Raw_Max[[#This Row],[Connection + Purpose Weight]]*CP_Marker_Norm</f>
        <v>5.8251256281406967</v>
      </c>
      <c r="I43">
        <f>VLOOKUP(Sample_Patient_Norm!$B43,FactorScores[],3,FALSE)*Markers_Raw_Max[[#This Row],[Core Care Weight]]*CC_Marker_Norm</f>
        <v>0</v>
      </c>
    </row>
    <row r="44" spans="2:9" x14ac:dyDescent="0.25">
      <c r="B44" t="s">
        <v>77</v>
      </c>
      <c r="C44">
        <f>FactorPillarNormalized[[#This Row],[Healthful Nutrition Weight]]-PatientValues[[#This Row],[Healthful Nutrition Weight]]</f>
        <v>0</v>
      </c>
      <c r="D44">
        <f>FactorPillarNormalized[[#This Row],[Movement + Exercise Weight]]-PatientValues[[#This Row],[Movement + Exercise Weight]]</f>
        <v>0</v>
      </c>
      <c r="E44">
        <f>FactorPillarNormalized[[#This Row],[Restorative Sleep Weight]]-PatientValues[[#This Row],[Restorative Sleep Weight]]</f>
        <v>0</v>
      </c>
      <c r="F44">
        <f>VLOOKUP(Sample_Patient_Norm!$B44,FactorScores[],3,FALSE)*Markers_Raw_Max[[#This Row],[Stress Management Weight]]*SM_Marker_Norm</f>
        <v>0.56643356643356646</v>
      </c>
      <c r="G44">
        <f>VLOOKUP(Sample_Patient_Norm!$B44,FactorScores[],3,FALSE)*Markers_Raw_Max[[#This Row],[Cognitive Health Weight]]*CH_Marker_Norm</f>
        <v>0</v>
      </c>
      <c r="H44">
        <f>VLOOKUP(Sample_Patient_Norm!$B44,FactorScores[],3,FALSE)*Markers_Raw_Max[[#This Row],[Connection + Purpose Weight]]*CP_Marker_Norm</f>
        <v>0</v>
      </c>
      <c r="I44">
        <f>VLOOKUP(Sample_Patient_Norm!$B44,FactorScores[],3,FALSE)*Markers_Raw_Max[[#This Row],[Core Care Weight]]*CC_Marker_Norm</f>
        <v>0</v>
      </c>
    </row>
    <row r="45" spans="2:9" x14ac:dyDescent="0.25">
      <c r="B45" t="s">
        <v>78</v>
      </c>
      <c r="C45">
        <f>FactorPillarNormalized[[#This Row],[Healthful Nutrition Weight]]-PatientValues[[#This Row],[Healthful Nutrition Weight]]</f>
        <v>0.47431952662721932</v>
      </c>
      <c r="D45">
        <f>FactorPillarNormalized[[#This Row],[Movement + Exercise Weight]]-PatientValues[[#This Row],[Movement + Exercise Weight]]</f>
        <v>0</v>
      </c>
      <c r="E45">
        <f>FactorPillarNormalized[[#This Row],[Restorative Sleep Weight]]-PatientValues[[#This Row],[Restorative Sleep Weight]]</f>
        <v>0</v>
      </c>
      <c r="F45">
        <f>VLOOKUP(Sample_Patient_Norm!$B45,FactorScores[],3,FALSE)*Markers_Raw_Max[[#This Row],[Stress Management Weight]]*SM_Marker_Norm</f>
        <v>8.133405056481946E-2</v>
      </c>
      <c r="G45">
        <f>VLOOKUP(Sample_Patient_Norm!$B45,FactorScores[],3,FALSE)*Markers_Raw_Max[[#This Row],[Cognitive Health Weight]]*CH_Marker_Norm</f>
        <v>0</v>
      </c>
      <c r="H45">
        <f>VLOOKUP(Sample_Patient_Norm!$B45,FactorScores[],3,FALSE)*Markers_Raw_Max[[#This Row],[Connection + Purpose Weight]]*CP_Marker_Norm</f>
        <v>0</v>
      </c>
      <c r="I45">
        <f>VLOOKUP(Sample_Patient_Norm!$B45,FactorScores[],3,FALSE)*Markers_Raw_Max[[#This Row],[Core Care Weight]]*CC_Marker_Norm</f>
        <v>0</v>
      </c>
    </row>
    <row r="46" spans="2:9" x14ac:dyDescent="0.25">
      <c r="B46" t="s">
        <v>79</v>
      </c>
      <c r="C46">
        <f>FactorPillarNormalized[[#This Row],[Healthful Nutrition Weight]]-PatientValues[[#This Row],[Healthful Nutrition Weight]]</f>
        <v>0.49917159763313612</v>
      </c>
      <c r="D46">
        <f>FactorPillarNormalized[[#This Row],[Movement + Exercise Weight]]-PatientValues[[#This Row],[Movement + Exercise Weight]]</f>
        <v>0</v>
      </c>
      <c r="E46">
        <f>FactorPillarNormalized[[#This Row],[Restorative Sleep Weight]]-PatientValues[[#This Row],[Restorative Sleep Weight]]</f>
        <v>2.3175824175824178</v>
      </c>
      <c r="F46">
        <f>VLOOKUP(Sample_Patient_Norm!$B46,FactorScores[],3,FALSE)*Markers_Raw_Max[[#This Row],[Stress Management Weight]]*SM_Marker_Norm</f>
        <v>7.4556213017751463E-2</v>
      </c>
      <c r="G46">
        <f>VLOOKUP(Sample_Patient_Norm!$B46,FactorScores[],3,FALSE)*Markers_Raw_Max[[#This Row],[Cognitive Health Weight]]*CH_Marker_Norm</f>
        <v>0.12783619258439399</v>
      </c>
      <c r="H46">
        <f>VLOOKUP(Sample_Patient_Norm!$B46,FactorScores[],3,FALSE)*Markers_Raw_Max[[#This Row],[Connection + Purpose Weight]]*CP_Marker_Norm</f>
        <v>0</v>
      </c>
      <c r="I46">
        <f>VLOOKUP(Sample_Patient_Norm!$B46,FactorScores[],3,FALSE)*Markers_Raw_Max[[#This Row],[Core Care Weight]]*CC_Marker_Norm</f>
        <v>0.28534531162268384</v>
      </c>
    </row>
    <row r="47" spans="2:9" x14ac:dyDescent="0.25">
      <c r="B47" t="s">
        <v>80</v>
      </c>
      <c r="C47">
        <f>FactorPillarNormalized[[#This Row],[Healthful Nutrition Weight]]-PatientValues[[#This Row],[Healthful Nutrition Weight]]</f>
        <v>1.1076923076923078</v>
      </c>
      <c r="D47">
        <f>FactorPillarNormalized[[#This Row],[Movement + Exercise Weight]]-PatientValues[[#This Row],[Movement + Exercise Weight]]</f>
        <v>0</v>
      </c>
      <c r="E47">
        <f>FactorPillarNormalized[[#This Row],[Restorative Sleep Weight]]-PatientValues[[#This Row],[Restorative Sleep Weight]]</f>
        <v>0</v>
      </c>
      <c r="F47">
        <f>VLOOKUP(Sample_Patient_Norm!$B47,FactorScores[],3,FALSE)*Markers_Raw_Max[[#This Row],[Stress Management Weight]]*SM_Marker_Norm</f>
        <v>0</v>
      </c>
      <c r="G47">
        <f>VLOOKUP(Sample_Patient_Norm!$B47,FactorScores[],3,FALSE)*Markers_Raw_Max[[#This Row],[Cognitive Health Weight]]*CH_Marker_Norm</f>
        <v>0</v>
      </c>
      <c r="H47">
        <f>VLOOKUP(Sample_Patient_Norm!$B47,FactorScores[],3,FALSE)*Markers_Raw_Max[[#This Row],[Connection + Purpose Weight]]*CP_Marker_Norm</f>
        <v>0</v>
      </c>
      <c r="I47">
        <f>VLOOKUP(Sample_Patient_Norm!$B47,FactorScores[],3,FALSE)*Markers_Raw_Max[[#This Row],[Core Care Weight]]*CC_Marker_Norm</f>
        <v>0</v>
      </c>
    </row>
    <row r="48" spans="2:9" x14ac:dyDescent="0.25">
      <c r="B48" t="s">
        <v>81</v>
      </c>
      <c r="C48">
        <f>FactorPillarNormalized[[#This Row],[Healthful Nutrition Weight]]-PatientValues[[#This Row],[Healthful Nutrition Weight]]</f>
        <v>0.34813186813186781</v>
      </c>
      <c r="D48">
        <f>FactorPillarNormalized[[#This Row],[Movement + Exercise Weight]]-PatientValues[[#This Row],[Movement + Exercise Weight]]</f>
        <v>0</v>
      </c>
      <c r="E48">
        <f>FactorPillarNormalized[[#This Row],[Restorative Sleep Weight]]-PatientValues[[#This Row],[Restorative Sleep Weight]]</f>
        <v>0</v>
      </c>
      <c r="F48">
        <f>VLOOKUP(Sample_Patient_Norm!$B48,FactorScores[],3,FALSE)*Markers_Raw_Max[[#This Row],[Stress Management Weight]]*SM_Marker_Norm</f>
        <v>0</v>
      </c>
      <c r="G48">
        <f>VLOOKUP(Sample_Patient_Norm!$B48,FactorScores[],3,FALSE)*Markers_Raw_Max[[#This Row],[Cognitive Health Weight]]*CH_Marker_Norm</f>
        <v>0</v>
      </c>
      <c r="H48">
        <f>VLOOKUP(Sample_Patient_Norm!$B48,FactorScores[],3,FALSE)*Markers_Raw_Max[[#This Row],[Connection + Purpose Weight]]*CP_Marker_Norm</f>
        <v>0</v>
      </c>
      <c r="I48">
        <f>VLOOKUP(Sample_Patient_Norm!$B48,FactorScores[],3,FALSE)*Markers_Raw_Max[[#This Row],[Core Care Weight]]*CC_Marker_Norm</f>
        <v>0</v>
      </c>
    </row>
    <row r="49" spans="2:9" x14ac:dyDescent="0.25">
      <c r="B49" t="s">
        <v>82</v>
      </c>
      <c r="C49">
        <f>FactorPillarNormalized[[#This Row],[Healthful Nutrition Weight]]-PatientValues[[#This Row],[Healthful Nutrition Weight]]</f>
        <v>0</v>
      </c>
      <c r="D49">
        <f>FactorPillarNormalized[[#This Row],[Movement + Exercise Weight]]-PatientValues[[#This Row],[Movement + Exercise Weight]]</f>
        <v>0</v>
      </c>
      <c r="E49">
        <f>FactorPillarNormalized[[#This Row],[Restorative Sleep Weight]]-PatientValues[[#This Row],[Restorative Sleep Weight]]</f>
        <v>0</v>
      </c>
      <c r="F49">
        <f>VLOOKUP(Sample_Patient_Norm!$B49,FactorScores[],3,FALSE)*Markers_Raw_Max[[#This Row],[Stress Management Weight]]*SM_Marker_Norm</f>
        <v>0.11464004382082583</v>
      </c>
      <c r="G49">
        <f>VLOOKUP(Sample_Patient_Norm!$B49,FactorScores[],3,FALSE)*Markers_Raw_Max[[#This Row],[Cognitive Health Weight]]*CH_Marker_Norm</f>
        <v>0</v>
      </c>
      <c r="H49">
        <f>VLOOKUP(Sample_Patient_Norm!$B49,FactorScores[],3,FALSE)*Markers_Raw_Max[[#This Row],[Connection + Purpose Weight]]*CP_Marker_Norm</f>
        <v>0.65574105065512378</v>
      </c>
      <c r="I49">
        <f>VLOOKUP(Sample_Patient_Norm!$B49,FactorScores[],3,FALSE)*Markers_Raw_Max[[#This Row],[Core Care Weight]]*CC_Marker_Norm</f>
        <v>0</v>
      </c>
    </row>
    <row r="50" spans="2:9" x14ac:dyDescent="0.25">
      <c r="B50" t="s">
        <v>83</v>
      </c>
      <c r="C50">
        <f>FactorPillarNormalized[[#This Row],[Healthful Nutrition Weight]]-PatientValues[[#This Row],[Healthful Nutrition Weight]]</f>
        <v>0</v>
      </c>
      <c r="D50">
        <f>FactorPillarNormalized[[#This Row],[Movement + Exercise Weight]]-PatientValues[[#This Row],[Movement + Exercise Weight]]</f>
        <v>0</v>
      </c>
      <c r="E50">
        <f>FactorPillarNormalized[[#This Row],[Restorative Sleep Weight]]-PatientValues[[#This Row],[Restorative Sleep Weight]]</f>
        <v>0</v>
      </c>
      <c r="F50">
        <f>VLOOKUP(Sample_Patient_Norm!$B50,FactorScores[],3,FALSE)*Markers_Raw_Max[[#This Row],[Stress Management Weight]]*SM_Marker_Norm</f>
        <v>0</v>
      </c>
      <c r="G50">
        <f>VLOOKUP(Sample_Patient_Norm!$B50,FactorScores[],3,FALSE)*Markers_Raw_Max[[#This Row],[Cognitive Health Weight]]*CH_Marker_Norm</f>
        <v>0</v>
      </c>
      <c r="H50">
        <f>VLOOKUP(Sample_Patient_Norm!$B50,FactorScores[],3,FALSE)*Markers_Raw_Max[[#This Row],[Connection + Purpose Weight]]*CP_Marker_Norm</f>
        <v>0</v>
      </c>
      <c r="I50">
        <f>VLOOKUP(Sample_Patient_Norm!$B50,FactorScores[],3,FALSE)*Markers_Raw_Max[[#This Row],[Core Care Weight]]*CC_Marker_Norm</f>
        <v>0</v>
      </c>
    </row>
    <row r="51" spans="2:9" x14ac:dyDescent="0.25">
      <c r="B51" t="s">
        <v>84</v>
      </c>
      <c r="C51">
        <f>FactorPillarNormalized[[#This Row],[Healthful Nutrition Weight]]-PatientValues[[#This Row],[Healthful Nutrition Weight]]</f>
        <v>0</v>
      </c>
      <c r="D51">
        <f>FactorPillarNormalized[[#This Row],[Movement + Exercise Weight]]-PatientValues[[#This Row],[Movement + Exercise Weight]]</f>
        <v>0</v>
      </c>
      <c r="E51">
        <f>FactorPillarNormalized[[#This Row],[Restorative Sleep Weight]]-PatientValues[[#This Row],[Restorative Sleep Weight]]</f>
        <v>0</v>
      </c>
      <c r="F51">
        <f>VLOOKUP(Sample_Patient_Norm!$B51,FactorScores[],3,FALSE)*Markers_Raw_Max[[#This Row],[Stress Management Weight]]*SM_Marker_Norm</f>
        <v>0.56643356643356646</v>
      </c>
      <c r="G51">
        <f>VLOOKUP(Sample_Patient_Norm!$B51,FactorScores[],3,FALSE)*Markers_Raw_Max[[#This Row],[Cognitive Health Weight]]*CH_Marker_Norm</f>
        <v>0</v>
      </c>
      <c r="H51">
        <f>VLOOKUP(Sample_Patient_Norm!$B51,FactorScores[],3,FALSE)*Markers_Raw_Max[[#This Row],[Connection + Purpose Weight]]*CP_Marker_Norm</f>
        <v>0</v>
      </c>
      <c r="I51">
        <f>VLOOKUP(Sample_Patient_Norm!$B51,FactorScores[],3,FALSE)*Markers_Raw_Max[[#This Row],[Core Care Weight]]*CC_Marker_Norm</f>
        <v>0</v>
      </c>
    </row>
    <row r="52" spans="2:9" x14ac:dyDescent="0.25">
      <c r="B52" t="s">
        <v>85</v>
      </c>
      <c r="C52">
        <f>FactorPillarNormalized[[#This Row],[Healthful Nutrition Weight]]-PatientValues[[#This Row],[Healthful Nutrition Weight]]</f>
        <v>0</v>
      </c>
      <c r="D52">
        <f>FactorPillarNormalized[[#This Row],[Movement + Exercise Weight]]-PatientValues[[#This Row],[Movement + Exercise Weight]]</f>
        <v>0</v>
      </c>
      <c r="E52">
        <f>FactorPillarNormalized[[#This Row],[Restorative Sleep Weight]]-PatientValues[[#This Row],[Restorative Sleep Weight]]</f>
        <v>0</v>
      </c>
      <c r="F52">
        <f>VLOOKUP(Sample_Patient_Norm!$B52,FactorScores[],3,FALSE)*Markers_Raw_Max[[#This Row],[Stress Management Weight]]*SM_Marker_Norm</f>
        <v>0</v>
      </c>
      <c r="G52">
        <f>VLOOKUP(Sample_Patient_Norm!$B52,FactorScores[],3,FALSE)*Markers_Raw_Max[[#This Row],[Cognitive Health Weight]]*CH_Marker_Norm</f>
        <v>0</v>
      </c>
      <c r="H52">
        <f>VLOOKUP(Sample_Patient_Norm!$B52,FactorScores[],3,FALSE)*Markers_Raw_Max[[#This Row],[Connection + Purpose Weight]]*CP_Marker_Norm</f>
        <v>0</v>
      </c>
      <c r="I52">
        <f>VLOOKUP(Sample_Patient_Norm!$B52,FactorScores[],3,FALSE)*Markers_Raw_Max[[#This Row],[Core Care Weight]]*CC_Marker_Norm</f>
        <v>0</v>
      </c>
    </row>
    <row r="53" spans="2:9" x14ac:dyDescent="0.25">
      <c r="B53" t="s">
        <v>86</v>
      </c>
      <c r="C53">
        <f>FactorPillarNormalized[[#This Row],[Healthful Nutrition Weight]]-PatientValues[[#This Row],[Healthful Nutrition Weight]]</f>
        <v>0</v>
      </c>
      <c r="D53">
        <f>FactorPillarNormalized[[#This Row],[Movement + Exercise Weight]]-PatientValues[[#This Row],[Movement + Exercise Weight]]</f>
        <v>0</v>
      </c>
      <c r="E53">
        <f>FactorPillarNormalized[[#This Row],[Restorative Sleep Weight]]-PatientValues[[#This Row],[Restorative Sleep Weight]]</f>
        <v>0</v>
      </c>
      <c r="F53">
        <f>VLOOKUP(Sample_Patient_Norm!$B53,FactorScores[],3,FALSE)*Markers_Raw_Max[[#This Row],[Stress Management Weight]]*SM_Marker_Norm</f>
        <v>0</v>
      </c>
      <c r="G53">
        <f>VLOOKUP(Sample_Patient_Norm!$B53,FactorScores[],3,FALSE)*Markers_Raw_Max[[#This Row],[Cognitive Health Weight]]*CH_Marker_Norm</f>
        <v>0</v>
      </c>
      <c r="H53">
        <f>VLOOKUP(Sample_Patient_Norm!$B53,FactorScores[],3,FALSE)*Markers_Raw_Max[[#This Row],[Connection + Purpose Weight]]*CP_Marker_Norm</f>
        <v>0</v>
      </c>
      <c r="I53">
        <f>VLOOKUP(Sample_Patient_Norm!$B53,FactorScores[],3,FALSE)*Markers_Raw_Max[[#This Row],[Core Care Weight]]*CC_Marker_Norm</f>
        <v>0</v>
      </c>
    </row>
    <row r="54" spans="2:9" x14ac:dyDescent="0.25">
      <c r="B54" t="s">
        <v>87</v>
      </c>
      <c r="C54">
        <f>FactorPillarNormalized[[#This Row],[Healthful Nutrition Weight]]-PatientValues[[#This Row],[Healthful Nutrition Weight]]</f>
        <v>0.46107304460245657</v>
      </c>
      <c r="D54">
        <f>FactorPillarNormalized[[#This Row],[Movement + Exercise Weight]]-PatientValues[[#This Row],[Movement + Exercise Weight]]</f>
        <v>0</v>
      </c>
      <c r="E54">
        <f>FactorPillarNormalized[[#This Row],[Restorative Sleep Weight]]-PatientValues[[#This Row],[Restorative Sleep Weight]]</f>
        <v>0</v>
      </c>
      <c r="F54">
        <f>VLOOKUP(Sample_Patient_Norm!$B54,FactorScores[],3,FALSE)*Markers_Raw_Max[[#This Row],[Stress Management Weight]]*SM_Marker_Norm</f>
        <v>0.44087677028853484</v>
      </c>
      <c r="G54">
        <f>VLOOKUP(Sample_Patient_Norm!$B54,FactorScores[],3,FALSE)*Markers_Raw_Max[[#This Row],[Cognitive Health Weight]]*CH_Marker_Norm</f>
        <v>0</v>
      </c>
      <c r="H54">
        <f>VLOOKUP(Sample_Patient_Norm!$B54,FactorScores[],3,FALSE)*Markers_Raw_Max[[#This Row],[Connection + Purpose Weight]]*CP_Marker_Norm</f>
        <v>0</v>
      </c>
      <c r="I54">
        <f>VLOOKUP(Sample_Patient_Norm!$B54,FactorScores[],3,FALSE)*Markers_Raw_Max[[#This Row],[Core Care Weight]]*CC_Marker_Norm</f>
        <v>0.84367294363000644</v>
      </c>
    </row>
    <row r="55" spans="2:9" x14ac:dyDescent="0.25">
      <c r="B55" t="s">
        <v>88</v>
      </c>
      <c r="C55">
        <f>FactorPillarNormalized[[#This Row],[Healthful Nutrition Weight]]-PatientValues[[#This Row],[Healthful Nutrition Weight]]</f>
        <v>0</v>
      </c>
      <c r="D55">
        <f>FactorPillarNormalized[[#This Row],[Movement + Exercise Weight]]-PatientValues[[#This Row],[Movement + Exercise Weight]]</f>
        <v>0</v>
      </c>
      <c r="E55">
        <f>FactorPillarNormalized[[#This Row],[Restorative Sleep Weight]]-PatientValues[[#This Row],[Restorative Sleep Weight]]</f>
        <v>0</v>
      </c>
      <c r="F55">
        <f>VLOOKUP(Sample_Patient_Norm!$B55,FactorScores[],3,FALSE)*Markers_Raw_Max[[#This Row],[Stress Management Weight]]*SM_Marker_Norm</f>
        <v>0</v>
      </c>
      <c r="G55">
        <f>VLOOKUP(Sample_Patient_Norm!$B55,FactorScores[],3,FALSE)*Markers_Raw_Max[[#This Row],[Cognitive Health Weight]]*CH_Marker_Norm</f>
        <v>0</v>
      </c>
      <c r="H55">
        <f>VLOOKUP(Sample_Patient_Norm!$B55,FactorScores[],3,FALSE)*Markers_Raw_Max[[#This Row],[Connection + Purpose Weight]]*CP_Marker_Norm</f>
        <v>0</v>
      </c>
      <c r="I55">
        <f>VLOOKUP(Sample_Patient_Norm!$B55,FactorScores[],3,FALSE)*Markers_Raw_Max[[#This Row],[Core Care Weight]]*CC_Marker_Norm</f>
        <v>0</v>
      </c>
    </row>
    <row r="56" spans="2:9" x14ac:dyDescent="0.25">
      <c r="B56" t="s">
        <v>89</v>
      </c>
      <c r="C56">
        <f>FactorPillarNormalized[[#This Row],[Healthful Nutrition Weight]]-PatientValues[[#This Row],[Healthful Nutrition Weight]]</f>
        <v>0.67056272586473875</v>
      </c>
      <c r="D56">
        <f>FactorPillarNormalized[[#This Row],[Movement + Exercise Weight]]-PatientValues[[#This Row],[Movement + Exercise Weight]]</f>
        <v>0</v>
      </c>
      <c r="E56">
        <f>FactorPillarNormalized[[#This Row],[Restorative Sleep Weight]]-PatientValues[[#This Row],[Restorative Sleep Weight]]</f>
        <v>0</v>
      </c>
      <c r="F56">
        <f>VLOOKUP(Sample_Patient_Norm!$B56,FactorScores[],3,FALSE)*Markers_Raw_Max[[#This Row],[Stress Management Weight]]*SM_Marker_Norm</f>
        <v>0</v>
      </c>
      <c r="G56">
        <f>VLOOKUP(Sample_Patient_Norm!$B56,FactorScores[],3,FALSE)*Markers_Raw_Max[[#This Row],[Cognitive Health Weight]]*CH_Marker_Norm</f>
        <v>0</v>
      </c>
      <c r="H56">
        <f>VLOOKUP(Sample_Patient_Norm!$B56,FactorScores[],3,FALSE)*Markers_Raw_Max[[#This Row],[Connection + Purpose Weight]]*CP_Marker_Norm</f>
        <v>0</v>
      </c>
      <c r="I56">
        <f>VLOOKUP(Sample_Patient_Norm!$B56,FactorScores[],3,FALSE)*Markers_Raw_Max[[#This Row],[Core Care Weight]]*CC_Marker_Norm</f>
        <v>0</v>
      </c>
    </row>
    <row r="57" spans="2:9" x14ac:dyDescent="0.25">
      <c r="B57" t="s">
        <v>90</v>
      </c>
      <c r="C57">
        <f>FactorPillarNormalized[[#This Row],[Healthful Nutrition Weight]]-PatientValues[[#This Row],[Healthful Nutrition Weight]]</f>
        <v>0.38388229220444098</v>
      </c>
      <c r="D57">
        <f>FactorPillarNormalized[[#This Row],[Movement + Exercise Weight]]-PatientValues[[#This Row],[Movement + Exercise Weight]]</f>
        <v>0</v>
      </c>
      <c r="E57">
        <f>FactorPillarNormalized[[#This Row],[Restorative Sleep Weight]]-PatientValues[[#This Row],[Restorative Sleep Weight]]</f>
        <v>0</v>
      </c>
      <c r="F57">
        <f>VLOOKUP(Sample_Patient_Norm!$B57,FactorScores[],3,FALSE)*Markers_Raw_Max[[#This Row],[Stress Management Weight]]*SM_Marker_Norm</f>
        <v>0</v>
      </c>
      <c r="G57">
        <f>VLOOKUP(Sample_Patient_Norm!$B57,FactorScores[],3,FALSE)*Markers_Raw_Max[[#This Row],[Cognitive Health Weight]]*CH_Marker_Norm</f>
        <v>0</v>
      </c>
      <c r="H57">
        <f>VLOOKUP(Sample_Patient_Norm!$B57,FactorScores[],3,FALSE)*Markers_Raw_Max[[#This Row],[Connection + Purpose Weight]]*CP_Marker_Norm</f>
        <v>0</v>
      </c>
      <c r="I57">
        <f>VLOOKUP(Sample_Patient_Norm!$B57,FactorScores[],3,FALSE)*Markers_Raw_Max[[#This Row],[Core Care Weight]]*CC_Marker_Norm</f>
        <v>0</v>
      </c>
    </row>
    <row r="58" spans="2:9" x14ac:dyDescent="0.25">
      <c r="B58" t="s">
        <v>91</v>
      </c>
      <c r="C58">
        <f>FactorPillarNormalized[[#This Row],[Healthful Nutrition Weight]]-PatientValues[[#This Row],[Healthful Nutrition Weight]]</f>
        <v>0.4255403113920152</v>
      </c>
      <c r="D58">
        <f>FactorPillarNormalized[[#This Row],[Movement + Exercise Weight]]-PatientValues[[#This Row],[Movement + Exercise Weight]]</f>
        <v>0</v>
      </c>
      <c r="E58">
        <f>FactorPillarNormalized[[#This Row],[Restorative Sleep Weight]]-PatientValues[[#This Row],[Restorative Sleep Weight]]</f>
        <v>0</v>
      </c>
      <c r="F58">
        <f>VLOOKUP(Sample_Patient_Norm!$B58,FactorScores[],3,FALSE)*Markers_Raw_Max[[#This Row],[Stress Management Weight]]*SM_Marker_Norm</f>
        <v>0</v>
      </c>
      <c r="G58">
        <f>VLOOKUP(Sample_Patient_Norm!$B58,FactorScores[],3,FALSE)*Markers_Raw_Max[[#This Row],[Cognitive Health Weight]]*CH_Marker_Norm</f>
        <v>0</v>
      </c>
      <c r="H58">
        <f>VLOOKUP(Sample_Patient_Norm!$B58,FactorScores[],3,FALSE)*Markers_Raw_Max[[#This Row],[Connection + Purpose Weight]]*CP_Marker_Norm</f>
        <v>0</v>
      </c>
      <c r="I58">
        <f>VLOOKUP(Sample_Patient_Norm!$B58,FactorScores[],3,FALSE)*Markers_Raw_Max[[#This Row],[Core Care Weight]]*CC_Marker_Norm</f>
        <v>0</v>
      </c>
    </row>
    <row r="59" spans="2:9" x14ac:dyDescent="0.25">
      <c r="B59" t="s">
        <v>92</v>
      </c>
      <c r="C59">
        <f>FactorPillarNormalized[[#This Row],[Healthful Nutrition Weight]]-PatientValues[[#This Row],[Healthful Nutrition Weight]]</f>
        <v>0.20094674556213082</v>
      </c>
      <c r="D59">
        <f>FactorPillarNormalized[[#This Row],[Movement + Exercise Weight]]-PatientValues[[#This Row],[Movement + Exercise Weight]]</f>
        <v>0</v>
      </c>
      <c r="E59">
        <f>FactorPillarNormalized[[#This Row],[Restorative Sleep Weight]]-PatientValues[[#This Row],[Restorative Sleep Weight]]</f>
        <v>0</v>
      </c>
      <c r="F59">
        <f>VLOOKUP(Sample_Patient_Norm!$B59,FactorScores[],3,FALSE)*Markers_Raw_Max[[#This Row],[Stress Management Weight]]*SM_Marker_Norm</f>
        <v>0</v>
      </c>
      <c r="G59">
        <f>VLOOKUP(Sample_Patient_Norm!$B59,FactorScores[],3,FALSE)*Markers_Raw_Max[[#This Row],[Cognitive Health Weight]]*CH_Marker_Norm</f>
        <v>0</v>
      </c>
      <c r="H59">
        <f>VLOOKUP(Sample_Patient_Norm!$B59,FactorScores[],3,FALSE)*Markers_Raw_Max[[#This Row],[Connection + Purpose Weight]]*CP_Marker_Norm</f>
        <v>0</v>
      </c>
      <c r="I59">
        <f>VLOOKUP(Sample_Patient_Norm!$B59,FactorScores[],3,FALSE)*Markers_Raw_Max[[#This Row],[Core Care Weight]]*CC_Marker_Norm</f>
        <v>0</v>
      </c>
    </row>
    <row r="60" spans="2:9" x14ac:dyDescent="0.25">
      <c r="B60" t="s">
        <v>93</v>
      </c>
      <c r="C60">
        <f>FactorPillarNormalized[[#This Row],[Healthful Nutrition Weight]]-PatientValues[[#This Row],[Healthful Nutrition Weight]]</f>
        <v>0.31320639756283408</v>
      </c>
      <c r="D60">
        <f>FactorPillarNormalized[[#This Row],[Movement + Exercise Weight]]-PatientValues[[#This Row],[Movement + Exercise Weight]]</f>
        <v>0</v>
      </c>
      <c r="E60">
        <f>FactorPillarNormalized[[#This Row],[Restorative Sleep Weight]]-PatientValues[[#This Row],[Restorative Sleep Weight]]</f>
        <v>0</v>
      </c>
      <c r="F60">
        <f>VLOOKUP(Sample_Patient_Norm!$B60,FactorScores[],3,FALSE)*Markers_Raw_Max[[#This Row],[Stress Management Weight]]*SM_Marker_Norm</f>
        <v>0</v>
      </c>
      <c r="G60">
        <f>VLOOKUP(Sample_Patient_Norm!$B60,FactorScores[],3,FALSE)*Markers_Raw_Max[[#This Row],[Cognitive Health Weight]]*CH_Marker_Norm</f>
        <v>0</v>
      </c>
      <c r="H60">
        <f>VLOOKUP(Sample_Patient_Norm!$B60,FactorScores[],3,FALSE)*Markers_Raw_Max[[#This Row],[Connection + Purpose Weight]]*CP_Marker_Norm</f>
        <v>0</v>
      </c>
      <c r="I60">
        <f>VLOOKUP(Sample_Patient_Norm!$B60,FactorScores[],3,FALSE)*Markers_Raw_Max[[#This Row],[Core Care Weight]]*CC_Marker_Norm</f>
        <v>0</v>
      </c>
    </row>
    <row r="61" spans="2:9" x14ac:dyDescent="0.25">
      <c r="B61" t="s">
        <v>94</v>
      </c>
      <c r="C61">
        <f>FactorPillarNormalized[[#This Row],[Healthful Nutrition Weight]]-PatientValues[[#This Row],[Healthful Nutrition Weight]]</f>
        <v>0.83076923076923082</v>
      </c>
      <c r="D61">
        <f>FactorPillarNormalized[[#This Row],[Movement + Exercise Weight]]-PatientValues[[#This Row],[Movement + Exercise Weight]]</f>
        <v>1.2461538461538462</v>
      </c>
      <c r="E61">
        <f>FactorPillarNormalized[[#This Row],[Restorative Sleep Weight]]-PatientValues[[#This Row],[Restorative Sleep Weight]]</f>
        <v>1.9285714285714288</v>
      </c>
      <c r="F61">
        <f>VLOOKUP(Sample_Patient_Norm!$B61,FactorScores[],3,FALSE)*Markers_Raw_Max[[#This Row],[Stress Management Weight]]*SM_Marker_Norm</f>
        <v>0</v>
      </c>
      <c r="G61">
        <f>VLOOKUP(Sample_Patient_Norm!$B61,FactorScores[],3,FALSE)*Markers_Raw_Max[[#This Row],[Cognitive Health Weight]]*CH_Marker_Norm</f>
        <v>0</v>
      </c>
      <c r="H61">
        <f>VLOOKUP(Sample_Patient_Norm!$B61,FactorScores[],3,FALSE)*Markers_Raw_Max[[#This Row],[Connection + Purpose Weight]]*CP_Marker_Norm</f>
        <v>0</v>
      </c>
      <c r="I61">
        <f>VLOOKUP(Sample_Patient_Norm!$B61,FactorScores[],3,FALSE)*Markers_Raw_Max[[#This Row],[Core Care Weight]]*CC_Marker_Norm</f>
        <v>0</v>
      </c>
    </row>
    <row r="62" spans="2:9" x14ac:dyDescent="0.25">
      <c r="B62" t="s">
        <v>95</v>
      </c>
      <c r="C62">
        <f>FactorPillarNormalized[[#This Row],[Healthful Nutrition Weight]]-PatientValues[[#This Row],[Healthful Nutrition Weight]]</f>
        <v>0.21785764357891552</v>
      </c>
      <c r="D62">
        <f>FactorPillarNormalized[[#This Row],[Movement + Exercise Weight]]-PatientValues[[#This Row],[Movement + Exercise Weight]]</f>
        <v>0</v>
      </c>
      <c r="E62">
        <f>FactorPillarNormalized[[#This Row],[Restorative Sleep Weight]]-PatientValues[[#This Row],[Restorative Sleep Weight]]</f>
        <v>0</v>
      </c>
      <c r="F62">
        <f>VLOOKUP(Sample_Patient_Norm!$B62,FactorScores[],3,FALSE)*Markers_Raw_Max[[#This Row],[Stress Management Weight]]*SM_Marker_Norm</f>
        <v>0.45816615036441594</v>
      </c>
      <c r="G62">
        <f>VLOOKUP(Sample_Patient_Norm!$B62,FactorScores[],3,FALSE)*Markers_Raw_Max[[#This Row],[Cognitive Health Weight]]*CH_Marker_Norm</f>
        <v>0</v>
      </c>
      <c r="H62">
        <f>VLOOKUP(Sample_Patient_Norm!$B62,FactorScores[],3,FALSE)*Markers_Raw_Max[[#This Row],[Connection + Purpose Weight]]*CP_Marker_Norm</f>
        <v>0</v>
      </c>
      <c r="I62">
        <f>VLOOKUP(Sample_Patient_Norm!$B62,FactorScores[],3,FALSE)*Markers_Raw_Max[[#This Row],[Core Care Weight]]*CC_Marker_Norm</f>
        <v>0</v>
      </c>
    </row>
    <row r="63" spans="2:9" x14ac:dyDescent="0.25">
      <c r="B63" t="s">
        <v>96</v>
      </c>
      <c r="C63">
        <f>FactorPillarNormalized[[#This Row],[Healthful Nutrition Weight]]-PatientValues[[#This Row],[Healthful Nutrition Weight]]</f>
        <v>0</v>
      </c>
      <c r="D63">
        <f>FactorPillarNormalized[[#This Row],[Movement + Exercise Weight]]-PatientValues[[#This Row],[Movement + Exercise Weight]]</f>
        <v>2.8569138276553123</v>
      </c>
      <c r="E63">
        <f>FactorPillarNormalized[[#This Row],[Restorative Sleep Weight]]-PatientValues[[#This Row],[Restorative Sleep Weight]]</f>
        <v>0</v>
      </c>
      <c r="F63">
        <f>VLOOKUP(Sample_Patient_Norm!$B63,FactorScores[],3,FALSE)*Markers_Raw_Max[[#This Row],[Stress Management Weight]]*SM_Marker_Norm</f>
        <v>0</v>
      </c>
      <c r="G63">
        <f>VLOOKUP(Sample_Patient_Norm!$B63,FactorScores[],3,FALSE)*Markers_Raw_Max[[#This Row],[Cognitive Health Weight]]*CH_Marker_Norm</f>
        <v>0.14532662447196501</v>
      </c>
      <c r="H63">
        <f>VLOOKUP(Sample_Patient_Norm!$B63,FactorScores[],3,FALSE)*Markers_Raw_Max[[#This Row],[Connection + Purpose Weight]]*CP_Marker_Norm</f>
        <v>0</v>
      </c>
      <c r="I63">
        <f>VLOOKUP(Sample_Patient_Norm!$B63,FactorScores[],3,FALSE)*Markers_Raw_Max[[#This Row],[Core Care Weight]]*CC_Marker_Norm</f>
        <v>0</v>
      </c>
    </row>
    <row r="64" spans="2:9" x14ac:dyDescent="0.25">
      <c r="B64" t="s">
        <v>97</v>
      </c>
      <c r="C64">
        <f>FactorPillarNormalized[[#This Row],[Healthful Nutrition Weight]]-PatientValues[[#This Row],[Healthful Nutrition Weight]]</f>
        <v>0.69030985047017168</v>
      </c>
      <c r="D64">
        <f>FactorPillarNormalized[[#This Row],[Movement + Exercise Weight]]-PatientValues[[#This Row],[Movement + Exercise Weight]]</f>
        <v>0.88754123631879178</v>
      </c>
      <c r="E64">
        <f>FactorPillarNormalized[[#This Row],[Restorative Sleep Weight]]-PatientValues[[#This Row],[Restorative Sleep Weight]]</f>
        <v>0.91571714858288056</v>
      </c>
      <c r="F64">
        <f>VLOOKUP(Sample_Patient_Norm!$B64,FactorScores[],3,FALSE)*Markers_Raw_Max[[#This Row],[Stress Management Weight]]*SM_Marker_Norm</f>
        <v>0.48629286545118189</v>
      </c>
      <c r="G64">
        <f>VLOOKUP(Sample_Patient_Norm!$B64,FactorScores[],3,FALSE)*Markers_Raw_Max[[#This Row],[Cognitive Health Weight]]*CH_Marker_Norm</f>
        <v>0.83381150790790182</v>
      </c>
      <c r="H64">
        <f>VLOOKUP(Sample_Patient_Norm!$B64,FactorScores[],3,FALSE)*Markers_Raw_Max[[#This Row],[Connection + Purpose Weight]]*CP_Marker_Norm</f>
        <v>0</v>
      </c>
      <c r="I64">
        <f>VLOOKUP(Sample_Patient_Norm!$B64,FactorScores[],3,FALSE)*Markers_Raw_Max[[#This Row],[Core Care Weight]]*CC_Marker_Norm</f>
        <v>0</v>
      </c>
    </row>
    <row r="65" spans="2:9" x14ac:dyDescent="0.25">
      <c r="B65" t="s">
        <v>98</v>
      </c>
      <c r="C65">
        <f>FactorPillarNormalized[[#This Row],[Healthful Nutrition Weight]]-PatientValues[[#This Row],[Healthful Nutrition Weight]]</f>
        <v>0</v>
      </c>
      <c r="D65">
        <f>FactorPillarNormalized[[#This Row],[Movement + Exercise Weight]]-PatientValues[[#This Row],[Movement + Exercise Weight]]</f>
        <v>0</v>
      </c>
      <c r="E65">
        <f>FactorPillarNormalized[[#This Row],[Restorative Sleep Weight]]-PatientValues[[#This Row],[Restorative Sleep Weight]]</f>
        <v>0</v>
      </c>
      <c r="F65">
        <f>VLOOKUP(Sample_Patient_Norm!$B65,FactorScores[],3,FALSE)*Markers_Raw_Max[[#This Row],[Stress Management Weight]]*SM_Marker_Norm</f>
        <v>0.56643356643356646</v>
      </c>
      <c r="G65">
        <f>VLOOKUP(Sample_Patient_Norm!$B65,FactorScores[],3,FALSE)*Markers_Raw_Max[[#This Row],[Cognitive Health Weight]]*CH_Marker_Norm</f>
        <v>0</v>
      </c>
      <c r="H65">
        <f>VLOOKUP(Sample_Patient_Norm!$B65,FactorScores[],3,FALSE)*Markers_Raw_Max[[#This Row],[Connection + Purpose Weight]]*CP_Marker_Norm</f>
        <v>0</v>
      </c>
      <c r="I65">
        <f>VLOOKUP(Sample_Patient_Norm!$B65,FactorScores[],3,FALSE)*Markers_Raw_Max[[#This Row],[Core Care Weight]]*CC_Marker_Norm</f>
        <v>0</v>
      </c>
    </row>
    <row r="66" spans="2:9" x14ac:dyDescent="0.25">
      <c r="B66" t="s">
        <v>99</v>
      </c>
      <c r="C66">
        <f>FactorPillarNormalized[[#This Row],[Healthful Nutrition Weight]]-PatientValues[[#This Row],[Healthful Nutrition Weight]]</f>
        <v>1.370769230769231</v>
      </c>
      <c r="D66">
        <f>FactorPillarNormalized[[#This Row],[Movement + Exercise Weight]]-PatientValues[[#This Row],[Movement + Exercise Weight]]</f>
        <v>2.0561538461538462</v>
      </c>
      <c r="E66">
        <f>FactorPillarNormalized[[#This Row],[Restorative Sleep Weight]]-PatientValues[[#This Row],[Restorative Sleep Weight]]</f>
        <v>2.1214285714285714</v>
      </c>
      <c r="F66">
        <f>VLOOKUP(Sample_Patient_Norm!$B66,FactorScores[],3,FALSE)*Markers_Raw_Max[[#This Row],[Stress Management Weight]]*SM_Marker_Norm</f>
        <v>0.13216783216783215</v>
      </c>
      <c r="G66">
        <f>VLOOKUP(Sample_Patient_Norm!$B66,FactorScores[],3,FALSE)*Markers_Raw_Max[[#This Row],[Cognitive Health Weight]]*CH_Marker_Norm</f>
        <v>0.18129496402877696</v>
      </c>
      <c r="H66">
        <f>VLOOKUP(Sample_Patient_Norm!$B66,FactorScores[],3,FALSE)*Markers_Raw_Max[[#This Row],[Connection + Purpose Weight]]*CP_Marker_Norm</f>
        <v>0</v>
      </c>
      <c r="I66">
        <f>VLOOKUP(Sample_Patient_Norm!$B66,FactorScores[],3,FALSE)*Markers_Raw_Max[[#This Row],[Core Care Weight]]*CC_Marker_Norm</f>
        <v>0</v>
      </c>
    </row>
    <row r="67" spans="2:9" x14ac:dyDescent="0.25">
      <c r="B67" t="s">
        <v>100</v>
      </c>
      <c r="C67">
        <f>FactorPillarNormalized[[#This Row],[Healthful Nutrition Weight]]-PatientValues[[#This Row],[Healthful Nutrition Weight]]</f>
        <v>1.9384615384615387</v>
      </c>
      <c r="D67">
        <f>FactorPillarNormalized[[#This Row],[Movement + Exercise Weight]]-PatientValues[[#This Row],[Movement + Exercise Weight]]</f>
        <v>2.907692307692308</v>
      </c>
      <c r="E67">
        <f>FactorPillarNormalized[[#This Row],[Restorative Sleep Weight]]-PatientValues[[#This Row],[Restorative Sleep Weight]]</f>
        <v>3.2142857142857144</v>
      </c>
      <c r="F67">
        <f>VLOOKUP(Sample_Patient_Norm!$B67,FactorScores[],3,FALSE)*Markers_Raw_Max[[#This Row],[Stress Management Weight]]*SM_Marker_Norm</f>
        <v>0</v>
      </c>
      <c r="G67">
        <f>VLOOKUP(Sample_Patient_Norm!$B67,FactorScores[],3,FALSE)*Markers_Raw_Max[[#This Row],[Cognitive Health Weight]]*CH_Marker_Norm</f>
        <v>0</v>
      </c>
      <c r="H67">
        <f>VLOOKUP(Sample_Patient_Norm!$B67,FactorScores[],3,FALSE)*Markers_Raw_Max[[#This Row],[Connection + Purpose Weight]]*CP_Marker_Norm</f>
        <v>0</v>
      </c>
      <c r="I67">
        <f>VLOOKUP(Sample_Patient_Norm!$B67,FactorScores[],3,FALSE)*Markers_Raw_Max[[#This Row],[Core Care Weight]]*CC_Marker_Norm</f>
        <v>0</v>
      </c>
    </row>
    <row r="68" spans="2:9" x14ac:dyDescent="0.25">
      <c r="B68" t="s">
        <v>101</v>
      </c>
      <c r="C68">
        <f>FactorPillarNormalized[[#This Row],[Healthful Nutrition Weight]]-PatientValues[[#This Row],[Healthful Nutrition Weight]]</f>
        <v>0.32660691702864758</v>
      </c>
      <c r="D68">
        <f>FactorPillarNormalized[[#This Row],[Movement + Exercise Weight]]-PatientValues[[#This Row],[Movement + Exercise Weight]]</f>
        <v>0.73486556331445696</v>
      </c>
      <c r="E68">
        <f>FactorPillarNormalized[[#This Row],[Restorative Sleep Weight]]-PatientValues[[#This Row],[Restorative Sleep Weight]]</f>
        <v>0.75819462881650335</v>
      </c>
      <c r="F68">
        <f>VLOOKUP(Sample_Patient_Norm!$B68,FactorScores[],3,FALSE)*Markers_Raw_Max[[#This Row],[Stress Management Weight]]*SM_Marker_Norm</f>
        <v>0.30987168656932673</v>
      </c>
      <c r="G68">
        <f>VLOOKUP(Sample_Patient_Norm!$B68,FactorScores[],3,FALSE)*Markers_Raw_Max[[#This Row],[Cognitive Health Weight]]*CH_Marker_Norm</f>
        <v>0</v>
      </c>
      <c r="H68">
        <f>VLOOKUP(Sample_Patient_Norm!$B68,FactorScores[],3,FALSE)*Markers_Raw_Max[[#This Row],[Connection + Purpose Weight]]*CP_Marker_Norm</f>
        <v>0</v>
      </c>
      <c r="I68">
        <f>VLOOKUP(Sample_Patient_Norm!$B68,FactorScores[],3,FALSE)*Markers_Raw_Max[[#This Row],[Core Care Weight]]*CC_Marker_Norm</f>
        <v>0</v>
      </c>
    </row>
    <row r="69" spans="2:9" x14ac:dyDescent="0.25">
      <c r="B69" t="s">
        <v>102</v>
      </c>
      <c r="C69">
        <f>FactorPillarNormalized[[#This Row],[Healthful Nutrition Weight]]-PatientValues[[#This Row],[Healthful Nutrition Weight]]</f>
        <v>0.55000000000000104</v>
      </c>
      <c r="D69">
        <f>FactorPillarNormalized[[#This Row],[Movement + Exercise Weight]]-PatientValues[[#This Row],[Movement + Exercise Weight]]</f>
        <v>0.82500000000000173</v>
      </c>
      <c r="E69">
        <f>FactorPillarNormalized[[#This Row],[Restorative Sleep Weight]]-PatientValues[[#This Row],[Restorative Sleep Weight]]</f>
        <v>0.76607142857143029</v>
      </c>
      <c r="F69">
        <f>VLOOKUP(Sample_Patient_Norm!$B69,FactorScores[],3,FALSE)*Markers_Raw_Max[[#This Row],[Stress Management Weight]]*SM_Marker_Norm</f>
        <v>0.45524475524475461</v>
      </c>
      <c r="G69">
        <f>VLOOKUP(Sample_Patient_Norm!$B69,FactorScores[],3,FALSE)*Markers_Raw_Max[[#This Row],[Cognitive Health Weight]]*CH_Marker_Norm</f>
        <v>0</v>
      </c>
      <c r="H69">
        <f>VLOOKUP(Sample_Patient_Norm!$B69,FactorScores[],3,FALSE)*Markers_Raw_Max[[#This Row],[Connection + Purpose Weight]]*CP_Marker_Norm</f>
        <v>0</v>
      </c>
      <c r="I69">
        <f>VLOOKUP(Sample_Patient_Norm!$B69,FactorScores[],3,FALSE)*Markers_Raw_Max[[#This Row],[Core Care Weight]]*CC_Marker_Norm</f>
        <v>1.7423357664233554</v>
      </c>
    </row>
    <row r="70" spans="2:9" x14ac:dyDescent="0.25">
      <c r="B70" t="s">
        <v>103</v>
      </c>
      <c r="C70">
        <f>FactorPillarNormalized[[#This Row],[Healthful Nutrition Weight]]-PatientValues[[#This Row],[Healthful Nutrition Weight]]</f>
        <v>0.85779625779625845</v>
      </c>
      <c r="D70">
        <f>FactorPillarNormalized[[#This Row],[Movement + Exercise Weight]]-PatientValues[[#This Row],[Movement + Exercise Weight]]</f>
        <v>1.2866943866943878</v>
      </c>
      <c r="E70">
        <f>FactorPillarNormalized[[#This Row],[Restorative Sleep Weight]]-PatientValues[[#This Row],[Restorative Sleep Weight]]</f>
        <v>1.1947876447876458</v>
      </c>
      <c r="F70">
        <f>VLOOKUP(Sample_Patient_Norm!$B70,FactorScores[],3,FALSE)*Markers_Raw_Max[[#This Row],[Stress Management Weight]]*SM_Marker_Norm</f>
        <v>0.21551691551691524</v>
      </c>
      <c r="G70">
        <f>VLOOKUP(Sample_Patient_Norm!$B70,FactorScores[],3,FALSE)*Markers_Raw_Max[[#This Row],[Cognitive Health Weight]]*CH_Marker_Norm</f>
        <v>0</v>
      </c>
      <c r="H70">
        <f>VLOOKUP(Sample_Patient_Norm!$B70,FactorScores[],3,FALSE)*Markers_Raw_Max[[#This Row],[Connection + Purpose Weight]]*CP_Marker_Norm</f>
        <v>0</v>
      </c>
      <c r="I70">
        <f>VLOOKUP(Sample_Patient_Norm!$B70,FactorScores[],3,FALSE)*Markers_Raw_Max[[#This Row],[Core Care Weight]]*CC_Marker_Norm</f>
        <v>1.0997829946735043</v>
      </c>
    </row>
    <row r="71" spans="2:9" x14ac:dyDescent="0.25">
      <c r="B71" t="s">
        <v>104</v>
      </c>
      <c r="C71">
        <f>FactorPillarNormalized[[#This Row],[Healthful Nutrition Weight]]-PatientValues[[#This Row],[Healthful Nutrition Weight]]</f>
        <v>0.29046400493294328</v>
      </c>
      <c r="D71">
        <f>FactorPillarNormalized[[#This Row],[Movement + Exercise Weight]]-PatientValues[[#This Row],[Movement + Exercise Weight]]</f>
        <v>0</v>
      </c>
      <c r="E71">
        <f>FactorPillarNormalized[[#This Row],[Restorative Sleep Weight]]-PatientValues[[#This Row],[Restorative Sleep Weight]]</f>
        <v>0</v>
      </c>
      <c r="F71">
        <f>VLOOKUP(Sample_Patient_Norm!$B71,FactorScores[],3,FALSE)*Markers_Raw_Max[[#This Row],[Stress Management Weight]]*SM_Marker_Norm</f>
        <v>0</v>
      </c>
      <c r="G71">
        <f>VLOOKUP(Sample_Patient_Norm!$B71,FactorScores[],3,FALSE)*Markers_Raw_Max[[#This Row],[Cognitive Health Weight]]*CH_Marker_Norm</f>
        <v>0</v>
      </c>
      <c r="H71">
        <f>VLOOKUP(Sample_Patient_Norm!$B71,FactorScores[],3,FALSE)*Markers_Raw_Max[[#This Row],[Connection + Purpose Weight]]*CP_Marker_Norm</f>
        <v>0</v>
      </c>
      <c r="I71">
        <f>VLOOKUP(Sample_Patient_Norm!$B71,FactorScores[],3,FALSE)*Markers_Raw_Max[[#This Row],[Core Care Weight]]*CC_Marker_Norm</f>
        <v>0</v>
      </c>
    </row>
    <row r="72" spans="2:9" x14ac:dyDescent="0.25">
      <c r="B72" t="s">
        <v>105</v>
      </c>
      <c r="C72">
        <f>FactorPillarNormalized[[#This Row],[Healthful Nutrition Weight]]-PatientValues[[#This Row],[Healthful Nutrition Weight]]</f>
        <v>0</v>
      </c>
      <c r="D72">
        <f>FactorPillarNormalized[[#This Row],[Movement + Exercise Weight]]-PatientValues[[#This Row],[Movement + Exercise Weight]]</f>
        <v>1.4839424682162592</v>
      </c>
      <c r="E72">
        <f>FactorPillarNormalized[[#This Row],[Restorative Sleep Weight]]-PatientValues[[#This Row],[Restorative Sleep Weight]]</f>
        <v>0</v>
      </c>
      <c r="F72">
        <f>VLOOKUP(Sample_Patient_Norm!$B72,FactorScores[],3,FALSE)*Markers_Raw_Max[[#This Row],[Stress Management Weight]]*SM_Marker_Norm</f>
        <v>0</v>
      </c>
      <c r="G72">
        <f>VLOOKUP(Sample_Patient_Norm!$B72,FactorScores[],3,FALSE)*Markers_Raw_Max[[#This Row],[Cognitive Health Weight]]*CH_Marker_Norm</f>
        <v>0.63407838003386885</v>
      </c>
      <c r="H72">
        <f>VLOOKUP(Sample_Patient_Norm!$B72,FactorScores[],3,FALSE)*Markers_Raw_Max[[#This Row],[Connection + Purpose Weight]]*CP_Marker_Norm</f>
        <v>0</v>
      </c>
      <c r="I72">
        <f>VLOOKUP(Sample_Patient_Norm!$B72,FactorScores[],3,FALSE)*Markers_Raw_Max[[#This Row],[Core Care Weight]]*CC_Marker_Norm</f>
        <v>0</v>
      </c>
    </row>
    <row r="73" spans="2:9" x14ac:dyDescent="0.25">
      <c r="B73" t="s">
        <v>106</v>
      </c>
      <c r="C73">
        <f>FactorPillarNormalized[[#This Row],[Healthful Nutrition Weight]]-PatientValues[[#This Row],[Healthful Nutrition Weight]]</f>
        <v>0</v>
      </c>
      <c r="D73">
        <f>FactorPillarNormalized[[#This Row],[Movement + Exercise Weight]]-PatientValues[[#This Row],[Movement + Exercise Weight]]</f>
        <v>0.56894601146727264</v>
      </c>
      <c r="E73">
        <f>FactorPillarNormalized[[#This Row],[Restorative Sleep Weight]]-PatientValues[[#This Row],[Restorative Sleep Weight]]</f>
        <v>2.6415350532409096</v>
      </c>
      <c r="F73">
        <f>VLOOKUP(Sample_Patient_Norm!$B73,FactorScores[],3,FALSE)*Markers_Raw_Max[[#This Row],[Stress Management Weight]]*SM_Marker_Norm</f>
        <v>0.35703166268448827</v>
      </c>
      <c r="G73">
        <f>VLOOKUP(Sample_Patient_Norm!$B73,FactorScores[],3,FALSE)*Markers_Raw_Max[[#This Row],[Cognitive Health Weight]]*CH_Marker_Norm</f>
        <v>0</v>
      </c>
      <c r="H73">
        <f>VLOOKUP(Sample_Patient_Norm!$B73,FactorScores[],3,FALSE)*Markers_Raw_Max[[#This Row],[Connection + Purpose Weight]]*CP_Marker_Norm</f>
        <v>0</v>
      </c>
      <c r="I73">
        <f>VLOOKUP(Sample_Patient_Norm!$B73,FactorScores[],3,FALSE)*Markers_Raw_Max[[#This Row],[Core Care Weight]]*CC_Marker_Norm</f>
        <v>0.91096643212116801</v>
      </c>
    </row>
    <row r="74" spans="2:9" x14ac:dyDescent="0.25">
      <c r="B74" t="s">
        <v>107</v>
      </c>
      <c r="C74">
        <f>FactorPillarNormalized[[#This Row],[Healthful Nutrition Weight]]-PatientValues[[#This Row],[Healthful Nutrition Weight]]</f>
        <v>0.48739938954010342</v>
      </c>
      <c r="D74">
        <f>FactorPillarNormalized[[#This Row],[Movement + Exercise Weight]]-PatientValues[[#This Row],[Movement + Exercise Weight]]</f>
        <v>0.73109908431015513</v>
      </c>
      <c r="E74">
        <f>FactorPillarNormalized[[#This Row],[Restorative Sleep Weight]]-PatientValues[[#This Row],[Restorative Sleep Weight]]</f>
        <v>3.9601200400133401</v>
      </c>
      <c r="F74">
        <f>VLOOKUP(Sample_Patient_Norm!$B74,FactorScores[],3,FALSE)*Markers_Raw_Max[[#This Row],[Stress Management Weight]]*SM_Marker_Norm</f>
        <v>0.13591383608055774</v>
      </c>
      <c r="G74">
        <f>VLOOKUP(Sample_Patient_Norm!$B74,FactorScores[],3,FALSE)*Markers_Raw_Max[[#This Row],[Cognitive Health Weight]]*CH_Marker_Norm</f>
        <v>0.18643336747740777</v>
      </c>
      <c r="H74">
        <f>VLOOKUP(Sample_Patient_Norm!$B74,FactorScores[],3,FALSE)*Markers_Raw_Max[[#This Row],[Connection + Purpose Weight]]*CP_Marker_Norm</f>
        <v>0</v>
      </c>
      <c r="I74">
        <f>VLOOKUP(Sample_Patient_Norm!$B74,FactorScores[],3,FALSE)*Markers_Raw_Max[[#This Row],[Core Care Weight]]*CC_Marker_Norm</f>
        <v>0</v>
      </c>
    </row>
    <row r="75" spans="2:9" x14ac:dyDescent="0.25">
      <c r="B75" t="s">
        <v>108</v>
      </c>
      <c r="C75">
        <f>FactorPillarNormalized[[#This Row],[Healthful Nutrition Weight]]-PatientValues[[#This Row],[Healthful Nutrition Weight]]</f>
        <v>0.37958825566629528</v>
      </c>
      <c r="D75">
        <f>FactorPillarNormalized[[#This Row],[Movement + Exercise Weight]]-PatientValues[[#This Row],[Movement + Exercise Weight]]</f>
        <v>0.56938238349944292</v>
      </c>
      <c r="E75">
        <f>FactorPillarNormalized[[#This Row],[Restorative Sleep Weight]]-PatientValues[[#This Row],[Restorative Sleep Weight]]</f>
        <v>3.0841545772886487</v>
      </c>
      <c r="F75">
        <f>VLOOKUP(Sample_Patient_Norm!$B75,FactorScores[],3,FALSE)*Markers_Raw_Max[[#This Row],[Stress Management Weight]]*SM_Marker_Norm</f>
        <v>0.35643660991334714</v>
      </c>
      <c r="G75">
        <f>VLOOKUP(Sample_Patient_Norm!$B75,FactorScores[],3,FALSE)*Markers_Raw_Max[[#This Row],[Cognitive Health Weight]]*CH_Marker_Norm</f>
        <v>0.57041254440169542</v>
      </c>
      <c r="H75">
        <f>VLOOKUP(Sample_Patient_Norm!$B75,FactorScores[],3,FALSE)*Markers_Raw_Max[[#This Row],[Connection + Purpose Weight]]*CP_Marker_Norm</f>
        <v>0</v>
      </c>
      <c r="I75">
        <f>VLOOKUP(Sample_Patient_Norm!$B75,FactorScores[],3,FALSE)*Markers_Raw_Max[[#This Row],[Core Care Weight]]*CC_Marker_Norm</f>
        <v>0</v>
      </c>
    </row>
    <row r="76" spans="2:9" ht="13" x14ac:dyDescent="0.3">
      <c r="B76" s="6"/>
      <c r="C76" s="7"/>
      <c r="D76" s="7"/>
      <c r="E76" s="7"/>
      <c r="F76" s="7"/>
      <c r="G76" s="7"/>
      <c r="H76" s="7"/>
      <c r="I76" s="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014B-2437-44E1-82EF-5A068D6925ED}">
  <sheetPr>
    <tabColor theme="1"/>
  </sheetPr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768E-8E37-4D25-BDF3-CAA06CFCE00F}">
  <sheetPr>
    <tabColor rgb="FFFFFFCC"/>
  </sheetPr>
  <dimension ref="B2:H109"/>
  <sheetViews>
    <sheetView showGridLines="0" tabSelected="1" topLeftCell="A16" workbookViewId="0">
      <selection activeCell="D38" sqref="D38:D76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3</v>
      </c>
      <c r="D4">
        <v>0</v>
      </c>
      <c r="E4">
        <v>3</v>
      </c>
      <c r="F4">
        <v>0</v>
      </c>
      <c r="G4">
        <v>2</v>
      </c>
      <c r="H4">
        <v>2</v>
      </c>
    </row>
    <row r="5" spans="2:8" x14ac:dyDescent="0.25">
      <c r="B5">
        <v>2</v>
      </c>
      <c r="C5">
        <v>14</v>
      </c>
      <c r="D5">
        <v>4</v>
      </c>
      <c r="E5">
        <v>36</v>
      </c>
      <c r="F5">
        <v>0</v>
      </c>
      <c r="G5">
        <v>2</v>
      </c>
      <c r="H5">
        <v>4</v>
      </c>
    </row>
    <row r="6" spans="2:8" x14ac:dyDescent="0.25">
      <c r="B6">
        <v>3</v>
      </c>
      <c r="C6">
        <v>11</v>
      </c>
      <c r="D6">
        <v>0</v>
      </c>
      <c r="E6">
        <v>33</v>
      </c>
      <c r="F6">
        <v>0</v>
      </c>
      <c r="G6">
        <v>2</v>
      </c>
      <c r="H6">
        <v>6</v>
      </c>
    </row>
    <row r="7" spans="2:8" x14ac:dyDescent="0.25">
      <c r="B7">
        <v>4</v>
      </c>
      <c r="C7">
        <v>12</v>
      </c>
      <c r="D7">
        <v>0</v>
      </c>
      <c r="E7">
        <v>48</v>
      </c>
      <c r="F7">
        <v>0</v>
      </c>
      <c r="G7">
        <v>3</v>
      </c>
      <c r="H7">
        <v>12</v>
      </c>
    </row>
    <row r="8" spans="2:8" x14ac:dyDescent="0.25">
      <c r="B8">
        <v>5</v>
      </c>
      <c r="C8">
        <v>9</v>
      </c>
      <c r="D8">
        <v>3</v>
      </c>
      <c r="E8">
        <v>60</v>
      </c>
      <c r="F8">
        <v>0</v>
      </c>
      <c r="G8">
        <v>1</v>
      </c>
      <c r="H8">
        <v>5</v>
      </c>
    </row>
    <row r="9" spans="2:8" x14ac:dyDescent="0.25">
      <c r="B9">
        <v>6</v>
      </c>
      <c r="C9">
        <v>0</v>
      </c>
      <c r="D9">
        <v>1</v>
      </c>
      <c r="E9">
        <v>6</v>
      </c>
      <c r="F9">
        <v>0</v>
      </c>
      <c r="G9">
        <v>5</v>
      </c>
      <c r="H9">
        <v>30</v>
      </c>
    </row>
    <row r="10" spans="2:8" x14ac:dyDescent="0.25">
      <c r="B10">
        <v>7</v>
      </c>
      <c r="C10">
        <v>0</v>
      </c>
      <c r="D10">
        <v>2</v>
      </c>
      <c r="E10">
        <v>14</v>
      </c>
      <c r="F10">
        <v>0</v>
      </c>
      <c r="G10">
        <v>2</v>
      </c>
      <c r="H10">
        <v>14</v>
      </c>
    </row>
    <row r="11" spans="2:8" x14ac:dyDescent="0.25">
      <c r="B11">
        <v>8</v>
      </c>
      <c r="C11">
        <v>5</v>
      </c>
      <c r="D11">
        <v>0</v>
      </c>
      <c r="E11">
        <v>40</v>
      </c>
      <c r="F11">
        <v>0</v>
      </c>
      <c r="G11">
        <v>0</v>
      </c>
      <c r="H11">
        <v>0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2</v>
      </c>
      <c r="D13">
        <v>0</v>
      </c>
      <c r="E13">
        <v>20</v>
      </c>
      <c r="F13">
        <v>0</v>
      </c>
      <c r="G13">
        <v>0</v>
      </c>
      <c r="H13">
        <v>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SUBTOTAL(109,Table5[MARKER_METRIC_TOTAL])</f>
        <v>260</v>
      </c>
      <c r="H24">
        <f>SUBTOTAL(109,Table5[SURVEY_TOTAL])</f>
        <v>73</v>
      </c>
    </row>
    <row r="27" spans="2:8" ht="13" x14ac:dyDescent="0.3">
      <c r="B27" t="s">
        <v>815</v>
      </c>
    </row>
    <row r="32" spans="2:8" x14ac:dyDescent="0.25">
      <c r="C32" s="14"/>
    </row>
    <row r="34" spans="3:3" x14ac:dyDescent="0.25">
      <c r="C34" s="14"/>
    </row>
    <row r="78" spans="4:4" x14ac:dyDescent="0.25">
      <c r="D78">
        <v>2</v>
      </c>
    </row>
    <row r="79" spans="4:4" x14ac:dyDescent="0.25">
      <c r="D79">
        <v>2</v>
      </c>
    </row>
    <row r="80" spans="4:4" x14ac:dyDescent="0.25">
      <c r="D80">
        <v>2</v>
      </c>
    </row>
    <row r="81" spans="4:4" x14ac:dyDescent="0.25">
      <c r="D81">
        <v>4</v>
      </c>
    </row>
    <row r="82" spans="4:4" x14ac:dyDescent="0.25">
      <c r="D82">
        <v>4</v>
      </c>
    </row>
    <row r="84" spans="4:4" x14ac:dyDescent="0.25">
      <c r="D84">
        <v>5</v>
      </c>
    </row>
    <row r="86" spans="4:4" x14ac:dyDescent="0.25">
      <c r="D86">
        <v>3</v>
      </c>
    </row>
    <row r="87" spans="4:4" x14ac:dyDescent="0.25">
      <c r="D87">
        <v>3</v>
      </c>
    </row>
    <row r="88" spans="4:4" x14ac:dyDescent="0.25">
      <c r="D88">
        <v>4</v>
      </c>
    </row>
    <row r="89" spans="4:4" x14ac:dyDescent="0.25">
      <c r="D89">
        <v>5</v>
      </c>
    </row>
    <row r="90" spans="4:4" x14ac:dyDescent="0.25">
      <c r="D90">
        <v>4</v>
      </c>
    </row>
    <row r="91" spans="4:4" x14ac:dyDescent="0.25">
      <c r="D91">
        <v>3</v>
      </c>
    </row>
    <row r="92" spans="4:4" x14ac:dyDescent="0.25">
      <c r="D92">
        <v>4</v>
      </c>
    </row>
    <row r="93" spans="4:4" x14ac:dyDescent="0.25">
      <c r="D93">
        <v>2</v>
      </c>
    </row>
    <row r="94" spans="4:4" x14ac:dyDescent="0.25">
      <c r="D94">
        <v>3</v>
      </c>
    </row>
    <row r="95" spans="4:4" x14ac:dyDescent="0.25">
      <c r="D95">
        <v>3</v>
      </c>
    </row>
    <row r="96" spans="4:4" x14ac:dyDescent="0.25">
      <c r="D96">
        <v>2</v>
      </c>
    </row>
    <row r="98" spans="4:4" x14ac:dyDescent="0.25">
      <c r="D98">
        <v>7</v>
      </c>
    </row>
    <row r="99" spans="4:4" x14ac:dyDescent="0.25">
      <c r="D99">
        <v>5</v>
      </c>
    </row>
    <row r="100" spans="4:4" x14ac:dyDescent="0.25">
      <c r="D100">
        <v>6</v>
      </c>
    </row>
    <row r="101" spans="4:4" x14ac:dyDescent="0.25">
      <c r="D101">
        <v>7</v>
      </c>
    </row>
    <row r="102" spans="4:4" x14ac:dyDescent="0.25">
      <c r="D102">
        <v>2</v>
      </c>
    </row>
    <row r="103" spans="4:4" x14ac:dyDescent="0.25">
      <c r="D103">
        <v>5</v>
      </c>
    </row>
    <row r="104" spans="4:4" x14ac:dyDescent="0.25">
      <c r="D104">
        <v>5</v>
      </c>
    </row>
    <row r="105" spans="4:4" x14ac:dyDescent="0.25">
      <c r="D105">
        <v>2</v>
      </c>
    </row>
    <row r="108" spans="4:4" x14ac:dyDescent="0.25">
      <c r="D108">
        <v>2</v>
      </c>
    </row>
    <row r="109" spans="4:4" x14ac:dyDescent="0.25">
      <c r="D109"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1281-590A-4362-911A-F584A6683D3D}">
  <sheetPr>
    <tabColor rgb="FFFFC1C1"/>
  </sheetPr>
  <dimension ref="B2:H24"/>
  <sheetViews>
    <sheetView showGridLines="0" workbookViewId="0">
      <selection activeCell="G32" sqref="G32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3</v>
      </c>
      <c r="D4">
        <v>0</v>
      </c>
      <c r="E4">
        <v>3</v>
      </c>
      <c r="F4">
        <v>1</v>
      </c>
      <c r="G4">
        <v>0</v>
      </c>
      <c r="H4">
        <v>1</v>
      </c>
    </row>
    <row r="5" spans="2:8" x14ac:dyDescent="0.25">
      <c r="B5">
        <v>2</v>
      </c>
      <c r="C5">
        <v>2</v>
      </c>
      <c r="D5">
        <v>3</v>
      </c>
      <c r="E5">
        <v>10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5</v>
      </c>
      <c r="D6">
        <v>1</v>
      </c>
      <c r="E6">
        <v>18</v>
      </c>
      <c r="F6">
        <v>0</v>
      </c>
      <c r="G6">
        <v>0</v>
      </c>
      <c r="H6">
        <v>0</v>
      </c>
    </row>
    <row r="7" spans="2:8" x14ac:dyDescent="0.25">
      <c r="B7">
        <v>4</v>
      </c>
      <c r="C7">
        <v>2</v>
      </c>
      <c r="D7">
        <v>1</v>
      </c>
      <c r="E7">
        <v>12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3</v>
      </c>
      <c r="D8">
        <v>2</v>
      </c>
      <c r="E8">
        <v>25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0</v>
      </c>
      <c r="D9">
        <v>2</v>
      </c>
      <c r="E9">
        <v>12</v>
      </c>
      <c r="F9">
        <v>0</v>
      </c>
      <c r="G9">
        <v>1</v>
      </c>
      <c r="H9">
        <v>6</v>
      </c>
    </row>
    <row r="10" spans="2:8" x14ac:dyDescent="0.25">
      <c r="B10">
        <v>7</v>
      </c>
      <c r="C10">
        <v>4</v>
      </c>
      <c r="D10">
        <v>2</v>
      </c>
      <c r="E10">
        <v>42</v>
      </c>
      <c r="F10">
        <v>0</v>
      </c>
      <c r="G10">
        <v>0</v>
      </c>
      <c r="H10">
        <v>0</v>
      </c>
    </row>
    <row r="11" spans="2:8" x14ac:dyDescent="0.25">
      <c r="B11">
        <v>8</v>
      </c>
      <c r="C11">
        <v>0</v>
      </c>
      <c r="D11">
        <v>1</v>
      </c>
      <c r="E11">
        <v>8</v>
      </c>
      <c r="F11">
        <v>0</v>
      </c>
      <c r="G11">
        <v>1</v>
      </c>
      <c r="H11">
        <v>8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1</v>
      </c>
      <c r="G16">
        <v>0</v>
      </c>
      <c r="H16">
        <v>13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3</v>
      </c>
      <c r="G19">
        <v>0</v>
      </c>
      <c r="H19">
        <v>48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SUBTOTAL(109,Table512[MARKER_METRIC_TOTAL])</f>
        <v>130</v>
      </c>
      <c r="H24">
        <f>SUBTOTAL(109,Table512[SURVEY_TOTAL])</f>
        <v>76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54EB-26BB-45EA-B3C3-9BE2A744ED6A}">
  <sheetPr>
    <tabColor theme="2" tint="-9.9978637043366805E-2"/>
  </sheetPr>
  <dimension ref="B2:H24"/>
  <sheetViews>
    <sheetView showGridLines="0" workbookViewId="0">
      <selection activeCell="E29" sqref="E29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2</v>
      </c>
      <c r="D5">
        <v>1</v>
      </c>
      <c r="E5">
        <v>6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4</v>
      </c>
      <c r="D6">
        <v>3</v>
      </c>
      <c r="E6">
        <v>21</v>
      </c>
      <c r="F6">
        <v>1</v>
      </c>
      <c r="G6">
        <v>0</v>
      </c>
      <c r="H6">
        <v>3</v>
      </c>
    </row>
    <row r="7" spans="2:8" x14ac:dyDescent="0.25">
      <c r="B7">
        <v>4</v>
      </c>
      <c r="C7">
        <v>4</v>
      </c>
      <c r="D7">
        <v>2</v>
      </c>
      <c r="E7">
        <v>24</v>
      </c>
      <c r="F7">
        <v>1</v>
      </c>
      <c r="G7">
        <v>0</v>
      </c>
      <c r="H7">
        <v>4</v>
      </c>
    </row>
    <row r="8" spans="2:8" x14ac:dyDescent="0.25">
      <c r="B8">
        <v>5</v>
      </c>
      <c r="C8">
        <v>2</v>
      </c>
      <c r="D8">
        <v>1</v>
      </c>
      <c r="E8">
        <v>15</v>
      </c>
      <c r="F8">
        <v>3</v>
      </c>
      <c r="G8">
        <v>1</v>
      </c>
      <c r="H8">
        <v>20</v>
      </c>
    </row>
    <row r="9" spans="2:8" x14ac:dyDescent="0.25">
      <c r="B9">
        <v>6</v>
      </c>
      <c r="C9">
        <v>2</v>
      </c>
      <c r="D9">
        <v>1</v>
      </c>
      <c r="E9">
        <v>18</v>
      </c>
      <c r="F9">
        <v>1</v>
      </c>
      <c r="G9">
        <v>1</v>
      </c>
      <c r="H9">
        <v>12</v>
      </c>
    </row>
    <row r="10" spans="2:8" x14ac:dyDescent="0.25">
      <c r="B10">
        <v>7</v>
      </c>
      <c r="C10">
        <v>0</v>
      </c>
      <c r="D10">
        <v>2</v>
      </c>
      <c r="E10">
        <v>14</v>
      </c>
      <c r="F10">
        <v>1</v>
      </c>
      <c r="G10">
        <v>0</v>
      </c>
      <c r="H10">
        <v>7</v>
      </c>
    </row>
    <row r="11" spans="2:8" x14ac:dyDescent="0.25"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8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1</v>
      </c>
      <c r="G12">
        <v>0</v>
      </c>
      <c r="H12">
        <v>9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1</v>
      </c>
      <c r="H13">
        <v>10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SUBTOTAL(109,Table51213[MARKER_METRIC_TOTAL])</f>
        <v>98</v>
      </c>
      <c r="H24">
        <f>SUBTOTAL(109,Table51213[SURVEY_TOTAL])</f>
        <v>73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89A-5D2F-4B2A-AEC5-1CAC94DD003F}">
  <sheetPr>
    <tabColor theme="6" tint="0.79998168889431442"/>
  </sheetPr>
  <dimension ref="B2:H27"/>
  <sheetViews>
    <sheetView showGridLines="0" workbookViewId="0">
      <selection activeCell="D31" sqref="D31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2</v>
      </c>
      <c r="D5">
        <v>0</v>
      </c>
      <c r="E5">
        <v>4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7</v>
      </c>
      <c r="D6">
        <v>2</v>
      </c>
      <c r="E6">
        <v>27</v>
      </c>
      <c r="F6">
        <v>0</v>
      </c>
      <c r="G6">
        <v>0</v>
      </c>
      <c r="H6">
        <v>0</v>
      </c>
    </row>
    <row r="7" spans="2:8" x14ac:dyDescent="0.25">
      <c r="B7">
        <v>4</v>
      </c>
      <c r="C7">
        <v>6</v>
      </c>
      <c r="D7">
        <v>5</v>
      </c>
      <c r="E7">
        <v>44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6</v>
      </c>
      <c r="D8">
        <v>0</v>
      </c>
      <c r="E8">
        <v>30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2</v>
      </c>
      <c r="D9">
        <v>3</v>
      </c>
      <c r="E9">
        <v>30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0</v>
      </c>
      <c r="D10">
        <v>0</v>
      </c>
      <c r="E10">
        <v>0</v>
      </c>
      <c r="F10">
        <v>1</v>
      </c>
      <c r="G10">
        <v>0</v>
      </c>
      <c r="H10">
        <v>7</v>
      </c>
    </row>
    <row r="11" spans="2:8" x14ac:dyDescent="0.25">
      <c r="B11">
        <v>8</v>
      </c>
      <c r="C11">
        <v>1</v>
      </c>
      <c r="D11">
        <v>0</v>
      </c>
      <c r="E11">
        <v>8</v>
      </c>
      <c r="F11">
        <v>0</v>
      </c>
      <c r="G11">
        <v>0</v>
      </c>
      <c r="H11">
        <v>0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4</v>
      </c>
      <c r="H13">
        <v>40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1</v>
      </c>
      <c r="G22">
        <v>0</v>
      </c>
      <c r="H22">
        <v>19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SUBTOTAL(109,Table5121314[MARKER_METRIC_TOTAL])</f>
        <v>143</v>
      </c>
      <c r="H24">
        <f>SUBTOTAL(109,Table5121314[SURVEY_TOTAL])</f>
        <v>66</v>
      </c>
    </row>
    <row r="27" spans="2:8" ht="13" x14ac:dyDescent="0.3">
      <c r="B27" t="s">
        <v>816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0248-8B17-4457-A6A7-257CB167042D}">
  <sheetPr>
    <tabColor theme="8" tint="0.79998168889431442"/>
  </sheetPr>
  <dimension ref="B2:H24"/>
  <sheetViews>
    <sheetView showGridLines="0" workbookViewId="0">
      <selection activeCell="B3" sqref="B3:H23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</row>
    <row r="6" spans="2:8" x14ac:dyDescent="0.25">
      <c r="B6">
        <v>3</v>
      </c>
      <c r="C6">
        <v>1</v>
      </c>
      <c r="D6">
        <v>0</v>
      </c>
      <c r="E6">
        <v>3</v>
      </c>
      <c r="F6">
        <v>0</v>
      </c>
      <c r="G6">
        <v>0</v>
      </c>
      <c r="H6">
        <v>0</v>
      </c>
    </row>
    <row r="7" spans="2:8" x14ac:dyDescent="0.25">
      <c r="B7">
        <v>4</v>
      </c>
      <c r="C7">
        <v>1</v>
      </c>
      <c r="D7">
        <v>2</v>
      </c>
      <c r="E7">
        <v>12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4</v>
      </c>
      <c r="D8">
        <v>2</v>
      </c>
      <c r="E8">
        <v>30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4</v>
      </c>
      <c r="D9">
        <v>2</v>
      </c>
      <c r="E9">
        <v>36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5</v>
      </c>
      <c r="D10">
        <v>1</v>
      </c>
      <c r="E10">
        <v>42</v>
      </c>
      <c r="F10">
        <v>0</v>
      </c>
      <c r="G10">
        <v>0</v>
      </c>
      <c r="H10">
        <v>0</v>
      </c>
    </row>
    <row r="11" spans="2:8" x14ac:dyDescent="0.25">
      <c r="B11">
        <v>8</v>
      </c>
      <c r="C11">
        <v>2</v>
      </c>
      <c r="D11">
        <v>0</v>
      </c>
      <c r="E11">
        <v>16</v>
      </c>
      <c r="F11">
        <v>0</v>
      </c>
      <c r="G11">
        <v>5</v>
      </c>
      <c r="H11">
        <v>40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SUBTOTAL(109,Table512131415[MARKER_METRIC_TOTAL])</f>
        <v>139</v>
      </c>
      <c r="H24">
        <f>SUBTOTAL(109,Table512131415[SURVEY_TOTAL])</f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6D8A-9D7A-4D7D-BF2E-7129C6F3484A}">
  <sheetPr>
    <tabColor theme="7"/>
  </sheetPr>
  <dimension ref="A1"/>
  <sheetViews>
    <sheetView workbookViewId="0">
      <selection activeCell="D6" sqref="D6"/>
    </sheetView>
  </sheetViews>
  <sheetFormatPr defaultRowHeight="12.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F2A6-A6EB-42A1-A587-066A05C098D2}">
  <sheetPr>
    <tabColor theme="4" tint="0.79998168889431442"/>
  </sheetPr>
  <dimension ref="B2:H24"/>
  <sheetViews>
    <sheetView showGridLines="0" workbookViewId="0">
      <selection activeCell="F32" sqref="F32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1</v>
      </c>
      <c r="D5">
        <v>0</v>
      </c>
      <c r="E5">
        <v>2</v>
      </c>
      <c r="F5">
        <v>0</v>
      </c>
      <c r="G5">
        <v>0</v>
      </c>
      <c r="H5">
        <v>0</v>
      </c>
    </row>
    <row r="6" spans="2:8" x14ac:dyDescent="0.25">
      <c r="B6">
        <v>3</v>
      </c>
      <c r="C6">
        <v>1</v>
      </c>
      <c r="D6">
        <v>0</v>
      </c>
      <c r="E6">
        <v>3</v>
      </c>
      <c r="F6">
        <v>0</v>
      </c>
      <c r="G6">
        <v>1</v>
      </c>
      <c r="H6">
        <v>3</v>
      </c>
    </row>
    <row r="7" spans="2:8" x14ac:dyDescent="0.25"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25">
      <c r="B8">
        <v>5</v>
      </c>
      <c r="C8">
        <v>1</v>
      </c>
      <c r="D8">
        <v>0</v>
      </c>
      <c r="E8">
        <v>5</v>
      </c>
      <c r="F8">
        <v>0</v>
      </c>
      <c r="G8">
        <v>0</v>
      </c>
      <c r="H8">
        <v>0</v>
      </c>
    </row>
    <row r="9" spans="2:8" x14ac:dyDescent="0.25"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2:8" x14ac:dyDescent="0.25"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x14ac:dyDescent="0.25">
      <c r="B11">
        <v>8</v>
      </c>
      <c r="C11">
        <v>0</v>
      </c>
      <c r="D11">
        <v>0</v>
      </c>
      <c r="E11">
        <v>0</v>
      </c>
      <c r="F11">
        <v>0</v>
      </c>
      <c r="G11">
        <v>1</v>
      </c>
      <c r="H11">
        <v>8</v>
      </c>
    </row>
    <row r="12" spans="2:8" x14ac:dyDescent="0.25">
      <c r="B12">
        <v>9</v>
      </c>
      <c r="C12">
        <v>0</v>
      </c>
      <c r="D12">
        <v>0</v>
      </c>
      <c r="E12">
        <v>0</v>
      </c>
      <c r="F12">
        <v>0</v>
      </c>
      <c r="G12">
        <v>1</v>
      </c>
      <c r="H12">
        <v>9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0</v>
      </c>
      <c r="G13">
        <v>2</v>
      </c>
      <c r="H13">
        <v>20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SUBTOTAL(109,Table51213141516[MARKER_METRIC_TOTAL])</f>
        <v>10</v>
      </c>
      <c r="H24">
        <f>SUBTOTAL(109,Table51213141516[SURVEY_TOTAL])</f>
        <v>40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CFDF-8162-4421-91CE-2A242EDEA183}">
  <sheetPr>
    <tabColor theme="5" tint="0.79998168889431442"/>
  </sheetPr>
  <dimension ref="B2:H24"/>
  <sheetViews>
    <sheetView showGridLines="0" workbookViewId="0">
      <selection activeCell="G30" sqref="G30"/>
    </sheetView>
  </sheetViews>
  <sheetFormatPr defaultRowHeight="12.5" x14ac:dyDescent="0.25"/>
  <cols>
    <col min="2" max="4" width="21.7265625" customWidth="1"/>
    <col min="5" max="5" width="23.81640625" bestFit="1" customWidth="1"/>
    <col min="6" max="8" width="21.7265625" customWidth="1"/>
  </cols>
  <sheetData>
    <row r="2" spans="2:8" x14ac:dyDescent="0.25">
      <c r="B2" t="s">
        <v>808</v>
      </c>
      <c r="C2" t="s">
        <v>809</v>
      </c>
      <c r="D2" t="s">
        <v>810</v>
      </c>
      <c r="E2" t="s">
        <v>811</v>
      </c>
      <c r="F2" t="s">
        <v>812</v>
      </c>
      <c r="G2" t="s">
        <v>813</v>
      </c>
      <c r="H2" t="s">
        <v>814</v>
      </c>
    </row>
    <row r="3" spans="2: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25">
      <c r="B5">
        <v>2</v>
      </c>
      <c r="C5">
        <v>0</v>
      </c>
      <c r="D5">
        <v>0</v>
      </c>
      <c r="E5">
        <v>0</v>
      </c>
      <c r="F5">
        <v>1</v>
      </c>
      <c r="G5">
        <v>1</v>
      </c>
      <c r="H5">
        <v>4</v>
      </c>
    </row>
    <row r="6" spans="2:8" x14ac:dyDescent="0.25">
      <c r="B6">
        <v>3</v>
      </c>
      <c r="C6">
        <v>1</v>
      </c>
      <c r="D6">
        <v>0</v>
      </c>
      <c r="E6">
        <v>3</v>
      </c>
      <c r="F6">
        <v>1</v>
      </c>
      <c r="G6">
        <v>0</v>
      </c>
      <c r="H6">
        <v>3</v>
      </c>
    </row>
    <row r="7" spans="2:8" x14ac:dyDescent="0.25">
      <c r="B7">
        <v>4</v>
      </c>
      <c r="C7">
        <v>4</v>
      </c>
      <c r="D7">
        <v>0</v>
      </c>
      <c r="E7">
        <v>16</v>
      </c>
      <c r="F7">
        <v>1</v>
      </c>
      <c r="G7">
        <v>2</v>
      </c>
      <c r="H7">
        <v>12</v>
      </c>
    </row>
    <row r="8" spans="2:8" x14ac:dyDescent="0.25">
      <c r="B8">
        <v>5</v>
      </c>
      <c r="C8">
        <v>4</v>
      </c>
      <c r="D8">
        <v>0</v>
      </c>
      <c r="E8">
        <v>20</v>
      </c>
      <c r="F8">
        <v>0</v>
      </c>
      <c r="G8">
        <v>8</v>
      </c>
      <c r="H8">
        <v>40</v>
      </c>
    </row>
    <row r="9" spans="2:8" x14ac:dyDescent="0.25">
      <c r="B9">
        <v>6</v>
      </c>
      <c r="C9">
        <v>2</v>
      </c>
      <c r="D9">
        <v>0</v>
      </c>
      <c r="E9">
        <v>12</v>
      </c>
      <c r="F9">
        <v>2</v>
      </c>
      <c r="G9">
        <v>1</v>
      </c>
      <c r="H9">
        <v>18</v>
      </c>
    </row>
    <row r="10" spans="2:8" x14ac:dyDescent="0.25">
      <c r="B10">
        <v>7</v>
      </c>
      <c r="C10">
        <v>3</v>
      </c>
      <c r="D10">
        <v>0</v>
      </c>
      <c r="E10">
        <v>21</v>
      </c>
      <c r="F10">
        <v>0</v>
      </c>
      <c r="G10">
        <v>8</v>
      </c>
      <c r="H10">
        <v>56</v>
      </c>
    </row>
    <row r="11" spans="2:8" x14ac:dyDescent="0.25">
      <c r="B11">
        <v>8</v>
      </c>
      <c r="C11">
        <v>4</v>
      </c>
      <c r="D11">
        <v>3</v>
      </c>
      <c r="E11">
        <v>56</v>
      </c>
      <c r="F11">
        <v>1</v>
      </c>
      <c r="G11">
        <v>2</v>
      </c>
      <c r="H11">
        <v>24</v>
      </c>
    </row>
    <row r="12" spans="2:8" x14ac:dyDescent="0.25">
      <c r="B12">
        <v>9</v>
      </c>
      <c r="C12">
        <v>1</v>
      </c>
      <c r="D12">
        <v>0</v>
      </c>
      <c r="E12">
        <v>9</v>
      </c>
      <c r="F12">
        <v>0</v>
      </c>
      <c r="G12">
        <v>0</v>
      </c>
      <c r="H12">
        <v>0</v>
      </c>
    </row>
    <row r="13" spans="2:8" x14ac:dyDescent="0.25">
      <c r="B13">
        <v>10</v>
      </c>
      <c r="C13">
        <v>0</v>
      </c>
      <c r="D13">
        <v>0</v>
      </c>
      <c r="E13">
        <v>0</v>
      </c>
      <c r="F13">
        <v>1</v>
      </c>
      <c r="G13">
        <v>20</v>
      </c>
      <c r="H13">
        <v>210</v>
      </c>
    </row>
    <row r="14" spans="2:8" x14ac:dyDescent="0.25"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25"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25"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25"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25"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15</v>
      </c>
    </row>
    <row r="19" spans="2:8" x14ac:dyDescent="0.25"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25"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25">
      <c r="B2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25">
      <c r="B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25">
      <c r="B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25">
      <c r="B24" t="s">
        <v>109</v>
      </c>
      <c r="E24">
        <f>SUBTOTAL(109,Table5121314151617[MARKER_METRIC_TOTAL])</f>
        <v>137</v>
      </c>
      <c r="H24">
        <f>SUBTOTAL(109,Table5121314151617[SURVEY_TOTAL])</f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6C40-8BCC-4D0A-BA01-0D625E28FE76}">
  <dimension ref="B2:F5"/>
  <sheetViews>
    <sheetView showGridLines="0" workbookViewId="0">
      <selection activeCell="E4" sqref="E4"/>
    </sheetView>
  </sheetViews>
  <sheetFormatPr defaultRowHeight="12.5" x14ac:dyDescent="0.25"/>
  <cols>
    <col min="2" max="2" width="9.36328125" bestFit="1" customWidth="1"/>
    <col min="3" max="3" width="13.7265625" bestFit="1" customWidth="1"/>
    <col min="5" max="5" width="13.54296875" customWidth="1"/>
    <col min="6" max="6" width="14" customWidth="1"/>
  </cols>
  <sheetData>
    <row r="2" spans="2:6" x14ac:dyDescent="0.25">
      <c r="B2" t="s">
        <v>771</v>
      </c>
      <c r="C2" t="s">
        <v>776</v>
      </c>
      <c r="E2" t="s">
        <v>769</v>
      </c>
      <c r="F2" t="s">
        <v>777</v>
      </c>
    </row>
    <row r="3" spans="2:6" x14ac:dyDescent="0.25">
      <c r="B3" t="s">
        <v>772</v>
      </c>
      <c r="C3">
        <v>1</v>
      </c>
      <c r="E3" t="s">
        <v>28</v>
      </c>
      <c r="F3">
        <v>1</v>
      </c>
    </row>
    <row r="4" spans="2:6" x14ac:dyDescent="0.25">
      <c r="B4" t="s">
        <v>775</v>
      </c>
      <c r="C4">
        <v>0.7</v>
      </c>
      <c r="E4" t="s">
        <v>774</v>
      </c>
      <c r="F4">
        <v>1</v>
      </c>
    </row>
    <row r="5" spans="2:6" x14ac:dyDescent="0.25">
      <c r="B5" t="s">
        <v>773</v>
      </c>
      <c r="C5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68A6-5DED-44CB-9CE2-D3F886561873}">
  <dimension ref="B2:O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RowHeight="12.5" x14ac:dyDescent="0.25"/>
  <cols>
    <col min="2" max="2" width="18.6328125" bestFit="1" customWidth="1"/>
    <col min="3" max="3" width="10.26953125" bestFit="1" customWidth="1"/>
    <col min="4" max="4" width="10.90625" bestFit="1" customWidth="1"/>
    <col min="5" max="5" width="10.6328125" bestFit="1" customWidth="1"/>
    <col min="6" max="6" width="13" bestFit="1" customWidth="1"/>
    <col min="7" max="7" width="12.6328125" bestFit="1" customWidth="1"/>
    <col min="8" max="8" width="12.36328125" bestFit="1" customWidth="1"/>
    <col min="9" max="9" width="14.7265625" bestFit="1" customWidth="1"/>
    <col min="10" max="10" width="15.36328125" bestFit="1" customWidth="1"/>
    <col min="11" max="11" width="15.08984375" bestFit="1" customWidth="1"/>
    <col min="12" max="12" width="17.54296875" bestFit="1" customWidth="1"/>
    <col min="13" max="13" width="15.36328125" bestFit="1" customWidth="1"/>
    <col min="14" max="14" width="15.08984375" bestFit="1" customWidth="1"/>
    <col min="15" max="15" width="17.54296875" bestFit="1" customWidth="1"/>
  </cols>
  <sheetData>
    <row r="2" spans="2:15" x14ac:dyDescent="0.25">
      <c r="B2" t="s">
        <v>20</v>
      </c>
      <c r="C2" t="s">
        <v>805</v>
      </c>
      <c r="D2" t="s">
        <v>780</v>
      </c>
      <c r="E2" t="s">
        <v>781</v>
      </c>
      <c r="F2" t="s">
        <v>782</v>
      </c>
      <c r="G2" t="s">
        <v>783</v>
      </c>
      <c r="H2" t="s">
        <v>784</v>
      </c>
      <c r="I2" t="s">
        <v>788</v>
      </c>
      <c r="J2" t="s">
        <v>790</v>
      </c>
      <c r="K2" t="s">
        <v>791</v>
      </c>
      <c r="L2" t="s">
        <v>792</v>
      </c>
      <c r="M2" t="s">
        <v>789</v>
      </c>
      <c r="N2" t="s">
        <v>793</v>
      </c>
      <c r="O2" t="s">
        <v>794</v>
      </c>
    </row>
    <row r="3" spans="2:15" x14ac:dyDescent="0.25">
      <c r="B3" t="s">
        <v>21</v>
      </c>
      <c r="C3" s="8">
        <v>0.25</v>
      </c>
      <c r="D3" s="8">
        <v>0.72</v>
      </c>
      <c r="E3" s="8">
        <v>0.18</v>
      </c>
      <c r="F3" s="8">
        <v>0.1</v>
      </c>
      <c r="G3">
        <v>260</v>
      </c>
      <c r="H3">
        <v>73</v>
      </c>
      <c r="I3">
        <v>10</v>
      </c>
      <c r="J3" s="11">
        <f>100/PillarWeights[[#This Row],[Marker Max]]*PillarWeights[[#This Row],[Marker %]]</f>
        <v>0.27692307692307694</v>
      </c>
      <c r="K3" s="11">
        <f>100/PillarWeights[[#This Row],[Survey Max]]*PillarWeights[[#This Row],[Survey %]]</f>
        <v>0.24657534246575341</v>
      </c>
      <c r="L3" s="11">
        <f>100/PillarWeights[[#This Row],[Education Max]]*PillarWeights[[#This Row],[Education %]]</f>
        <v>1</v>
      </c>
      <c r="M3" s="12">
        <f>PillarWeights[[#This Row],[Marker Norm Mult]]*PillarWeights[[#This Row],[Marker Max]]</f>
        <v>72</v>
      </c>
      <c r="N3" s="12">
        <f>PillarWeights[[#This Row],[Survey Max]]*PillarWeights[[#This Row],[Survey Norm Mult]]</f>
        <v>18</v>
      </c>
      <c r="O3" s="12">
        <f>PillarWeights[[#This Row],[Education Norm Mult]]*PillarWeights[[#This Row],[Education Max]]</f>
        <v>10</v>
      </c>
    </row>
    <row r="4" spans="2:15" x14ac:dyDescent="0.25">
      <c r="B4" t="s">
        <v>23</v>
      </c>
      <c r="C4" s="8">
        <v>0.2</v>
      </c>
      <c r="D4" s="8">
        <v>0.54</v>
      </c>
      <c r="E4" s="8">
        <v>0.36</v>
      </c>
      <c r="F4" s="8">
        <v>0.1</v>
      </c>
      <c r="G4">
        <v>130</v>
      </c>
      <c r="H4">
        <v>76</v>
      </c>
      <c r="I4">
        <v>10</v>
      </c>
      <c r="J4" s="11">
        <f>100/PillarWeights[[#This Row],[Marker Max]]*PillarWeights[[#This Row],[Marker %]]</f>
        <v>0.41538461538461541</v>
      </c>
      <c r="K4" s="11">
        <f>100/PillarWeights[[#This Row],[Survey Max]]*PillarWeights[[#This Row],[Survey %]]</f>
        <v>0.47368421052631582</v>
      </c>
      <c r="L4" s="11">
        <f>100/PillarWeights[[#This Row],[Education Max]]*PillarWeights[[#This Row],[Education %]]</f>
        <v>1</v>
      </c>
      <c r="M4" s="12">
        <f>PillarWeights[[#This Row],[Marker Norm Mult]]*PillarWeights[[#This Row],[Marker Max]]</f>
        <v>54</v>
      </c>
      <c r="N4" s="12">
        <f>PillarWeights[[#This Row],[Survey Max]]*PillarWeights[[#This Row],[Survey Norm Mult]]</f>
        <v>36</v>
      </c>
      <c r="O4" s="12">
        <f>PillarWeights[[#This Row],[Education Norm Mult]]*PillarWeights[[#This Row],[Education Max]]</f>
        <v>10</v>
      </c>
    </row>
    <row r="5" spans="2:15" x14ac:dyDescent="0.25">
      <c r="B5" t="s">
        <v>25</v>
      </c>
      <c r="C5" s="8">
        <v>0.15</v>
      </c>
      <c r="D5" s="8">
        <v>0.63</v>
      </c>
      <c r="E5" s="8">
        <v>0.27</v>
      </c>
      <c r="F5" s="8">
        <v>0.1</v>
      </c>
      <c r="G5">
        <v>98</v>
      </c>
      <c r="H5">
        <v>75</v>
      </c>
      <c r="I5">
        <v>10</v>
      </c>
      <c r="J5" s="11">
        <f>100/PillarWeights[[#This Row],[Marker Max]]*PillarWeights[[#This Row],[Marker %]]</f>
        <v>0.6428571428571429</v>
      </c>
      <c r="K5" s="11">
        <f>100/PillarWeights[[#This Row],[Survey Max]]*PillarWeights[[#This Row],[Survey %]]</f>
        <v>0.36</v>
      </c>
      <c r="L5" s="11">
        <f>100/PillarWeights[[#This Row],[Education Max]]*PillarWeights[[#This Row],[Education %]]</f>
        <v>1</v>
      </c>
      <c r="M5" s="12">
        <f>PillarWeights[[#This Row],[Marker Norm Mult]]*PillarWeights[[#This Row],[Marker Max]]</f>
        <v>63.000000000000007</v>
      </c>
      <c r="N5" s="12">
        <f>PillarWeights[[#This Row],[Survey Max]]*PillarWeights[[#This Row],[Survey Norm Mult]]</f>
        <v>27</v>
      </c>
      <c r="O5" s="12">
        <f>PillarWeights[[#This Row],[Education Norm Mult]]*PillarWeights[[#This Row],[Education Max]]</f>
        <v>10</v>
      </c>
    </row>
    <row r="6" spans="2:15" x14ac:dyDescent="0.25">
      <c r="B6" t="s">
        <v>22</v>
      </c>
      <c r="C6" s="8">
        <v>0.15</v>
      </c>
      <c r="D6" s="8">
        <v>0.27</v>
      </c>
      <c r="E6" s="8">
        <v>0.63</v>
      </c>
      <c r="F6" s="8">
        <v>0.1</v>
      </c>
      <c r="G6">
        <v>139</v>
      </c>
      <c r="H6">
        <v>66</v>
      </c>
      <c r="I6">
        <v>10</v>
      </c>
      <c r="J6" s="11">
        <f>100/PillarWeights[[#This Row],[Marker Max]]*PillarWeights[[#This Row],[Marker %]]</f>
        <v>0.19424460431654678</v>
      </c>
      <c r="K6" s="11">
        <f>100/PillarWeights[[#This Row],[Survey Max]]*PillarWeights[[#This Row],[Survey %]]</f>
        <v>0.95454545454545459</v>
      </c>
      <c r="L6" s="11">
        <f>100/PillarWeights[[#This Row],[Education Max]]*PillarWeights[[#This Row],[Education %]]</f>
        <v>1</v>
      </c>
      <c r="M6" s="12">
        <f>PillarWeights[[#This Row],[Marker Norm Mult]]*PillarWeights[[#This Row],[Marker Max]]</f>
        <v>27.000000000000004</v>
      </c>
      <c r="N6" s="12">
        <f>PillarWeights[[#This Row],[Survey Max]]*PillarWeights[[#This Row],[Survey Norm Mult]]</f>
        <v>63</v>
      </c>
      <c r="O6" s="12">
        <f>PillarWeights[[#This Row],[Education Norm Mult]]*PillarWeights[[#This Row],[Education Max]]</f>
        <v>10</v>
      </c>
    </row>
    <row r="7" spans="2:15" x14ac:dyDescent="0.25">
      <c r="B7" t="s">
        <v>24</v>
      </c>
      <c r="C7" s="8">
        <v>0.1</v>
      </c>
      <c r="D7" s="8">
        <v>0.36</v>
      </c>
      <c r="E7" s="8">
        <v>0.54</v>
      </c>
      <c r="F7" s="8">
        <v>0.1</v>
      </c>
      <c r="G7">
        <v>143</v>
      </c>
      <c r="H7">
        <v>32</v>
      </c>
      <c r="I7">
        <v>10</v>
      </c>
      <c r="J7" s="11">
        <f>100/PillarWeights[[#This Row],[Marker Max]]*PillarWeights[[#This Row],[Marker %]]</f>
        <v>0.25174825174825172</v>
      </c>
      <c r="K7" s="11">
        <f>100/PillarWeights[[#This Row],[Survey Max]]*PillarWeights[[#This Row],[Survey %]]</f>
        <v>1.6875</v>
      </c>
      <c r="L7" s="11">
        <f>100/PillarWeights[[#This Row],[Education Max]]*PillarWeights[[#This Row],[Education %]]</f>
        <v>1</v>
      </c>
      <c r="M7" s="12">
        <f>PillarWeights[[#This Row],[Marker Norm Mult]]*PillarWeights[[#This Row],[Marker Max]]</f>
        <v>35.999999999999993</v>
      </c>
      <c r="N7" s="12">
        <f>PillarWeights[[#This Row],[Survey Max]]*PillarWeights[[#This Row],[Survey Norm Mult]]</f>
        <v>54</v>
      </c>
      <c r="O7" s="12">
        <f>PillarWeights[[#This Row],[Education Norm Mult]]*PillarWeights[[#This Row],[Education Max]]</f>
        <v>10</v>
      </c>
    </row>
    <row r="8" spans="2:15" x14ac:dyDescent="0.25">
      <c r="B8" t="s">
        <v>27</v>
      </c>
      <c r="C8" s="8">
        <v>0.1</v>
      </c>
      <c r="D8" s="8">
        <v>0.18</v>
      </c>
      <c r="E8" s="8">
        <v>0.72</v>
      </c>
      <c r="F8" s="8">
        <v>0.1</v>
      </c>
      <c r="G8">
        <v>10</v>
      </c>
      <c r="H8">
        <v>40</v>
      </c>
      <c r="I8">
        <v>10</v>
      </c>
      <c r="J8" s="11">
        <f>100/PillarWeights[[#This Row],[Marker Max]]*PillarWeights[[#This Row],[Marker %]]</f>
        <v>1.7999999999999998</v>
      </c>
      <c r="K8" s="11">
        <f>100/PillarWeights[[#This Row],[Survey Max]]*PillarWeights[[#This Row],[Survey %]]</f>
        <v>1.7999999999999998</v>
      </c>
      <c r="L8" s="11">
        <f>100/PillarWeights[[#This Row],[Education Max]]*PillarWeights[[#This Row],[Education %]]</f>
        <v>1</v>
      </c>
      <c r="M8" s="12">
        <f>PillarWeights[[#This Row],[Marker Norm Mult]]*PillarWeights[[#This Row],[Marker Max]]</f>
        <v>18</v>
      </c>
      <c r="N8" s="12">
        <f>PillarWeights[[#This Row],[Survey Max]]*PillarWeights[[#This Row],[Survey Norm Mult]]</f>
        <v>72</v>
      </c>
      <c r="O8" s="12">
        <f>PillarWeights[[#This Row],[Education Norm Mult]]*PillarWeights[[#This Row],[Education Max]]</f>
        <v>10</v>
      </c>
    </row>
    <row r="9" spans="2:15" x14ac:dyDescent="0.25">
      <c r="B9" t="s">
        <v>26</v>
      </c>
      <c r="C9" s="8">
        <v>0.15</v>
      </c>
      <c r="D9" s="9">
        <v>0.495</v>
      </c>
      <c r="E9" s="9">
        <v>0.40500000000000003</v>
      </c>
      <c r="F9" s="8">
        <v>0.1</v>
      </c>
      <c r="G9">
        <v>137</v>
      </c>
      <c r="H9">
        <v>382</v>
      </c>
      <c r="I9">
        <v>10</v>
      </c>
      <c r="J9" s="11">
        <f>100/PillarWeights[[#This Row],[Marker Max]]*PillarWeights[[#This Row],[Marker %]]</f>
        <v>0.36131386861313869</v>
      </c>
      <c r="K9" s="11">
        <f>100/PillarWeights[[#This Row],[Survey Max]]*PillarWeights[[#This Row],[Survey %]]</f>
        <v>0.10602094240837696</v>
      </c>
      <c r="L9" s="11">
        <f>100/PillarWeights[[#This Row],[Education Max]]*PillarWeights[[#This Row],[Education %]]</f>
        <v>1</v>
      </c>
      <c r="M9" s="12">
        <f>PillarWeights[[#This Row],[Marker Norm Mult]]*PillarWeights[[#This Row],[Marker Max]]</f>
        <v>49.5</v>
      </c>
      <c r="N9" s="12">
        <f>PillarWeights[[#This Row],[Survey Max]]*PillarWeights[[#This Row],[Survey Norm Mult]]</f>
        <v>40.5</v>
      </c>
      <c r="O9" s="12">
        <f>PillarWeights[[#This Row],[Education Norm Mult]]*PillarWeights[[#This Row],[Education Max]]</f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477A-1438-45B1-BE65-E5A9BF724F8C}">
  <dimension ref="B2:R278"/>
  <sheetViews>
    <sheetView showGridLines="0" workbookViewId="0">
      <selection activeCell="R3" sqref="R3:R9"/>
    </sheetView>
  </sheetViews>
  <sheetFormatPr defaultRowHeight="12.5" x14ac:dyDescent="0.25"/>
  <cols>
    <col min="2" max="2" width="18.6328125" bestFit="1" customWidth="1"/>
    <col min="3" max="3" width="10.7265625" bestFit="1" customWidth="1"/>
    <col min="4" max="4" width="10.453125" bestFit="1" customWidth="1"/>
    <col min="5" max="5" width="12.90625" bestFit="1" customWidth="1"/>
    <col min="6" max="6" width="12.90625" customWidth="1"/>
    <col min="7" max="7" width="11.81640625" bestFit="1" customWidth="1"/>
    <col min="8" max="8" width="13.54296875" bestFit="1" customWidth="1"/>
    <col min="9" max="9" width="13.54296875" customWidth="1"/>
    <col min="10" max="10" width="15.36328125" bestFit="1" customWidth="1"/>
    <col min="11" max="11" width="15.08984375" bestFit="1" customWidth="1"/>
    <col min="12" max="12" width="17.54296875" bestFit="1" customWidth="1"/>
    <col min="13" max="13" width="17.54296875" customWidth="1"/>
    <col min="14" max="14" width="19" bestFit="1" customWidth="1"/>
    <col min="15" max="15" width="18.7265625" bestFit="1" customWidth="1"/>
    <col min="16" max="16" width="21.1796875" bestFit="1" customWidth="1"/>
    <col min="17" max="17" width="17.26953125" bestFit="1" customWidth="1"/>
    <col min="18" max="18" width="19.453125" bestFit="1" customWidth="1"/>
  </cols>
  <sheetData>
    <row r="2" spans="2:18" x14ac:dyDescent="0.25">
      <c r="B2" t="s">
        <v>20</v>
      </c>
      <c r="C2" t="s">
        <v>799</v>
      </c>
      <c r="D2" t="s">
        <v>797</v>
      </c>
      <c r="E2" t="s">
        <v>798</v>
      </c>
      <c r="F2" t="s">
        <v>785</v>
      </c>
      <c r="G2" t="s">
        <v>786</v>
      </c>
      <c r="H2" t="s">
        <v>787</v>
      </c>
      <c r="I2" t="s">
        <v>801</v>
      </c>
      <c r="J2" t="s">
        <v>789</v>
      </c>
      <c r="K2" t="s">
        <v>793</v>
      </c>
      <c r="L2" t="s">
        <v>794</v>
      </c>
      <c r="M2" t="s">
        <v>802</v>
      </c>
      <c r="N2" t="s">
        <v>800</v>
      </c>
      <c r="O2" t="s">
        <v>795</v>
      </c>
      <c r="P2" t="s">
        <v>796</v>
      </c>
      <c r="Q2" t="s">
        <v>803</v>
      </c>
      <c r="R2" t="s">
        <v>804</v>
      </c>
    </row>
    <row r="3" spans="2:18" x14ac:dyDescent="0.25">
      <c r="B3" t="s">
        <v>21</v>
      </c>
      <c r="C3" s="4">
        <f>Patient_Pillar_Values[[#Totals],[Healthful Nutrition Weight]]</f>
        <v>157.60850716550578</v>
      </c>
      <c r="D3">
        <v>41.8</v>
      </c>
      <c r="E3">
        <v>5</v>
      </c>
      <c r="F3" s="4">
        <f>Patient_Pillar_Potential[[#This Row],[Marker Raw]]*VLOOKUP(Patient_Pillar_Potential[[#This Row],[Pillar]],PillarWeights[#All],9,FALSE)</f>
        <v>43.64543275352468</v>
      </c>
      <c r="G3" s="4">
        <f>Patient_Pillar_Potential[[#This Row],[Survey Raw]]*VLOOKUP(Patient_Pillar_Potential[[#This Row],[Pillar]],PillarWeights[#All],10,FALSE)</f>
        <v>10.306849315068492</v>
      </c>
      <c r="H3">
        <f>Patient_Pillar_Potential[[#This Row],[Education Raw]]*VLOOKUP(Patient_Pillar_Potential[[#This Row],[Pillar]],PillarWeights[#All],11,FALSE)</f>
        <v>5</v>
      </c>
      <c r="I3" s="4">
        <f>Patient_Pillar_Potential[[#This Row],[Marker Norm]]+Patient_Pillar_Potential[[#This Row],[Survey Norm]]+Patient_Pillar_Potential[[#This Row],[Education Norm]]</f>
        <v>58.952282068593171</v>
      </c>
      <c r="J3">
        <f>VLOOKUP(Patient_Pillar_Potential[[#This Row],[Pillar]],PillarWeights[#All],12,FALSE)</f>
        <v>72</v>
      </c>
      <c r="K3">
        <f>VLOOKUP(Patient_Pillar_Potential[[#This Row],[Pillar]],PillarWeights[#All],13,FALSE)</f>
        <v>18</v>
      </c>
      <c r="L3">
        <f>VLOOKUP(Patient_Pillar_Potential[[#This Row],[Pillar]],PillarWeights[#All],14,FALSE)</f>
        <v>10</v>
      </c>
      <c r="M3">
        <f>Patient_Pillar_Potential[[#This Row],[Marker Norm Max]]+Patient_Pillar_Potential[[#This Row],[Survey Norm Max]]+Patient_Pillar_Potential[[#This Row],[Education Norm Max]]</f>
        <v>100</v>
      </c>
      <c r="N3" s="4">
        <f>Patient_Pillar_Potential[[#This Row],[Marker Norm Max]]-Patient_Pillar_Potential[[#This Row],[Marker Norm]]</f>
        <v>28.35456724647532</v>
      </c>
      <c r="O3" s="4">
        <f>Patient_Pillar_Potential[[#This Row],[Survey Norm Max]]-Patient_Pillar_Potential[[#This Row],[Survey Norm]]</f>
        <v>7.6931506849315081</v>
      </c>
      <c r="P3">
        <f>VLOOKUP(Patient_Pillar_Potential[[#This Row],[Pillar]],PillarWeights[#All],14,FALSE)</f>
        <v>10</v>
      </c>
      <c r="Q3" s="4">
        <f>Patient_Pillar_Potential[[#This Row],[Total Norm Max]]-Patient_Pillar_Potential[[#This Row],[Total Norm]]</f>
        <v>41.047717931406829</v>
      </c>
      <c r="R3" s="13">
        <f>(Patient_Pillar_Potential[[#This Row],[Marker Norm Max]]-Patient_Pillar_Potential[[#This Row],[Marker Norm]])/Patient_Pillar_Potential[[#This Row],[Marker Norm]]</f>
        <v>0.64965714526419682</v>
      </c>
    </row>
    <row r="4" spans="2:18" x14ac:dyDescent="0.25">
      <c r="B4" t="s">
        <v>23</v>
      </c>
      <c r="C4" s="4">
        <f>Patient_Pillar_Values[[#Totals],[Movement + Exercise Weight]]</f>
        <v>67.207465610675087</v>
      </c>
      <c r="D4">
        <v>20.2</v>
      </c>
      <c r="E4">
        <v>2.5</v>
      </c>
      <c r="F4" s="4">
        <f>Patient_Pillar_Potential[[#This Row],[Marker Raw]]*VLOOKUP(Patient_Pillar_Potential[[#This Row],[Pillar]],PillarWeights[#All],9,FALSE)</f>
        <v>27.916947253665036</v>
      </c>
      <c r="G4" s="4">
        <f>Patient_Pillar_Potential[[#This Row],[Survey Raw]]*VLOOKUP(Patient_Pillar_Potential[[#This Row],[Pillar]],PillarWeights[#All],10,FALSE)</f>
        <v>9.5684210526315798</v>
      </c>
      <c r="H4">
        <f>Patient_Pillar_Potential[[#This Row],[Education Raw]]*VLOOKUP(Patient_Pillar_Potential[[#This Row],[Pillar]],PillarWeights[#All],11,FALSE)</f>
        <v>2.5</v>
      </c>
      <c r="I4" s="4">
        <f>Patient_Pillar_Potential[[#This Row],[Marker Norm]]+Patient_Pillar_Potential[[#This Row],[Survey Norm]]+Patient_Pillar_Potential[[#This Row],[Education Norm]]</f>
        <v>39.985368306296614</v>
      </c>
      <c r="J4">
        <f>VLOOKUP(Patient_Pillar_Potential[[#This Row],[Pillar]],PillarWeights[#All],12,FALSE)</f>
        <v>54</v>
      </c>
      <c r="K4">
        <f>VLOOKUP(Patient_Pillar_Potential[[#This Row],[Pillar]],PillarWeights[#All],13,FALSE)</f>
        <v>36</v>
      </c>
      <c r="L4">
        <f>VLOOKUP(Patient_Pillar_Potential[[#This Row],[Pillar]],PillarWeights[#All],14,FALSE)</f>
        <v>10</v>
      </c>
      <c r="M4">
        <f>Patient_Pillar_Potential[[#This Row],[Marker Norm Max]]+Patient_Pillar_Potential[[#This Row],[Survey Norm Max]]+Patient_Pillar_Potential[[#This Row],[Education Norm Max]]</f>
        <v>100</v>
      </c>
      <c r="N4" s="4">
        <f>Patient_Pillar_Potential[[#This Row],[Marker Norm Max]]-Patient_Pillar_Potential[[#This Row],[Marker Norm]]</f>
        <v>26.083052746334964</v>
      </c>
      <c r="O4" s="4">
        <f>Patient_Pillar_Potential[[#This Row],[Survey Norm Max]]-Patient_Pillar_Potential[[#This Row],[Survey Norm]]</f>
        <v>26.431578947368422</v>
      </c>
      <c r="P4">
        <f>VLOOKUP(Patient_Pillar_Potential[[#This Row],[Pillar]],PillarWeights[#All],14,FALSE)</f>
        <v>10</v>
      </c>
      <c r="Q4" s="4">
        <f>Patient_Pillar_Potential[[#This Row],[Total Norm Max]]-Patient_Pillar_Potential[[#This Row],[Total Norm]]</f>
        <v>60.014631693703386</v>
      </c>
      <c r="R4" s="13">
        <f>(Patient_Pillar_Potential[[#This Row],[Marker Norm Max]]-Patient_Pillar_Potential[[#This Row],[Marker Norm]])/Patient_Pillar_Potential[[#This Row],[Marker Norm]]</f>
        <v>0.93430891670688265</v>
      </c>
    </row>
    <row r="5" spans="2:18" x14ac:dyDescent="0.25">
      <c r="B5" t="s">
        <v>25</v>
      </c>
      <c r="C5" s="4">
        <f>Patient_Pillar_Values[[#Totals],[Restorative Sleep Weight]]</f>
        <v>45.050461950278944</v>
      </c>
      <c r="D5">
        <v>67.2</v>
      </c>
      <c r="E5">
        <v>7.5</v>
      </c>
      <c r="F5" s="4">
        <f>Patient_Pillar_Potential[[#This Row],[Marker Raw]]*VLOOKUP(Patient_Pillar_Potential[[#This Row],[Pillar]],PillarWeights[#All],9,FALSE)</f>
        <v>28.961011253750751</v>
      </c>
      <c r="G5" s="4">
        <f>Patient_Pillar_Potential[[#This Row],[Survey Raw]]*VLOOKUP(Patient_Pillar_Potential[[#This Row],[Pillar]],PillarWeights[#All],10,FALSE)</f>
        <v>24.192</v>
      </c>
      <c r="H5">
        <f>Patient_Pillar_Potential[[#This Row],[Education Raw]]*VLOOKUP(Patient_Pillar_Potential[[#This Row],[Pillar]],PillarWeights[#All],11,FALSE)</f>
        <v>7.5</v>
      </c>
      <c r="I5" s="4">
        <f>Patient_Pillar_Potential[[#This Row],[Marker Norm]]+Patient_Pillar_Potential[[#This Row],[Survey Norm]]+Patient_Pillar_Potential[[#This Row],[Education Norm]]</f>
        <v>60.653011253750748</v>
      </c>
      <c r="J5">
        <f>VLOOKUP(Patient_Pillar_Potential[[#This Row],[Pillar]],PillarWeights[#All],12,FALSE)</f>
        <v>63.000000000000007</v>
      </c>
      <c r="K5">
        <f>VLOOKUP(Patient_Pillar_Potential[[#This Row],[Pillar]],PillarWeights[#All],13,FALSE)</f>
        <v>27</v>
      </c>
      <c r="L5">
        <f>VLOOKUP(Patient_Pillar_Potential[[#This Row],[Pillar]],PillarWeights[#All],14,FALSE)</f>
        <v>10</v>
      </c>
      <c r="M5">
        <f>Patient_Pillar_Potential[[#This Row],[Marker Norm Max]]+Patient_Pillar_Potential[[#This Row],[Survey Norm Max]]+Patient_Pillar_Potential[[#This Row],[Education Norm Max]]</f>
        <v>100</v>
      </c>
      <c r="N5" s="4">
        <f>Patient_Pillar_Potential[[#This Row],[Marker Norm Max]]-Patient_Pillar_Potential[[#This Row],[Marker Norm]]</f>
        <v>34.03898874624926</v>
      </c>
      <c r="O5" s="4">
        <f>Patient_Pillar_Potential[[#This Row],[Survey Norm Max]]-Patient_Pillar_Potential[[#This Row],[Survey Norm]]</f>
        <v>2.8079999999999998</v>
      </c>
      <c r="P5">
        <f>VLOOKUP(Patient_Pillar_Potential[[#This Row],[Pillar]],PillarWeights[#All],14,FALSE)</f>
        <v>10</v>
      </c>
      <c r="Q5" s="4">
        <f>Patient_Pillar_Potential[[#This Row],[Total Norm Max]]-Patient_Pillar_Potential[[#This Row],[Total Norm]]</f>
        <v>39.346988746249252</v>
      </c>
      <c r="R5" s="13">
        <f>(Patient_Pillar_Potential[[#This Row],[Marker Norm Max]]-Patient_Pillar_Potential[[#This Row],[Marker Norm]])/Patient_Pillar_Potential[[#This Row],[Marker Norm]]</f>
        <v>1.1753384040359038</v>
      </c>
    </row>
    <row r="6" spans="2:18" x14ac:dyDescent="0.25">
      <c r="B6" t="s">
        <v>22</v>
      </c>
      <c r="C6" s="4">
        <f>Patient_Pillar_Values[[#Totals],[Stress Management Weight]]</f>
        <v>75.981411571622587</v>
      </c>
      <c r="D6">
        <v>38.51</v>
      </c>
      <c r="E6">
        <v>2.5</v>
      </c>
      <c r="F6" s="4">
        <f>Patient_Pillar_Potential[[#This Row],[Marker Raw]]*VLOOKUP(Patient_Pillar_Potential[[#This Row],[Pillar]],PillarWeights[#All],9,FALSE)</f>
        <v>14.758979226142518</v>
      </c>
      <c r="G6" s="4">
        <f>Patient_Pillar_Potential[[#This Row],[Survey Raw]]*VLOOKUP(Patient_Pillar_Potential[[#This Row],[Pillar]],PillarWeights[#All],10,FALSE)</f>
        <v>36.759545454545453</v>
      </c>
      <c r="H6">
        <f>Patient_Pillar_Potential[[#This Row],[Education Raw]]*VLOOKUP(Patient_Pillar_Potential[[#This Row],[Pillar]],PillarWeights[#All],11,FALSE)</f>
        <v>2.5</v>
      </c>
      <c r="I6" s="4">
        <f>Patient_Pillar_Potential[[#This Row],[Marker Norm]]+Patient_Pillar_Potential[[#This Row],[Survey Norm]]+Patient_Pillar_Potential[[#This Row],[Education Norm]]</f>
        <v>54.018524680687975</v>
      </c>
      <c r="J6">
        <f>VLOOKUP(Patient_Pillar_Potential[[#This Row],[Pillar]],PillarWeights[#All],12,FALSE)</f>
        <v>27.000000000000004</v>
      </c>
      <c r="K6">
        <f>VLOOKUP(Patient_Pillar_Potential[[#This Row],[Pillar]],PillarWeights[#All],13,FALSE)</f>
        <v>63</v>
      </c>
      <c r="L6">
        <f>VLOOKUP(Patient_Pillar_Potential[[#This Row],[Pillar]],PillarWeights[#All],14,FALSE)</f>
        <v>10</v>
      </c>
      <c r="M6">
        <f>Patient_Pillar_Potential[[#This Row],[Marker Norm Max]]+Patient_Pillar_Potential[[#This Row],[Survey Norm Max]]+Patient_Pillar_Potential[[#This Row],[Education Norm Max]]</f>
        <v>100</v>
      </c>
      <c r="N6" s="4">
        <f>Patient_Pillar_Potential[[#This Row],[Marker Norm Max]]-Patient_Pillar_Potential[[#This Row],[Marker Norm]]</f>
        <v>12.241020773857485</v>
      </c>
      <c r="O6" s="4">
        <f>Patient_Pillar_Potential[[#This Row],[Survey Norm Max]]-Patient_Pillar_Potential[[#This Row],[Survey Norm]]</f>
        <v>26.240454545454547</v>
      </c>
      <c r="P6">
        <f>VLOOKUP(Patient_Pillar_Potential[[#This Row],[Pillar]],PillarWeights[#All],14,FALSE)</f>
        <v>10</v>
      </c>
      <c r="Q6" s="4">
        <f>Patient_Pillar_Potential[[#This Row],[Total Norm Max]]-Patient_Pillar_Potential[[#This Row],[Total Norm]]</f>
        <v>45.981475319312025</v>
      </c>
      <c r="R6" s="13">
        <f>(Patient_Pillar_Potential[[#This Row],[Marker Norm Max]]-Patient_Pillar_Potential[[#This Row],[Marker Norm]])/Patient_Pillar_Potential[[#This Row],[Marker Norm]]</f>
        <v>0.82939481018951611</v>
      </c>
    </row>
    <row r="7" spans="2:18" x14ac:dyDescent="0.25">
      <c r="B7" t="s">
        <v>24</v>
      </c>
      <c r="C7" s="4">
        <f>Patient_Pillar_Values[[#Totals],[Cognitive Health Weight]]</f>
        <v>73.358858378017061</v>
      </c>
      <c r="D7">
        <v>23.04</v>
      </c>
      <c r="E7">
        <v>10</v>
      </c>
      <c r="F7" s="4">
        <f>Patient_Pillar_Potential[[#This Row],[Marker Raw]]*VLOOKUP(Patient_Pillar_Potential[[#This Row],[Pillar]],PillarWeights[#All],9,FALSE)</f>
        <v>18.467964346913384</v>
      </c>
      <c r="G7" s="4">
        <f>Patient_Pillar_Potential[[#This Row],[Survey Raw]]*VLOOKUP(Patient_Pillar_Potential[[#This Row],[Pillar]],PillarWeights[#All],10,FALSE)</f>
        <v>38.879999999999995</v>
      </c>
      <c r="H7">
        <f>Patient_Pillar_Potential[[#This Row],[Education Raw]]*VLOOKUP(Patient_Pillar_Potential[[#This Row],[Pillar]],PillarWeights[#All],11,FALSE)</f>
        <v>10</v>
      </c>
      <c r="I7" s="4">
        <f>Patient_Pillar_Potential[[#This Row],[Marker Norm]]+Patient_Pillar_Potential[[#This Row],[Survey Norm]]+Patient_Pillar_Potential[[#This Row],[Education Norm]]</f>
        <v>67.347964346913386</v>
      </c>
      <c r="J7">
        <f>VLOOKUP(Patient_Pillar_Potential[[#This Row],[Pillar]],PillarWeights[#All],12,FALSE)</f>
        <v>35.999999999999993</v>
      </c>
      <c r="K7">
        <f>VLOOKUP(Patient_Pillar_Potential[[#This Row],[Pillar]],PillarWeights[#All],13,FALSE)</f>
        <v>54</v>
      </c>
      <c r="L7">
        <f>VLOOKUP(Patient_Pillar_Potential[[#This Row],[Pillar]],PillarWeights[#All],14,FALSE)</f>
        <v>10</v>
      </c>
      <c r="M7">
        <f>Patient_Pillar_Potential[[#This Row],[Marker Norm Max]]+Patient_Pillar_Potential[[#This Row],[Survey Norm Max]]+Patient_Pillar_Potential[[#This Row],[Education Norm Max]]</f>
        <v>100</v>
      </c>
      <c r="N7" s="4">
        <f>Patient_Pillar_Potential[[#This Row],[Marker Norm Max]]-Patient_Pillar_Potential[[#This Row],[Marker Norm]]</f>
        <v>17.532035653086609</v>
      </c>
      <c r="O7" s="4">
        <f>Patient_Pillar_Potential[[#This Row],[Survey Norm Max]]-Patient_Pillar_Potential[[#This Row],[Survey Norm]]</f>
        <v>15.120000000000005</v>
      </c>
      <c r="P7">
        <f>VLOOKUP(Patient_Pillar_Potential[[#This Row],[Pillar]],PillarWeights[#All],14,FALSE)</f>
        <v>10</v>
      </c>
      <c r="Q7" s="4">
        <f>Patient_Pillar_Potential[[#This Row],[Total Norm Max]]-Patient_Pillar_Potential[[#This Row],[Total Norm]]</f>
        <v>32.652035653086614</v>
      </c>
      <c r="R7" s="13">
        <f>(Patient_Pillar_Potential[[#This Row],[Marker Norm Max]]-Patient_Pillar_Potential[[#This Row],[Marker Norm]])/Patient_Pillar_Potential[[#This Row],[Marker Norm]]</f>
        <v>0.94932150202124477</v>
      </c>
    </row>
    <row r="8" spans="2:18" x14ac:dyDescent="0.25">
      <c r="B8" t="s">
        <v>27</v>
      </c>
      <c r="C8" s="4">
        <f>Patient_Pillar_Values[[#Totals],[Connection + Purpose Weight]]</f>
        <v>4.3259840007827144</v>
      </c>
      <c r="D8">
        <v>28.2</v>
      </c>
      <c r="E8">
        <v>0</v>
      </c>
      <c r="F8" s="4">
        <f>Patient_Pillar_Potential[[#This Row],[Marker Raw]]*VLOOKUP(Patient_Pillar_Potential[[#This Row],[Pillar]],PillarWeights[#All],9,FALSE)</f>
        <v>7.786771201408885</v>
      </c>
      <c r="G8" s="4">
        <f>Patient_Pillar_Potential[[#This Row],[Survey Raw]]*VLOOKUP(Patient_Pillar_Potential[[#This Row],[Pillar]],PillarWeights[#All],10,FALSE)</f>
        <v>50.759999999999991</v>
      </c>
      <c r="H8">
        <f>Patient_Pillar_Potential[[#This Row],[Education Raw]]*VLOOKUP(Patient_Pillar_Potential[[#This Row],[Pillar]],PillarWeights[#All],11,FALSE)</f>
        <v>0</v>
      </c>
      <c r="I8" s="4">
        <f>Patient_Pillar_Potential[[#This Row],[Marker Norm]]+Patient_Pillar_Potential[[#This Row],[Survey Norm]]+Patient_Pillar_Potential[[#This Row],[Education Norm]]</f>
        <v>58.546771201408873</v>
      </c>
      <c r="J8">
        <f>VLOOKUP(Patient_Pillar_Potential[[#This Row],[Pillar]],PillarWeights[#All],12,FALSE)</f>
        <v>18</v>
      </c>
      <c r="K8">
        <f>VLOOKUP(Patient_Pillar_Potential[[#This Row],[Pillar]],PillarWeights[#All],13,FALSE)</f>
        <v>72</v>
      </c>
      <c r="L8">
        <f>VLOOKUP(Patient_Pillar_Potential[[#This Row],[Pillar]],PillarWeights[#All],14,FALSE)</f>
        <v>10</v>
      </c>
      <c r="M8">
        <f>Patient_Pillar_Potential[[#This Row],[Marker Norm Max]]+Patient_Pillar_Potential[[#This Row],[Survey Norm Max]]+Patient_Pillar_Potential[[#This Row],[Education Norm Max]]</f>
        <v>100</v>
      </c>
      <c r="N8" s="4">
        <f>Patient_Pillar_Potential[[#This Row],[Marker Norm Max]]-Patient_Pillar_Potential[[#This Row],[Marker Norm]]</f>
        <v>10.213228798591114</v>
      </c>
      <c r="O8" s="4">
        <f>Patient_Pillar_Potential[[#This Row],[Survey Norm Max]]-Patient_Pillar_Potential[[#This Row],[Survey Norm]]</f>
        <v>21.240000000000009</v>
      </c>
      <c r="P8">
        <f>VLOOKUP(Patient_Pillar_Potential[[#This Row],[Pillar]],PillarWeights[#All],14,FALSE)</f>
        <v>10</v>
      </c>
      <c r="Q8" s="4">
        <f>Patient_Pillar_Potential[[#This Row],[Total Norm Max]]-Patient_Pillar_Potential[[#This Row],[Total Norm]]</f>
        <v>41.453228798591127</v>
      </c>
      <c r="R8" s="13">
        <f>(Patient_Pillar_Potential[[#This Row],[Marker Norm Max]]-Patient_Pillar_Potential[[#This Row],[Marker Norm]])/Patient_Pillar_Potential[[#This Row],[Marker Norm]]</f>
        <v>1.3116128025879588</v>
      </c>
    </row>
    <row r="9" spans="2:18" x14ac:dyDescent="0.25">
      <c r="B9" t="s">
        <v>26</v>
      </c>
      <c r="C9" s="4">
        <f>Patient_Pillar_Values[[#Totals],[Core Care Weight]]</f>
        <v>86.864552671002883</v>
      </c>
      <c r="D9">
        <v>279.8</v>
      </c>
      <c r="E9">
        <v>2.5</v>
      </c>
      <c r="F9" s="4">
        <f>Patient_Pillar_Potential[[#This Row],[Marker Raw]]*VLOOKUP(Patient_Pillar_Potential[[#This Row],[Pillar]],PillarWeights[#All],9,FALSE)</f>
        <v>31.3853675709098</v>
      </c>
      <c r="G9" s="4">
        <f>Patient_Pillar_Potential[[#This Row],[Survey Raw]]*VLOOKUP(Patient_Pillar_Potential[[#This Row],[Pillar]],PillarWeights[#All],10,FALSE)</f>
        <v>29.664659685863874</v>
      </c>
      <c r="H9">
        <f>Patient_Pillar_Potential[[#This Row],[Education Raw]]*VLOOKUP(Patient_Pillar_Potential[[#This Row],[Pillar]],PillarWeights[#All],11,FALSE)</f>
        <v>2.5</v>
      </c>
      <c r="I9" s="4">
        <f>Patient_Pillar_Potential[[#This Row],[Marker Norm]]+Patient_Pillar_Potential[[#This Row],[Survey Norm]]+Patient_Pillar_Potential[[#This Row],[Education Norm]]</f>
        <v>63.550027256773674</v>
      </c>
      <c r="J9">
        <f>VLOOKUP(Patient_Pillar_Potential[[#This Row],[Pillar]],PillarWeights[#All],12,FALSE)</f>
        <v>49.5</v>
      </c>
      <c r="K9">
        <f>VLOOKUP(Patient_Pillar_Potential[[#This Row],[Pillar]],PillarWeights[#All],13,FALSE)</f>
        <v>40.5</v>
      </c>
      <c r="L9">
        <f>VLOOKUP(Patient_Pillar_Potential[[#This Row],[Pillar]],PillarWeights[#All],14,FALSE)</f>
        <v>10</v>
      </c>
      <c r="M9">
        <f>Patient_Pillar_Potential[[#This Row],[Marker Norm Max]]+Patient_Pillar_Potential[[#This Row],[Survey Norm Max]]+Patient_Pillar_Potential[[#This Row],[Education Norm Max]]</f>
        <v>100</v>
      </c>
      <c r="N9" s="4">
        <f>Patient_Pillar_Potential[[#This Row],[Marker Norm Max]]-Patient_Pillar_Potential[[#This Row],[Marker Norm]]</f>
        <v>18.1146324290902</v>
      </c>
      <c r="O9" s="4">
        <f>Patient_Pillar_Potential[[#This Row],[Survey Norm Max]]-Patient_Pillar_Potential[[#This Row],[Survey Norm]]</f>
        <v>10.835340314136126</v>
      </c>
      <c r="P9">
        <f>VLOOKUP(Patient_Pillar_Potential[[#This Row],[Pillar]],PillarWeights[#All],14,FALSE)</f>
        <v>10</v>
      </c>
      <c r="Q9" s="4">
        <f>Patient_Pillar_Potential[[#This Row],[Total Norm Max]]-Patient_Pillar_Potential[[#This Row],[Total Norm]]</f>
        <v>36.449972743226326</v>
      </c>
      <c r="R9" s="13">
        <f>(Patient_Pillar_Potential[[#This Row],[Marker Norm Max]]-Patient_Pillar_Potential[[#This Row],[Marker Norm]])/Patient_Pillar_Potential[[#This Row],[Marker Norm]]</f>
        <v>0.57716808280684706</v>
      </c>
    </row>
    <row r="16" spans="2:18" x14ac:dyDescent="0.25">
      <c r="D16" s="10"/>
    </row>
    <row r="19" spans="4:15" ht="13" x14ac:dyDescent="0.3">
      <c r="D19" s="10"/>
      <c r="F19" s="1"/>
    </row>
    <row r="20" spans="4:15" ht="13" x14ac:dyDescent="0.3">
      <c r="F20" s="1"/>
    </row>
    <row r="21" spans="4:15" ht="13" x14ac:dyDescent="0.3">
      <c r="F21" s="1"/>
    </row>
    <row r="22" spans="4:15" ht="13" x14ac:dyDescent="0.3">
      <c r="D22" s="10"/>
      <c r="F22" s="1"/>
    </row>
    <row r="23" spans="4:15" ht="13" x14ac:dyDescent="0.3">
      <c r="F23" s="1"/>
    </row>
    <row r="24" spans="4:15" ht="13" x14ac:dyDescent="0.3">
      <c r="F24" s="1"/>
    </row>
    <row r="25" spans="4:15" ht="13" x14ac:dyDescent="0.3">
      <c r="F25" s="1"/>
      <c r="N25" t="s">
        <v>21</v>
      </c>
      <c r="O25">
        <v>0.69628717483143887</v>
      </c>
    </row>
    <row r="26" spans="4:15" x14ac:dyDescent="0.25">
      <c r="N26" t="s">
        <v>23</v>
      </c>
      <c r="O26">
        <v>1.5009148154889624</v>
      </c>
    </row>
    <row r="27" spans="4:15" x14ac:dyDescent="0.25">
      <c r="N27" t="s">
        <v>25</v>
      </c>
      <c r="O27">
        <v>0.64872275807767177</v>
      </c>
    </row>
    <row r="28" spans="4:15" x14ac:dyDescent="0.25">
      <c r="N28" t="s">
        <v>22</v>
      </c>
      <c r="O28">
        <v>0.8512167925932036</v>
      </c>
    </row>
    <row r="29" spans="4:15" x14ac:dyDescent="0.25">
      <c r="N29" t="s">
        <v>24</v>
      </c>
      <c r="O29">
        <v>0.48482587365067231</v>
      </c>
    </row>
    <row r="30" spans="4:15" x14ac:dyDescent="0.25">
      <c r="N30" t="s">
        <v>27</v>
      </c>
      <c r="O30">
        <v>0.70803612134282123</v>
      </c>
    </row>
    <row r="31" spans="4:15" x14ac:dyDescent="0.25">
      <c r="N31" t="s">
        <v>26</v>
      </c>
      <c r="O31">
        <v>0.57356344783221469</v>
      </c>
    </row>
    <row r="37" spans="4:4" x14ac:dyDescent="0.25">
      <c r="D37" s="10"/>
    </row>
    <row r="43" spans="4:4" x14ac:dyDescent="0.25">
      <c r="D43" s="10"/>
    </row>
    <row r="49" spans="4:4" x14ac:dyDescent="0.25">
      <c r="D49" s="10"/>
    </row>
    <row r="64" spans="4:4" x14ac:dyDescent="0.25">
      <c r="D64" s="10"/>
    </row>
    <row r="97" spans="4:4" x14ac:dyDescent="0.25">
      <c r="D97" s="10"/>
    </row>
    <row r="112" spans="4:4" x14ac:dyDescent="0.25">
      <c r="D112" s="10"/>
    </row>
    <row r="115" spans="4:4" x14ac:dyDescent="0.25">
      <c r="D115" s="10"/>
    </row>
    <row r="136" spans="4:4" x14ac:dyDescent="0.25">
      <c r="D136" s="10"/>
    </row>
    <row r="154" spans="4:4" x14ac:dyDescent="0.25">
      <c r="D154" s="10"/>
    </row>
    <row r="247" spans="4:4" x14ac:dyDescent="0.25">
      <c r="D247" s="10"/>
    </row>
    <row r="248" spans="4:4" x14ac:dyDescent="0.25">
      <c r="D248" s="10"/>
    </row>
    <row r="277" spans="4:4" x14ac:dyDescent="0.25">
      <c r="D277" s="10"/>
    </row>
    <row r="278" spans="4:4" x14ac:dyDescent="0.25">
      <c r="D278" s="1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E285-32F5-4A9B-A655-C5DABA728EE7}">
  <dimension ref="B2:J33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13.1796875" bestFit="1" customWidth="1"/>
    <col min="3" max="3" width="13.08984375" bestFit="1" customWidth="1"/>
    <col min="4" max="4" width="181.36328125" bestFit="1" customWidth="1"/>
    <col min="5" max="5" width="79.7265625" bestFit="1" customWidth="1"/>
    <col min="6" max="6" width="84.1796875" bestFit="1" customWidth="1"/>
    <col min="7" max="7" width="89" bestFit="1" customWidth="1"/>
    <col min="8" max="8" width="96.36328125" bestFit="1" customWidth="1"/>
    <col min="9" max="9" width="70.1796875" bestFit="1" customWidth="1"/>
    <col min="10" max="10" width="100.36328125" bestFit="1" customWidth="1"/>
  </cols>
  <sheetData>
    <row r="2" spans="2:10" x14ac:dyDescent="0.25">
      <c r="B2" t="s">
        <v>110</v>
      </c>
      <c r="C2" t="s">
        <v>768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</row>
    <row r="3" spans="2:10" x14ac:dyDescent="0.25">
      <c r="B3" t="s">
        <v>118</v>
      </c>
      <c r="C3">
        <v>75</v>
      </c>
      <c r="D3" t="s">
        <v>119</v>
      </c>
      <c r="F3" t="s">
        <v>120</v>
      </c>
    </row>
    <row r="4" spans="2:10" x14ac:dyDescent="0.25">
      <c r="B4" t="s">
        <v>121</v>
      </c>
      <c r="C4">
        <v>75</v>
      </c>
      <c r="D4" t="s">
        <v>122</v>
      </c>
      <c r="F4" t="s">
        <v>123</v>
      </c>
      <c r="H4" t="s">
        <v>100</v>
      </c>
    </row>
    <row r="5" spans="2:10" x14ac:dyDescent="0.25">
      <c r="B5" t="s">
        <v>124</v>
      </c>
      <c r="C5">
        <v>75</v>
      </c>
      <c r="D5" t="s">
        <v>122</v>
      </c>
      <c r="F5" t="s">
        <v>123</v>
      </c>
      <c r="I5" t="s">
        <v>125</v>
      </c>
    </row>
    <row r="6" spans="2:10" x14ac:dyDescent="0.25">
      <c r="B6" t="s">
        <v>126</v>
      </c>
      <c r="C6">
        <v>75</v>
      </c>
      <c r="D6" t="s">
        <v>122</v>
      </c>
      <c r="F6" t="s">
        <v>123</v>
      </c>
      <c r="I6" t="s">
        <v>125</v>
      </c>
    </row>
    <row r="7" spans="2:10" x14ac:dyDescent="0.25">
      <c r="B7" t="s">
        <v>127</v>
      </c>
      <c r="C7">
        <v>75</v>
      </c>
      <c r="D7" t="s">
        <v>122</v>
      </c>
      <c r="F7" t="s">
        <v>123</v>
      </c>
      <c r="I7" t="s">
        <v>125</v>
      </c>
    </row>
    <row r="8" spans="2:10" x14ac:dyDescent="0.25">
      <c r="B8" t="s">
        <v>128</v>
      </c>
      <c r="C8">
        <v>75</v>
      </c>
      <c r="D8" t="s">
        <v>122</v>
      </c>
      <c r="F8" t="s">
        <v>123</v>
      </c>
      <c r="I8" t="s">
        <v>125</v>
      </c>
    </row>
    <row r="9" spans="2:10" x14ac:dyDescent="0.25">
      <c r="B9" t="s">
        <v>129</v>
      </c>
      <c r="C9">
        <v>70</v>
      </c>
      <c r="D9" t="s">
        <v>130</v>
      </c>
      <c r="E9" t="s">
        <v>131</v>
      </c>
      <c r="G9" t="s">
        <v>132</v>
      </c>
      <c r="I9" t="s">
        <v>133</v>
      </c>
    </row>
    <row r="10" spans="2:10" x14ac:dyDescent="0.25">
      <c r="B10" t="s">
        <v>134</v>
      </c>
      <c r="C10">
        <v>70</v>
      </c>
      <c r="D10" t="s">
        <v>130</v>
      </c>
      <c r="E10" t="s">
        <v>131</v>
      </c>
      <c r="G10" t="s">
        <v>132</v>
      </c>
      <c r="I10" t="s">
        <v>133</v>
      </c>
    </row>
    <row r="11" spans="2:10" x14ac:dyDescent="0.25">
      <c r="B11" t="s">
        <v>135</v>
      </c>
      <c r="C11">
        <v>70</v>
      </c>
      <c r="D11" t="s">
        <v>130</v>
      </c>
      <c r="E11" t="s">
        <v>131</v>
      </c>
      <c r="G11" t="s">
        <v>132</v>
      </c>
      <c r="I11" t="s">
        <v>133</v>
      </c>
    </row>
    <row r="12" spans="2:10" x14ac:dyDescent="0.25">
      <c r="B12" t="s">
        <v>136</v>
      </c>
      <c r="C12">
        <v>85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</row>
    <row r="13" spans="2:10" x14ac:dyDescent="0.25">
      <c r="B13" t="s">
        <v>143</v>
      </c>
      <c r="C13">
        <v>85</v>
      </c>
      <c r="D13" t="s">
        <v>137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</row>
    <row r="14" spans="2:10" x14ac:dyDescent="0.25">
      <c r="B14" t="s">
        <v>144</v>
      </c>
      <c r="C14">
        <v>85</v>
      </c>
      <c r="D14" t="s">
        <v>137</v>
      </c>
      <c r="E14" t="s">
        <v>138</v>
      </c>
      <c r="F14" t="s">
        <v>139</v>
      </c>
      <c r="G14" t="s">
        <v>140</v>
      </c>
      <c r="H14" t="s">
        <v>141</v>
      </c>
      <c r="I14" t="s">
        <v>142</v>
      </c>
    </row>
    <row r="15" spans="2:10" x14ac:dyDescent="0.25">
      <c r="B15" t="s">
        <v>145</v>
      </c>
      <c r="C15">
        <v>95</v>
      </c>
      <c r="D15" t="s">
        <v>146</v>
      </c>
      <c r="E15" t="s">
        <v>147</v>
      </c>
      <c r="F15" t="s">
        <v>148</v>
      </c>
      <c r="G15" t="s">
        <v>149</v>
      </c>
      <c r="H15" t="s">
        <v>150</v>
      </c>
      <c r="I15" t="s">
        <v>151</v>
      </c>
    </row>
    <row r="16" spans="2:10" x14ac:dyDescent="0.25">
      <c r="B16" t="s">
        <v>152</v>
      </c>
      <c r="C16">
        <v>95</v>
      </c>
      <c r="D16" t="s">
        <v>146</v>
      </c>
      <c r="E16" t="s">
        <v>147</v>
      </c>
      <c r="F16" t="s">
        <v>148</v>
      </c>
      <c r="G16" t="s">
        <v>149</v>
      </c>
      <c r="H16" t="s">
        <v>150</v>
      </c>
      <c r="I16" t="s">
        <v>151</v>
      </c>
    </row>
    <row r="17" spans="2:9" x14ac:dyDescent="0.25">
      <c r="B17" t="s">
        <v>153</v>
      </c>
      <c r="C17">
        <v>95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t="s">
        <v>151</v>
      </c>
    </row>
    <row r="18" spans="2:9" x14ac:dyDescent="0.25">
      <c r="B18" t="s">
        <v>154</v>
      </c>
      <c r="C18">
        <v>75</v>
      </c>
      <c r="D18" t="s">
        <v>155</v>
      </c>
      <c r="E18" t="s">
        <v>156</v>
      </c>
      <c r="F18" t="s">
        <v>61</v>
      </c>
      <c r="G18" t="s">
        <v>157</v>
      </c>
      <c r="H18" t="s">
        <v>106</v>
      </c>
      <c r="I18" t="s">
        <v>101</v>
      </c>
    </row>
    <row r="19" spans="2:9" x14ac:dyDescent="0.25">
      <c r="B19" t="s">
        <v>158</v>
      </c>
      <c r="C19">
        <v>75</v>
      </c>
      <c r="D19" t="s">
        <v>155</v>
      </c>
      <c r="E19" t="s">
        <v>156</v>
      </c>
      <c r="F19" t="s">
        <v>61</v>
      </c>
      <c r="G19" t="s">
        <v>157</v>
      </c>
      <c r="H19" t="s">
        <v>106</v>
      </c>
      <c r="I19" t="s">
        <v>101</v>
      </c>
    </row>
    <row r="20" spans="2:9" x14ac:dyDescent="0.25">
      <c r="B20" t="s">
        <v>159</v>
      </c>
      <c r="C20">
        <v>75</v>
      </c>
      <c r="D20" t="s">
        <v>155</v>
      </c>
      <c r="E20" t="s">
        <v>156</v>
      </c>
      <c r="F20" t="s">
        <v>61</v>
      </c>
      <c r="G20" t="s">
        <v>157</v>
      </c>
      <c r="H20" t="s">
        <v>106</v>
      </c>
      <c r="I20" t="s">
        <v>101</v>
      </c>
    </row>
    <row r="21" spans="2:9" x14ac:dyDescent="0.25">
      <c r="B21" t="s">
        <v>160</v>
      </c>
      <c r="C21">
        <v>75</v>
      </c>
      <c r="D21" t="s">
        <v>155</v>
      </c>
      <c r="E21" t="s">
        <v>156</v>
      </c>
      <c r="F21" t="s">
        <v>61</v>
      </c>
      <c r="G21" t="s">
        <v>157</v>
      </c>
      <c r="H21" t="s">
        <v>106</v>
      </c>
      <c r="I21" t="s">
        <v>101</v>
      </c>
    </row>
    <row r="22" spans="2:9" x14ac:dyDescent="0.25">
      <c r="B22" t="s">
        <v>161</v>
      </c>
      <c r="C22">
        <v>80</v>
      </c>
      <c r="D22" t="s">
        <v>162</v>
      </c>
      <c r="E22" t="s">
        <v>163</v>
      </c>
      <c r="F22" t="s">
        <v>164</v>
      </c>
      <c r="G22" t="s">
        <v>165</v>
      </c>
      <c r="H22" t="s">
        <v>97</v>
      </c>
      <c r="I22" t="s">
        <v>166</v>
      </c>
    </row>
    <row r="23" spans="2:9" x14ac:dyDescent="0.25">
      <c r="B23" t="s">
        <v>167</v>
      </c>
      <c r="C23">
        <v>80</v>
      </c>
      <c r="D23" t="s">
        <v>162</v>
      </c>
      <c r="E23" t="s">
        <v>163</v>
      </c>
      <c r="F23" t="s">
        <v>164</v>
      </c>
      <c r="G23" t="s">
        <v>165</v>
      </c>
      <c r="H23" t="s">
        <v>97</v>
      </c>
      <c r="I23" t="s">
        <v>166</v>
      </c>
    </row>
    <row r="24" spans="2:9" x14ac:dyDescent="0.25">
      <c r="B24" t="s">
        <v>168</v>
      </c>
      <c r="C24">
        <v>80</v>
      </c>
      <c r="D24" t="s">
        <v>162</v>
      </c>
      <c r="E24" t="s">
        <v>163</v>
      </c>
      <c r="F24" t="s">
        <v>164</v>
      </c>
      <c r="G24" t="s">
        <v>165</v>
      </c>
      <c r="H24" t="s">
        <v>97</v>
      </c>
      <c r="I24" t="s">
        <v>166</v>
      </c>
    </row>
    <row r="25" spans="2:9" x14ac:dyDescent="0.25">
      <c r="B25" t="s">
        <v>169</v>
      </c>
      <c r="C25">
        <v>85</v>
      </c>
      <c r="D25" t="s">
        <v>170</v>
      </c>
      <c r="E25" t="s">
        <v>171</v>
      </c>
      <c r="F25" t="s">
        <v>172</v>
      </c>
      <c r="G25" t="s">
        <v>141</v>
      </c>
      <c r="I25" t="s">
        <v>173</v>
      </c>
    </row>
    <row r="26" spans="2:9" x14ac:dyDescent="0.25">
      <c r="B26" t="s">
        <v>174</v>
      </c>
      <c r="C26">
        <v>85</v>
      </c>
      <c r="D26" t="s">
        <v>170</v>
      </c>
      <c r="E26" t="s">
        <v>171</v>
      </c>
      <c r="F26" t="s">
        <v>172</v>
      </c>
      <c r="G26" t="s">
        <v>141</v>
      </c>
      <c r="I26" t="s">
        <v>173</v>
      </c>
    </row>
    <row r="27" spans="2:9" x14ac:dyDescent="0.25">
      <c r="B27" t="s">
        <v>175</v>
      </c>
      <c r="C27">
        <v>85</v>
      </c>
      <c r="D27" t="s">
        <v>170</v>
      </c>
      <c r="E27" t="s">
        <v>171</v>
      </c>
      <c r="F27" t="s">
        <v>172</v>
      </c>
      <c r="G27" t="s">
        <v>141</v>
      </c>
      <c r="I27" t="s">
        <v>173</v>
      </c>
    </row>
    <row r="28" spans="2:9" x14ac:dyDescent="0.25">
      <c r="B28" t="s">
        <v>176</v>
      </c>
      <c r="C28">
        <v>70</v>
      </c>
      <c r="D28" t="s">
        <v>177</v>
      </c>
      <c r="E28" t="s">
        <v>178</v>
      </c>
      <c r="F28" t="s">
        <v>179</v>
      </c>
      <c r="G28" t="s">
        <v>141</v>
      </c>
      <c r="I28" t="s">
        <v>180</v>
      </c>
    </row>
    <row r="29" spans="2:9" x14ac:dyDescent="0.25">
      <c r="B29" t="s">
        <v>181</v>
      </c>
      <c r="C29">
        <v>70</v>
      </c>
      <c r="D29" t="s">
        <v>177</v>
      </c>
      <c r="E29" t="s">
        <v>178</v>
      </c>
      <c r="F29" t="s">
        <v>179</v>
      </c>
      <c r="G29" t="s">
        <v>141</v>
      </c>
      <c r="I29" t="s">
        <v>180</v>
      </c>
    </row>
    <row r="30" spans="2:9" x14ac:dyDescent="0.25">
      <c r="B30" t="s">
        <v>182</v>
      </c>
      <c r="C30">
        <v>70</v>
      </c>
      <c r="D30" t="s">
        <v>177</v>
      </c>
      <c r="E30" t="s">
        <v>178</v>
      </c>
      <c r="F30" t="s">
        <v>179</v>
      </c>
      <c r="G30" t="s">
        <v>141</v>
      </c>
      <c r="I30" t="s">
        <v>180</v>
      </c>
    </row>
    <row r="31" spans="2:9" x14ac:dyDescent="0.25">
      <c r="B31" t="s">
        <v>183</v>
      </c>
      <c r="C31">
        <v>80</v>
      </c>
      <c r="D31" t="s">
        <v>184</v>
      </c>
      <c r="E31" t="s">
        <v>185</v>
      </c>
      <c r="F31" t="s">
        <v>186</v>
      </c>
      <c r="G31" t="s">
        <v>151</v>
      </c>
      <c r="H31" t="s">
        <v>141</v>
      </c>
      <c r="I31" t="s">
        <v>99</v>
      </c>
    </row>
    <row r="32" spans="2:9" x14ac:dyDescent="0.25">
      <c r="B32" t="s">
        <v>187</v>
      </c>
      <c r="C32">
        <v>80</v>
      </c>
      <c r="D32" t="s">
        <v>184</v>
      </c>
      <c r="E32" t="s">
        <v>185</v>
      </c>
      <c r="F32" t="s">
        <v>186</v>
      </c>
      <c r="G32" t="s">
        <v>151</v>
      </c>
      <c r="H32" t="s">
        <v>141</v>
      </c>
      <c r="I32" t="s">
        <v>99</v>
      </c>
    </row>
    <row r="33" spans="2:9" x14ac:dyDescent="0.25">
      <c r="B33" t="s">
        <v>188</v>
      </c>
      <c r="C33">
        <v>80</v>
      </c>
      <c r="D33" t="s">
        <v>184</v>
      </c>
      <c r="E33" t="s">
        <v>185</v>
      </c>
      <c r="F33" t="s">
        <v>186</v>
      </c>
      <c r="G33" t="s">
        <v>151</v>
      </c>
    </row>
    <row r="34" spans="2:9" x14ac:dyDescent="0.25">
      <c r="B34" t="s">
        <v>189</v>
      </c>
      <c r="C34">
        <v>70</v>
      </c>
      <c r="D34" t="s">
        <v>190</v>
      </c>
      <c r="E34" t="s">
        <v>178</v>
      </c>
      <c r="F34" t="s">
        <v>191</v>
      </c>
      <c r="G34" t="s">
        <v>141</v>
      </c>
      <c r="I34" t="s">
        <v>192</v>
      </c>
    </row>
    <row r="35" spans="2:9" x14ac:dyDescent="0.25">
      <c r="B35" t="s">
        <v>193</v>
      </c>
      <c r="C35">
        <v>70</v>
      </c>
      <c r="D35" t="s">
        <v>190</v>
      </c>
      <c r="E35" t="s">
        <v>178</v>
      </c>
      <c r="F35" t="s">
        <v>191</v>
      </c>
      <c r="G35" t="s">
        <v>141</v>
      </c>
      <c r="I35" t="s">
        <v>192</v>
      </c>
    </row>
    <row r="36" spans="2:9" x14ac:dyDescent="0.25">
      <c r="B36" t="s">
        <v>194</v>
      </c>
      <c r="C36">
        <v>70</v>
      </c>
      <c r="D36" t="s">
        <v>190</v>
      </c>
      <c r="E36" t="s">
        <v>178</v>
      </c>
      <c r="F36" t="s">
        <v>191</v>
      </c>
      <c r="G36" t="s">
        <v>141</v>
      </c>
      <c r="I36" t="s">
        <v>192</v>
      </c>
    </row>
    <row r="37" spans="2:9" x14ac:dyDescent="0.25">
      <c r="B37" t="s">
        <v>195</v>
      </c>
      <c r="C37">
        <v>65</v>
      </c>
      <c r="D37" t="s">
        <v>196</v>
      </c>
      <c r="E37" t="s">
        <v>197</v>
      </c>
      <c r="F37" t="s">
        <v>41</v>
      </c>
      <c r="G37" t="s">
        <v>141</v>
      </c>
      <c r="I37" t="s">
        <v>151</v>
      </c>
    </row>
    <row r="38" spans="2:9" x14ac:dyDescent="0.25">
      <c r="B38" t="s">
        <v>198</v>
      </c>
      <c r="C38">
        <v>65</v>
      </c>
      <c r="D38" t="s">
        <v>196</v>
      </c>
      <c r="E38" t="s">
        <v>197</v>
      </c>
      <c r="F38" t="s">
        <v>41</v>
      </c>
      <c r="G38" t="s">
        <v>141</v>
      </c>
      <c r="I38" t="s">
        <v>151</v>
      </c>
    </row>
    <row r="39" spans="2:9" x14ac:dyDescent="0.25">
      <c r="B39" t="s">
        <v>199</v>
      </c>
      <c r="C39">
        <v>65</v>
      </c>
      <c r="D39" t="s">
        <v>196</v>
      </c>
      <c r="E39" t="s">
        <v>197</v>
      </c>
      <c r="F39" t="s">
        <v>41</v>
      </c>
      <c r="G39" t="s">
        <v>141</v>
      </c>
      <c r="I39" t="s">
        <v>151</v>
      </c>
    </row>
    <row r="40" spans="2:9" x14ac:dyDescent="0.25">
      <c r="B40" t="s">
        <v>200</v>
      </c>
      <c r="C40">
        <v>65</v>
      </c>
      <c r="D40" t="s">
        <v>201</v>
      </c>
      <c r="E40" t="s">
        <v>202</v>
      </c>
      <c r="F40" t="s">
        <v>203</v>
      </c>
      <c r="G40" t="s">
        <v>204</v>
      </c>
      <c r="I40" t="s">
        <v>192</v>
      </c>
    </row>
    <row r="41" spans="2:9" x14ac:dyDescent="0.25">
      <c r="B41" t="s">
        <v>205</v>
      </c>
      <c r="C41">
        <v>65</v>
      </c>
      <c r="D41" t="s">
        <v>201</v>
      </c>
      <c r="E41" t="s">
        <v>202</v>
      </c>
      <c r="F41" t="s">
        <v>203</v>
      </c>
      <c r="G41" t="s">
        <v>204</v>
      </c>
      <c r="I41" t="s">
        <v>192</v>
      </c>
    </row>
    <row r="42" spans="2:9" x14ac:dyDescent="0.25">
      <c r="B42" t="s">
        <v>206</v>
      </c>
      <c r="C42">
        <v>65</v>
      </c>
      <c r="D42" t="s">
        <v>201</v>
      </c>
      <c r="E42" t="s">
        <v>202</v>
      </c>
      <c r="F42" t="s">
        <v>203</v>
      </c>
      <c r="G42" t="s">
        <v>204</v>
      </c>
      <c r="I42" t="s">
        <v>192</v>
      </c>
    </row>
    <row r="43" spans="2:9" x14ac:dyDescent="0.25">
      <c r="B43" t="s">
        <v>207</v>
      </c>
      <c r="C43">
        <v>40</v>
      </c>
      <c r="D43" t="s">
        <v>208</v>
      </c>
      <c r="E43" t="s">
        <v>209</v>
      </c>
      <c r="G43" t="s">
        <v>210</v>
      </c>
    </row>
    <row r="44" spans="2:9" x14ac:dyDescent="0.25">
      <c r="B44" t="s">
        <v>211</v>
      </c>
      <c r="C44">
        <v>40</v>
      </c>
      <c r="D44" t="s">
        <v>208</v>
      </c>
      <c r="E44" t="s">
        <v>209</v>
      </c>
      <c r="G44" t="s">
        <v>210</v>
      </c>
    </row>
    <row r="45" spans="2:9" x14ac:dyDescent="0.25">
      <c r="B45" t="s">
        <v>212</v>
      </c>
      <c r="C45">
        <v>40</v>
      </c>
      <c r="D45" t="s">
        <v>208</v>
      </c>
      <c r="E45" t="s">
        <v>209</v>
      </c>
      <c r="G45" t="s">
        <v>210</v>
      </c>
    </row>
    <row r="46" spans="2:9" x14ac:dyDescent="0.25">
      <c r="B46" t="s">
        <v>213</v>
      </c>
      <c r="C46">
        <v>25</v>
      </c>
      <c r="D46" t="s">
        <v>214</v>
      </c>
      <c r="E46" t="s">
        <v>209</v>
      </c>
      <c r="F46" t="s">
        <v>75</v>
      </c>
      <c r="G46" t="s">
        <v>215</v>
      </c>
      <c r="H46" t="s">
        <v>216</v>
      </c>
    </row>
    <row r="47" spans="2:9" x14ac:dyDescent="0.25">
      <c r="B47" t="s">
        <v>217</v>
      </c>
      <c r="C47">
        <v>25</v>
      </c>
      <c r="D47" t="s">
        <v>214</v>
      </c>
      <c r="E47" t="s">
        <v>209</v>
      </c>
      <c r="F47" t="s">
        <v>75</v>
      </c>
      <c r="G47" t="s">
        <v>215</v>
      </c>
      <c r="H47" t="s">
        <v>216</v>
      </c>
    </row>
    <row r="48" spans="2:9" x14ac:dyDescent="0.25">
      <c r="B48" t="s">
        <v>218</v>
      </c>
      <c r="C48">
        <v>25</v>
      </c>
      <c r="D48" t="s">
        <v>214</v>
      </c>
      <c r="E48" t="s">
        <v>209</v>
      </c>
      <c r="F48" t="s">
        <v>75</v>
      </c>
      <c r="G48" t="s">
        <v>215</v>
      </c>
      <c r="H48" t="s">
        <v>216</v>
      </c>
    </row>
    <row r="49" spans="2:9" x14ac:dyDescent="0.25">
      <c r="B49" t="s">
        <v>219</v>
      </c>
      <c r="C49">
        <v>45</v>
      </c>
      <c r="D49" t="s">
        <v>220</v>
      </c>
      <c r="F49" t="s">
        <v>221</v>
      </c>
      <c r="G49" t="s">
        <v>215</v>
      </c>
      <c r="H49" t="s">
        <v>216</v>
      </c>
    </row>
    <row r="50" spans="2:9" x14ac:dyDescent="0.25">
      <c r="B50" t="s">
        <v>222</v>
      </c>
      <c r="C50">
        <v>45</v>
      </c>
      <c r="D50" t="s">
        <v>220</v>
      </c>
      <c r="F50" t="s">
        <v>221</v>
      </c>
      <c r="G50" t="s">
        <v>215</v>
      </c>
      <c r="H50" t="s">
        <v>216</v>
      </c>
    </row>
    <row r="51" spans="2:9" x14ac:dyDescent="0.25">
      <c r="B51" t="s">
        <v>223</v>
      </c>
      <c r="C51">
        <v>45</v>
      </c>
      <c r="D51" t="s">
        <v>220</v>
      </c>
      <c r="F51" t="s">
        <v>221</v>
      </c>
      <c r="G51" t="s">
        <v>215</v>
      </c>
      <c r="H51" t="s">
        <v>216</v>
      </c>
    </row>
    <row r="52" spans="2:9" x14ac:dyDescent="0.25">
      <c r="B52" t="s">
        <v>224</v>
      </c>
      <c r="C52">
        <v>50</v>
      </c>
      <c r="D52" t="s">
        <v>225</v>
      </c>
      <c r="F52" t="s">
        <v>226</v>
      </c>
      <c r="H52" t="s">
        <v>215</v>
      </c>
      <c r="I52" t="s">
        <v>216</v>
      </c>
    </row>
    <row r="53" spans="2:9" x14ac:dyDescent="0.25">
      <c r="B53" t="s">
        <v>227</v>
      </c>
      <c r="C53">
        <v>50</v>
      </c>
      <c r="D53" t="s">
        <v>225</v>
      </c>
      <c r="F53" t="s">
        <v>226</v>
      </c>
      <c r="H53" t="s">
        <v>215</v>
      </c>
      <c r="I53" t="s">
        <v>216</v>
      </c>
    </row>
    <row r="54" spans="2:9" x14ac:dyDescent="0.25">
      <c r="B54" t="s">
        <v>228</v>
      </c>
      <c r="C54">
        <v>50</v>
      </c>
      <c r="D54" t="s">
        <v>225</v>
      </c>
      <c r="F54" t="s">
        <v>226</v>
      </c>
      <c r="H54" t="s">
        <v>215</v>
      </c>
      <c r="I54" t="s">
        <v>216</v>
      </c>
    </row>
    <row r="55" spans="2:9" x14ac:dyDescent="0.25">
      <c r="B55" t="s">
        <v>229</v>
      </c>
      <c r="C55">
        <v>60</v>
      </c>
      <c r="D55" t="s">
        <v>230</v>
      </c>
      <c r="E55" t="s">
        <v>231</v>
      </c>
      <c r="F55" t="s">
        <v>38</v>
      </c>
      <c r="G55" t="s">
        <v>151</v>
      </c>
      <c r="H55" t="s">
        <v>216</v>
      </c>
    </row>
    <row r="56" spans="2:9" x14ac:dyDescent="0.25">
      <c r="B56" t="s">
        <v>232</v>
      </c>
      <c r="C56">
        <v>60</v>
      </c>
      <c r="D56" t="s">
        <v>230</v>
      </c>
      <c r="E56" t="s">
        <v>231</v>
      </c>
      <c r="F56" t="s">
        <v>38</v>
      </c>
      <c r="G56" t="s">
        <v>151</v>
      </c>
      <c r="H56" t="s">
        <v>216</v>
      </c>
    </row>
    <row r="57" spans="2:9" x14ac:dyDescent="0.25">
      <c r="B57" t="s">
        <v>233</v>
      </c>
      <c r="C57">
        <v>60</v>
      </c>
      <c r="D57" t="s">
        <v>230</v>
      </c>
      <c r="E57" t="s">
        <v>231</v>
      </c>
      <c r="F57" t="s">
        <v>38</v>
      </c>
      <c r="G57" t="s">
        <v>151</v>
      </c>
      <c r="H57" t="s">
        <v>216</v>
      </c>
    </row>
    <row r="58" spans="2:9" x14ac:dyDescent="0.25">
      <c r="B58" t="s">
        <v>234</v>
      </c>
      <c r="C58">
        <v>45</v>
      </c>
      <c r="D58" t="s">
        <v>235</v>
      </c>
      <c r="F58" t="s">
        <v>236</v>
      </c>
      <c r="G58" t="s">
        <v>149</v>
      </c>
      <c r="H58" t="s">
        <v>141</v>
      </c>
    </row>
    <row r="59" spans="2:9" x14ac:dyDescent="0.25">
      <c r="B59" t="s">
        <v>237</v>
      </c>
      <c r="C59">
        <v>45</v>
      </c>
      <c r="D59" t="s">
        <v>235</v>
      </c>
      <c r="F59" t="s">
        <v>236</v>
      </c>
      <c r="G59" t="s">
        <v>149</v>
      </c>
      <c r="H59" t="s">
        <v>141</v>
      </c>
    </row>
    <row r="60" spans="2:9" x14ac:dyDescent="0.25">
      <c r="B60" t="s">
        <v>238</v>
      </c>
      <c r="C60">
        <v>45</v>
      </c>
      <c r="D60" t="s">
        <v>235</v>
      </c>
      <c r="F60" t="s">
        <v>236</v>
      </c>
      <c r="G60" t="s">
        <v>149</v>
      </c>
      <c r="H60" t="s">
        <v>141</v>
      </c>
    </row>
    <row r="61" spans="2:9" x14ac:dyDescent="0.25">
      <c r="B61" t="s">
        <v>239</v>
      </c>
      <c r="C61">
        <v>55</v>
      </c>
      <c r="D61" t="s">
        <v>240</v>
      </c>
      <c r="E61" t="s">
        <v>147</v>
      </c>
      <c r="F61" t="s">
        <v>236</v>
      </c>
      <c r="G61" t="s">
        <v>149</v>
      </c>
      <c r="H61" t="s">
        <v>125</v>
      </c>
    </row>
    <row r="62" spans="2:9" x14ac:dyDescent="0.25">
      <c r="B62" t="s">
        <v>241</v>
      </c>
      <c r="C62">
        <v>55</v>
      </c>
      <c r="D62" t="s">
        <v>240</v>
      </c>
      <c r="E62" t="s">
        <v>147</v>
      </c>
      <c r="F62" t="s">
        <v>236</v>
      </c>
      <c r="G62" t="s">
        <v>149</v>
      </c>
      <c r="H62" t="s">
        <v>125</v>
      </c>
    </row>
    <row r="63" spans="2:9" x14ac:dyDescent="0.25">
      <c r="B63" t="s">
        <v>242</v>
      </c>
      <c r="C63">
        <v>55</v>
      </c>
      <c r="D63" t="s">
        <v>240</v>
      </c>
      <c r="E63" t="s">
        <v>147</v>
      </c>
      <c r="F63" t="s">
        <v>236</v>
      </c>
      <c r="G63" t="s">
        <v>149</v>
      </c>
      <c r="H63" t="s">
        <v>125</v>
      </c>
    </row>
    <row r="64" spans="2:9" x14ac:dyDescent="0.25">
      <c r="B64" t="s">
        <v>243</v>
      </c>
      <c r="C64">
        <v>70</v>
      </c>
      <c r="D64" t="s">
        <v>244</v>
      </c>
      <c r="E64" t="s">
        <v>220</v>
      </c>
      <c r="F64" t="s">
        <v>245</v>
      </c>
      <c r="G64" t="s">
        <v>141</v>
      </c>
      <c r="H64" t="s">
        <v>101</v>
      </c>
      <c r="I64" t="s">
        <v>151</v>
      </c>
    </row>
    <row r="65" spans="2:9" x14ac:dyDescent="0.25">
      <c r="B65" t="s">
        <v>246</v>
      </c>
      <c r="C65">
        <v>70</v>
      </c>
      <c r="D65" t="s">
        <v>244</v>
      </c>
      <c r="E65" t="s">
        <v>220</v>
      </c>
      <c r="F65" t="s">
        <v>245</v>
      </c>
      <c r="G65" t="s">
        <v>141</v>
      </c>
      <c r="H65" t="s">
        <v>101</v>
      </c>
      <c r="I65" t="s">
        <v>151</v>
      </c>
    </row>
    <row r="66" spans="2:9" x14ac:dyDescent="0.25">
      <c r="B66" t="s">
        <v>247</v>
      </c>
      <c r="C66">
        <v>70</v>
      </c>
      <c r="D66" t="s">
        <v>244</v>
      </c>
      <c r="E66" t="s">
        <v>220</v>
      </c>
      <c r="F66" t="s">
        <v>245</v>
      </c>
      <c r="G66" t="s">
        <v>141</v>
      </c>
      <c r="H66" t="s">
        <v>101</v>
      </c>
      <c r="I66" t="s">
        <v>151</v>
      </c>
    </row>
    <row r="67" spans="2:9" x14ac:dyDescent="0.25">
      <c r="B67" t="s">
        <v>248</v>
      </c>
      <c r="C67">
        <v>75</v>
      </c>
      <c r="D67" t="s">
        <v>249</v>
      </c>
      <c r="E67" t="s">
        <v>250</v>
      </c>
      <c r="F67" t="s">
        <v>41</v>
      </c>
      <c r="H67" t="s">
        <v>149</v>
      </c>
      <c r="I67" t="s">
        <v>251</v>
      </c>
    </row>
    <row r="68" spans="2:9" x14ac:dyDescent="0.25">
      <c r="B68" t="s">
        <v>252</v>
      </c>
      <c r="C68">
        <v>75</v>
      </c>
      <c r="D68" t="s">
        <v>249</v>
      </c>
      <c r="E68" t="s">
        <v>250</v>
      </c>
      <c r="F68" t="s">
        <v>41</v>
      </c>
      <c r="H68" t="s">
        <v>149</v>
      </c>
      <c r="I68" t="s">
        <v>251</v>
      </c>
    </row>
    <row r="69" spans="2:9" x14ac:dyDescent="0.25">
      <c r="B69" t="s">
        <v>253</v>
      </c>
      <c r="C69">
        <v>75</v>
      </c>
      <c r="D69" t="s">
        <v>249</v>
      </c>
      <c r="E69" t="s">
        <v>250</v>
      </c>
      <c r="F69" t="s">
        <v>41</v>
      </c>
      <c r="H69" t="s">
        <v>149</v>
      </c>
      <c r="I69" t="s">
        <v>251</v>
      </c>
    </row>
    <row r="70" spans="2:9" x14ac:dyDescent="0.25">
      <c r="B70" t="s">
        <v>254</v>
      </c>
      <c r="C70">
        <v>75</v>
      </c>
      <c r="D70" t="s">
        <v>255</v>
      </c>
      <c r="E70" t="s">
        <v>40</v>
      </c>
      <c r="F70" t="s">
        <v>186</v>
      </c>
      <c r="G70" t="s">
        <v>151</v>
      </c>
      <c r="H70" t="s">
        <v>256</v>
      </c>
      <c r="I70" t="s">
        <v>99</v>
      </c>
    </row>
    <row r="71" spans="2:9" x14ac:dyDescent="0.25">
      <c r="B71" t="s">
        <v>257</v>
      </c>
      <c r="C71">
        <v>75</v>
      </c>
      <c r="D71" t="s">
        <v>255</v>
      </c>
      <c r="E71" t="s">
        <v>40</v>
      </c>
      <c r="F71" t="s">
        <v>186</v>
      </c>
      <c r="G71" t="s">
        <v>151</v>
      </c>
      <c r="H71" t="s">
        <v>256</v>
      </c>
      <c r="I71" t="s">
        <v>99</v>
      </c>
    </row>
    <row r="72" spans="2:9" x14ac:dyDescent="0.25">
      <c r="B72" t="s">
        <v>258</v>
      </c>
      <c r="C72">
        <v>75</v>
      </c>
      <c r="D72" t="s">
        <v>255</v>
      </c>
      <c r="E72" t="s">
        <v>40</v>
      </c>
      <c r="F72" t="s">
        <v>186</v>
      </c>
      <c r="G72" t="s">
        <v>151</v>
      </c>
      <c r="H72" t="s">
        <v>256</v>
      </c>
      <c r="I72" t="s">
        <v>99</v>
      </c>
    </row>
    <row r="73" spans="2:9" x14ac:dyDescent="0.25">
      <c r="B73" t="s">
        <v>259</v>
      </c>
      <c r="C73">
        <v>55</v>
      </c>
      <c r="D73" t="s">
        <v>260</v>
      </c>
      <c r="E73" t="s">
        <v>261</v>
      </c>
      <c r="F73" t="s">
        <v>186</v>
      </c>
      <c r="G73" t="s">
        <v>251</v>
      </c>
      <c r="H73" t="s">
        <v>215</v>
      </c>
      <c r="I73" t="s">
        <v>99</v>
      </c>
    </row>
    <row r="74" spans="2:9" x14ac:dyDescent="0.25">
      <c r="B74" t="s">
        <v>262</v>
      </c>
      <c r="C74">
        <v>55</v>
      </c>
      <c r="D74" t="s">
        <v>260</v>
      </c>
      <c r="E74" t="s">
        <v>261</v>
      </c>
      <c r="F74" t="s">
        <v>186</v>
      </c>
      <c r="G74" t="s">
        <v>251</v>
      </c>
      <c r="H74" t="s">
        <v>215</v>
      </c>
      <c r="I74" t="s">
        <v>99</v>
      </c>
    </row>
    <row r="75" spans="2:9" x14ac:dyDescent="0.25">
      <c r="B75" t="s">
        <v>263</v>
      </c>
      <c r="C75">
        <v>55</v>
      </c>
      <c r="D75" t="s">
        <v>260</v>
      </c>
      <c r="E75" t="s">
        <v>261</v>
      </c>
      <c r="F75" t="s">
        <v>186</v>
      </c>
      <c r="G75" t="s">
        <v>251</v>
      </c>
      <c r="H75" t="s">
        <v>215</v>
      </c>
      <c r="I75" t="s">
        <v>99</v>
      </c>
    </row>
    <row r="76" spans="2:9" x14ac:dyDescent="0.25">
      <c r="B76" t="s">
        <v>264</v>
      </c>
      <c r="C76">
        <v>60</v>
      </c>
      <c r="D76" t="s">
        <v>265</v>
      </c>
      <c r="E76" t="s">
        <v>230</v>
      </c>
      <c r="F76" t="s">
        <v>266</v>
      </c>
      <c r="G76" t="s">
        <v>141</v>
      </c>
      <c r="H76" t="s">
        <v>267</v>
      </c>
      <c r="I76" t="s">
        <v>268</v>
      </c>
    </row>
    <row r="77" spans="2:9" x14ac:dyDescent="0.25">
      <c r="B77" t="s">
        <v>269</v>
      </c>
      <c r="C77">
        <v>60</v>
      </c>
      <c r="D77" t="s">
        <v>265</v>
      </c>
      <c r="E77" t="s">
        <v>230</v>
      </c>
      <c r="F77" t="s">
        <v>266</v>
      </c>
      <c r="G77" t="s">
        <v>141</v>
      </c>
      <c r="H77" t="s">
        <v>267</v>
      </c>
      <c r="I77" t="s">
        <v>268</v>
      </c>
    </row>
    <row r="78" spans="2:9" x14ac:dyDescent="0.25">
      <c r="B78" t="s">
        <v>270</v>
      </c>
      <c r="C78">
        <v>60</v>
      </c>
      <c r="D78" t="s">
        <v>265</v>
      </c>
      <c r="E78" t="s">
        <v>230</v>
      </c>
      <c r="F78" t="s">
        <v>266</v>
      </c>
      <c r="G78" t="s">
        <v>141</v>
      </c>
      <c r="H78" t="s">
        <v>267</v>
      </c>
      <c r="I78" t="s">
        <v>268</v>
      </c>
    </row>
    <row r="79" spans="2:9" x14ac:dyDescent="0.25">
      <c r="B79" t="s">
        <v>271</v>
      </c>
      <c r="C79">
        <v>85</v>
      </c>
      <c r="D79" t="s">
        <v>137</v>
      </c>
      <c r="E79" t="s">
        <v>231</v>
      </c>
      <c r="F79" t="s">
        <v>272</v>
      </c>
      <c r="G79" t="s">
        <v>140</v>
      </c>
      <c r="H79" t="s">
        <v>141</v>
      </c>
      <c r="I79" t="s">
        <v>273</v>
      </c>
    </row>
    <row r="80" spans="2:9" x14ac:dyDescent="0.25">
      <c r="B80" t="s">
        <v>274</v>
      </c>
      <c r="C80">
        <v>85</v>
      </c>
      <c r="D80" t="s">
        <v>137</v>
      </c>
      <c r="E80" t="s">
        <v>231</v>
      </c>
      <c r="F80" t="s">
        <v>272</v>
      </c>
      <c r="G80" t="s">
        <v>140</v>
      </c>
      <c r="H80" t="s">
        <v>141</v>
      </c>
      <c r="I80" t="s">
        <v>275</v>
      </c>
    </row>
    <row r="81" spans="2:9" x14ac:dyDescent="0.25">
      <c r="B81" t="s">
        <v>276</v>
      </c>
      <c r="C81">
        <v>85</v>
      </c>
      <c r="D81" t="s">
        <v>137</v>
      </c>
      <c r="E81" t="s">
        <v>231</v>
      </c>
      <c r="F81" t="s">
        <v>272</v>
      </c>
      <c r="G81" t="s">
        <v>140</v>
      </c>
      <c r="H81" t="s">
        <v>141</v>
      </c>
      <c r="I81" t="s">
        <v>275</v>
      </c>
    </row>
    <row r="82" spans="2:9" x14ac:dyDescent="0.25">
      <c r="B82" t="s">
        <v>277</v>
      </c>
      <c r="C82">
        <v>90</v>
      </c>
      <c r="D82" t="s">
        <v>178</v>
      </c>
      <c r="E82" t="s">
        <v>278</v>
      </c>
      <c r="F82" t="s">
        <v>279</v>
      </c>
      <c r="G82" t="s">
        <v>280</v>
      </c>
      <c r="H82" t="s">
        <v>281</v>
      </c>
      <c r="I82" t="s">
        <v>275</v>
      </c>
    </row>
    <row r="83" spans="2:9" x14ac:dyDescent="0.25">
      <c r="B83" t="s">
        <v>282</v>
      </c>
      <c r="C83">
        <v>90</v>
      </c>
      <c r="D83" t="s">
        <v>178</v>
      </c>
      <c r="E83" t="s">
        <v>278</v>
      </c>
      <c r="F83" t="s">
        <v>279</v>
      </c>
      <c r="G83" t="s">
        <v>280</v>
      </c>
      <c r="H83" t="s">
        <v>281</v>
      </c>
      <c r="I83" t="s">
        <v>275</v>
      </c>
    </row>
    <row r="84" spans="2:9" x14ac:dyDescent="0.25">
      <c r="B84" t="s">
        <v>283</v>
      </c>
      <c r="C84">
        <v>90</v>
      </c>
      <c r="D84" t="s">
        <v>178</v>
      </c>
      <c r="E84" t="s">
        <v>278</v>
      </c>
      <c r="F84" t="s">
        <v>279</v>
      </c>
      <c r="G84" t="s">
        <v>280</v>
      </c>
      <c r="H84" t="s">
        <v>281</v>
      </c>
      <c r="I84" t="s">
        <v>275</v>
      </c>
    </row>
    <row r="85" spans="2:9" x14ac:dyDescent="0.25">
      <c r="B85" t="s">
        <v>284</v>
      </c>
      <c r="C85">
        <v>90</v>
      </c>
      <c r="D85" t="s">
        <v>285</v>
      </c>
      <c r="E85" t="s">
        <v>230</v>
      </c>
      <c r="F85" t="s">
        <v>286</v>
      </c>
      <c r="G85" t="s">
        <v>287</v>
      </c>
      <c r="H85" t="s">
        <v>288</v>
      </c>
      <c r="I85" t="s">
        <v>215</v>
      </c>
    </row>
    <row r="86" spans="2:9" x14ac:dyDescent="0.25">
      <c r="B86" t="s">
        <v>289</v>
      </c>
      <c r="C86">
        <v>90</v>
      </c>
      <c r="D86" t="s">
        <v>285</v>
      </c>
      <c r="E86" t="s">
        <v>230</v>
      </c>
      <c r="F86" t="s">
        <v>286</v>
      </c>
      <c r="G86" t="s">
        <v>287</v>
      </c>
      <c r="H86" t="s">
        <v>288</v>
      </c>
      <c r="I86" t="s">
        <v>215</v>
      </c>
    </row>
    <row r="87" spans="2:9" x14ac:dyDescent="0.25">
      <c r="B87" t="s">
        <v>290</v>
      </c>
      <c r="C87">
        <v>90</v>
      </c>
      <c r="D87" t="s">
        <v>285</v>
      </c>
      <c r="E87" t="s">
        <v>230</v>
      </c>
      <c r="F87" t="s">
        <v>286</v>
      </c>
      <c r="G87" t="s">
        <v>287</v>
      </c>
      <c r="H87" t="s">
        <v>288</v>
      </c>
      <c r="I87" t="s">
        <v>215</v>
      </c>
    </row>
    <row r="88" spans="2:9" x14ac:dyDescent="0.25">
      <c r="B88" t="s">
        <v>291</v>
      </c>
      <c r="C88">
        <v>70</v>
      </c>
      <c r="D88" t="s">
        <v>285</v>
      </c>
      <c r="E88" t="s">
        <v>230</v>
      </c>
      <c r="F88" t="s">
        <v>286</v>
      </c>
      <c r="G88" t="s">
        <v>287</v>
      </c>
      <c r="H88" t="s">
        <v>288</v>
      </c>
      <c r="I88" t="s">
        <v>215</v>
      </c>
    </row>
    <row r="89" spans="2:9" x14ac:dyDescent="0.25">
      <c r="B89" t="s">
        <v>292</v>
      </c>
      <c r="C89">
        <v>70</v>
      </c>
      <c r="D89" t="s">
        <v>285</v>
      </c>
      <c r="E89" t="s">
        <v>230</v>
      </c>
      <c r="F89" t="s">
        <v>286</v>
      </c>
      <c r="G89" t="s">
        <v>287</v>
      </c>
      <c r="H89" t="s">
        <v>288</v>
      </c>
      <c r="I89" t="s">
        <v>215</v>
      </c>
    </row>
    <row r="90" spans="2:9" x14ac:dyDescent="0.25">
      <c r="B90" t="s">
        <v>293</v>
      </c>
      <c r="C90">
        <v>70</v>
      </c>
      <c r="D90" t="s">
        <v>285</v>
      </c>
      <c r="E90" t="s">
        <v>230</v>
      </c>
      <c r="F90" t="s">
        <v>286</v>
      </c>
      <c r="G90" t="s">
        <v>287</v>
      </c>
      <c r="H90" t="s">
        <v>288</v>
      </c>
      <c r="I90" t="s">
        <v>215</v>
      </c>
    </row>
    <row r="91" spans="2:9" x14ac:dyDescent="0.25">
      <c r="B91" t="s">
        <v>294</v>
      </c>
      <c r="C91">
        <v>75</v>
      </c>
      <c r="D91" t="s">
        <v>295</v>
      </c>
      <c r="E91" t="s">
        <v>137</v>
      </c>
      <c r="F91" t="s">
        <v>296</v>
      </c>
      <c r="G91" t="s">
        <v>297</v>
      </c>
      <c r="H91" t="s">
        <v>298</v>
      </c>
      <c r="I91" t="s">
        <v>299</v>
      </c>
    </row>
    <row r="92" spans="2:9" x14ac:dyDescent="0.25">
      <c r="B92" t="s">
        <v>300</v>
      </c>
      <c r="C92">
        <v>75</v>
      </c>
      <c r="D92" t="s">
        <v>295</v>
      </c>
      <c r="E92" t="s">
        <v>137</v>
      </c>
      <c r="F92" t="s">
        <v>296</v>
      </c>
      <c r="G92" t="s">
        <v>297</v>
      </c>
      <c r="H92" t="s">
        <v>298</v>
      </c>
      <c r="I92" t="s">
        <v>299</v>
      </c>
    </row>
    <row r="93" spans="2:9" x14ac:dyDescent="0.25">
      <c r="B93" t="s">
        <v>301</v>
      </c>
      <c r="C93">
        <v>75</v>
      </c>
      <c r="D93" t="s">
        <v>295</v>
      </c>
      <c r="E93" t="s">
        <v>137</v>
      </c>
      <c r="F93" t="s">
        <v>296</v>
      </c>
      <c r="G93" t="s">
        <v>297</v>
      </c>
      <c r="H93" t="s">
        <v>298</v>
      </c>
      <c r="I93" t="s">
        <v>299</v>
      </c>
    </row>
    <row r="94" spans="2:9" x14ac:dyDescent="0.25">
      <c r="B94" t="s">
        <v>302</v>
      </c>
      <c r="C94">
        <v>65</v>
      </c>
      <c r="D94" t="s">
        <v>295</v>
      </c>
      <c r="E94" t="s">
        <v>137</v>
      </c>
      <c r="F94" t="s">
        <v>296</v>
      </c>
      <c r="G94" t="s">
        <v>297</v>
      </c>
      <c r="H94" t="s">
        <v>298</v>
      </c>
      <c r="I94" t="s">
        <v>299</v>
      </c>
    </row>
    <row r="95" spans="2:9" x14ac:dyDescent="0.25">
      <c r="B95" t="s">
        <v>303</v>
      </c>
      <c r="C95">
        <v>65</v>
      </c>
      <c r="D95" t="s">
        <v>295</v>
      </c>
      <c r="E95" t="s">
        <v>137</v>
      </c>
      <c r="F95" t="s">
        <v>296</v>
      </c>
      <c r="G95" t="s">
        <v>297</v>
      </c>
      <c r="H95" t="s">
        <v>298</v>
      </c>
      <c r="I95" t="s">
        <v>299</v>
      </c>
    </row>
    <row r="96" spans="2:9" x14ac:dyDescent="0.25">
      <c r="B96" t="s">
        <v>304</v>
      </c>
      <c r="C96">
        <v>65</v>
      </c>
      <c r="D96" t="s">
        <v>295</v>
      </c>
      <c r="E96" t="s">
        <v>137</v>
      </c>
      <c r="F96" t="s">
        <v>296</v>
      </c>
      <c r="G96" t="s">
        <v>297</v>
      </c>
      <c r="H96" t="s">
        <v>298</v>
      </c>
      <c r="I96" t="s">
        <v>299</v>
      </c>
    </row>
    <row r="97" spans="2:9" x14ac:dyDescent="0.25">
      <c r="B97" t="s">
        <v>305</v>
      </c>
      <c r="C97">
        <v>70</v>
      </c>
      <c r="E97" t="s">
        <v>306</v>
      </c>
      <c r="F97" t="s">
        <v>307</v>
      </c>
      <c r="G97" t="s">
        <v>308</v>
      </c>
      <c r="H97" t="s">
        <v>309</v>
      </c>
      <c r="I97" t="s">
        <v>215</v>
      </c>
    </row>
    <row r="98" spans="2:9" x14ac:dyDescent="0.25">
      <c r="B98" t="s">
        <v>310</v>
      </c>
      <c r="C98">
        <v>70</v>
      </c>
      <c r="E98" t="s">
        <v>306</v>
      </c>
      <c r="F98" t="s">
        <v>307</v>
      </c>
      <c r="G98" t="s">
        <v>308</v>
      </c>
      <c r="H98" t="s">
        <v>309</v>
      </c>
      <c r="I98" t="s">
        <v>215</v>
      </c>
    </row>
    <row r="99" spans="2:9" x14ac:dyDescent="0.25">
      <c r="B99" t="s">
        <v>311</v>
      </c>
      <c r="C99">
        <v>70</v>
      </c>
      <c r="E99" t="s">
        <v>306</v>
      </c>
      <c r="F99" t="s">
        <v>307</v>
      </c>
      <c r="G99" t="s">
        <v>308</v>
      </c>
      <c r="H99" t="s">
        <v>309</v>
      </c>
      <c r="I99" t="s">
        <v>215</v>
      </c>
    </row>
    <row r="100" spans="2:9" x14ac:dyDescent="0.25">
      <c r="B100" t="s">
        <v>312</v>
      </c>
      <c r="C100">
        <v>75</v>
      </c>
      <c r="D100" t="s">
        <v>220</v>
      </c>
      <c r="E100" t="s">
        <v>313</v>
      </c>
      <c r="F100" t="s">
        <v>314</v>
      </c>
      <c r="G100" t="s">
        <v>151</v>
      </c>
      <c r="H100" t="s">
        <v>309</v>
      </c>
      <c r="I100" t="s">
        <v>315</v>
      </c>
    </row>
    <row r="101" spans="2:9" x14ac:dyDescent="0.25">
      <c r="B101" t="s">
        <v>316</v>
      </c>
      <c r="C101">
        <v>75</v>
      </c>
      <c r="D101" t="s">
        <v>220</v>
      </c>
      <c r="E101" t="s">
        <v>313</v>
      </c>
      <c r="F101" t="s">
        <v>314</v>
      </c>
      <c r="G101" t="s">
        <v>151</v>
      </c>
      <c r="H101" t="s">
        <v>309</v>
      </c>
      <c r="I101" t="s">
        <v>315</v>
      </c>
    </row>
    <row r="102" spans="2:9" x14ac:dyDescent="0.25">
      <c r="B102" t="s">
        <v>317</v>
      </c>
      <c r="C102">
        <v>75</v>
      </c>
      <c r="D102" t="s">
        <v>220</v>
      </c>
      <c r="E102" t="s">
        <v>313</v>
      </c>
      <c r="F102" t="s">
        <v>314</v>
      </c>
      <c r="G102" t="s">
        <v>151</v>
      </c>
      <c r="H102" t="s">
        <v>309</v>
      </c>
      <c r="I102" t="s">
        <v>315</v>
      </c>
    </row>
    <row r="103" spans="2:9" x14ac:dyDescent="0.25">
      <c r="B103" t="s">
        <v>318</v>
      </c>
      <c r="C103">
        <v>60</v>
      </c>
      <c r="E103" t="s">
        <v>220</v>
      </c>
      <c r="F103" t="s">
        <v>319</v>
      </c>
      <c r="H103" t="s">
        <v>216</v>
      </c>
      <c r="I103" t="s">
        <v>215</v>
      </c>
    </row>
    <row r="104" spans="2:9" x14ac:dyDescent="0.25">
      <c r="B104" t="s">
        <v>320</v>
      </c>
      <c r="C104">
        <v>60</v>
      </c>
      <c r="E104" t="s">
        <v>220</v>
      </c>
      <c r="F104" t="s">
        <v>319</v>
      </c>
      <c r="H104" t="s">
        <v>216</v>
      </c>
      <c r="I104" t="s">
        <v>215</v>
      </c>
    </row>
    <row r="105" spans="2:9" x14ac:dyDescent="0.25">
      <c r="B105" t="s">
        <v>321</v>
      </c>
      <c r="C105">
        <v>60</v>
      </c>
      <c r="E105" t="s">
        <v>220</v>
      </c>
      <c r="F105" t="s">
        <v>319</v>
      </c>
      <c r="H105" t="s">
        <v>216</v>
      </c>
      <c r="I105" t="s">
        <v>215</v>
      </c>
    </row>
    <row r="106" spans="2:9" x14ac:dyDescent="0.25">
      <c r="B106" t="s">
        <v>322</v>
      </c>
      <c r="C106">
        <v>55</v>
      </c>
      <c r="E106" t="s">
        <v>220</v>
      </c>
      <c r="F106" t="s">
        <v>319</v>
      </c>
      <c r="H106" t="s">
        <v>216</v>
      </c>
      <c r="I106" t="s">
        <v>215</v>
      </c>
    </row>
    <row r="107" spans="2:9" x14ac:dyDescent="0.25">
      <c r="B107" t="s">
        <v>323</v>
      </c>
      <c r="C107">
        <v>55</v>
      </c>
      <c r="E107" t="s">
        <v>220</v>
      </c>
      <c r="F107" t="s">
        <v>319</v>
      </c>
      <c r="H107" t="s">
        <v>216</v>
      </c>
      <c r="I107" t="s">
        <v>215</v>
      </c>
    </row>
    <row r="108" spans="2:9" x14ac:dyDescent="0.25">
      <c r="B108" t="s">
        <v>324</v>
      </c>
      <c r="C108">
        <v>55</v>
      </c>
      <c r="E108" t="s">
        <v>220</v>
      </c>
      <c r="F108" t="s">
        <v>319</v>
      </c>
      <c r="H108" t="s">
        <v>216</v>
      </c>
      <c r="I108" t="s">
        <v>215</v>
      </c>
    </row>
    <row r="109" spans="2:9" x14ac:dyDescent="0.25">
      <c r="B109" t="s">
        <v>325</v>
      </c>
      <c r="C109">
        <v>50</v>
      </c>
      <c r="D109" t="s">
        <v>326</v>
      </c>
      <c r="E109" t="s">
        <v>327</v>
      </c>
      <c r="F109" t="s">
        <v>49</v>
      </c>
      <c r="H109" t="s">
        <v>141</v>
      </c>
      <c r="I109" t="s">
        <v>180</v>
      </c>
    </row>
    <row r="110" spans="2:9" x14ac:dyDescent="0.25">
      <c r="B110" t="s">
        <v>328</v>
      </c>
      <c r="C110">
        <v>50</v>
      </c>
      <c r="D110" t="s">
        <v>326</v>
      </c>
      <c r="E110" t="s">
        <v>327</v>
      </c>
      <c r="F110" t="s">
        <v>49</v>
      </c>
      <c r="H110" t="s">
        <v>141</v>
      </c>
      <c r="I110" t="s">
        <v>180</v>
      </c>
    </row>
    <row r="111" spans="2:9" x14ac:dyDescent="0.25">
      <c r="B111" t="s">
        <v>329</v>
      </c>
      <c r="C111">
        <v>50</v>
      </c>
      <c r="D111" t="s">
        <v>326</v>
      </c>
      <c r="E111" t="s">
        <v>327</v>
      </c>
      <c r="F111" t="s">
        <v>49</v>
      </c>
      <c r="H111" t="s">
        <v>141</v>
      </c>
      <c r="I111" t="s">
        <v>180</v>
      </c>
    </row>
    <row r="112" spans="2:9" x14ac:dyDescent="0.25">
      <c r="B112" t="s">
        <v>330</v>
      </c>
      <c r="C112">
        <v>50</v>
      </c>
      <c r="D112" t="s">
        <v>326</v>
      </c>
      <c r="E112" t="s">
        <v>327</v>
      </c>
      <c r="F112" t="s">
        <v>49</v>
      </c>
      <c r="H112" t="s">
        <v>141</v>
      </c>
      <c r="I112" t="s">
        <v>180</v>
      </c>
    </row>
    <row r="113" spans="2:9" x14ac:dyDescent="0.25">
      <c r="B113" t="s">
        <v>331</v>
      </c>
      <c r="C113">
        <v>50</v>
      </c>
      <c r="D113" t="s">
        <v>326</v>
      </c>
      <c r="E113" t="s">
        <v>327</v>
      </c>
      <c r="F113" t="s">
        <v>49</v>
      </c>
      <c r="H113" t="s">
        <v>141</v>
      </c>
      <c r="I113" t="s">
        <v>180</v>
      </c>
    </row>
    <row r="114" spans="2:9" x14ac:dyDescent="0.25">
      <c r="B114" t="s">
        <v>332</v>
      </c>
      <c r="C114">
        <v>50</v>
      </c>
      <c r="D114" t="s">
        <v>326</v>
      </c>
      <c r="E114" t="s">
        <v>327</v>
      </c>
      <c r="F114" t="s">
        <v>49</v>
      </c>
      <c r="H114" t="s">
        <v>141</v>
      </c>
      <c r="I114" t="s">
        <v>180</v>
      </c>
    </row>
    <row r="115" spans="2:9" x14ac:dyDescent="0.25">
      <c r="B115" t="s">
        <v>333</v>
      </c>
      <c r="C115">
        <v>45</v>
      </c>
      <c r="D115" t="s">
        <v>326</v>
      </c>
      <c r="E115" t="s">
        <v>334</v>
      </c>
      <c r="F115" t="s">
        <v>49</v>
      </c>
      <c r="G115" t="s">
        <v>96</v>
      </c>
      <c r="H115" t="s">
        <v>141</v>
      </c>
      <c r="I115" t="s">
        <v>180</v>
      </c>
    </row>
    <row r="116" spans="2:9" x14ac:dyDescent="0.25">
      <c r="B116" t="s">
        <v>335</v>
      </c>
      <c r="C116">
        <v>45</v>
      </c>
      <c r="D116" t="s">
        <v>326</v>
      </c>
      <c r="E116" t="s">
        <v>334</v>
      </c>
      <c r="F116" t="s">
        <v>49</v>
      </c>
      <c r="G116" t="s">
        <v>96</v>
      </c>
      <c r="H116" t="s">
        <v>141</v>
      </c>
      <c r="I116" t="s">
        <v>180</v>
      </c>
    </row>
    <row r="117" spans="2:9" x14ac:dyDescent="0.25">
      <c r="B117" t="s">
        <v>336</v>
      </c>
      <c r="C117">
        <v>45</v>
      </c>
      <c r="D117" t="s">
        <v>326</v>
      </c>
      <c r="E117" t="s">
        <v>334</v>
      </c>
      <c r="F117" t="s">
        <v>49</v>
      </c>
      <c r="G117" t="s">
        <v>96</v>
      </c>
      <c r="H117" t="s">
        <v>141</v>
      </c>
      <c r="I117" t="s">
        <v>180</v>
      </c>
    </row>
    <row r="118" spans="2:9" x14ac:dyDescent="0.25">
      <c r="B118" t="s">
        <v>337</v>
      </c>
      <c r="C118">
        <v>95</v>
      </c>
      <c r="D118" t="s">
        <v>220</v>
      </c>
      <c r="E118" t="s">
        <v>338</v>
      </c>
      <c r="F118" t="s">
        <v>339</v>
      </c>
      <c r="G118" t="s">
        <v>340</v>
      </c>
      <c r="H118" t="s">
        <v>141</v>
      </c>
      <c r="I118" t="s">
        <v>341</v>
      </c>
    </row>
    <row r="119" spans="2:9" x14ac:dyDescent="0.25">
      <c r="B119" t="s">
        <v>342</v>
      </c>
      <c r="C119">
        <v>95</v>
      </c>
      <c r="D119" t="s">
        <v>220</v>
      </c>
      <c r="E119" t="s">
        <v>338</v>
      </c>
      <c r="F119" t="s">
        <v>339</v>
      </c>
      <c r="G119" t="s">
        <v>340</v>
      </c>
      <c r="H119" t="s">
        <v>141</v>
      </c>
      <c r="I119" t="s">
        <v>341</v>
      </c>
    </row>
    <row r="120" spans="2:9" x14ac:dyDescent="0.25">
      <c r="B120" t="s">
        <v>343</v>
      </c>
      <c r="C120">
        <v>95</v>
      </c>
      <c r="D120" t="s">
        <v>220</v>
      </c>
      <c r="E120" t="s">
        <v>338</v>
      </c>
      <c r="F120" t="s">
        <v>339</v>
      </c>
      <c r="G120" t="s">
        <v>340</v>
      </c>
      <c r="H120" t="s">
        <v>141</v>
      </c>
      <c r="I120" t="s">
        <v>341</v>
      </c>
    </row>
    <row r="121" spans="2:9" x14ac:dyDescent="0.25">
      <c r="B121" t="s">
        <v>344</v>
      </c>
      <c r="C121">
        <v>70</v>
      </c>
      <c r="D121" t="s">
        <v>220</v>
      </c>
      <c r="E121" t="s">
        <v>230</v>
      </c>
      <c r="F121" t="s">
        <v>345</v>
      </c>
      <c r="G121" t="s">
        <v>340</v>
      </c>
      <c r="H121" t="s">
        <v>141</v>
      </c>
    </row>
    <row r="122" spans="2:9" x14ac:dyDescent="0.25">
      <c r="B122" t="s">
        <v>346</v>
      </c>
      <c r="C122">
        <v>70</v>
      </c>
      <c r="D122" t="s">
        <v>220</v>
      </c>
      <c r="E122" t="s">
        <v>230</v>
      </c>
      <c r="F122" t="s">
        <v>345</v>
      </c>
      <c r="G122" t="s">
        <v>340</v>
      </c>
      <c r="H122" t="s">
        <v>141</v>
      </c>
    </row>
    <row r="123" spans="2:9" x14ac:dyDescent="0.25">
      <c r="B123" t="s">
        <v>347</v>
      </c>
      <c r="C123">
        <v>70</v>
      </c>
      <c r="D123" t="s">
        <v>220</v>
      </c>
      <c r="E123" t="s">
        <v>230</v>
      </c>
      <c r="F123" t="s">
        <v>345</v>
      </c>
      <c r="G123" t="s">
        <v>340</v>
      </c>
      <c r="H123" t="s">
        <v>141</v>
      </c>
    </row>
    <row r="124" spans="2:9" x14ac:dyDescent="0.25">
      <c r="B124" t="s">
        <v>348</v>
      </c>
      <c r="C124">
        <v>65</v>
      </c>
      <c r="D124" t="s">
        <v>220</v>
      </c>
      <c r="E124" t="s">
        <v>230</v>
      </c>
      <c r="F124" t="s">
        <v>345</v>
      </c>
      <c r="G124" t="s">
        <v>340</v>
      </c>
      <c r="H124" t="s">
        <v>141</v>
      </c>
    </row>
    <row r="125" spans="2:9" x14ac:dyDescent="0.25">
      <c r="B125" t="s">
        <v>349</v>
      </c>
      <c r="C125">
        <v>65</v>
      </c>
      <c r="D125" t="s">
        <v>220</v>
      </c>
      <c r="E125" t="s">
        <v>230</v>
      </c>
      <c r="F125" t="s">
        <v>345</v>
      </c>
      <c r="G125" t="s">
        <v>340</v>
      </c>
      <c r="H125" t="s">
        <v>141</v>
      </c>
    </row>
    <row r="126" spans="2:9" x14ac:dyDescent="0.25">
      <c r="B126" t="s">
        <v>350</v>
      </c>
      <c r="C126">
        <v>65</v>
      </c>
      <c r="D126" t="s">
        <v>220</v>
      </c>
      <c r="E126" t="s">
        <v>230</v>
      </c>
      <c r="F126" t="s">
        <v>345</v>
      </c>
      <c r="G126" t="s">
        <v>340</v>
      </c>
      <c r="H126" t="s">
        <v>141</v>
      </c>
    </row>
    <row r="127" spans="2:9" x14ac:dyDescent="0.25">
      <c r="B127" t="s">
        <v>351</v>
      </c>
      <c r="C127">
        <v>65</v>
      </c>
      <c r="D127" t="s">
        <v>352</v>
      </c>
      <c r="F127" t="s">
        <v>75</v>
      </c>
      <c r="G127" t="s">
        <v>215</v>
      </c>
      <c r="H127" t="s">
        <v>141</v>
      </c>
    </row>
    <row r="128" spans="2:9" x14ac:dyDescent="0.25">
      <c r="B128" t="s">
        <v>353</v>
      </c>
      <c r="C128">
        <v>65</v>
      </c>
      <c r="D128" t="s">
        <v>352</v>
      </c>
      <c r="F128" t="s">
        <v>75</v>
      </c>
      <c r="G128" t="s">
        <v>215</v>
      </c>
      <c r="H128" t="s">
        <v>141</v>
      </c>
    </row>
    <row r="129" spans="2:9" x14ac:dyDescent="0.25">
      <c r="B129" t="s">
        <v>354</v>
      </c>
      <c r="C129">
        <v>65</v>
      </c>
      <c r="D129" t="s">
        <v>352</v>
      </c>
      <c r="F129" t="s">
        <v>75</v>
      </c>
      <c r="G129" t="s">
        <v>215</v>
      </c>
      <c r="H129" t="s">
        <v>141</v>
      </c>
    </row>
    <row r="130" spans="2:9" x14ac:dyDescent="0.25">
      <c r="B130" t="s">
        <v>355</v>
      </c>
      <c r="C130">
        <v>50</v>
      </c>
      <c r="D130" t="s">
        <v>220</v>
      </c>
      <c r="E130" t="s">
        <v>356</v>
      </c>
      <c r="F130" t="s">
        <v>327</v>
      </c>
      <c r="G130" t="s">
        <v>215</v>
      </c>
      <c r="H130" t="s">
        <v>141</v>
      </c>
      <c r="I130" t="s">
        <v>192</v>
      </c>
    </row>
    <row r="131" spans="2:9" x14ac:dyDescent="0.25">
      <c r="B131" t="s">
        <v>357</v>
      </c>
      <c r="C131">
        <v>50</v>
      </c>
      <c r="D131" t="s">
        <v>220</v>
      </c>
      <c r="E131" t="s">
        <v>356</v>
      </c>
      <c r="F131" t="s">
        <v>327</v>
      </c>
      <c r="G131" t="s">
        <v>215</v>
      </c>
      <c r="H131" t="s">
        <v>141</v>
      </c>
      <c r="I131" t="s">
        <v>192</v>
      </c>
    </row>
    <row r="132" spans="2:9" x14ac:dyDescent="0.25">
      <c r="B132" t="s">
        <v>358</v>
      </c>
      <c r="C132">
        <v>50</v>
      </c>
      <c r="D132" t="s">
        <v>220</v>
      </c>
      <c r="E132" t="s">
        <v>356</v>
      </c>
      <c r="F132" t="s">
        <v>327</v>
      </c>
      <c r="G132" t="s">
        <v>215</v>
      </c>
      <c r="H132" t="s">
        <v>141</v>
      </c>
      <c r="I132" t="s">
        <v>192</v>
      </c>
    </row>
    <row r="133" spans="2:9" x14ac:dyDescent="0.25">
      <c r="B133" t="s">
        <v>359</v>
      </c>
      <c r="C133">
        <v>50</v>
      </c>
      <c r="D133" t="s">
        <v>220</v>
      </c>
      <c r="E133" t="s">
        <v>356</v>
      </c>
      <c r="F133" t="s">
        <v>327</v>
      </c>
      <c r="G133" t="s">
        <v>215</v>
      </c>
      <c r="H133" t="s">
        <v>141</v>
      </c>
      <c r="I133" t="s">
        <v>192</v>
      </c>
    </row>
    <row r="134" spans="2:9" x14ac:dyDescent="0.25">
      <c r="B134" t="s">
        <v>360</v>
      </c>
      <c r="C134">
        <v>50</v>
      </c>
      <c r="D134" t="s">
        <v>220</v>
      </c>
      <c r="E134" t="s">
        <v>356</v>
      </c>
      <c r="F134" t="s">
        <v>327</v>
      </c>
      <c r="G134" t="s">
        <v>215</v>
      </c>
      <c r="H134" t="s">
        <v>141</v>
      </c>
      <c r="I134" t="s">
        <v>192</v>
      </c>
    </row>
    <row r="135" spans="2:9" x14ac:dyDescent="0.25">
      <c r="B135" t="s">
        <v>361</v>
      </c>
      <c r="C135">
        <v>50</v>
      </c>
      <c r="D135" t="s">
        <v>220</v>
      </c>
      <c r="E135" t="s">
        <v>356</v>
      </c>
      <c r="F135" t="s">
        <v>327</v>
      </c>
      <c r="G135" t="s">
        <v>215</v>
      </c>
      <c r="H135" t="s">
        <v>141</v>
      </c>
      <c r="I135" t="s">
        <v>192</v>
      </c>
    </row>
    <row r="136" spans="2:9" x14ac:dyDescent="0.25">
      <c r="B136" t="s">
        <v>362</v>
      </c>
      <c r="C136">
        <v>45</v>
      </c>
      <c r="D136" t="s">
        <v>220</v>
      </c>
      <c r="E136" t="s">
        <v>356</v>
      </c>
      <c r="F136" t="s">
        <v>40</v>
      </c>
      <c r="G136" t="s">
        <v>340</v>
      </c>
      <c r="H136" t="s">
        <v>216</v>
      </c>
    </row>
    <row r="137" spans="2:9" x14ac:dyDescent="0.25">
      <c r="B137" t="s">
        <v>363</v>
      </c>
      <c r="C137">
        <v>45</v>
      </c>
      <c r="D137" t="s">
        <v>220</v>
      </c>
      <c r="E137" t="s">
        <v>356</v>
      </c>
      <c r="F137" t="s">
        <v>40</v>
      </c>
      <c r="G137" t="s">
        <v>340</v>
      </c>
      <c r="H137" t="s">
        <v>216</v>
      </c>
    </row>
    <row r="138" spans="2:9" x14ac:dyDescent="0.25">
      <c r="B138" t="s">
        <v>364</v>
      </c>
      <c r="C138">
        <v>45</v>
      </c>
      <c r="D138" t="s">
        <v>220</v>
      </c>
      <c r="E138" t="s">
        <v>356</v>
      </c>
      <c r="F138" t="s">
        <v>40</v>
      </c>
      <c r="G138" t="s">
        <v>340</v>
      </c>
      <c r="H138" t="s">
        <v>216</v>
      </c>
    </row>
    <row r="139" spans="2:9" x14ac:dyDescent="0.25">
      <c r="B139" t="s">
        <v>365</v>
      </c>
      <c r="C139">
        <v>50</v>
      </c>
      <c r="D139" t="s">
        <v>220</v>
      </c>
      <c r="E139" t="s">
        <v>178</v>
      </c>
      <c r="G139" t="s">
        <v>340</v>
      </c>
      <c r="H139" t="s">
        <v>141</v>
      </c>
    </row>
    <row r="140" spans="2:9" x14ac:dyDescent="0.25">
      <c r="B140" t="s">
        <v>366</v>
      </c>
      <c r="C140">
        <v>50</v>
      </c>
      <c r="D140" t="s">
        <v>220</v>
      </c>
      <c r="E140" t="s">
        <v>178</v>
      </c>
      <c r="G140" t="s">
        <v>340</v>
      </c>
      <c r="H140" t="s">
        <v>141</v>
      </c>
    </row>
    <row r="141" spans="2:9" x14ac:dyDescent="0.25">
      <c r="B141" t="s">
        <v>367</v>
      </c>
      <c r="C141">
        <v>50</v>
      </c>
      <c r="D141" t="s">
        <v>220</v>
      </c>
      <c r="E141" t="s">
        <v>178</v>
      </c>
      <c r="G141" t="s">
        <v>340</v>
      </c>
      <c r="H141" t="s">
        <v>141</v>
      </c>
    </row>
    <row r="142" spans="2:9" x14ac:dyDescent="0.25">
      <c r="B142" t="s">
        <v>368</v>
      </c>
      <c r="C142">
        <v>60</v>
      </c>
      <c r="D142" t="s">
        <v>220</v>
      </c>
      <c r="E142" t="s">
        <v>369</v>
      </c>
      <c r="F142" t="s">
        <v>75</v>
      </c>
      <c r="G142" t="s">
        <v>370</v>
      </c>
      <c r="H142" t="s">
        <v>141</v>
      </c>
    </row>
    <row r="143" spans="2:9" x14ac:dyDescent="0.25">
      <c r="B143" t="s">
        <v>371</v>
      </c>
      <c r="C143">
        <v>60</v>
      </c>
      <c r="D143" t="s">
        <v>220</v>
      </c>
      <c r="E143" t="s">
        <v>369</v>
      </c>
      <c r="F143" t="s">
        <v>75</v>
      </c>
      <c r="G143" t="s">
        <v>370</v>
      </c>
      <c r="H143" t="s">
        <v>141</v>
      </c>
    </row>
    <row r="144" spans="2:9" x14ac:dyDescent="0.25">
      <c r="B144" t="s">
        <v>372</v>
      </c>
      <c r="C144">
        <v>60</v>
      </c>
      <c r="D144" t="s">
        <v>220</v>
      </c>
      <c r="E144" t="s">
        <v>369</v>
      </c>
      <c r="F144" t="s">
        <v>75</v>
      </c>
      <c r="G144" t="s">
        <v>370</v>
      </c>
      <c r="H144" t="s">
        <v>141</v>
      </c>
    </row>
    <row r="145" spans="2:9" x14ac:dyDescent="0.25">
      <c r="B145" t="s">
        <v>373</v>
      </c>
      <c r="C145">
        <v>70</v>
      </c>
      <c r="D145" t="s">
        <v>220</v>
      </c>
      <c r="E145" t="s">
        <v>49</v>
      </c>
      <c r="F145" t="s">
        <v>374</v>
      </c>
      <c r="G145" t="s">
        <v>370</v>
      </c>
      <c r="H145" t="s">
        <v>141</v>
      </c>
    </row>
    <row r="146" spans="2:9" x14ac:dyDescent="0.25">
      <c r="B146" t="s">
        <v>375</v>
      </c>
      <c r="C146">
        <v>70</v>
      </c>
      <c r="D146" t="s">
        <v>220</v>
      </c>
      <c r="E146" t="s">
        <v>49</v>
      </c>
      <c r="F146" t="s">
        <v>374</v>
      </c>
      <c r="G146" t="s">
        <v>370</v>
      </c>
      <c r="H146" t="s">
        <v>141</v>
      </c>
    </row>
    <row r="147" spans="2:9" x14ac:dyDescent="0.25">
      <c r="B147" t="s">
        <v>376</v>
      </c>
      <c r="C147">
        <v>70</v>
      </c>
      <c r="D147" t="s">
        <v>220</v>
      </c>
      <c r="E147" t="s">
        <v>49</v>
      </c>
      <c r="F147" t="s">
        <v>374</v>
      </c>
      <c r="G147" t="s">
        <v>370</v>
      </c>
      <c r="H147" t="s">
        <v>141</v>
      </c>
    </row>
    <row r="148" spans="2:9" x14ac:dyDescent="0.25">
      <c r="B148" t="s">
        <v>377</v>
      </c>
      <c r="C148">
        <v>45</v>
      </c>
      <c r="D148" t="s">
        <v>220</v>
      </c>
      <c r="E148" t="s">
        <v>49</v>
      </c>
      <c r="G148" t="s">
        <v>370</v>
      </c>
      <c r="H148" t="s">
        <v>141</v>
      </c>
    </row>
    <row r="149" spans="2:9" x14ac:dyDescent="0.25">
      <c r="B149" t="s">
        <v>378</v>
      </c>
      <c r="C149">
        <v>45</v>
      </c>
      <c r="D149" t="s">
        <v>220</v>
      </c>
      <c r="E149" t="s">
        <v>49</v>
      </c>
      <c r="G149" t="s">
        <v>370</v>
      </c>
      <c r="H149" t="s">
        <v>141</v>
      </c>
    </row>
    <row r="150" spans="2:9" x14ac:dyDescent="0.25">
      <c r="B150" t="s">
        <v>379</v>
      </c>
      <c r="C150">
        <v>45</v>
      </c>
      <c r="D150" t="s">
        <v>220</v>
      </c>
      <c r="E150" t="s">
        <v>49</v>
      </c>
      <c r="G150" t="s">
        <v>370</v>
      </c>
      <c r="H150" t="s">
        <v>141</v>
      </c>
    </row>
    <row r="151" spans="2:9" x14ac:dyDescent="0.25">
      <c r="B151" t="s">
        <v>380</v>
      </c>
      <c r="C151">
        <v>40</v>
      </c>
      <c r="D151" t="s">
        <v>220</v>
      </c>
      <c r="E151" t="s">
        <v>369</v>
      </c>
      <c r="G151" t="s">
        <v>381</v>
      </c>
      <c r="H151" t="s">
        <v>141</v>
      </c>
    </row>
    <row r="152" spans="2:9" x14ac:dyDescent="0.25">
      <c r="B152" t="s">
        <v>382</v>
      </c>
      <c r="C152">
        <v>40</v>
      </c>
      <c r="D152" t="s">
        <v>220</v>
      </c>
      <c r="E152" t="s">
        <v>369</v>
      </c>
      <c r="G152" t="s">
        <v>381</v>
      </c>
      <c r="H152" t="s">
        <v>141</v>
      </c>
    </row>
    <row r="153" spans="2:9" x14ac:dyDescent="0.25">
      <c r="B153" t="s">
        <v>383</v>
      </c>
      <c r="C153">
        <v>40</v>
      </c>
      <c r="D153" t="s">
        <v>220</v>
      </c>
      <c r="E153" t="s">
        <v>369</v>
      </c>
      <c r="G153" t="s">
        <v>381</v>
      </c>
      <c r="H153" t="s">
        <v>141</v>
      </c>
    </row>
    <row r="154" spans="2:9" x14ac:dyDescent="0.25">
      <c r="B154" t="s">
        <v>384</v>
      </c>
      <c r="C154">
        <v>55</v>
      </c>
      <c r="D154" t="s">
        <v>352</v>
      </c>
      <c r="E154" t="s">
        <v>385</v>
      </c>
      <c r="F154" t="s">
        <v>386</v>
      </c>
      <c r="G154" t="s">
        <v>370</v>
      </c>
      <c r="H154" t="s">
        <v>309</v>
      </c>
    </row>
    <row r="155" spans="2:9" x14ac:dyDescent="0.25">
      <c r="B155" t="s">
        <v>387</v>
      </c>
      <c r="C155">
        <v>55</v>
      </c>
      <c r="D155" t="s">
        <v>352</v>
      </c>
      <c r="E155" t="s">
        <v>385</v>
      </c>
      <c r="F155" t="s">
        <v>386</v>
      </c>
      <c r="G155" t="s">
        <v>370</v>
      </c>
      <c r="H155" t="s">
        <v>309</v>
      </c>
    </row>
    <row r="156" spans="2:9" x14ac:dyDescent="0.25">
      <c r="B156" t="s">
        <v>388</v>
      </c>
      <c r="C156">
        <v>55</v>
      </c>
      <c r="D156" t="s">
        <v>352</v>
      </c>
      <c r="E156" t="s">
        <v>385</v>
      </c>
      <c r="F156" t="s">
        <v>386</v>
      </c>
      <c r="G156" t="s">
        <v>370</v>
      </c>
      <c r="H156" t="s">
        <v>309</v>
      </c>
    </row>
    <row r="157" spans="2:9" x14ac:dyDescent="0.25">
      <c r="B157" t="s">
        <v>389</v>
      </c>
      <c r="C157">
        <v>60</v>
      </c>
      <c r="D157" t="s">
        <v>352</v>
      </c>
      <c r="F157" t="s">
        <v>75</v>
      </c>
      <c r="G157" t="s">
        <v>215</v>
      </c>
      <c r="H157" t="s">
        <v>141</v>
      </c>
    </row>
    <row r="158" spans="2:9" x14ac:dyDescent="0.25">
      <c r="B158" t="s">
        <v>390</v>
      </c>
      <c r="C158">
        <v>60</v>
      </c>
      <c r="D158" t="s">
        <v>352</v>
      </c>
      <c r="F158" t="s">
        <v>75</v>
      </c>
      <c r="G158" t="s">
        <v>215</v>
      </c>
      <c r="H158" t="s">
        <v>141</v>
      </c>
    </row>
    <row r="159" spans="2:9" x14ac:dyDescent="0.25">
      <c r="B159" t="s">
        <v>391</v>
      </c>
      <c r="C159">
        <v>60</v>
      </c>
      <c r="D159" t="s">
        <v>352</v>
      </c>
      <c r="F159" t="s">
        <v>75</v>
      </c>
      <c r="G159" t="s">
        <v>215</v>
      </c>
      <c r="H159" t="s">
        <v>141</v>
      </c>
    </row>
    <row r="160" spans="2:9" x14ac:dyDescent="0.25">
      <c r="B160" t="s">
        <v>392</v>
      </c>
      <c r="C160">
        <v>45</v>
      </c>
      <c r="D160" t="s">
        <v>220</v>
      </c>
      <c r="E160" t="s">
        <v>49</v>
      </c>
      <c r="F160" t="s">
        <v>393</v>
      </c>
      <c r="G160" t="s">
        <v>215</v>
      </c>
      <c r="H160" t="s">
        <v>106</v>
      </c>
      <c r="I160" t="s">
        <v>309</v>
      </c>
    </row>
    <row r="161" spans="2:9" x14ac:dyDescent="0.25">
      <c r="B161" t="s">
        <v>394</v>
      </c>
      <c r="C161">
        <v>45</v>
      </c>
      <c r="D161" t="s">
        <v>220</v>
      </c>
      <c r="E161" t="s">
        <v>49</v>
      </c>
      <c r="F161" t="s">
        <v>393</v>
      </c>
      <c r="G161" t="s">
        <v>215</v>
      </c>
      <c r="H161" t="s">
        <v>106</v>
      </c>
      <c r="I161" t="s">
        <v>309</v>
      </c>
    </row>
    <row r="162" spans="2:9" x14ac:dyDescent="0.25">
      <c r="B162" t="s">
        <v>395</v>
      </c>
      <c r="C162">
        <v>45</v>
      </c>
      <c r="D162" t="s">
        <v>220</v>
      </c>
      <c r="E162" t="s">
        <v>49</v>
      </c>
      <c r="F162" t="s">
        <v>393</v>
      </c>
      <c r="G162" t="s">
        <v>215</v>
      </c>
      <c r="H162" t="s">
        <v>106</v>
      </c>
      <c r="I162" t="s">
        <v>309</v>
      </c>
    </row>
    <row r="163" spans="2:9" x14ac:dyDescent="0.25">
      <c r="B163" t="s">
        <v>396</v>
      </c>
      <c r="C163">
        <v>40</v>
      </c>
      <c r="E163" t="s">
        <v>220</v>
      </c>
      <c r="H163" t="s">
        <v>215</v>
      </c>
    </row>
    <row r="164" spans="2:9" x14ac:dyDescent="0.25">
      <c r="B164" t="s">
        <v>397</v>
      </c>
      <c r="C164">
        <v>40</v>
      </c>
      <c r="E164" t="s">
        <v>220</v>
      </c>
      <c r="H164" t="s">
        <v>215</v>
      </c>
    </row>
    <row r="165" spans="2:9" x14ac:dyDescent="0.25">
      <c r="B165" t="s">
        <v>398</v>
      </c>
      <c r="C165">
        <v>40</v>
      </c>
      <c r="E165" t="s">
        <v>220</v>
      </c>
      <c r="H165" t="s">
        <v>215</v>
      </c>
    </row>
    <row r="166" spans="2:9" x14ac:dyDescent="0.25">
      <c r="B166" t="s">
        <v>399</v>
      </c>
      <c r="C166">
        <v>65</v>
      </c>
      <c r="D166" t="s">
        <v>220</v>
      </c>
      <c r="E166" t="s">
        <v>49</v>
      </c>
      <c r="F166" t="s">
        <v>374</v>
      </c>
      <c r="H166" t="s">
        <v>400</v>
      </c>
      <c r="I166" t="s">
        <v>215</v>
      </c>
    </row>
    <row r="167" spans="2:9" x14ac:dyDescent="0.25">
      <c r="B167" t="s">
        <v>401</v>
      </c>
      <c r="C167">
        <v>65</v>
      </c>
      <c r="D167" t="s">
        <v>220</v>
      </c>
      <c r="E167" t="s">
        <v>49</v>
      </c>
      <c r="F167" t="s">
        <v>374</v>
      </c>
      <c r="H167" t="s">
        <v>400</v>
      </c>
      <c r="I167" t="s">
        <v>215</v>
      </c>
    </row>
    <row r="168" spans="2:9" x14ac:dyDescent="0.25">
      <c r="B168" t="s">
        <v>402</v>
      </c>
      <c r="C168">
        <v>65</v>
      </c>
      <c r="D168" t="s">
        <v>220</v>
      </c>
      <c r="E168" t="s">
        <v>49</v>
      </c>
      <c r="F168" t="s">
        <v>374</v>
      </c>
      <c r="H168" t="s">
        <v>400</v>
      </c>
      <c r="I168" t="s">
        <v>215</v>
      </c>
    </row>
    <row r="169" spans="2:9" x14ac:dyDescent="0.25">
      <c r="B169" t="s">
        <v>403</v>
      </c>
      <c r="C169">
        <v>100</v>
      </c>
      <c r="D169" t="s">
        <v>404</v>
      </c>
      <c r="G169" t="s">
        <v>405</v>
      </c>
    </row>
    <row r="170" spans="2:9" x14ac:dyDescent="0.25">
      <c r="B170" t="s">
        <v>406</v>
      </c>
      <c r="C170">
        <v>100</v>
      </c>
      <c r="D170" t="s">
        <v>404</v>
      </c>
      <c r="G170" t="s">
        <v>405</v>
      </c>
    </row>
    <row r="171" spans="2:9" x14ac:dyDescent="0.25">
      <c r="B171" t="s">
        <v>407</v>
      </c>
      <c r="C171">
        <v>100</v>
      </c>
      <c r="D171" t="s">
        <v>404</v>
      </c>
      <c r="G171" t="s">
        <v>405</v>
      </c>
    </row>
    <row r="172" spans="2:9" x14ac:dyDescent="0.25">
      <c r="B172" t="s">
        <v>408</v>
      </c>
      <c r="C172">
        <v>65</v>
      </c>
      <c r="D172" t="s">
        <v>49</v>
      </c>
      <c r="E172" t="s">
        <v>230</v>
      </c>
      <c r="F172" t="s">
        <v>41</v>
      </c>
      <c r="I172" t="s">
        <v>141</v>
      </c>
    </row>
    <row r="173" spans="2:9" x14ac:dyDescent="0.25">
      <c r="B173" t="s">
        <v>409</v>
      </c>
      <c r="C173">
        <v>65</v>
      </c>
      <c r="D173" t="s">
        <v>49</v>
      </c>
      <c r="E173" t="s">
        <v>230</v>
      </c>
      <c r="F173" t="s">
        <v>41</v>
      </c>
      <c r="I173" t="s">
        <v>141</v>
      </c>
    </row>
    <row r="174" spans="2:9" x14ac:dyDescent="0.25">
      <c r="B174" t="s">
        <v>410</v>
      </c>
      <c r="C174">
        <v>65</v>
      </c>
      <c r="D174" t="s">
        <v>49</v>
      </c>
      <c r="E174" t="s">
        <v>230</v>
      </c>
      <c r="F174" t="s">
        <v>41</v>
      </c>
      <c r="I174" t="s">
        <v>141</v>
      </c>
    </row>
    <row r="175" spans="2:9" x14ac:dyDescent="0.25">
      <c r="B175" t="s">
        <v>411</v>
      </c>
      <c r="C175">
        <v>60</v>
      </c>
      <c r="D175" t="s">
        <v>49</v>
      </c>
      <c r="E175" t="s">
        <v>230</v>
      </c>
      <c r="F175" t="s">
        <v>41</v>
      </c>
      <c r="I175" t="s">
        <v>141</v>
      </c>
    </row>
    <row r="176" spans="2:9" x14ac:dyDescent="0.25">
      <c r="B176" t="s">
        <v>412</v>
      </c>
      <c r="C176">
        <v>60</v>
      </c>
      <c r="D176" t="s">
        <v>49</v>
      </c>
      <c r="E176" t="s">
        <v>230</v>
      </c>
      <c r="F176" t="s">
        <v>41</v>
      </c>
      <c r="I176" t="s">
        <v>141</v>
      </c>
    </row>
    <row r="177" spans="2:9" x14ac:dyDescent="0.25">
      <c r="B177" t="s">
        <v>413</v>
      </c>
      <c r="C177">
        <v>60</v>
      </c>
      <c r="D177" t="s">
        <v>49</v>
      </c>
      <c r="E177" t="s">
        <v>230</v>
      </c>
      <c r="F177" t="s">
        <v>41</v>
      </c>
      <c r="I177" t="s">
        <v>141</v>
      </c>
    </row>
    <row r="178" spans="2:9" x14ac:dyDescent="0.25">
      <c r="B178" t="s">
        <v>414</v>
      </c>
      <c r="C178">
        <v>30</v>
      </c>
      <c r="F178" t="s">
        <v>49</v>
      </c>
    </row>
    <row r="179" spans="2:9" x14ac:dyDescent="0.25">
      <c r="B179" t="s">
        <v>415</v>
      </c>
      <c r="C179">
        <v>30</v>
      </c>
      <c r="F179" t="s">
        <v>49</v>
      </c>
    </row>
    <row r="180" spans="2:9" x14ac:dyDescent="0.25">
      <c r="B180" t="s">
        <v>416</v>
      </c>
      <c r="C180">
        <v>30</v>
      </c>
      <c r="F180" t="s">
        <v>49</v>
      </c>
    </row>
    <row r="181" spans="2:9" x14ac:dyDescent="0.25">
      <c r="B181" t="s">
        <v>417</v>
      </c>
      <c r="C181">
        <v>55</v>
      </c>
      <c r="D181" t="s">
        <v>45</v>
      </c>
      <c r="F181" t="s">
        <v>49</v>
      </c>
    </row>
    <row r="182" spans="2:9" x14ac:dyDescent="0.25">
      <c r="B182" t="s">
        <v>418</v>
      </c>
      <c r="C182">
        <v>55</v>
      </c>
      <c r="D182" t="s">
        <v>45</v>
      </c>
      <c r="F182" t="s">
        <v>49</v>
      </c>
    </row>
    <row r="183" spans="2:9" x14ac:dyDescent="0.25">
      <c r="B183" t="s">
        <v>419</v>
      </c>
      <c r="C183">
        <v>55</v>
      </c>
      <c r="D183" t="s">
        <v>45</v>
      </c>
      <c r="F183" t="s">
        <v>49</v>
      </c>
    </row>
    <row r="184" spans="2:9" x14ac:dyDescent="0.25">
      <c r="B184" t="s">
        <v>420</v>
      </c>
      <c r="C184">
        <v>70</v>
      </c>
      <c r="E184" t="s">
        <v>421</v>
      </c>
      <c r="F184" t="s">
        <v>422</v>
      </c>
      <c r="H184" t="s">
        <v>141</v>
      </c>
    </row>
    <row r="185" spans="2:9" x14ac:dyDescent="0.25">
      <c r="B185" t="s">
        <v>423</v>
      </c>
      <c r="C185">
        <v>75</v>
      </c>
      <c r="D185" t="s">
        <v>424</v>
      </c>
      <c r="G185" t="s">
        <v>425</v>
      </c>
    </row>
    <row r="186" spans="2:9" x14ac:dyDescent="0.25">
      <c r="B186" t="s">
        <v>426</v>
      </c>
      <c r="C186">
        <v>65</v>
      </c>
    </row>
    <row r="187" spans="2:9" x14ac:dyDescent="0.25">
      <c r="B187" t="s">
        <v>427</v>
      </c>
      <c r="C187">
        <v>75</v>
      </c>
    </row>
    <row r="188" spans="2:9" x14ac:dyDescent="0.25">
      <c r="B188" t="s">
        <v>428</v>
      </c>
      <c r="C188">
        <v>55</v>
      </c>
    </row>
    <row r="189" spans="2:9" x14ac:dyDescent="0.25">
      <c r="B189" t="s">
        <v>429</v>
      </c>
      <c r="C189">
        <v>80</v>
      </c>
    </row>
    <row r="190" spans="2:9" x14ac:dyDescent="0.25">
      <c r="B190" t="s">
        <v>430</v>
      </c>
      <c r="C190">
        <v>85</v>
      </c>
    </row>
    <row r="191" spans="2:9" x14ac:dyDescent="0.25">
      <c r="B191" t="s">
        <v>431</v>
      </c>
      <c r="C191">
        <v>70</v>
      </c>
    </row>
    <row r="192" spans="2:9" x14ac:dyDescent="0.25">
      <c r="B192" t="s">
        <v>432</v>
      </c>
      <c r="C192">
        <v>80</v>
      </c>
    </row>
    <row r="193" spans="2:9" x14ac:dyDescent="0.25">
      <c r="B193" t="s">
        <v>433</v>
      </c>
      <c r="C193">
        <v>75</v>
      </c>
    </row>
    <row r="194" spans="2:9" x14ac:dyDescent="0.25">
      <c r="B194" t="s">
        <v>434</v>
      </c>
      <c r="C194">
        <v>75</v>
      </c>
    </row>
    <row r="195" spans="2:9" x14ac:dyDescent="0.25">
      <c r="B195" t="s">
        <v>435</v>
      </c>
      <c r="C195">
        <v>55</v>
      </c>
    </row>
    <row r="196" spans="2:9" x14ac:dyDescent="0.25">
      <c r="B196" t="s">
        <v>436</v>
      </c>
      <c r="C196">
        <v>65</v>
      </c>
    </row>
    <row r="197" spans="2:9" x14ac:dyDescent="0.25">
      <c r="B197" t="s">
        <v>437</v>
      </c>
      <c r="C197">
        <v>40</v>
      </c>
      <c r="D197" t="s">
        <v>438</v>
      </c>
      <c r="E197" t="s">
        <v>439</v>
      </c>
      <c r="F197" t="s">
        <v>440</v>
      </c>
      <c r="H197" t="s">
        <v>441</v>
      </c>
    </row>
    <row r="198" spans="2:9" x14ac:dyDescent="0.25">
      <c r="B198" t="s">
        <v>442</v>
      </c>
      <c r="C198">
        <v>40</v>
      </c>
      <c r="D198" t="s">
        <v>443</v>
      </c>
      <c r="E198" t="s">
        <v>385</v>
      </c>
      <c r="F198" t="s">
        <v>40</v>
      </c>
      <c r="H198" t="s">
        <v>444</v>
      </c>
    </row>
    <row r="199" spans="2:9" x14ac:dyDescent="0.25">
      <c r="B199" t="s">
        <v>445</v>
      </c>
      <c r="C199">
        <v>35</v>
      </c>
      <c r="D199" t="s">
        <v>446</v>
      </c>
      <c r="E199" t="s">
        <v>447</v>
      </c>
      <c r="F199" t="s">
        <v>448</v>
      </c>
      <c r="G199" t="s">
        <v>215</v>
      </c>
      <c r="H199" t="s">
        <v>400</v>
      </c>
    </row>
    <row r="200" spans="2:9" x14ac:dyDescent="0.25">
      <c r="B200" t="s">
        <v>449</v>
      </c>
      <c r="C200">
        <v>40</v>
      </c>
      <c r="D200" t="s">
        <v>84</v>
      </c>
      <c r="E200" t="s">
        <v>450</v>
      </c>
      <c r="F200" t="s">
        <v>451</v>
      </c>
      <c r="G200" t="s">
        <v>165</v>
      </c>
      <c r="H200" t="s">
        <v>452</v>
      </c>
    </row>
    <row r="201" spans="2:9" x14ac:dyDescent="0.25">
      <c r="B201" t="s">
        <v>453</v>
      </c>
      <c r="C201">
        <v>25</v>
      </c>
      <c r="D201" t="s">
        <v>454</v>
      </c>
      <c r="E201" t="s">
        <v>455</v>
      </c>
      <c r="F201" t="s">
        <v>41</v>
      </c>
      <c r="G201" t="s">
        <v>165</v>
      </c>
      <c r="H201" t="s">
        <v>151</v>
      </c>
      <c r="I201" t="s">
        <v>456</v>
      </c>
    </row>
    <row r="202" spans="2:9" x14ac:dyDescent="0.25">
      <c r="B202" t="s">
        <v>457</v>
      </c>
      <c r="C202">
        <v>25</v>
      </c>
      <c r="D202" t="s">
        <v>458</v>
      </c>
      <c r="E202" t="s">
        <v>459</v>
      </c>
      <c r="H202" t="s">
        <v>400</v>
      </c>
      <c r="I202" t="s">
        <v>215</v>
      </c>
    </row>
    <row r="203" spans="2:9" x14ac:dyDescent="0.25">
      <c r="B203" t="s">
        <v>460</v>
      </c>
      <c r="C203">
        <v>30</v>
      </c>
      <c r="D203" t="s">
        <v>461</v>
      </c>
      <c r="E203" t="s">
        <v>49</v>
      </c>
      <c r="H203" t="s">
        <v>125</v>
      </c>
    </row>
    <row r="204" spans="2:9" x14ac:dyDescent="0.25">
      <c r="B204" t="s">
        <v>462</v>
      </c>
      <c r="C204">
        <v>25</v>
      </c>
      <c r="D204" t="s">
        <v>463</v>
      </c>
      <c r="E204" t="s">
        <v>464</v>
      </c>
      <c r="F204" t="s">
        <v>465</v>
      </c>
      <c r="H204" t="s">
        <v>141</v>
      </c>
    </row>
    <row r="205" spans="2:9" x14ac:dyDescent="0.25">
      <c r="B205" t="s">
        <v>466</v>
      </c>
      <c r="C205">
        <v>30</v>
      </c>
      <c r="D205" t="s">
        <v>467</v>
      </c>
      <c r="E205" t="s">
        <v>295</v>
      </c>
      <c r="F205" t="s">
        <v>49</v>
      </c>
      <c r="H205" t="s">
        <v>215</v>
      </c>
      <c r="I205" t="s">
        <v>101</v>
      </c>
    </row>
    <row r="206" spans="2:9" x14ac:dyDescent="0.25">
      <c r="B206" t="s">
        <v>468</v>
      </c>
      <c r="C206">
        <v>35</v>
      </c>
      <c r="D206" t="s">
        <v>469</v>
      </c>
      <c r="E206" t="s">
        <v>470</v>
      </c>
    </row>
    <row r="207" spans="2:9" x14ac:dyDescent="0.25">
      <c r="B207" t="s">
        <v>471</v>
      </c>
      <c r="C207">
        <v>30</v>
      </c>
      <c r="E207" t="s">
        <v>472</v>
      </c>
      <c r="F207" t="s">
        <v>473</v>
      </c>
      <c r="H207" t="s">
        <v>141</v>
      </c>
    </row>
    <row r="208" spans="2:9" x14ac:dyDescent="0.25">
      <c r="B208" t="s">
        <v>474</v>
      </c>
      <c r="C208">
        <v>30</v>
      </c>
      <c r="E208" t="s">
        <v>475</v>
      </c>
      <c r="G208" t="s">
        <v>215</v>
      </c>
      <c r="H208" t="s">
        <v>216</v>
      </c>
    </row>
    <row r="209" spans="2:10" x14ac:dyDescent="0.25">
      <c r="B209" t="s">
        <v>476</v>
      </c>
      <c r="C209">
        <v>25</v>
      </c>
      <c r="D209" t="s">
        <v>477</v>
      </c>
      <c r="H209" t="s">
        <v>141</v>
      </c>
    </row>
    <row r="210" spans="2:10" x14ac:dyDescent="0.25">
      <c r="B210" t="s">
        <v>478</v>
      </c>
      <c r="C210">
        <v>25</v>
      </c>
      <c r="E210" t="s">
        <v>479</v>
      </c>
      <c r="F210" t="s">
        <v>480</v>
      </c>
      <c r="H210" t="s">
        <v>215</v>
      </c>
    </row>
    <row r="211" spans="2:10" x14ac:dyDescent="0.25">
      <c r="B211" t="s">
        <v>481</v>
      </c>
      <c r="C211">
        <v>25</v>
      </c>
      <c r="E211" t="s">
        <v>482</v>
      </c>
    </row>
    <row r="212" spans="2:10" x14ac:dyDescent="0.25">
      <c r="B212" t="s">
        <v>483</v>
      </c>
      <c r="C212">
        <v>30</v>
      </c>
      <c r="D212" t="s">
        <v>356</v>
      </c>
      <c r="E212" t="s">
        <v>484</v>
      </c>
      <c r="H212" t="s">
        <v>166</v>
      </c>
    </row>
    <row r="213" spans="2:10" x14ac:dyDescent="0.25">
      <c r="B213" t="s">
        <v>485</v>
      </c>
      <c r="C213">
        <v>25</v>
      </c>
      <c r="E213" t="s">
        <v>486</v>
      </c>
      <c r="F213" t="s">
        <v>487</v>
      </c>
      <c r="G213" t="s">
        <v>215</v>
      </c>
    </row>
    <row r="214" spans="2:10" x14ac:dyDescent="0.25">
      <c r="B214" t="s">
        <v>488</v>
      </c>
      <c r="C214">
        <v>20</v>
      </c>
      <c r="E214" t="s">
        <v>489</v>
      </c>
    </row>
    <row r="215" spans="2:10" x14ac:dyDescent="0.25">
      <c r="B215" t="s">
        <v>490</v>
      </c>
      <c r="C215">
        <v>25</v>
      </c>
      <c r="E215" t="s">
        <v>472</v>
      </c>
      <c r="F215" t="s">
        <v>491</v>
      </c>
      <c r="H215" t="s">
        <v>192</v>
      </c>
    </row>
    <row r="216" spans="2:10" x14ac:dyDescent="0.25">
      <c r="B216" t="s">
        <v>492</v>
      </c>
      <c r="C216">
        <v>20</v>
      </c>
      <c r="E216" t="s">
        <v>493</v>
      </c>
      <c r="F216" t="s">
        <v>494</v>
      </c>
      <c r="H216" t="s">
        <v>495</v>
      </c>
    </row>
    <row r="217" spans="2:10" x14ac:dyDescent="0.25">
      <c r="B217" t="s">
        <v>496</v>
      </c>
      <c r="C217">
        <v>20</v>
      </c>
      <c r="E217" t="s">
        <v>497</v>
      </c>
    </row>
    <row r="218" spans="2:10" x14ac:dyDescent="0.25">
      <c r="B218" t="s">
        <v>498</v>
      </c>
      <c r="C218">
        <v>20</v>
      </c>
      <c r="E218" t="s">
        <v>236</v>
      </c>
    </row>
    <row r="219" spans="2:10" x14ac:dyDescent="0.25">
      <c r="B219" t="s">
        <v>499</v>
      </c>
      <c r="C219">
        <v>20</v>
      </c>
    </row>
    <row r="220" spans="2:10" x14ac:dyDescent="0.25">
      <c r="B220" t="s">
        <v>500</v>
      </c>
      <c r="C220">
        <v>25</v>
      </c>
      <c r="D220" t="s">
        <v>501</v>
      </c>
      <c r="E220" t="s">
        <v>502</v>
      </c>
      <c r="H220" t="s">
        <v>340</v>
      </c>
    </row>
    <row r="221" spans="2:10" x14ac:dyDescent="0.25">
      <c r="B221" t="s">
        <v>503</v>
      </c>
      <c r="C221">
        <v>25</v>
      </c>
      <c r="E221" t="s">
        <v>49</v>
      </c>
    </row>
    <row r="222" spans="2:10" x14ac:dyDescent="0.25">
      <c r="B222" t="s">
        <v>504</v>
      </c>
      <c r="C222">
        <v>25</v>
      </c>
      <c r="E222" t="s">
        <v>505</v>
      </c>
      <c r="F222" t="s">
        <v>49</v>
      </c>
      <c r="H222" t="s">
        <v>141</v>
      </c>
    </row>
    <row r="223" spans="2:10" x14ac:dyDescent="0.25">
      <c r="B223" t="s">
        <v>506</v>
      </c>
      <c r="C223">
        <v>35</v>
      </c>
      <c r="E223" t="s">
        <v>507</v>
      </c>
      <c r="F223" t="s">
        <v>475</v>
      </c>
    </row>
    <row r="224" spans="2:10" x14ac:dyDescent="0.25">
      <c r="B224" t="s">
        <v>508</v>
      </c>
      <c r="C224">
        <v>100</v>
      </c>
      <c r="D224" t="s">
        <v>356</v>
      </c>
      <c r="E224" t="s">
        <v>509</v>
      </c>
      <c r="F224" t="s">
        <v>510</v>
      </c>
      <c r="G224" t="s">
        <v>511</v>
      </c>
      <c r="H224" t="s">
        <v>512</v>
      </c>
      <c r="J224" t="s">
        <v>513</v>
      </c>
    </row>
    <row r="225" spans="2:10" x14ac:dyDescent="0.25">
      <c r="B225" t="s">
        <v>514</v>
      </c>
      <c r="C225">
        <v>100</v>
      </c>
      <c r="D225" t="s">
        <v>356</v>
      </c>
      <c r="E225" t="s">
        <v>138</v>
      </c>
      <c r="F225" t="s">
        <v>515</v>
      </c>
      <c r="G225" t="s">
        <v>511</v>
      </c>
      <c r="H225" t="s">
        <v>512</v>
      </c>
      <c r="J225" t="s">
        <v>513</v>
      </c>
    </row>
    <row r="226" spans="2:10" x14ac:dyDescent="0.25">
      <c r="B226" t="s">
        <v>516</v>
      </c>
      <c r="C226">
        <v>20</v>
      </c>
      <c r="E226" t="s">
        <v>517</v>
      </c>
      <c r="G226" t="s">
        <v>518</v>
      </c>
      <c r="H226" t="s">
        <v>215</v>
      </c>
      <c r="J226" t="s">
        <v>519</v>
      </c>
    </row>
    <row r="227" spans="2:10" x14ac:dyDescent="0.25">
      <c r="B227" t="s">
        <v>520</v>
      </c>
      <c r="C227">
        <v>15</v>
      </c>
      <c r="J227" t="s">
        <v>521</v>
      </c>
    </row>
    <row r="228" spans="2:10" x14ac:dyDescent="0.25">
      <c r="B228" t="s">
        <v>522</v>
      </c>
      <c r="C228">
        <v>15</v>
      </c>
      <c r="J228" t="s">
        <v>523</v>
      </c>
    </row>
    <row r="229" spans="2:10" x14ac:dyDescent="0.25">
      <c r="B229" t="s">
        <v>524</v>
      </c>
      <c r="C229">
        <v>15</v>
      </c>
      <c r="J229" t="s">
        <v>521</v>
      </c>
    </row>
    <row r="230" spans="2:10" x14ac:dyDescent="0.25">
      <c r="B230" t="s">
        <v>525</v>
      </c>
      <c r="C230">
        <v>10</v>
      </c>
      <c r="H230" t="s">
        <v>215</v>
      </c>
      <c r="J230" t="s">
        <v>526</v>
      </c>
    </row>
    <row r="231" spans="2:10" x14ac:dyDescent="0.25">
      <c r="B231" t="s">
        <v>527</v>
      </c>
      <c r="C231">
        <v>10</v>
      </c>
      <c r="J231" t="s">
        <v>528</v>
      </c>
    </row>
    <row r="232" spans="2:10" x14ac:dyDescent="0.25">
      <c r="B232" t="s">
        <v>529</v>
      </c>
      <c r="C232">
        <v>10</v>
      </c>
      <c r="J232" t="s">
        <v>530</v>
      </c>
    </row>
    <row r="233" spans="2:10" x14ac:dyDescent="0.25">
      <c r="B233" t="s">
        <v>531</v>
      </c>
      <c r="C233">
        <v>10</v>
      </c>
      <c r="J233" t="s">
        <v>532</v>
      </c>
    </row>
    <row r="234" spans="2:10" x14ac:dyDescent="0.25">
      <c r="B234" t="s">
        <v>533</v>
      </c>
      <c r="C234">
        <v>10</v>
      </c>
      <c r="J234" t="s">
        <v>534</v>
      </c>
    </row>
    <row r="235" spans="2:10" x14ac:dyDescent="0.25">
      <c r="B235" t="s">
        <v>535</v>
      </c>
      <c r="C235">
        <v>10</v>
      </c>
      <c r="J235" t="s">
        <v>536</v>
      </c>
    </row>
    <row r="236" spans="2:10" x14ac:dyDescent="0.25">
      <c r="B236" t="s">
        <v>537</v>
      </c>
      <c r="C236">
        <v>10</v>
      </c>
      <c r="J236" t="s">
        <v>538</v>
      </c>
    </row>
    <row r="237" spans="2:10" x14ac:dyDescent="0.25">
      <c r="B237" t="s">
        <v>539</v>
      </c>
      <c r="C237">
        <v>15</v>
      </c>
      <c r="E237" t="s">
        <v>334</v>
      </c>
      <c r="G237" t="s">
        <v>104</v>
      </c>
      <c r="H237" t="s">
        <v>141</v>
      </c>
      <c r="J237" t="s">
        <v>540</v>
      </c>
    </row>
    <row r="238" spans="2:10" x14ac:dyDescent="0.25">
      <c r="B238" t="s">
        <v>541</v>
      </c>
      <c r="C238">
        <v>10</v>
      </c>
      <c r="J238" t="s">
        <v>542</v>
      </c>
    </row>
    <row r="239" spans="2:10" x14ac:dyDescent="0.25">
      <c r="B239" t="s">
        <v>543</v>
      </c>
      <c r="C239">
        <v>5</v>
      </c>
      <c r="J239" t="s">
        <v>544</v>
      </c>
    </row>
    <row r="240" spans="2:10" x14ac:dyDescent="0.25">
      <c r="B240" t="s">
        <v>545</v>
      </c>
      <c r="C240">
        <v>10</v>
      </c>
      <c r="J240" t="s">
        <v>546</v>
      </c>
    </row>
    <row r="241" spans="2:10" x14ac:dyDescent="0.25">
      <c r="B241" t="s">
        <v>547</v>
      </c>
      <c r="C241">
        <v>10</v>
      </c>
      <c r="J241" t="s">
        <v>548</v>
      </c>
    </row>
    <row r="242" spans="2:10" x14ac:dyDescent="0.25">
      <c r="B242" t="s">
        <v>549</v>
      </c>
      <c r="C242">
        <v>10</v>
      </c>
      <c r="J242" t="s">
        <v>550</v>
      </c>
    </row>
    <row r="243" spans="2:10" x14ac:dyDescent="0.25">
      <c r="B243" t="s">
        <v>551</v>
      </c>
      <c r="C243">
        <v>10</v>
      </c>
      <c r="J243" t="s">
        <v>552</v>
      </c>
    </row>
    <row r="244" spans="2:10" x14ac:dyDescent="0.25">
      <c r="B244" t="s">
        <v>553</v>
      </c>
      <c r="C244">
        <v>10</v>
      </c>
      <c r="J244" t="s">
        <v>554</v>
      </c>
    </row>
    <row r="245" spans="2:10" x14ac:dyDescent="0.25">
      <c r="B245" t="s">
        <v>555</v>
      </c>
      <c r="C245">
        <v>10</v>
      </c>
      <c r="J245" t="s">
        <v>556</v>
      </c>
    </row>
    <row r="246" spans="2:10" x14ac:dyDescent="0.25">
      <c r="B246" t="s">
        <v>557</v>
      </c>
      <c r="C246">
        <v>10</v>
      </c>
      <c r="J246" t="s">
        <v>558</v>
      </c>
    </row>
    <row r="247" spans="2:10" x14ac:dyDescent="0.25">
      <c r="B247" t="s">
        <v>559</v>
      </c>
      <c r="C247">
        <v>10</v>
      </c>
      <c r="J247" t="s">
        <v>560</v>
      </c>
    </row>
    <row r="248" spans="2:10" x14ac:dyDescent="0.25">
      <c r="B248" t="s">
        <v>561</v>
      </c>
      <c r="C248">
        <v>50</v>
      </c>
      <c r="D248" t="s">
        <v>562</v>
      </c>
      <c r="E248" t="s">
        <v>563</v>
      </c>
      <c r="H248" t="s">
        <v>141</v>
      </c>
      <c r="J248" t="s">
        <v>564</v>
      </c>
    </row>
    <row r="249" spans="2:10" x14ac:dyDescent="0.25">
      <c r="B249" t="s">
        <v>565</v>
      </c>
      <c r="C249">
        <v>35</v>
      </c>
      <c r="D249" t="s">
        <v>562</v>
      </c>
      <c r="E249" t="s">
        <v>566</v>
      </c>
      <c r="F249" t="s">
        <v>49</v>
      </c>
      <c r="J249" t="s">
        <v>567</v>
      </c>
    </row>
    <row r="250" spans="2:10" x14ac:dyDescent="0.25">
      <c r="B250" t="s">
        <v>568</v>
      </c>
      <c r="C250">
        <v>40</v>
      </c>
      <c r="D250" t="s">
        <v>569</v>
      </c>
      <c r="E250" t="s">
        <v>38</v>
      </c>
      <c r="F250" t="s">
        <v>570</v>
      </c>
      <c r="J250" t="s">
        <v>571</v>
      </c>
    </row>
    <row r="251" spans="2:10" x14ac:dyDescent="0.25">
      <c r="B251" t="s">
        <v>572</v>
      </c>
      <c r="C251">
        <v>30</v>
      </c>
      <c r="D251" t="s">
        <v>562</v>
      </c>
      <c r="E251" t="s">
        <v>40</v>
      </c>
      <c r="F251" t="s">
        <v>49</v>
      </c>
      <c r="J251" t="s">
        <v>573</v>
      </c>
    </row>
    <row r="252" spans="2:10" x14ac:dyDescent="0.25">
      <c r="B252" t="s">
        <v>574</v>
      </c>
      <c r="C252">
        <v>35</v>
      </c>
      <c r="D252" t="s">
        <v>575</v>
      </c>
      <c r="E252" t="s">
        <v>41</v>
      </c>
      <c r="F252" t="s">
        <v>49</v>
      </c>
      <c r="J252" t="s">
        <v>576</v>
      </c>
    </row>
    <row r="253" spans="2:10" x14ac:dyDescent="0.25">
      <c r="B253" t="s">
        <v>577</v>
      </c>
      <c r="C253">
        <v>40</v>
      </c>
      <c r="D253" t="s">
        <v>40</v>
      </c>
      <c r="E253" t="s">
        <v>41</v>
      </c>
      <c r="F253" t="s">
        <v>49</v>
      </c>
      <c r="J253" t="s">
        <v>578</v>
      </c>
    </row>
    <row r="254" spans="2:10" x14ac:dyDescent="0.25">
      <c r="B254" t="s">
        <v>579</v>
      </c>
      <c r="C254">
        <v>30</v>
      </c>
      <c r="D254" t="s">
        <v>562</v>
      </c>
      <c r="E254" t="s">
        <v>580</v>
      </c>
      <c r="F254" t="s">
        <v>49</v>
      </c>
      <c r="J254" t="s">
        <v>581</v>
      </c>
    </row>
    <row r="255" spans="2:10" x14ac:dyDescent="0.25">
      <c r="B255" t="s">
        <v>582</v>
      </c>
      <c r="C255">
        <v>45</v>
      </c>
      <c r="D255" t="s">
        <v>583</v>
      </c>
      <c r="E255" t="s">
        <v>58</v>
      </c>
      <c r="F255" t="s">
        <v>584</v>
      </c>
      <c r="J255" t="s">
        <v>585</v>
      </c>
    </row>
    <row r="256" spans="2:10" x14ac:dyDescent="0.25">
      <c r="B256" t="s">
        <v>586</v>
      </c>
      <c r="C256">
        <v>40</v>
      </c>
      <c r="D256" t="s">
        <v>580</v>
      </c>
      <c r="E256" t="s">
        <v>587</v>
      </c>
      <c r="F256" t="s">
        <v>49</v>
      </c>
      <c r="H256" t="s">
        <v>141</v>
      </c>
      <c r="I256" t="s">
        <v>96</v>
      </c>
      <c r="J256" t="s">
        <v>588</v>
      </c>
    </row>
    <row r="257" spans="2:10" x14ac:dyDescent="0.25">
      <c r="B257" t="s">
        <v>589</v>
      </c>
      <c r="C257">
        <v>60</v>
      </c>
      <c r="D257" t="s">
        <v>356</v>
      </c>
      <c r="F257" t="s">
        <v>41</v>
      </c>
      <c r="J257" t="s">
        <v>590</v>
      </c>
    </row>
    <row r="258" spans="2:10" x14ac:dyDescent="0.25">
      <c r="B258" t="s">
        <v>591</v>
      </c>
      <c r="C258">
        <v>55</v>
      </c>
      <c r="D258" t="s">
        <v>592</v>
      </c>
      <c r="E258" t="s">
        <v>593</v>
      </c>
      <c r="G258" t="s">
        <v>141</v>
      </c>
      <c r="J258" t="s">
        <v>594</v>
      </c>
    </row>
    <row r="259" spans="2:10" x14ac:dyDescent="0.25">
      <c r="B259" t="s">
        <v>595</v>
      </c>
      <c r="C259">
        <v>50</v>
      </c>
      <c r="G259" t="s">
        <v>596</v>
      </c>
      <c r="J259" t="s">
        <v>597</v>
      </c>
    </row>
    <row r="260" spans="2:10" x14ac:dyDescent="0.25">
      <c r="B260" t="s">
        <v>598</v>
      </c>
      <c r="C260">
        <v>50</v>
      </c>
      <c r="D260" t="s">
        <v>477</v>
      </c>
      <c r="G260" t="s">
        <v>141</v>
      </c>
      <c r="H260" t="s">
        <v>101</v>
      </c>
      <c r="J260" t="s">
        <v>599</v>
      </c>
    </row>
    <row r="261" spans="2:10" x14ac:dyDescent="0.25">
      <c r="B261" t="s">
        <v>600</v>
      </c>
      <c r="C261">
        <v>50</v>
      </c>
      <c r="D261" t="s">
        <v>601</v>
      </c>
      <c r="E261" t="s">
        <v>602</v>
      </c>
      <c r="G261" t="s">
        <v>141</v>
      </c>
      <c r="J261" t="s">
        <v>603</v>
      </c>
    </row>
    <row r="262" spans="2:10" x14ac:dyDescent="0.25">
      <c r="B262" t="s">
        <v>604</v>
      </c>
      <c r="C262">
        <v>45</v>
      </c>
      <c r="D262" t="s">
        <v>605</v>
      </c>
      <c r="G262" t="s">
        <v>141</v>
      </c>
      <c r="J262" t="s">
        <v>606</v>
      </c>
    </row>
    <row r="263" spans="2:10" x14ac:dyDescent="0.25">
      <c r="B263" t="s">
        <v>607</v>
      </c>
      <c r="C263">
        <v>50</v>
      </c>
      <c r="D263" t="s">
        <v>477</v>
      </c>
      <c r="E263" t="s">
        <v>608</v>
      </c>
      <c r="J263" t="s">
        <v>609</v>
      </c>
    </row>
    <row r="264" spans="2:10" x14ac:dyDescent="0.25">
      <c r="B264" t="s">
        <v>610</v>
      </c>
      <c r="C264">
        <v>45</v>
      </c>
      <c r="D264" t="s">
        <v>477</v>
      </c>
      <c r="E264" t="s">
        <v>45</v>
      </c>
      <c r="J264" t="s">
        <v>609</v>
      </c>
    </row>
    <row r="265" spans="2:10" x14ac:dyDescent="0.25">
      <c r="B265" t="s">
        <v>611</v>
      </c>
      <c r="C265">
        <v>40</v>
      </c>
      <c r="D265" t="s">
        <v>77</v>
      </c>
      <c r="E265" t="s">
        <v>612</v>
      </c>
      <c r="F265" t="s">
        <v>477</v>
      </c>
      <c r="J265" t="s">
        <v>613</v>
      </c>
    </row>
    <row r="266" spans="2:10" x14ac:dyDescent="0.25">
      <c r="B266" t="s">
        <v>614</v>
      </c>
      <c r="C266">
        <v>45</v>
      </c>
      <c r="D266" t="s">
        <v>477</v>
      </c>
      <c r="E266" t="s">
        <v>608</v>
      </c>
      <c r="J266" t="s">
        <v>609</v>
      </c>
    </row>
    <row r="267" spans="2:10" x14ac:dyDescent="0.25">
      <c r="B267" t="s">
        <v>615</v>
      </c>
      <c r="C267">
        <v>55</v>
      </c>
      <c r="D267" t="s">
        <v>79</v>
      </c>
      <c r="E267" t="s">
        <v>616</v>
      </c>
      <c r="H267" t="s">
        <v>617</v>
      </c>
      <c r="J267" t="s">
        <v>618</v>
      </c>
    </row>
    <row r="268" spans="2:10" x14ac:dyDescent="0.25">
      <c r="B268" t="s">
        <v>619</v>
      </c>
      <c r="C268">
        <v>45</v>
      </c>
      <c r="D268" t="s">
        <v>620</v>
      </c>
      <c r="E268" t="s">
        <v>621</v>
      </c>
      <c r="F268" t="s">
        <v>622</v>
      </c>
      <c r="J268" t="s">
        <v>623</v>
      </c>
    </row>
    <row r="269" spans="2:10" x14ac:dyDescent="0.25">
      <c r="B269" t="s">
        <v>624</v>
      </c>
      <c r="C269">
        <v>45</v>
      </c>
      <c r="D269" t="s">
        <v>625</v>
      </c>
      <c r="E269" t="s">
        <v>612</v>
      </c>
      <c r="H269" t="s">
        <v>141</v>
      </c>
      <c r="J269" t="s">
        <v>626</v>
      </c>
    </row>
    <row r="270" spans="2:10" x14ac:dyDescent="0.25">
      <c r="B270" t="s">
        <v>627</v>
      </c>
      <c r="C270">
        <v>25</v>
      </c>
      <c r="D270" t="s">
        <v>82</v>
      </c>
      <c r="E270" t="s">
        <v>628</v>
      </c>
      <c r="J270" t="s">
        <v>629</v>
      </c>
    </row>
    <row r="271" spans="2:10" x14ac:dyDescent="0.25">
      <c r="B271" t="s">
        <v>630</v>
      </c>
      <c r="C271">
        <v>50</v>
      </c>
      <c r="G271" t="s">
        <v>631</v>
      </c>
      <c r="H271" t="s">
        <v>141</v>
      </c>
      <c r="J271" t="s">
        <v>632</v>
      </c>
    </row>
    <row r="272" spans="2:10" x14ac:dyDescent="0.25">
      <c r="B272" t="s">
        <v>633</v>
      </c>
      <c r="C272">
        <v>55</v>
      </c>
      <c r="E272" t="s">
        <v>634</v>
      </c>
      <c r="G272" t="s">
        <v>635</v>
      </c>
      <c r="H272" t="s">
        <v>106</v>
      </c>
      <c r="J272" t="s">
        <v>636</v>
      </c>
    </row>
    <row r="273" spans="2:10" x14ac:dyDescent="0.25">
      <c r="B273" t="s">
        <v>637</v>
      </c>
      <c r="C273">
        <v>30</v>
      </c>
      <c r="E273" t="s">
        <v>638</v>
      </c>
      <c r="F273" t="s">
        <v>639</v>
      </c>
      <c r="J273" t="s">
        <v>640</v>
      </c>
    </row>
    <row r="274" spans="2:10" x14ac:dyDescent="0.25">
      <c r="B274" t="s">
        <v>641</v>
      </c>
      <c r="C274">
        <v>50</v>
      </c>
      <c r="D274" t="s">
        <v>642</v>
      </c>
      <c r="E274" t="s">
        <v>643</v>
      </c>
      <c r="G274" t="s">
        <v>644</v>
      </c>
      <c r="H274" t="s">
        <v>141</v>
      </c>
      <c r="J274" t="s">
        <v>645</v>
      </c>
    </row>
    <row r="275" spans="2:10" x14ac:dyDescent="0.25">
      <c r="B275" t="s">
        <v>646</v>
      </c>
      <c r="C275">
        <v>25</v>
      </c>
      <c r="E275" t="s">
        <v>647</v>
      </c>
      <c r="F275" t="s">
        <v>648</v>
      </c>
      <c r="J275" t="s">
        <v>649</v>
      </c>
    </row>
    <row r="276" spans="2:10" x14ac:dyDescent="0.25">
      <c r="B276" t="s">
        <v>650</v>
      </c>
      <c r="C276">
        <v>30</v>
      </c>
      <c r="D276" t="s">
        <v>642</v>
      </c>
      <c r="E276" t="s">
        <v>639</v>
      </c>
      <c r="J276" t="s">
        <v>651</v>
      </c>
    </row>
    <row r="277" spans="2:10" x14ac:dyDescent="0.25">
      <c r="B277" t="s">
        <v>652</v>
      </c>
      <c r="C277">
        <v>20</v>
      </c>
      <c r="D277" t="s">
        <v>459</v>
      </c>
      <c r="E277" t="s">
        <v>64</v>
      </c>
      <c r="H277" t="s">
        <v>653</v>
      </c>
      <c r="I277" t="s">
        <v>97</v>
      </c>
      <c r="J277" t="s">
        <v>654</v>
      </c>
    </row>
    <row r="278" spans="2:10" x14ac:dyDescent="0.25">
      <c r="B278" t="s">
        <v>655</v>
      </c>
      <c r="C278">
        <v>15</v>
      </c>
      <c r="D278" t="s">
        <v>459</v>
      </c>
      <c r="E278" t="s">
        <v>93</v>
      </c>
      <c r="H278" t="s">
        <v>653</v>
      </c>
      <c r="J278" t="s">
        <v>656</v>
      </c>
    </row>
    <row r="279" spans="2:10" x14ac:dyDescent="0.25">
      <c r="B279" t="s">
        <v>657</v>
      </c>
      <c r="C279">
        <v>20</v>
      </c>
      <c r="E279" t="s">
        <v>658</v>
      </c>
      <c r="H279" t="s">
        <v>106</v>
      </c>
      <c r="I279" t="s">
        <v>100</v>
      </c>
      <c r="J279" t="s">
        <v>659</v>
      </c>
    </row>
    <row r="280" spans="2:10" x14ac:dyDescent="0.25">
      <c r="B280" t="s">
        <v>660</v>
      </c>
      <c r="C280">
        <v>15</v>
      </c>
      <c r="D280" t="s">
        <v>49</v>
      </c>
      <c r="E280" t="s">
        <v>661</v>
      </c>
      <c r="H280" t="s">
        <v>662</v>
      </c>
      <c r="J280" t="s">
        <v>663</v>
      </c>
    </row>
    <row r="281" spans="2:10" x14ac:dyDescent="0.25">
      <c r="B281" t="s">
        <v>664</v>
      </c>
      <c r="C281">
        <v>15</v>
      </c>
      <c r="D281" t="s">
        <v>665</v>
      </c>
      <c r="E281" t="s">
        <v>75</v>
      </c>
      <c r="H281" t="s">
        <v>666</v>
      </c>
      <c r="I281" t="s">
        <v>100</v>
      </c>
      <c r="J281" t="s">
        <v>667</v>
      </c>
    </row>
    <row r="282" spans="2:10" x14ac:dyDescent="0.25">
      <c r="B282" t="s">
        <v>668</v>
      </c>
      <c r="C282">
        <v>25</v>
      </c>
      <c r="D282" t="s">
        <v>49</v>
      </c>
      <c r="E282" t="s">
        <v>669</v>
      </c>
      <c r="H282" t="s">
        <v>666</v>
      </c>
      <c r="I282" t="s">
        <v>100</v>
      </c>
      <c r="J282" t="s">
        <v>670</v>
      </c>
    </row>
    <row r="283" spans="2:10" x14ac:dyDescent="0.25">
      <c r="B283" t="s">
        <v>671</v>
      </c>
      <c r="C283">
        <v>20</v>
      </c>
      <c r="D283" t="s">
        <v>672</v>
      </c>
      <c r="E283" t="s">
        <v>84</v>
      </c>
      <c r="H283" t="s">
        <v>673</v>
      </c>
      <c r="J283" t="s">
        <v>674</v>
      </c>
    </row>
    <row r="284" spans="2:10" x14ac:dyDescent="0.25">
      <c r="B284" t="s">
        <v>675</v>
      </c>
      <c r="C284">
        <v>25</v>
      </c>
      <c r="E284" t="s">
        <v>676</v>
      </c>
      <c r="H284" t="s">
        <v>400</v>
      </c>
      <c r="J284" t="s">
        <v>677</v>
      </c>
    </row>
    <row r="285" spans="2:10" x14ac:dyDescent="0.25">
      <c r="B285" t="s">
        <v>678</v>
      </c>
      <c r="C285">
        <v>25</v>
      </c>
      <c r="D285" t="s">
        <v>49</v>
      </c>
      <c r="E285" t="s">
        <v>679</v>
      </c>
      <c r="H285" t="s">
        <v>680</v>
      </c>
      <c r="J285" t="s">
        <v>681</v>
      </c>
    </row>
    <row r="286" spans="2:10" x14ac:dyDescent="0.25">
      <c r="B286" t="s">
        <v>682</v>
      </c>
      <c r="C286">
        <v>20</v>
      </c>
      <c r="D286" t="s">
        <v>49</v>
      </c>
      <c r="E286" t="s">
        <v>683</v>
      </c>
      <c r="H286" t="s">
        <v>106</v>
      </c>
      <c r="I286" t="s">
        <v>97</v>
      </c>
      <c r="J286" t="s">
        <v>684</v>
      </c>
    </row>
    <row r="287" spans="2:10" x14ac:dyDescent="0.25">
      <c r="B287" t="s">
        <v>685</v>
      </c>
      <c r="C287">
        <v>35</v>
      </c>
      <c r="D287" t="s">
        <v>642</v>
      </c>
      <c r="J287" t="s">
        <v>686</v>
      </c>
    </row>
    <row r="288" spans="2:10" x14ac:dyDescent="0.25">
      <c r="B288" t="s">
        <v>687</v>
      </c>
      <c r="C288">
        <v>30</v>
      </c>
      <c r="E288" t="s">
        <v>688</v>
      </c>
      <c r="G288" t="s">
        <v>215</v>
      </c>
      <c r="H288" t="s">
        <v>106</v>
      </c>
      <c r="J288" t="s">
        <v>689</v>
      </c>
    </row>
    <row r="289" spans="2:10" x14ac:dyDescent="0.25">
      <c r="B289" t="s">
        <v>690</v>
      </c>
      <c r="C289">
        <v>60</v>
      </c>
      <c r="E289" t="s">
        <v>691</v>
      </c>
      <c r="G289" t="s">
        <v>692</v>
      </c>
      <c r="H289" t="s">
        <v>631</v>
      </c>
      <c r="J289" t="s">
        <v>693</v>
      </c>
    </row>
    <row r="290" spans="2:10" x14ac:dyDescent="0.25">
      <c r="B290" t="s">
        <v>694</v>
      </c>
      <c r="C290">
        <v>25</v>
      </c>
      <c r="E290" t="s">
        <v>695</v>
      </c>
      <c r="G290" t="s">
        <v>673</v>
      </c>
      <c r="H290" t="s">
        <v>102</v>
      </c>
      <c r="I290" t="s">
        <v>100</v>
      </c>
      <c r="J290" t="s">
        <v>696</v>
      </c>
    </row>
    <row r="291" spans="2:10" x14ac:dyDescent="0.25">
      <c r="B291" t="s">
        <v>697</v>
      </c>
      <c r="C291">
        <v>35</v>
      </c>
      <c r="E291" t="s">
        <v>698</v>
      </c>
      <c r="G291" t="s">
        <v>141</v>
      </c>
      <c r="H291" t="s">
        <v>106</v>
      </c>
      <c r="J291" t="s">
        <v>699</v>
      </c>
    </row>
    <row r="292" spans="2:10" x14ac:dyDescent="0.25">
      <c r="B292" t="s">
        <v>700</v>
      </c>
      <c r="C292">
        <v>25</v>
      </c>
      <c r="E292" t="s">
        <v>701</v>
      </c>
      <c r="G292" t="s">
        <v>702</v>
      </c>
      <c r="J292" t="s">
        <v>703</v>
      </c>
    </row>
    <row r="293" spans="2:10" x14ac:dyDescent="0.25">
      <c r="B293" t="s">
        <v>704</v>
      </c>
      <c r="C293">
        <v>25</v>
      </c>
      <c r="E293" t="s">
        <v>705</v>
      </c>
      <c r="G293" t="s">
        <v>106</v>
      </c>
      <c r="H293" t="s">
        <v>706</v>
      </c>
      <c r="I293" t="s">
        <v>100</v>
      </c>
      <c r="J293" t="s">
        <v>707</v>
      </c>
    </row>
    <row r="294" spans="2:10" x14ac:dyDescent="0.25">
      <c r="B294" t="s">
        <v>708</v>
      </c>
      <c r="C294">
        <v>25</v>
      </c>
      <c r="E294" t="s">
        <v>709</v>
      </c>
      <c r="G294" t="s">
        <v>105</v>
      </c>
      <c r="H294" t="s">
        <v>518</v>
      </c>
      <c r="J294" t="s">
        <v>710</v>
      </c>
    </row>
    <row r="295" spans="2:10" x14ac:dyDescent="0.25">
      <c r="B295" t="s">
        <v>711</v>
      </c>
      <c r="C295">
        <v>20</v>
      </c>
      <c r="D295" t="s">
        <v>712</v>
      </c>
      <c r="H295" t="s">
        <v>400</v>
      </c>
      <c r="J295" t="s">
        <v>713</v>
      </c>
    </row>
    <row r="296" spans="2:10" x14ac:dyDescent="0.25">
      <c r="B296" t="s">
        <v>714</v>
      </c>
      <c r="C296">
        <v>40</v>
      </c>
      <c r="D296" t="s">
        <v>672</v>
      </c>
      <c r="E296" t="s">
        <v>715</v>
      </c>
      <c r="H296" t="s">
        <v>150</v>
      </c>
      <c r="J296" t="s">
        <v>716</v>
      </c>
    </row>
    <row r="297" spans="2:10" x14ac:dyDescent="0.25">
      <c r="B297" t="s">
        <v>717</v>
      </c>
      <c r="C297">
        <v>40</v>
      </c>
      <c r="D297" t="s">
        <v>672</v>
      </c>
      <c r="E297" t="s">
        <v>715</v>
      </c>
      <c r="H297" t="s">
        <v>150</v>
      </c>
      <c r="J297" t="s">
        <v>716</v>
      </c>
    </row>
    <row r="298" spans="2:10" x14ac:dyDescent="0.25">
      <c r="B298" t="s">
        <v>718</v>
      </c>
      <c r="C298">
        <v>40</v>
      </c>
      <c r="D298" t="s">
        <v>672</v>
      </c>
      <c r="E298" t="s">
        <v>715</v>
      </c>
      <c r="H298" t="s">
        <v>150</v>
      </c>
      <c r="J298" t="s">
        <v>716</v>
      </c>
    </row>
    <row r="299" spans="2:10" x14ac:dyDescent="0.25">
      <c r="B299" t="s">
        <v>719</v>
      </c>
      <c r="C299">
        <v>35</v>
      </c>
      <c r="D299" t="s">
        <v>672</v>
      </c>
      <c r="E299" t="s">
        <v>720</v>
      </c>
      <c r="H299" t="s">
        <v>721</v>
      </c>
      <c r="J299" t="s">
        <v>722</v>
      </c>
    </row>
    <row r="300" spans="2:10" x14ac:dyDescent="0.25">
      <c r="B300" t="s">
        <v>723</v>
      </c>
      <c r="C300">
        <v>35</v>
      </c>
      <c r="D300" t="s">
        <v>672</v>
      </c>
      <c r="E300" t="s">
        <v>720</v>
      </c>
      <c r="H300" t="s">
        <v>721</v>
      </c>
      <c r="J300" t="s">
        <v>722</v>
      </c>
    </row>
    <row r="301" spans="2:10" x14ac:dyDescent="0.25">
      <c r="B301" t="s">
        <v>724</v>
      </c>
      <c r="C301">
        <v>35</v>
      </c>
      <c r="D301" t="s">
        <v>672</v>
      </c>
      <c r="E301" t="s">
        <v>720</v>
      </c>
      <c r="H301" t="s">
        <v>721</v>
      </c>
      <c r="J301" t="s">
        <v>722</v>
      </c>
    </row>
    <row r="302" spans="2:10" x14ac:dyDescent="0.25">
      <c r="B302" t="s">
        <v>725</v>
      </c>
      <c r="C302">
        <v>35</v>
      </c>
      <c r="D302" t="s">
        <v>49</v>
      </c>
      <c r="E302" t="s">
        <v>726</v>
      </c>
      <c r="H302" t="s">
        <v>727</v>
      </c>
      <c r="I302" t="s">
        <v>728</v>
      </c>
      <c r="J302" t="s">
        <v>729</v>
      </c>
    </row>
    <row r="303" spans="2:10" x14ac:dyDescent="0.25">
      <c r="B303" t="s">
        <v>730</v>
      </c>
      <c r="C303">
        <v>35</v>
      </c>
      <c r="D303" t="s">
        <v>49</v>
      </c>
      <c r="E303" t="s">
        <v>726</v>
      </c>
      <c r="H303" t="s">
        <v>727</v>
      </c>
      <c r="I303" t="s">
        <v>728</v>
      </c>
      <c r="J303" t="s">
        <v>729</v>
      </c>
    </row>
    <row r="304" spans="2:10" x14ac:dyDescent="0.25">
      <c r="B304" t="s">
        <v>731</v>
      </c>
      <c r="C304">
        <v>35</v>
      </c>
      <c r="D304" t="s">
        <v>49</v>
      </c>
      <c r="E304" t="s">
        <v>726</v>
      </c>
      <c r="H304" t="s">
        <v>727</v>
      </c>
      <c r="I304" t="s">
        <v>728</v>
      </c>
      <c r="J304" t="s">
        <v>729</v>
      </c>
    </row>
    <row r="305" spans="2:10" x14ac:dyDescent="0.25">
      <c r="B305" t="s">
        <v>732</v>
      </c>
      <c r="C305">
        <v>35</v>
      </c>
      <c r="D305" t="s">
        <v>220</v>
      </c>
      <c r="E305" t="s">
        <v>733</v>
      </c>
      <c r="G305" t="s">
        <v>215</v>
      </c>
      <c r="H305" t="s">
        <v>106</v>
      </c>
      <c r="J305" t="s">
        <v>734</v>
      </c>
    </row>
    <row r="306" spans="2:10" x14ac:dyDescent="0.25">
      <c r="B306" t="s">
        <v>735</v>
      </c>
      <c r="C306">
        <v>35</v>
      </c>
      <c r="D306" t="s">
        <v>220</v>
      </c>
      <c r="E306" t="s">
        <v>733</v>
      </c>
      <c r="G306" t="s">
        <v>215</v>
      </c>
      <c r="H306" t="s">
        <v>106</v>
      </c>
      <c r="J306" t="s">
        <v>734</v>
      </c>
    </row>
    <row r="307" spans="2:10" x14ac:dyDescent="0.25">
      <c r="B307" t="s">
        <v>736</v>
      </c>
      <c r="C307">
        <v>35</v>
      </c>
      <c r="D307" t="s">
        <v>220</v>
      </c>
      <c r="E307" t="s">
        <v>733</v>
      </c>
      <c r="G307" t="s">
        <v>215</v>
      </c>
      <c r="H307" t="s">
        <v>106</v>
      </c>
      <c r="J307" t="s">
        <v>734</v>
      </c>
    </row>
    <row r="308" spans="2:10" x14ac:dyDescent="0.25">
      <c r="B308" t="s">
        <v>737</v>
      </c>
      <c r="C308">
        <v>65</v>
      </c>
      <c r="D308" t="s">
        <v>695</v>
      </c>
      <c r="E308" t="s">
        <v>82</v>
      </c>
      <c r="H308" t="s">
        <v>666</v>
      </c>
      <c r="I308" t="s">
        <v>738</v>
      </c>
      <c r="J308" t="s">
        <v>739</v>
      </c>
    </row>
    <row r="309" spans="2:10" x14ac:dyDescent="0.25">
      <c r="B309" t="s">
        <v>740</v>
      </c>
      <c r="C309">
        <v>65</v>
      </c>
      <c r="D309" t="s">
        <v>695</v>
      </c>
      <c r="E309" t="s">
        <v>82</v>
      </c>
      <c r="H309" t="s">
        <v>666</v>
      </c>
      <c r="I309" t="s">
        <v>738</v>
      </c>
      <c r="J309" t="s">
        <v>739</v>
      </c>
    </row>
    <row r="310" spans="2:10" x14ac:dyDescent="0.25">
      <c r="B310" t="s">
        <v>741</v>
      </c>
      <c r="C310">
        <v>65</v>
      </c>
      <c r="D310" t="s">
        <v>695</v>
      </c>
      <c r="E310" t="s">
        <v>82</v>
      </c>
      <c r="H310" t="s">
        <v>666</v>
      </c>
      <c r="I310" t="s">
        <v>738</v>
      </c>
      <c r="J310" t="s">
        <v>739</v>
      </c>
    </row>
    <row r="311" spans="2:10" x14ac:dyDescent="0.25">
      <c r="B311" t="s">
        <v>742</v>
      </c>
      <c r="C311">
        <v>35</v>
      </c>
      <c r="D311" t="s">
        <v>695</v>
      </c>
      <c r="E311" t="s">
        <v>75</v>
      </c>
      <c r="H311" t="s">
        <v>666</v>
      </c>
      <c r="I311" t="s">
        <v>738</v>
      </c>
      <c r="J311" t="s">
        <v>743</v>
      </c>
    </row>
    <row r="312" spans="2:10" x14ac:dyDescent="0.25">
      <c r="B312" t="s">
        <v>744</v>
      </c>
      <c r="C312">
        <v>35</v>
      </c>
      <c r="D312" t="s">
        <v>695</v>
      </c>
      <c r="E312" t="s">
        <v>75</v>
      </c>
      <c r="H312" t="s">
        <v>666</v>
      </c>
      <c r="I312" t="s">
        <v>738</v>
      </c>
      <c r="J312" t="s">
        <v>743</v>
      </c>
    </row>
    <row r="313" spans="2:10" x14ac:dyDescent="0.25">
      <c r="B313" t="s">
        <v>745</v>
      </c>
      <c r="C313">
        <v>35</v>
      </c>
      <c r="D313" t="s">
        <v>695</v>
      </c>
      <c r="E313" t="s">
        <v>75</v>
      </c>
      <c r="H313" t="s">
        <v>666</v>
      </c>
      <c r="I313" t="s">
        <v>738</v>
      </c>
      <c r="J313" t="s">
        <v>743</v>
      </c>
    </row>
    <row r="314" spans="2:10" x14ac:dyDescent="0.25">
      <c r="B314" t="s">
        <v>746</v>
      </c>
      <c r="C314">
        <v>30</v>
      </c>
      <c r="D314" t="s">
        <v>695</v>
      </c>
      <c r="H314" t="s">
        <v>680</v>
      </c>
      <c r="I314" t="s">
        <v>728</v>
      </c>
      <c r="J314" t="s">
        <v>747</v>
      </c>
    </row>
    <row r="315" spans="2:10" x14ac:dyDescent="0.25">
      <c r="B315" t="s">
        <v>748</v>
      </c>
      <c r="C315">
        <v>30</v>
      </c>
      <c r="D315" t="s">
        <v>695</v>
      </c>
      <c r="H315" t="s">
        <v>680</v>
      </c>
      <c r="I315" t="s">
        <v>728</v>
      </c>
      <c r="J315" t="s">
        <v>747</v>
      </c>
    </row>
    <row r="316" spans="2:10" x14ac:dyDescent="0.25">
      <c r="B316" t="s">
        <v>749</v>
      </c>
      <c r="C316">
        <v>30</v>
      </c>
      <c r="D316" t="s">
        <v>695</v>
      </c>
      <c r="H316" t="s">
        <v>680</v>
      </c>
      <c r="I316" t="s">
        <v>728</v>
      </c>
      <c r="J316" t="s">
        <v>747</v>
      </c>
    </row>
    <row r="317" spans="2:10" x14ac:dyDescent="0.25">
      <c r="B317" t="s">
        <v>750</v>
      </c>
      <c r="C317">
        <v>60</v>
      </c>
      <c r="D317" t="s">
        <v>672</v>
      </c>
      <c r="E317" t="s">
        <v>75</v>
      </c>
      <c r="H317" t="s">
        <v>662</v>
      </c>
      <c r="J317" t="s">
        <v>751</v>
      </c>
    </row>
    <row r="318" spans="2:10" x14ac:dyDescent="0.25">
      <c r="B318" t="s">
        <v>752</v>
      </c>
      <c r="C318">
        <v>60</v>
      </c>
      <c r="D318" t="s">
        <v>672</v>
      </c>
      <c r="E318" t="s">
        <v>75</v>
      </c>
      <c r="H318" t="s">
        <v>662</v>
      </c>
      <c r="J318" t="s">
        <v>751</v>
      </c>
    </row>
    <row r="319" spans="2:10" x14ac:dyDescent="0.25">
      <c r="B319" t="s">
        <v>753</v>
      </c>
      <c r="C319">
        <v>60</v>
      </c>
      <c r="D319" t="s">
        <v>672</v>
      </c>
      <c r="E319" t="s">
        <v>75</v>
      </c>
      <c r="H319" t="s">
        <v>662</v>
      </c>
      <c r="J319" t="s">
        <v>751</v>
      </c>
    </row>
    <row r="320" spans="2:10" x14ac:dyDescent="0.25">
      <c r="B320" t="s">
        <v>754</v>
      </c>
      <c r="C320">
        <v>55</v>
      </c>
      <c r="D320" t="s">
        <v>695</v>
      </c>
      <c r="E320" t="s">
        <v>82</v>
      </c>
      <c r="H320" t="s">
        <v>680</v>
      </c>
      <c r="J320" t="s">
        <v>755</v>
      </c>
    </row>
    <row r="321" spans="2:10" x14ac:dyDescent="0.25">
      <c r="B321" t="s">
        <v>756</v>
      </c>
      <c r="C321">
        <v>55</v>
      </c>
      <c r="D321" t="s">
        <v>695</v>
      </c>
      <c r="E321" t="s">
        <v>82</v>
      </c>
      <c r="H321" t="s">
        <v>680</v>
      </c>
      <c r="J321" t="s">
        <v>755</v>
      </c>
    </row>
    <row r="322" spans="2:10" x14ac:dyDescent="0.25">
      <c r="B322" t="s">
        <v>757</v>
      </c>
      <c r="C322">
        <v>55</v>
      </c>
      <c r="D322" t="s">
        <v>695</v>
      </c>
      <c r="E322" t="s">
        <v>82</v>
      </c>
      <c r="H322" t="s">
        <v>680</v>
      </c>
      <c r="J322" t="s">
        <v>755</v>
      </c>
    </row>
    <row r="323" spans="2:10" x14ac:dyDescent="0.25">
      <c r="B323" t="s">
        <v>758</v>
      </c>
      <c r="C323">
        <v>45</v>
      </c>
      <c r="D323" t="s">
        <v>695</v>
      </c>
      <c r="H323" t="s">
        <v>759</v>
      </c>
      <c r="J323" t="s">
        <v>760</v>
      </c>
    </row>
    <row r="324" spans="2:10" x14ac:dyDescent="0.25">
      <c r="B324" t="s">
        <v>761</v>
      </c>
      <c r="C324">
        <v>45</v>
      </c>
      <c r="D324" t="s">
        <v>695</v>
      </c>
      <c r="H324" t="s">
        <v>759</v>
      </c>
      <c r="J324" t="s">
        <v>760</v>
      </c>
    </row>
    <row r="325" spans="2:10" x14ac:dyDescent="0.25">
      <c r="B325" t="s">
        <v>762</v>
      </c>
      <c r="C325">
        <v>45</v>
      </c>
      <c r="D325" t="s">
        <v>695</v>
      </c>
      <c r="H325" t="s">
        <v>759</v>
      </c>
      <c r="J325" t="s">
        <v>760</v>
      </c>
    </row>
    <row r="326" spans="2:10" x14ac:dyDescent="0.25">
      <c r="B326" t="s">
        <v>763</v>
      </c>
    </row>
    <row r="327" spans="2:10" x14ac:dyDescent="0.25">
      <c r="B327" t="s">
        <v>764</v>
      </c>
    </row>
    <row r="328" spans="2:10" x14ac:dyDescent="0.25">
      <c r="B328" t="s">
        <v>765</v>
      </c>
    </row>
    <row r="329" spans="2:10" x14ac:dyDescent="0.25">
      <c r="B329" t="s">
        <v>766</v>
      </c>
    </row>
    <row r="330" spans="2:10" x14ac:dyDescent="0.25">
      <c r="B330" t="s">
        <v>767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2CA6-2118-4697-B441-3D1AE33BF1D8}">
  <dimension ref="B3:K28"/>
  <sheetViews>
    <sheetView topLeftCell="A9" workbookViewId="0">
      <selection activeCell="D20" sqref="D20:G20"/>
    </sheetView>
  </sheetViews>
  <sheetFormatPr defaultRowHeight="12.5" x14ac:dyDescent="0.25"/>
  <cols>
    <col min="2" max="2" width="8.6328125" bestFit="1" customWidth="1"/>
    <col min="3" max="3" width="19.1796875" bestFit="1" customWidth="1"/>
    <col min="4" max="4" width="22.7265625" bestFit="1" customWidth="1"/>
    <col min="5" max="5" width="19.54296875" bestFit="1" customWidth="1"/>
    <col min="6" max="6" width="21.54296875" bestFit="1" customWidth="1"/>
    <col min="7" max="7" width="18.1796875" bestFit="1" customWidth="1"/>
    <col min="8" max="8" width="23.08984375" bestFit="1" customWidth="1"/>
    <col min="9" max="9" width="13.6328125" bestFit="1" customWidth="1"/>
    <col min="11" max="11" width="9.36328125" bestFit="1" customWidth="1"/>
  </cols>
  <sheetData>
    <row r="3" spans="2:11" ht="13" x14ac:dyDescent="0.3">
      <c r="B3" s="1" t="s">
        <v>12</v>
      </c>
      <c r="C3" t="s">
        <v>8</v>
      </c>
      <c r="D3" t="s">
        <v>7</v>
      </c>
      <c r="E3" t="s">
        <v>6</v>
      </c>
      <c r="F3" t="s">
        <v>4</v>
      </c>
      <c r="G3" t="s">
        <v>5</v>
      </c>
      <c r="H3" t="s">
        <v>3</v>
      </c>
      <c r="I3" t="s">
        <v>2</v>
      </c>
    </row>
    <row r="4" spans="2:11" x14ac:dyDescent="0.25">
      <c r="B4" t="s">
        <v>1</v>
      </c>
      <c r="C4">
        <f>SUM(Markers_Raw_Max[Healthful Nutrition Weight])</f>
        <v>260</v>
      </c>
      <c r="D4">
        <f>SUM(Markers_Raw_Max[Movement + Exercise Weight])</f>
        <v>130</v>
      </c>
      <c r="E4">
        <f>SUM(Markers_Raw_Max[Restorative Sleep Weight])</f>
        <v>98</v>
      </c>
      <c r="F4">
        <f>SUM(Markers_Raw_Max[Stress Management Weight])</f>
        <v>143</v>
      </c>
      <c r="G4">
        <f>SUM(Markers_Raw_Max[Cognitive Health Weight])</f>
        <v>139</v>
      </c>
      <c r="H4">
        <f>SUM(Markers_Raw_Max[Connection + Purpose Weight])</f>
        <v>10</v>
      </c>
      <c r="I4">
        <f>SUM(Markers_Raw_Max[Core Care Weight])</f>
        <v>137</v>
      </c>
    </row>
    <row r="5" spans="2:11" x14ac:dyDescent="0.25">
      <c r="B5" t="s">
        <v>0</v>
      </c>
      <c r="C5">
        <v>73</v>
      </c>
      <c r="D5">
        <v>76</v>
      </c>
      <c r="E5">
        <v>75</v>
      </c>
      <c r="F5">
        <v>66</v>
      </c>
      <c r="G5">
        <v>32</v>
      </c>
      <c r="H5">
        <v>40</v>
      </c>
      <c r="I5">
        <v>382</v>
      </c>
    </row>
    <row r="6" spans="2:11" x14ac:dyDescent="0.25">
      <c r="B6" t="s">
        <v>9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K6" s="2"/>
    </row>
    <row r="8" spans="2:11" ht="13" x14ac:dyDescent="0.3">
      <c r="B8" s="1" t="s">
        <v>10</v>
      </c>
      <c r="C8" t="s">
        <v>21</v>
      </c>
      <c r="D8" t="s">
        <v>23</v>
      </c>
      <c r="E8" t="s">
        <v>25</v>
      </c>
      <c r="F8" t="s">
        <v>22</v>
      </c>
      <c r="G8" t="s">
        <v>24</v>
      </c>
      <c r="H8" t="s">
        <v>27</v>
      </c>
      <c r="I8" t="s">
        <v>26</v>
      </c>
    </row>
    <row r="9" spans="2:11" ht="13" x14ac:dyDescent="0.3">
      <c r="B9" s="1"/>
      <c r="C9" t="s">
        <v>13</v>
      </c>
      <c r="D9" t="s">
        <v>14</v>
      </c>
      <c r="E9" t="s">
        <v>16</v>
      </c>
      <c r="F9" t="s">
        <v>18</v>
      </c>
      <c r="G9" t="s">
        <v>17</v>
      </c>
      <c r="H9" t="s">
        <v>19</v>
      </c>
      <c r="I9" t="s">
        <v>15</v>
      </c>
    </row>
    <row r="10" spans="2:11" x14ac:dyDescent="0.25">
      <c r="B10" t="s">
        <v>1</v>
      </c>
      <c r="C10">
        <v>0.72</v>
      </c>
      <c r="D10">
        <v>0.54</v>
      </c>
      <c r="E10">
        <v>0.63</v>
      </c>
      <c r="F10">
        <v>0.27</v>
      </c>
      <c r="G10">
        <v>0.36</v>
      </c>
      <c r="H10">
        <v>0.18</v>
      </c>
      <c r="I10">
        <v>0.495</v>
      </c>
    </row>
    <row r="11" spans="2:11" x14ac:dyDescent="0.25">
      <c r="B11" t="s">
        <v>0</v>
      </c>
      <c r="C11">
        <v>0.18</v>
      </c>
      <c r="D11">
        <v>0.36</v>
      </c>
      <c r="E11">
        <v>0.27</v>
      </c>
      <c r="F11">
        <v>0.63</v>
      </c>
      <c r="G11">
        <v>0.54</v>
      </c>
      <c r="H11">
        <v>0.72</v>
      </c>
      <c r="I11">
        <v>0.40500000000000003</v>
      </c>
    </row>
    <row r="12" spans="2:11" x14ac:dyDescent="0.25">
      <c r="B12" t="s">
        <v>9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0.1</v>
      </c>
    </row>
    <row r="14" spans="2:11" ht="13" x14ac:dyDescent="0.3">
      <c r="B14" s="1" t="s">
        <v>11</v>
      </c>
      <c r="C14" t="s">
        <v>21</v>
      </c>
      <c r="D14" t="s">
        <v>23</v>
      </c>
      <c r="E14" t="s">
        <v>25</v>
      </c>
      <c r="F14" t="s">
        <v>22</v>
      </c>
      <c r="G14" t="s">
        <v>24</v>
      </c>
      <c r="H14" t="s">
        <v>27</v>
      </c>
      <c r="I14" t="s">
        <v>26</v>
      </c>
    </row>
    <row r="15" spans="2:11" ht="13" x14ac:dyDescent="0.3">
      <c r="B15" s="1"/>
      <c r="C15" t="s">
        <v>13</v>
      </c>
      <c r="D15" t="s">
        <v>14</v>
      </c>
      <c r="E15" t="s">
        <v>16</v>
      </c>
      <c r="F15" t="s">
        <v>18</v>
      </c>
      <c r="G15" t="s">
        <v>17</v>
      </c>
      <c r="H15" t="s">
        <v>19</v>
      </c>
      <c r="I15" t="s">
        <v>15</v>
      </c>
    </row>
    <row r="16" spans="2:11" x14ac:dyDescent="0.25">
      <c r="B16" t="s">
        <v>1</v>
      </c>
      <c r="C16" s="3">
        <f>100/C4*C10</f>
        <v>0.27692307692307694</v>
      </c>
      <c r="D16" s="3">
        <f t="shared" ref="D16:I16" si="0">100/D4*D10</f>
        <v>0.41538461538461541</v>
      </c>
      <c r="E16" s="3">
        <f t="shared" si="0"/>
        <v>0.6428571428571429</v>
      </c>
      <c r="F16" s="3">
        <f>100/F4*F10</f>
        <v>0.1888111888111888</v>
      </c>
      <c r="G16" s="3">
        <f t="shared" si="0"/>
        <v>0.25899280575539568</v>
      </c>
      <c r="H16" s="3">
        <f t="shared" si="0"/>
        <v>1.7999999999999998</v>
      </c>
      <c r="I16" s="3">
        <f t="shared" si="0"/>
        <v>0.36131386861313869</v>
      </c>
    </row>
    <row r="17" spans="2:9" x14ac:dyDescent="0.25">
      <c r="B17" t="s">
        <v>0</v>
      </c>
      <c r="C17" s="3">
        <f>100/C5*C11</f>
        <v>0.24657534246575341</v>
      </c>
      <c r="D17" s="3">
        <f t="shared" ref="D17:I17" si="1">100/D5*D11</f>
        <v>0.47368421052631582</v>
      </c>
      <c r="E17" s="3">
        <f t="shared" si="1"/>
        <v>0.36</v>
      </c>
      <c r="F17" s="3">
        <f>100/F5*F11</f>
        <v>0.95454545454545459</v>
      </c>
      <c r="G17" s="3">
        <f t="shared" si="1"/>
        <v>1.6875</v>
      </c>
      <c r="H17" s="3">
        <f t="shared" si="1"/>
        <v>1.7999999999999998</v>
      </c>
      <c r="I17" s="3">
        <f t="shared" si="1"/>
        <v>0.10602094240837696</v>
      </c>
    </row>
    <row r="18" spans="2:9" x14ac:dyDescent="0.25">
      <c r="B18" t="s">
        <v>9</v>
      </c>
      <c r="C18" s="3">
        <f>100/C6*C12</f>
        <v>1</v>
      </c>
      <c r="D18" s="3">
        <f t="shared" ref="D18:I18" si="2">100/D6*D12</f>
        <v>1</v>
      </c>
      <c r="E18" s="3">
        <f t="shared" si="2"/>
        <v>1</v>
      </c>
      <c r="F18" s="3">
        <f>100/F6*F12</f>
        <v>1</v>
      </c>
      <c r="G18" s="3">
        <f t="shared" si="2"/>
        <v>1</v>
      </c>
      <c r="H18" s="3">
        <f t="shared" si="2"/>
        <v>1</v>
      </c>
      <c r="I18" s="3">
        <f t="shared" si="2"/>
        <v>1</v>
      </c>
    </row>
    <row r="21" spans="2:9" x14ac:dyDescent="0.25">
      <c r="H21">
        <f>6*H17</f>
        <v>10.799999999999999</v>
      </c>
    </row>
    <row r="22" spans="2:9" x14ac:dyDescent="0.25">
      <c r="I22">
        <f>15*CC_Marker_Norm</f>
        <v>5.4197080291970803</v>
      </c>
    </row>
    <row r="28" spans="2:9" x14ac:dyDescent="0.25">
      <c r="D28" s="5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7100-BEB5-448C-B9DA-1059900822A4}">
  <dimension ref="B2:M76"/>
  <sheetViews>
    <sheetView showGridLines="0" topLeftCell="A2" zoomScale="70" zoomScaleNormal="70" workbookViewId="0">
      <pane xSplit="2" ySplit="1" topLeftCell="C63" activePane="bottomRight" state="frozen"/>
      <selection activeCell="A2" sqref="A2"/>
      <selection pane="topRight" activeCell="C2" sqref="C2"/>
      <selection pane="bottomLeft" activeCell="A3" sqref="A3"/>
      <selection pane="bottomRight" activeCell="K4" sqref="K4:K75"/>
    </sheetView>
  </sheetViews>
  <sheetFormatPr defaultRowHeight="12.5" outlineLevelCol="1" x14ac:dyDescent="0.25"/>
  <cols>
    <col min="2" max="2" width="44.54296875" bestFit="1" customWidth="1"/>
    <col min="3" max="3" width="24.90625" customWidth="1"/>
    <col min="4" max="4" width="27.7265625" customWidth="1"/>
    <col min="5" max="5" width="24.36328125" customWidth="1"/>
    <col min="6" max="6" width="26.36328125" customWidth="1"/>
    <col min="7" max="7" width="23.36328125" customWidth="1"/>
    <col min="8" max="8" width="28.453125" customWidth="1"/>
    <col min="9" max="9" width="17.90625" customWidth="1"/>
    <col min="12" max="12" width="0" hidden="1" customWidth="1" outlineLevel="1"/>
    <col min="13" max="13" width="8.7265625" collapsed="1"/>
  </cols>
  <sheetData>
    <row r="2" spans="2:12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12" x14ac:dyDescent="0.25">
      <c r="B3" t="s">
        <v>36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7</v>
      </c>
      <c r="K3" t="s">
        <v>806</v>
      </c>
      <c r="L3" t="s">
        <v>806</v>
      </c>
    </row>
    <row r="4" spans="2:12" x14ac:dyDescent="0.25">
      <c r="B4" t="s">
        <v>37</v>
      </c>
      <c r="C4">
        <v>8</v>
      </c>
      <c r="D4">
        <v>3</v>
      </c>
      <c r="E4">
        <v>0</v>
      </c>
      <c r="F4">
        <v>0</v>
      </c>
      <c r="G4">
        <v>7</v>
      </c>
      <c r="H4">
        <v>0</v>
      </c>
      <c r="I4">
        <v>8</v>
      </c>
      <c r="K4" t="s">
        <v>806</v>
      </c>
      <c r="L4" t="s">
        <v>807</v>
      </c>
    </row>
    <row r="5" spans="2:12" x14ac:dyDescent="0.25">
      <c r="B5" t="s">
        <v>38</v>
      </c>
      <c r="C5">
        <v>5</v>
      </c>
      <c r="D5">
        <v>4</v>
      </c>
      <c r="E5">
        <v>0</v>
      </c>
      <c r="F5">
        <v>0</v>
      </c>
      <c r="G5">
        <v>0</v>
      </c>
      <c r="H5">
        <v>0</v>
      </c>
      <c r="I5">
        <v>6</v>
      </c>
      <c r="K5" t="s">
        <v>806</v>
      </c>
    </row>
    <row r="6" spans="2:12" x14ac:dyDescent="0.25">
      <c r="B6" t="s">
        <v>39</v>
      </c>
      <c r="C6">
        <v>10</v>
      </c>
      <c r="D6">
        <v>2</v>
      </c>
      <c r="E6">
        <v>0</v>
      </c>
      <c r="F6">
        <v>0</v>
      </c>
      <c r="G6">
        <v>4</v>
      </c>
      <c r="H6">
        <v>0</v>
      </c>
      <c r="I6">
        <v>9</v>
      </c>
      <c r="K6" t="s">
        <v>806</v>
      </c>
    </row>
    <row r="7" spans="2:12" x14ac:dyDescent="0.25">
      <c r="B7" t="s">
        <v>40</v>
      </c>
      <c r="C7">
        <v>5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K7" t="s">
        <v>806</v>
      </c>
    </row>
    <row r="8" spans="2:12" x14ac:dyDescent="0.25">
      <c r="B8" t="s">
        <v>41</v>
      </c>
      <c r="C8">
        <v>10</v>
      </c>
      <c r="D8">
        <v>4</v>
      </c>
      <c r="E8">
        <v>0</v>
      </c>
      <c r="F8">
        <v>0</v>
      </c>
      <c r="G8">
        <v>5</v>
      </c>
      <c r="H8">
        <v>0</v>
      </c>
      <c r="I8">
        <v>8</v>
      </c>
      <c r="K8" t="s">
        <v>806</v>
      </c>
    </row>
    <row r="9" spans="2:12" x14ac:dyDescent="0.25">
      <c r="B9" t="s">
        <v>42</v>
      </c>
      <c r="C9">
        <v>8</v>
      </c>
      <c r="D9">
        <v>0</v>
      </c>
      <c r="E9">
        <v>0</v>
      </c>
      <c r="F9">
        <v>0</v>
      </c>
      <c r="G9">
        <v>6</v>
      </c>
      <c r="H9">
        <v>0</v>
      </c>
      <c r="I9">
        <v>7</v>
      </c>
      <c r="K9" t="s">
        <v>806</v>
      </c>
    </row>
    <row r="10" spans="2:12" x14ac:dyDescent="0.25">
      <c r="B10" t="s">
        <v>43</v>
      </c>
      <c r="C10">
        <v>2</v>
      </c>
      <c r="D10">
        <v>0</v>
      </c>
      <c r="E10">
        <v>4</v>
      </c>
      <c r="F10">
        <v>3</v>
      </c>
      <c r="G10">
        <v>3</v>
      </c>
      <c r="H10">
        <v>0</v>
      </c>
      <c r="I10">
        <v>0</v>
      </c>
      <c r="K10" t="s">
        <v>806</v>
      </c>
    </row>
    <row r="11" spans="2:12" x14ac:dyDescent="0.25">
      <c r="B11" t="s">
        <v>44</v>
      </c>
      <c r="C11">
        <v>5</v>
      </c>
      <c r="D11">
        <v>0</v>
      </c>
      <c r="E11">
        <v>6</v>
      </c>
      <c r="F11">
        <v>4</v>
      </c>
      <c r="G11">
        <v>7</v>
      </c>
      <c r="H11">
        <v>0</v>
      </c>
      <c r="I11">
        <v>0</v>
      </c>
      <c r="K11" t="s">
        <v>806</v>
      </c>
    </row>
    <row r="12" spans="2:12" x14ac:dyDescent="0.25">
      <c r="B12" t="s">
        <v>45</v>
      </c>
      <c r="C12">
        <v>8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K12" t="s">
        <v>806</v>
      </c>
    </row>
    <row r="13" spans="2:12" x14ac:dyDescent="0.25">
      <c r="B13" t="s">
        <v>46</v>
      </c>
      <c r="C13">
        <v>5</v>
      </c>
      <c r="D13">
        <v>0</v>
      </c>
      <c r="E13">
        <v>5</v>
      </c>
      <c r="F13">
        <v>4</v>
      </c>
      <c r="G13">
        <v>0</v>
      </c>
      <c r="H13">
        <v>0</v>
      </c>
      <c r="I13">
        <v>0</v>
      </c>
      <c r="K13" t="s">
        <v>806</v>
      </c>
    </row>
    <row r="14" spans="2:12" x14ac:dyDescent="0.25">
      <c r="B14" t="s">
        <v>47</v>
      </c>
      <c r="C14">
        <v>2</v>
      </c>
      <c r="D14">
        <v>0</v>
      </c>
      <c r="E14">
        <v>4</v>
      </c>
      <c r="F14">
        <v>0</v>
      </c>
      <c r="G14">
        <v>0</v>
      </c>
      <c r="H14">
        <v>0</v>
      </c>
      <c r="I14">
        <v>0</v>
      </c>
      <c r="K14" t="s">
        <v>806</v>
      </c>
    </row>
    <row r="15" spans="2:12" x14ac:dyDescent="0.25">
      <c r="B15" t="s">
        <v>48</v>
      </c>
      <c r="C15">
        <v>2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K15" t="s">
        <v>806</v>
      </c>
    </row>
    <row r="16" spans="2:12" x14ac:dyDescent="0.25">
      <c r="B16" t="s">
        <v>49</v>
      </c>
      <c r="C16">
        <v>8</v>
      </c>
      <c r="D16">
        <v>0</v>
      </c>
      <c r="E16">
        <v>4</v>
      </c>
      <c r="F16">
        <v>6</v>
      </c>
      <c r="G16">
        <v>0</v>
      </c>
      <c r="H16">
        <v>2</v>
      </c>
      <c r="I16">
        <v>0</v>
      </c>
      <c r="K16" t="s">
        <v>806</v>
      </c>
    </row>
    <row r="17" spans="2:11" x14ac:dyDescent="0.25">
      <c r="B17" t="s">
        <v>50</v>
      </c>
      <c r="C17">
        <v>5</v>
      </c>
      <c r="D17">
        <v>3</v>
      </c>
      <c r="E17">
        <v>2</v>
      </c>
      <c r="F17">
        <v>5</v>
      </c>
      <c r="G17">
        <v>0</v>
      </c>
      <c r="H17">
        <v>0</v>
      </c>
      <c r="I17">
        <v>4</v>
      </c>
      <c r="K17" t="s">
        <v>806</v>
      </c>
    </row>
    <row r="18" spans="2:11" x14ac:dyDescent="0.25">
      <c r="B18" t="s">
        <v>51</v>
      </c>
      <c r="C18">
        <v>2</v>
      </c>
      <c r="D18">
        <v>1</v>
      </c>
      <c r="E18">
        <v>0</v>
      </c>
      <c r="F18">
        <v>5</v>
      </c>
      <c r="G18">
        <v>0</v>
      </c>
      <c r="H18">
        <v>0</v>
      </c>
      <c r="I18">
        <v>0</v>
      </c>
      <c r="K18" t="s">
        <v>806</v>
      </c>
    </row>
    <row r="19" spans="2:11" x14ac:dyDescent="0.25">
      <c r="B19" t="s">
        <v>52</v>
      </c>
      <c r="C19">
        <v>2</v>
      </c>
      <c r="D19">
        <v>1</v>
      </c>
      <c r="E19">
        <v>0</v>
      </c>
      <c r="F19">
        <v>2</v>
      </c>
      <c r="G19">
        <v>0</v>
      </c>
      <c r="H19">
        <v>0</v>
      </c>
      <c r="I19">
        <v>0</v>
      </c>
      <c r="K19" t="s">
        <v>806</v>
      </c>
    </row>
    <row r="20" spans="2:11" x14ac:dyDescent="0.25">
      <c r="B20" t="s">
        <v>53</v>
      </c>
      <c r="C20">
        <v>4</v>
      </c>
      <c r="D20">
        <v>3</v>
      </c>
      <c r="E20">
        <v>2</v>
      </c>
      <c r="F20">
        <v>6</v>
      </c>
      <c r="G20">
        <v>5</v>
      </c>
      <c r="H20">
        <v>0</v>
      </c>
      <c r="I20">
        <v>4</v>
      </c>
      <c r="K20" t="s">
        <v>806</v>
      </c>
    </row>
    <row r="21" spans="2:11" x14ac:dyDescent="0.25">
      <c r="B21" t="s">
        <v>54</v>
      </c>
      <c r="C21">
        <v>2</v>
      </c>
      <c r="D21">
        <v>1</v>
      </c>
      <c r="E21">
        <v>0</v>
      </c>
      <c r="F21">
        <v>2</v>
      </c>
      <c r="G21">
        <v>0</v>
      </c>
      <c r="H21">
        <v>0</v>
      </c>
      <c r="I21">
        <v>0</v>
      </c>
      <c r="K21" t="s">
        <v>806</v>
      </c>
    </row>
    <row r="22" spans="2:11" x14ac:dyDescent="0.25">
      <c r="B22" t="s">
        <v>55</v>
      </c>
      <c r="C22">
        <v>8</v>
      </c>
      <c r="D22">
        <v>5</v>
      </c>
      <c r="E22">
        <v>3</v>
      </c>
      <c r="F22">
        <v>5</v>
      </c>
      <c r="G22">
        <v>7</v>
      </c>
      <c r="H22">
        <v>0</v>
      </c>
      <c r="I22">
        <v>8</v>
      </c>
      <c r="K22" t="s">
        <v>806</v>
      </c>
    </row>
    <row r="23" spans="2:11" x14ac:dyDescent="0.25">
      <c r="B23" t="s">
        <v>56</v>
      </c>
      <c r="C23">
        <v>4</v>
      </c>
      <c r="D23">
        <v>7</v>
      </c>
      <c r="E23">
        <v>0</v>
      </c>
      <c r="F23">
        <v>4</v>
      </c>
      <c r="G23">
        <v>5</v>
      </c>
      <c r="H23">
        <v>0</v>
      </c>
      <c r="I23">
        <v>0</v>
      </c>
      <c r="K23" t="s">
        <v>806</v>
      </c>
    </row>
    <row r="24" spans="2:11" x14ac:dyDescent="0.25">
      <c r="B24" t="s">
        <v>57</v>
      </c>
      <c r="C24">
        <v>3</v>
      </c>
      <c r="D24">
        <v>7</v>
      </c>
      <c r="E24">
        <v>0</v>
      </c>
      <c r="F24">
        <v>5</v>
      </c>
      <c r="G24">
        <v>6</v>
      </c>
      <c r="H24">
        <v>0</v>
      </c>
      <c r="I24">
        <v>0</v>
      </c>
      <c r="K24" t="s">
        <v>806</v>
      </c>
    </row>
    <row r="25" spans="2:11" x14ac:dyDescent="0.25">
      <c r="B25" t="s">
        <v>58</v>
      </c>
      <c r="C25">
        <v>5</v>
      </c>
      <c r="D25">
        <v>7</v>
      </c>
      <c r="E25">
        <v>0</v>
      </c>
      <c r="F25">
        <v>5</v>
      </c>
      <c r="G25">
        <v>7</v>
      </c>
      <c r="H25">
        <v>0</v>
      </c>
      <c r="I25">
        <v>0</v>
      </c>
      <c r="K25" t="s">
        <v>806</v>
      </c>
    </row>
    <row r="26" spans="2:11" x14ac:dyDescent="0.25">
      <c r="B26" t="s">
        <v>59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K26" t="s">
        <v>806</v>
      </c>
    </row>
    <row r="27" spans="2:11" x14ac:dyDescent="0.25">
      <c r="B27" t="s">
        <v>60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K27" t="s">
        <v>806</v>
      </c>
    </row>
    <row r="28" spans="2:11" x14ac:dyDescent="0.25">
      <c r="B28" t="s">
        <v>61</v>
      </c>
      <c r="C28">
        <v>1</v>
      </c>
      <c r="D28">
        <v>7</v>
      </c>
      <c r="E28">
        <v>3</v>
      </c>
      <c r="F28">
        <v>3</v>
      </c>
      <c r="G28">
        <v>0</v>
      </c>
      <c r="H28">
        <v>0</v>
      </c>
      <c r="I28">
        <v>6</v>
      </c>
      <c r="K28" t="s">
        <v>806</v>
      </c>
    </row>
    <row r="29" spans="2:11" x14ac:dyDescent="0.25">
      <c r="B29" t="s">
        <v>62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">
        <v>806</v>
      </c>
    </row>
    <row r="30" spans="2:11" x14ac:dyDescent="0.25">
      <c r="B30" t="s">
        <v>63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806</v>
      </c>
    </row>
    <row r="31" spans="2:11" x14ac:dyDescent="0.25">
      <c r="B31" t="s">
        <v>64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806</v>
      </c>
    </row>
    <row r="32" spans="2:11" x14ac:dyDescent="0.25">
      <c r="B32" t="s">
        <v>65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">
        <v>806</v>
      </c>
    </row>
    <row r="33" spans="2:11" x14ac:dyDescent="0.25">
      <c r="B33" t="s">
        <v>66</v>
      </c>
      <c r="C33">
        <v>4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K33" t="s">
        <v>806</v>
      </c>
    </row>
    <row r="34" spans="2:11" x14ac:dyDescent="0.25">
      <c r="B34" t="s">
        <v>67</v>
      </c>
      <c r="C34">
        <v>4</v>
      </c>
      <c r="D34">
        <v>0</v>
      </c>
      <c r="E34">
        <v>0</v>
      </c>
      <c r="F34">
        <v>3</v>
      </c>
      <c r="G34">
        <v>0</v>
      </c>
      <c r="H34">
        <v>0</v>
      </c>
      <c r="I34">
        <v>5</v>
      </c>
      <c r="K34" t="s">
        <v>806</v>
      </c>
    </row>
    <row r="35" spans="2:11" x14ac:dyDescent="0.25">
      <c r="B35" t="s">
        <v>68</v>
      </c>
      <c r="C35">
        <v>4</v>
      </c>
      <c r="D35">
        <v>0</v>
      </c>
      <c r="E35">
        <v>0</v>
      </c>
      <c r="F35">
        <v>0</v>
      </c>
      <c r="G35">
        <v>8</v>
      </c>
      <c r="H35">
        <v>0</v>
      </c>
      <c r="I35">
        <v>0</v>
      </c>
      <c r="K35" t="s">
        <v>806</v>
      </c>
    </row>
    <row r="36" spans="2:11" x14ac:dyDescent="0.25">
      <c r="B36" t="s">
        <v>69</v>
      </c>
      <c r="C36">
        <v>4</v>
      </c>
      <c r="D36">
        <v>0</v>
      </c>
      <c r="E36">
        <v>0</v>
      </c>
      <c r="F36">
        <v>0</v>
      </c>
      <c r="G36">
        <v>6</v>
      </c>
      <c r="H36">
        <v>0</v>
      </c>
      <c r="I36">
        <v>0</v>
      </c>
      <c r="K36" t="s">
        <v>806</v>
      </c>
    </row>
    <row r="37" spans="2:11" x14ac:dyDescent="0.25">
      <c r="B37" t="s">
        <v>70</v>
      </c>
      <c r="C37">
        <v>4</v>
      </c>
      <c r="D37">
        <v>0</v>
      </c>
      <c r="E37">
        <v>0</v>
      </c>
      <c r="F37">
        <v>0</v>
      </c>
      <c r="G37">
        <v>7</v>
      </c>
      <c r="H37">
        <v>0</v>
      </c>
      <c r="I37">
        <v>0</v>
      </c>
      <c r="K37" t="s">
        <v>806</v>
      </c>
    </row>
    <row r="38" spans="2:11" x14ac:dyDescent="0.25">
      <c r="B38" t="s">
        <v>71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K38" t="s">
        <v>806</v>
      </c>
    </row>
    <row r="39" spans="2:11" x14ac:dyDescent="0.25">
      <c r="B39" t="s">
        <v>72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K39" t="s">
        <v>806</v>
      </c>
    </row>
    <row r="40" spans="2:11" x14ac:dyDescent="0.25">
      <c r="B40" t="s">
        <v>73</v>
      </c>
      <c r="C40">
        <v>0</v>
      </c>
      <c r="D40">
        <v>3</v>
      </c>
      <c r="E40">
        <v>0</v>
      </c>
      <c r="F40">
        <v>0</v>
      </c>
      <c r="G40">
        <v>0</v>
      </c>
      <c r="H40">
        <v>0</v>
      </c>
      <c r="I40">
        <v>7</v>
      </c>
      <c r="K40" t="s">
        <v>806</v>
      </c>
    </row>
    <row r="41" spans="2:11" x14ac:dyDescent="0.25">
      <c r="B41" t="s">
        <v>74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806</v>
      </c>
    </row>
    <row r="42" spans="2:11" x14ac:dyDescent="0.25">
      <c r="B42" t="s">
        <v>75</v>
      </c>
      <c r="C42">
        <v>5</v>
      </c>
      <c r="D42">
        <v>0</v>
      </c>
      <c r="E42">
        <v>0</v>
      </c>
      <c r="F42">
        <v>0</v>
      </c>
      <c r="G42">
        <v>8</v>
      </c>
      <c r="H42">
        <v>0</v>
      </c>
      <c r="I42">
        <v>3</v>
      </c>
      <c r="K42" t="s">
        <v>806</v>
      </c>
    </row>
    <row r="43" spans="2:11" x14ac:dyDescent="0.25">
      <c r="B43" t="s">
        <v>76</v>
      </c>
      <c r="C43">
        <v>0</v>
      </c>
      <c r="D43">
        <v>2</v>
      </c>
      <c r="E43">
        <v>5</v>
      </c>
      <c r="F43">
        <v>8</v>
      </c>
      <c r="G43">
        <v>6</v>
      </c>
      <c r="H43">
        <v>5</v>
      </c>
      <c r="I43">
        <v>0</v>
      </c>
      <c r="K43" t="s">
        <v>806</v>
      </c>
    </row>
    <row r="44" spans="2:11" x14ac:dyDescent="0.25">
      <c r="B44" t="s">
        <v>77</v>
      </c>
      <c r="C44">
        <v>2</v>
      </c>
      <c r="D44">
        <v>0</v>
      </c>
      <c r="E44">
        <v>0</v>
      </c>
      <c r="F44">
        <v>3</v>
      </c>
      <c r="G44">
        <v>0</v>
      </c>
      <c r="H44">
        <v>0</v>
      </c>
      <c r="I44">
        <v>0</v>
      </c>
      <c r="K44" t="s">
        <v>806</v>
      </c>
    </row>
    <row r="45" spans="2:11" x14ac:dyDescent="0.25">
      <c r="B45" t="s">
        <v>78</v>
      </c>
      <c r="C45">
        <v>2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K45" t="s">
        <v>806</v>
      </c>
    </row>
    <row r="46" spans="2:11" x14ac:dyDescent="0.25">
      <c r="B46" t="s">
        <v>79</v>
      </c>
      <c r="C46">
        <v>2</v>
      </c>
      <c r="D46">
        <v>0</v>
      </c>
      <c r="E46">
        <v>4</v>
      </c>
      <c r="F46">
        <v>4</v>
      </c>
      <c r="G46">
        <v>5</v>
      </c>
      <c r="H46">
        <v>0</v>
      </c>
      <c r="I46">
        <v>8</v>
      </c>
      <c r="K46" t="s">
        <v>806</v>
      </c>
    </row>
    <row r="47" spans="2:11" x14ac:dyDescent="0.25">
      <c r="B47" t="s">
        <v>80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 t="s">
        <v>806</v>
      </c>
    </row>
    <row r="48" spans="2:11" x14ac:dyDescent="0.25">
      <c r="B48" t="s">
        <v>81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806</v>
      </c>
    </row>
    <row r="49" spans="2:11" x14ac:dyDescent="0.25">
      <c r="B49" t="s">
        <v>82</v>
      </c>
      <c r="C49">
        <v>0</v>
      </c>
      <c r="D49">
        <v>0</v>
      </c>
      <c r="E49">
        <v>0</v>
      </c>
      <c r="F49">
        <v>5</v>
      </c>
      <c r="G49">
        <v>0</v>
      </c>
      <c r="H49">
        <v>3</v>
      </c>
      <c r="I49">
        <v>0</v>
      </c>
      <c r="K49" t="s">
        <v>806</v>
      </c>
    </row>
    <row r="50" spans="2:11" x14ac:dyDescent="0.25">
      <c r="B50" t="s">
        <v>83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 t="s">
        <v>806</v>
      </c>
    </row>
    <row r="51" spans="2:11" x14ac:dyDescent="0.25">
      <c r="B51" t="s">
        <v>84</v>
      </c>
      <c r="C51">
        <v>0</v>
      </c>
      <c r="D51">
        <v>5</v>
      </c>
      <c r="E51">
        <v>0</v>
      </c>
      <c r="F51">
        <v>3</v>
      </c>
      <c r="G51">
        <v>0</v>
      </c>
      <c r="H51">
        <v>0</v>
      </c>
      <c r="I51">
        <v>0</v>
      </c>
      <c r="K51" t="s">
        <v>806</v>
      </c>
    </row>
    <row r="52" spans="2:11" x14ac:dyDescent="0.25">
      <c r="B52" t="s">
        <v>85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 t="s">
        <v>806</v>
      </c>
    </row>
    <row r="53" spans="2:11" x14ac:dyDescent="0.25">
      <c r="B53" t="s">
        <v>86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806</v>
      </c>
    </row>
    <row r="54" spans="2:11" x14ac:dyDescent="0.25">
      <c r="B54" t="s">
        <v>87</v>
      </c>
      <c r="C54">
        <v>4</v>
      </c>
      <c r="D54">
        <v>0</v>
      </c>
      <c r="E54">
        <v>0</v>
      </c>
      <c r="F54">
        <v>4</v>
      </c>
      <c r="G54">
        <v>0</v>
      </c>
      <c r="H54">
        <v>0</v>
      </c>
      <c r="I54">
        <v>4</v>
      </c>
      <c r="K54" t="s">
        <v>806</v>
      </c>
    </row>
    <row r="55" spans="2:11" x14ac:dyDescent="0.25">
      <c r="B55" t="s">
        <v>88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 t="s">
        <v>806</v>
      </c>
    </row>
    <row r="56" spans="2:11" x14ac:dyDescent="0.25">
      <c r="B56" t="s">
        <v>89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806</v>
      </c>
    </row>
    <row r="57" spans="2:11" x14ac:dyDescent="0.25">
      <c r="B57" t="s">
        <v>90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 t="s">
        <v>806</v>
      </c>
    </row>
    <row r="58" spans="2:11" x14ac:dyDescent="0.25">
      <c r="B58" t="s">
        <v>91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806</v>
      </c>
    </row>
    <row r="59" spans="2:11" x14ac:dyDescent="0.25">
      <c r="B59" t="s">
        <v>92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 t="s">
        <v>806</v>
      </c>
    </row>
    <row r="60" spans="2:11" x14ac:dyDescent="0.25">
      <c r="B60" t="s">
        <v>93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 t="s">
        <v>806</v>
      </c>
    </row>
    <row r="61" spans="2:11" x14ac:dyDescent="0.25">
      <c r="B61" t="s">
        <v>94</v>
      </c>
      <c r="C61">
        <v>3</v>
      </c>
      <c r="D61">
        <v>3</v>
      </c>
      <c r="E61">
        <v>3</v>
      </c>
      <c r="F61">
        <v>0</v>
      </c>
      <c r="G61">
        <v>0</v>
      </c>
      <c r="H61">
        <v>0</v>
      </c>
      <c r="I61">
        <v>0</v>
      </c>
      <c r="K61" t="s">
        <v>806</v>
      </c>
    </row>
    <row r="62" spans="2:11" x14ac:dyDescent="0.25">
      <c r="B62" t="s">
        <v>95</v>
      </c>
      <c r="C62">
        <v>2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K62" t="s">
        <v>806</v>
      </c>
    </row>
    <row r="63" spans="2:11" x14ac:dyDescent="0.25">
      <c r="B63" t="s">
        <v>96</v>
      </c>
      <c r="C63">
        <v>0</v>
      </c>
      <c r="D63">
        <v>8</v>
      </c>
      <c r="E63">
        <v>0</v>
      </c>
      <c r="F63">
        <v>0</v>
      </c>
      <c r="G63">
        <v>4</v>
      </c>
      <c r="H63">
        <v>0</v>
      </c>
      <c r="I63">
        <v>0</v>
      </c>
      <c r="K63" t="s">
        <v>806</v>
      </c>
    </row>
    <row r="64" spans="2:11" x14ac:dyDescent="0.25">
      <c r="B64" t="s">
        <v>97</v>
      </c>
      <c r="C64">
        <v>7</v>
      </c>
      <c r="D64">
        <v>6</v>
      </c>
      <c r="E64">
        <v>4</v>
      </c>
      <c r="F64">
        <v>4</v>
      </c>
      <c r="G64">
        <v>5</v>
      </c>
      <c r="H64">
        <v>0</v>
      </c>
      <c r="I64">
        <v>0</v>
      </c>
      <c r="K64" t="s">
        <v>806</v>
      </c>
    </row>
    <row r="65" spans="2:11" x14ac:dyDescent="0.25">
      <c r="B65" t="s">
        <v>98</v>
      </c>
      <c r="C65">
        <v>5</v>
      </c>
      <c r="D65">
        <v>4</v>
      </c>
      <c r="E65">
        <v>3</v>
      </c>
      <c r="F65">
        <v>3</v>
      </c>
      <c r="G65">
        <v>0</v>
      </c>
      <c r="H65">
        <v>0</v>
      </c>
      <c r="I65">
        <v>0</v>
      </c>
      <c r="K65" t="s">
        <v>806</v>
      </c>
    </row>
    <row r="66" spans="2:11" x14ac:dyDescent="0.25">
      <c r="B66" t="s">
        <v>99</v>
      </c>
      <c r="C66">
        <v>6</v>
      </c>
      <c r="D66">
        <v>6</v>
      </c>
      <c r="E66">
        <v>4</v>
      </c>
      <c r="F66">
        <v>4</v>
      </c>
      <c r="G66">
        <v>4</v>
      </c>
      <c r="H66">
        <v>0</v>
      </c>
      <c r="I66">
        <v>0</v>
      </c>
      <c r="K66" t="s">
        <v>806</v>
      </c>
    </row>
    <row r="67" spans="2:11" x14ac:dyDescent="0.25">
      <c r="B67" t="s">
        <v>100</v>
      </c>
      <c r="C67">
        <v>7</v>
      </c>
      <c r="D67">
        <v>7</v>
      </c>
      <c r="E67">
        <v>5</v>
      </c>
      <c r="F67">
        <v>4</v>
      </c>
      <c r="G67">
        <v>6</v>
      </c>
      <c r="H67">
        <v>0</v>
      </c>
      <c r="I67">
        <v>0</v>
      </c>
      <c r="K67" t="s">
        <v>806</v>
      </c>
    </row>
    <row r="68" spans="2:11" x14ac:dyDescent="0.25">
      <c r="B68" t="s">
        <v>101</v>
      </c>
      <c r="C68">
        <v>2</v>
      </c>
      <c r="D68">
        <v>3</v>
      </c>
      <c r="E68">
        <v>2</v>
      </c>
      <c r="F68">
        <v>4</v>
      </c>
      <c r="G68">
        <v>0</v>
      </c>
      <c r="H68">
        <v>0</v>
      </c>
      <c r="I68">
        <v>0</v>
      </c>
      <c r="K68" t="s">
        <v>806</v>
      </c>
    </row>
    <row r="69" spans="2:11" x14ac:dyDescent="0.25">
      <c r="B69" t="s">
        <v>102</v>
      </c>
      <c r="C69">
        <v>5</v>
      </c>
      <c r="D69">
        <v>5</v>
      </c>
      <c r="E69">
        <v>3</v>
      </c>
      <c r="F69">
        <v>4</v>
      </c>
      <c r="G69">
        <v>0</v>
      </c>
      <c r="H69">
        <v>0</v>
      </c>
      <c r="I69">
        <v>8</v>
      </c>
      <c r="K69" t="s">
        <v>806</v>
      </c>
    </row>
    <row r="70" spans="2:11" x14ac:dyDescent="0.25">
      <c r="B70" t="s">
        <v>103</v>
      </c>
      <c r="C70">
        <v>5</v>
      </c>
      <c r="D70">
        <v>5</v>
      </c>
      <c r="E70">
        <v>3</v>
      </c>
      <c r="F70">
        <v>3</v>
      </c>
      <c r="G70">
        <v>0</v>
      </c>
      <c r="H70">
        <v>0</v>
      </c>
      <c r="I70">
        <v>8</v>
      </c>
      <c r="K70" t="s">
        <v>806</v>
      </c>
    </row>
    <row r="71" spans="2:11" x14ac:dyDescent="0.25">
      <c r="B71" t="s">
        <v>104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806</v>
      </c>
    </row>
    <row r="72" spans="2:11" x14ac:dyDescent="0.25">
      <c r="B72" t="s">
        <v>105</v>
      </c>
      <c r="C72">
        <v>0</v>
      </c>
      <c r="D72">
        <v>7</v>
      </c>
      <c r="E72">
        <v>0</v>
      </c>
      <c r="F72">
        <v>0</v>
      </c>
      <c r="G72">
        <v>5</v>
      </c>
      <c r="H72">
        <v>0</v>
      </c>
      <c r="I72">
        <v>0</v>
      </c>
      <c r="K72" t="s">
        <v>806</v>
      </c>
    </row>
    <row r="73" spans="2:11" x14ac:dyDescent="0.25">
      <c r="B73" t="s">
        <v>106</v>
      </c>
      <c r="C73">
        <v>0</v>
      </c>
      <c r="D73">
        <v>2</v>
      </c>
      <c r="E73">
        <v>6</v>
      </c>
      <c r="F73">
        <v>6</v>
      </c>
      <c r="G73">
        <v>0</v>
      </c>
      <c r="H73">
        <v>0</v>
      </c>
      <c r="I73">
        <v>8</v>
      </c>
      <c r="K73" t="s">
        <v>806</v>
      </c>
    </row>
    <row r="74" spans="2:11" x14ac:dyDescent="0.25">
      <c r="B74" t="s">
        <v>107</v>
      </c>
      <c r="C74">
        <v>2</v>
      </c>
      <c r="D74">
        <v>2</v>
      </c>
      <c r="E74">
        <v>7</v>
      </c>
      <c r="F74">
        <v>6</v>
      </c>
      <c r="G74">
        <v>6</v>
      </c>
      <c r="H74">
        <v>0</v>
      </c>
      <c r="I74">
        <v>0</v>
      </c>
      <c r="K74" t="s">
        <v>806</v>
      </c>
    </row>
    <row r="75" spans="2:11" x14ac:dyDescent="0.25">
      <c r="B75" t="s">
        <v>108</v>
      </c>
      <c r="C75">
        <v>2</v>
      </c>
      <c r="D75">
        <v>2</v>
      </c>
      <c r="E75">
        <v>7</v>
      </c>
      <c r="F75">
        <v>6</v>
      </c>
      <c r="G75">
        <v>7</v>
      </c>
      <c r="H75">
        <v>0</v>
      </c>
      <c r="I75">
        <v>0</v>
      </c>
      <c r="K75" t="s">
        <v>806</v>
      </c>
    </row>
    <row r="76" spans="2:11" x14ac:dyDescent="0.25">
      <c r="B76" t="s">
        <v>109</v>
      </c>
      <c r="C76">
        <f>SUBTOTAL(109,Markers_Raw_Max[Healthful Nutrition Weight])</f>
        <v>260</v>
      </c>
      <c r="D76">
        <f>SUBTOTAL(109,Markers_Raw_Max[Movement + Exercise Weight])</f>
        <v>130</v>
      </c>
      <c r="E76">
        <f>SUBTOTAL(109,Markers_Raw_Max[Restorative Sleep Weight])</f>
        <v>98</v>
      </c>
      <c r="F76">
        <f>SUBTOTAL(109,Markers_Raw_Max[Stress Management Weight])</f>
        <v>143</v>
      </c>
      <c r="G76">
        <f>SUBTOTAL(109,Markers_Raw_Max[Cognitive Health Weight])</f>
        <v>139</v>
      </c>
      <c r="H76">
        <f>SUBTOTAL(109,Markers_Raw_Max[Connection + Purpose Weight])</f>
        <v>10</v>
      </c>
      <c r="I76">
        <f>SUBTOTAL(109,Markers_Raw_Max[Core Care Weight])</f>
        <v>137</v>
      </c>
    </row>
  </sheetData>
  <conditionalFormatting sqref="B3:K75">
    <cfRule type="expression" dxfId="1" priority="1">
      <formula>$K3="Yes"</formula>
    </cfRule>
    <cfRule type="expression" dxfId="0" priority="2">
      <formula>$K3="No"</formula>
    </cfRule>
  </conditionalFormatting>
  <dataValidations count="1">
    <dataValidation type="list" allowBlank="1" showInputMessage="1" showErrorMessage="1" sqref="K3:K75" xr:uid="{567DE1F8-1A94-4C53-8532-67AB68698AE2}">
      <formula1>$L$3:$L$4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4276-6863-486B-8729-22154767BE6F}">
  <dimension ref="B2:I75"/>
  <sheetViews>
    <sheetView showGridLines="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5" x14ac:dyDescent="0.25"/>
  <cols>
    <col min="2" max="2" width="44.54296875" bestFit="1" customWidth="1"/>
    <col min="3" max="3" width="24.90625" customWidth="1"/>
    <col min="4" max="4" width="27.7265625" customWidth="1"/>
    <col min="5" max="5" width="24.36328125" customWidth="1"/>
    <col min="6" max="6" width="26.36328125" customWidth="1"/>
    <col min="7" max="7" width="23.36328125" customWidth="1"/>
    <col min="8" max="8" width="28.453125" customWidth="1"/>
    <col min="9" max="9" width="17.90625" customWidth="1"/>
  </cols>
  <sheetData>
    <row r="2" spans="2: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2:9" x14ac:dyDescent="0.25">
      <c r="B3" t="s">
        <v>36</v>
      </c>
      <c r="C3">
        <f>Markers_Raw_Max[[#This Row],[Healthful Nutrition Weight]]*HN_Marker_Norm</f>
        <v>0.55384615384615388</v>
      </c>
      <c r="D3">
        <f>Markers_Raw_Max[[#This Row],[Movement + Exercise Weight]]*ME_Marker_Norm</f>
        <v>0</v>
      </c>
      <c r="E3">
        <f>Markers_Raw_Max[[#This Row],[Restorative Sleep Weight]]*RS_Marker_Norm</f>
        <v>0</v>
      </c>
      <c r="F3">
        <f>Markers_Raw_Max[[#This Row],[Stress Management Weight]]*SM_Marker_Norm</f>
        <v>0</v>
      </c>
      <c r="G3">
        <f>Markers_Raw_Max[[#This Row],[Cognitive Health Weight]]*CH_Marker_Norm</f>
        <v>0</v>
      </c>
      <c r="H3">
        <f>Markers_Raw_Max[[#This Row],[Connection + Purpose Weight]]*CP_Marker_Norm</f>
        <v>0</v>
      </c>
      <c r="I3">
        <f>Markers_Raw_Max[[#This Row],[Core Care Weight]]*CC_Marker_Norm</f>
        <v>2.5291970802919708</v>
      </c>
    </row>
    <row r="4" spans="2:9" x14ac:dyDescent="0.25">
      <c r="B4" t="s">
        <v>37</v>
      </c>
      <c r="C4">
        <f>Markers_Raw_Max[[#This Row],[Healthful Nutrition Weight]]*HN_Marker_Norm</f>
        <v>2.2153846153846155</v>
      </c>
      <c r="D4">
        <f>Markers_Raw_Max[[#This Row],[Movement + Exercise Weight]]*ME_Marker_Norm</f>
        <v>1.2461538461538462</v>
      </c>
      <c r="E4">
        <f>Markers_Raw_Max[[#This Row],[Restorative Sleep Weight]]*RS_Marker_Norm</f>
        <v>0</v>
      </c>
      <c r="F4">
        <f>Markers_Raw_Max[[#This Row],[Stress Management Weight]]*SM_Marker_Norm</f>
        <v>0</v>
      </c>
      <c r="G4">
        <f>Markers_Raw_Max[[#This Row],[Cognitive Health Weight]]*CH_Marker_Norm</f>
        <v>1.8129496402877698</v>
      </c>
      <c r="H4">
        <f>Markers_Raw_Max[[#This Row],[Connection + Purpose Weight]]*CP_Marker_Norm</f>
        <v>0</v>
      </c>
      <c r="I4">
        <f>Markers_Raw_Max[[#This Row],[Core Care Weight]]*CC_Marker_Norm</f>
        <v>2.8905109489051095</v>
      </c>
    </row>
    <row r="5" spans="2:9" x14ac:dyDescent="0.25">
      <c r="B5" t="s">
        <v>38</v>
      </c>
      <c r="C5">
        <f>Markers_Raw_Max[[#This Row],[Healthful Nutrition Weight]]*HN_Marker_Norm</f>
        <v>1.3846153846153846</v>
      </c>
      <c r="D5">
        <f>Markers_Raw_Max[[#This Row],[Movement + Exercise Weight]]*ME_Marker_Norm</f>
        <v>1.6615384615384616</v>
      </c>
      <c r="E5">
        <f>Markers_Raw_Max[[#This Row],[Restorative Sleep Weight]]*RS_Marker_Norm</f>
        <v>0</v>
      </c>
      <c r="F5">
        <f>Markers_Raw_Max[[#This Row],[Stress Management Weight]]*SM_Marker_Norm</f>
        <v>0</v>
      </c>
      <c r="G5">
        <f>Markers_Raw_Max[[#This Row],[Cognitive Health Weight]]*CH_Marker_Norm</f>
        <v>0</v>
      </c>
      <c r="H5">
        <f>Markers_Raw_Max[[#This Row],[Connection + Purpose Weight]]*CP_Marker_Norm</f>
        <v>0</v>
      </c>
      <c r="I5">
        <f>Markers_Raw_Max[[#This Row],[Core Care Weight]]*CC_Marker_Norm</f>
        <v>2.167883211678832</v>
      </c>
    </row>
    <row r="6" spans="2:9" x14ac:dyDescent="0.25">
      <c r="B6" t="s">
        <v>39</v>
      </c>
      <c r="C6">
        <f>Markers_Raw_Max[[#This Row],[Healthful Nutrition Weight]]*HN_Marker_Norm</f>
        <v>2.7692307692307692</v>
      </c>
      <c r="D6">
        <f>Markers_Raw_Max[[#This Row],[Movement + Exercise Weight]]*ME_Marker_Norm</f>
        <v>0.83076923076923082</v>
      </c>
      <c r="E6">
        <f>Markers_Raw_Max[[#This Row],[Restorative Sleep Weight]]*RS_Marker_Norm</f>
        <v>0</v>
      </c>
      <c r="F6">
        <f>Markers_Raw_Max[[#This Row],[Stress Management Weight]]*SM_Marker_Norm</f>
        <v>0</v>
      </c>
      <c r="G6">
        <f>Markers_Raw_Max[[#This Row],[Cognitive Health Weight]]*CH_Marker_Norm</f>
        <v>1.0359712230215827</v>
      </c>
      <c r="H6">
        <f>Markers_Raw_Max[[#This Row],[Connection + Purpose Weight]]*CP_Marker_Norm</f>
        <v>0</v>
      </c>
      <c r="I6">
        <f>Markers_Raw_Max[[#This Row],[Core Care Weight]]*CC_Marker_Norm</f>
        <v>3.2518248175182483</v>
      </c>
    </row>
    <row r="7" spans="2:9" x14ac:dyDescent="0.25">
      <c r="B7" t="s">
        <v>40</v>
      </c>
      <c r="C7">
        <f>Markers_Raw_Max[[#This Row],[Healthful Nutrition Weight]]*HN_Marker_Norm</f>
        <v>1.3846153846153846</v>
      </c>
      <c r="D7">
        <f>Markers_Raw_Max[[#This Row],[Movement + Exercise Weight]]*ME_Marker_Norm</f>
        <v>2.0769230769230771</v>
      </c>
      <c r="E7">
        <f>Markers_Raw_Max[[#This Row],[Restorative Sleep Weight]]*RS_Marker_Norm</f>
        <v>0</v>
      </c>
      <c r="F7">
        <f>Markers_Raw_Max[[#This Row],[Stress Management Weight]]*SM_Marker_Norm</f>
        <v>0</v>
      </c>
      <c r="G7">
        <f>Markers_Raw_Max[[#This Row],[Cognitive Health Weight]]*CH_Marker_Norm</f>
        <v>0</v>
      </c>
      <c r="H7">
        <f>Markers_Raw_Max[[#This Row],[Connection + Purpose Weight]]*CP_Marker_Norm</f>
        <v>0</v>
      </c>
      <c r="I7">
        <f>Markers_Raw_Max[[#This Row],[Core Care Weight]]*CC_Marker_Norm</f>
        <v>0</v>
      </c>
    </row>
    <row r="8" spans="2:9" x14ac:dyDescent="0.25">
      <c r="B8" t="s">
        <v>41</v>
      </c>
      <c r="C8">
        <f>Markers_Raw_Max[[#This Row],[Healthful Nutrition Weight]]*HN_Marker_Norm</f>
        <v>2.7692307692307692</v>
      </c>
      <c r="D8">
        <f>Markers_Raw_Max[[#This Row],[Movement + Exercise Weight]]*ME_Marker_Norm</f>
        <v>1.6615384615384616</v>
      </c>
      <c r="E8">
        <f>Markers_Raw_Max[[#This Row],[Restorative Sleep Weight]]*RS_Marker_Norm</f>
        <v>0</v>
      </c>
      <c r="F8">
        <f>Markers_Raw_Max[[#This Row],[Stress Management Weight]]*SM_Marker_Norm</f>
        <v>0</v>
      </c>
      <c r="G8">
        <f>Markers_Raw_Max[[#This Row],[Cognitive Health Weight]]*CH_Marker_Norm</f>
        <v>1.2949640287769784</v>
      </c>
      <c r="H8">
        <f>Markers_Raw_Max[[#This Row],[Connection + Purpose Weight]]*CP_Marker_Norm</f>
        <v>0</v>
      </c>
      <c r="I8">
        <f>Markers_Raw_Max[[#This Row],[Core Care Weight]]*CC_Marker_Norm</f>
        <v>2.8905109489051095</v>
      </c>
    </row>
    <row r="9" spans="2:9" x14ac:dyDescent="0.25">
      <c r="B9" t="s">
        <v>42</v>
      </c>
      <c r="C9">
        <f>Markers_Raw_Max[[#This Row],[Healthful Nutrition Weight]]*HN_Marker_Norm</f>
        <v>2.2153846153846155</v>
      </c>
      <c r="D9">
        <f>Markers_Raw_Max[[#This Row],[Movement + Exercise Weight]]*ME_Marker_Norm</f>
        <v>0</v>
      </c>
      <c r="E9">
        <f>Markers_Raw_Max[[#This Row],[Restorative Sleep Weight]]*RS_Marker_Norm</f>
        <v>0</v>
      </c>
      <c r="F9">
        <f>Markers_Raw_Max[[#This Row],[Stress Management Weight]]*SM_Marker_Norm</f>
        <v>0</v>
      </c>
      <c r="G9">
        <f>Markers_Raw_Max[[#This Row],[Cognitive Health Weight]]*CH_Marker_Norm</f>
        <v>1.5539568345323742</v>
      </c>
      <c r="H9">
        <f>Markers_Raw_Max[[#This Row],[Connection + Purpose Weight]]*CP_Marker_Norm</f>
        <v>0</v>
      </c>
      <c r="I9">
        <f>Markers_Raw_Max[[#This Row],[Core Care Weight]]*CC_Marker_Norm</f>
        <v>2.5291970802919708</v>
      </c>
    </row>
    <row r="10" spans="2:9" x14ac:dyDescent="0.25">
      <c r="B10" t="s">
        <v>43</v>
      </c>
      <c r="C10">
        <f>Markers_Raw_Max[[#This Row],[Healthful Nutrition Weight]]*HN_Marker_Norm</f>
        <v>0.55384615384615388</v>
      </c>
      <c r="D10">
        <f>Markers_Raw_Max[[#This Row],[Movement + Exercise Weight]]*ME_Marker_Norm</f>
        <v>0</v>
      </c>
      <c r="E10">
        <f>Markers_Raw_Max[[#This Row],[Restorative Sleep Weight]]*RS_Marker_Norm</f>
        <v>2.5714285714285716</v>
      </c>
      <c r="F10">
        <f>Markers_Raw_Max[[#This Row],[Stress Management Weight]]*SM_Marker_Norm</f>
        <v>0.56643356643356646</v>
      </c>
      <c r="G10">
        <f>Markers_Raw_Max[[#This Row],[Cognitive Health Weight]]*CH_Marker_Norm</f>
        <v>0.7769784172661871</v>
      </c>
      <c r="H10">
        <f>Markers_Raw_Max[[#This Row],[Connection + Purpose Weight]]*CP_Marker_Norm</f>
        <v>0</v>
      </c>
      <c r="I10">
        <f>Markers_Raw_Max[[#This Row],[Core Care Weight]]*CC_Marker_Norm</f>
        <v>0</v>
      </c>
    </row>
    <row r="11" spans="2:9" x14ac:dyDescent="0.25">
      <c r="B11" t="s">
        <v>44</v>
      </c>
      <c r="C11">
        <f>Markers_Raw_Max[[#This Row],[Healthful Nutrition Weight]]*HN_Marker_Norm</f>
        <v>1.3846153846153846</v>
      </c>
      <c r="D11">
        <f>Markers_Raw_Max[[#This Row],[Movement + Exercise Weight]]*ME_Marker_Norm</f>
        <v>0</v>
      </c>
      <c r="E11">
        <f>Markers_Raw_Max[[#This Row],[Restorative Sleep Weight]]*RS_Marker_Norm</f>
        <v>3.8571428571428577</v>
      </c>
      <c r="F11">
        <f>Markers_Raw_Max[[#This Row],[Stress Management Weight]]*SM_Marker_Norm</f>
        <v>0.75524475524475521</v>
      </c>
      <c r="G11">
        <f>Markers_Raw_Max[[#This Row],[Cognitive Health Weight]]*CH_Marker_Norm</f>
        <v>1.8129496402877698</v>
      </c>
      <c r="H11">
        <f>Markers_Raw_Max[[#This Row],[Connection + Purpose Weight]]*CP_Marker_Norm</f>
        <v>0</v>
      </c>
      <c r="I11">
        <f>Markers_Raw_Max[[#This Row],[Core Care Weight]]*CC_Marker_Norm</f>
        <v>0</v>
      </c>
    </row>
    <row r="12" spans="2:9" x14ac:dyDescent="0.25">
      <c r="B12" t="s">
        <v>45</v>
      </c>
      <c r="C12">
        <f>Markers_Raw_Max[[#This Row],[Healthful Nutrition Weight]]*HN_Marker_Norm</f>
        <v>2.2153846153846155</v>
      </c>
      <c r="D12">
        <f>Markers_Raw_Max[[#This Row],[Movement + Exercise Weight]]*ME_Marker_Norm</f>
        <v>0</v>
      </c>
      <c r="E12">
        <f>Markers_Raw_Max[[#This Row],[Restorative Sleep Weight]]*RS_Marker_Norm</f>
        <v>3.8571428571428577</v>
      </c>
      <c r="F12">
        <f>Markers_Raw_Max[[#This Row],[Stress Management Weight]]*SM_Marker_Norm</f>
        <v>0</v>
      </c>
      <c r="G12">
        <f>Markers_Raw_Max[[#This Row],[Cognitive Health Weight]]*CH_Marker_Norm</f>
        <v>0</v>
      </c>
      <c r="H12">
        <f>Markers_Raw_Max[[#This Row],[Connection + Purpose Weight]]*CP_Marker_Norm</f>
        <v>0</v>
      </c>
      <c r="I12">
        <f>Markers_Raw_Max[[#This Row],[Core Care Weight]]*CC_Marker_Norm</f>
        <v>0</v>
      </c>
    </row>
    <row r="13" spans="2:9" x14ac:dyDescent="0.25">
      <c r="B13" t="s">
        <v>46</v>
      </c>
      <c r="C13">
        <f>Markers_Raw_Max[[#This Row],[Healthful Nutrition Weight]]*HN_Marker_Norm</f>
        <v>1.3846153846153846</v>
      </c>
      <c r="D13">
        <f>Markers_Raw_Max[[#This Row],[Movement + Exercise Weight]]*ME_Marker_Norm</f>
        <v>0</v>
      </c>
      <c r="E13">
        <f>Markers_Raw_Max[[#This Row],[Restorative Sleep Weight]]*RS_Marker_Norm</f>
        <v>3.2142857142857144</v>
      </c>
      <c r="F13">
        <f>Markers_Raw_Max[[#This Row],[Stress Management Weight]]*SM_Marker_Norm</f>
        <v>0.75524475524475521</v>
      </c>
      <c r="G13">
        <f>Markers_Raw_Max[[#This Row],[Cognitive Health Weight]]*CH_Marker_Norm</f>
        <v>0</v>
      </c>
      <c r="H13">
        <f>Markers_Raw_Max[[#This Row],[Connection + Purpose Weight]]*CP_Marker_Norm</f>
        <v>0</v>
      </c>
      <c r="I13">
        <f>Markers_Raw_Max[[#This Row],[Core Care Weight]]*CC_Marker_Norm</f>
        <v>0</v>
      </c>
    </row>
    <row r="14" spans="2:9" x14ac:dyDescent="0.25">
      <c r="B14" t="s">
        <v>47</v>
      </c>
      <c r="C14">
        <f>Markers_Raw_Max[[#This Row],[Healthful Nutrition Weight]]*HN_Marker_Norm</f>
        <v>0.55384615384615388</v>
      </c>
      <c r="D14">
        <f>Markers_Raw_Max[[#This Row],[Movement + Exercise Weight]]*ME_Marker_Norm</f>
        <v>0</v>
      </c>
      <c r="E14">
        <f>Markers_Raw_Max[[#This Row],[Restorative Sleep Weight]]*RS_Marker_Norm</f>
        <v>2.5714285714285716</v>
      </c>
      <c r="F14">
        <f>Markers_Raw_Max[[#This Row],[Stress Management Weight]]*SM_Marker_Norm</f>
        <v>0</v>
      </c>
      <c r="G14">
        <f>Markers_Raw_Max[[#This Row],[Cognitive Health Weight]]*CH_Marker_Norm</f>
        <v>0</v>
      </c>
      <c r="H14">
        <f>Markers_Raw_Max[[#This Row],[Connection + Purpose Weight]]*CP_Marker_Norm</f>
        <v>0</v>
      </c>
      <c r="I14">
        <f>Markers_Raw_Max[[#This Row],[Core Care Weight]]*CC_Marker_Norm</f>
        <v>0</v>
      </c>
    </row>
    <row r="15" spans="2:9" x14ac:dyDescent="0.25">
      <c r="B15" t="s">
        <v>48</v>
      </c>
      <c r="C15">
        <f>Markers_Raw_Max[[#This Row],[Healthful Nutrition Weight]]*HN_Marker_Norm</f>
        <v>0.55384615384615388</v>
      </c>
      <c r="D15">
        <f>Markers_Raw_Max[[#This Row],[Movement + Exercise Weight]]*ME_Marker_Norm</f>
        <v>0</v>
      </c>
      <c r="E15">
        <f>Markers_Raw_Max[[#This Row],[Restorative Sleep Weight]]*RS_Marker_Norm</f>
        <v>1.9285714285714288</v>
      </c>
      <c r="F15">
        <f>Markers_Raw_Max[[#This Row],[Stress Management Weight]]*SM_Marker_Norm</f>
        <v>0</v>
      </c>
      <c r="G15">
        <f>Markers_Raw_Max[[#This Row],[Cognitive Health Weight]]*CH_Marker_Norm</f>
        <v>0</v>
      </c>
      <c r="H15">
        <f>Markers_Raw_Max[[#This Row],[Connection + Purpose Weight]]*CP_Marker_Norm</f>
        <v>0</v>
      </c>
      <c r="I15">
        <f>Markers_Raw_Max[[#This Row],[Core Care Weight]]*CC_Marker_Norm</f>
        <v>0</v>
      </c>
    </row>
    <row r="16" spans="2:9" x14ac:dyDescent="0.25">
      <c r="B16" t="s">
        <v>49</v>
      </c>
      <c r="C16">
        <f>Markers_Raw_Max[[#This Row],[Healthful Nutrition Weight]]*HN_Marker_Norm</f>
        <v>2.2153846153846155</v>
      </c>
      <c r="D16">
        <f>Markers_Raw_Max[[#This Row],[Movement + Exercise Weight]]*ME_Marker_Norm</f>
        <v>0</v>
      </c>
      <c r="E16">
        <f>Markers_Raw_Max[[#This Row],[Restorative Sleep Weight]]*RS_Marker_Norm</f>
        <v>2.5714285714285716</v>
      </c>
      <c r="F16">
        <f>Markers_Raw_Max[[#This Row],[Stress Management Weight]]*SM_Marker_Norm</f>
        <v>1.1328671328671329</v>
      </c>
      <c r="G16">
        <f>Markers_Raw_Max[[#This Row],[Cognitive Health Weight]]*CH_Marker_Norm</f>
        <v>0</v>
      </c>
      <c r="H16">
        <f>Markers_Raw_Max[[#This Row],[Connection + Purpose Weight]]*CP_Marker_Norm</f>
        <v>3.5999999999999996</v>
      </c>
      <c r="I16">
        <f>Markers_Raw_Max[[#This Row],[Core Care Weight]]*CC_Marker_Norm</f>
        <v>0</v>
      </c>
    </row>
    <row r="17" spans="2:9" x14ac:dyDescent="0.25">
      <c r="B17" t="s">
        <v>50</v>
      </c>
      <c r="C17">
        <f>Markers_Raw_Max[[#This Row],[Healthful Nutrition Weight]]*HN_Marker_Norm</f>
        <v>1.3846153846153846</v>
      </c>
      <c r="D17">
        <f>Markers_Raw_Max[[#This Row],[Movement + Exercise Weight]]*ME_Marker_Norm</f>
        <v>1.2461538461538462</v>
      </c>
      <c r="E17">
        <f>Markers_Raw_Max[[#This Row],[Restorative Sleep Weight]]*RS_Marker_Norm</f>
        <v>1.2857142857142858</v>
      </c>
      <c r="F17">
        <f>Markers_Raw_Max[[#This Row],[Stress Management Weight]]*SM_Marker_Norm</f>
        <v>0.94405594405594395</v>
      </c>
      <c r="G17">
        <f>Markers_Raw_Max[[#This Row],[Cognitive Health Weight]]*CH_Marker_Norm</f>
        <v>0</v>
      </c>
      <c r="H17">
        <f>Markers_Raw_Max[[#This Row],[Connection + Purpose Weight]]*CP_Marker_Norm</f>
        <v>0</v>
      </c>
      <c r="I17">
        <f>Markers_Raw_Max[[#This Row],[Core Care Weight]]*CC_Marker_Norm</f>
        <v>1.4452554744525548</v>
      </c>
    </row>
    <row r="18" spans="2:9" x14ac:dyDescent="0.25">
      <c r="B18" t="s">
        <v>51</v>
      </c>
      <c r="C18">
        <f>Markers_Raw_Max[[#This Row],[Healthful Nutrition Weight]]*HN_Marker_Norm</f>
        <v>0.55384615384615388</v>
      </c>
      <c r="D18">
        <f>Markers_Raw_Max[[#This Row],[Movement + Exercise Weight]]*ME_Marker_Norm</f>
        <v>0.41538461538461541</v>
      </c>
      <c r="E18">
        <f>Markers_Raw_Max[[#This Row],[Restorative Sleep Weight]]*RS_Marker_Norm</f>
        <v>0</v>
      </c>
      <c r="F18">
        <f>Markers_Raw_Max[[#This Row],[Stress Management Weight]]*SM_Marker_Norm</f>
        <v>0.94405594405594395</v>
      </c>
      <c r="G18">
        <f>Markers_Raw_Max[[#This Row],[Cognitive Health Weight]]*CH_Marker_Norm</f>
        <v>0</v>
      </c>
      <c r="H18">
        <f>Markers_Raw_Max[[#This Row],[Connection + Purpose Weight]]*CP_Marker_Norm</f>
        <v>0</v>
      </c>
      <c r="I18">
        <f>Markers_Raw_Max[[#This Row],[Core Care Weight]]*CC_Marker_Norm</f>
        <v>0</v>
      </c>
    </row>
    <row r="19" spans="2:9" x14ac:dyDescent="0.25">
      <c r="B19" t="s">
        <v>52</v>
      </c>
      <c r="C19">
        <f>Markers_Raw_Max[[#This Row],[Healthful Nutrition Weight]]*HN_Marker_Norm</f>
        <v>0.55384615384615388</v>
      </c>
      <c r="D19">
        <f>Markers_Raw_Max[[#This Row],[Movement + Exercise Weight]]*ME_Marker_Norm</f>
        <v>0.41538461538461541</v>
      </c>
      <c r="E19">
        <f>Markers_Raw_Max[[#This Row],[Restorative Sleep Weight]]*RS_Marker_Norm</f>
        <v>0</v>
      </c>
      <c r="F19">
        <f>Markers_Raw_Max[[#This Row],[Stress Management Weight]]*SM_Marker_Norm</f>
        <v>0.3776223776223776</v>
      </c>
      <c r="G19">
        <f>Markers_Raw_Max[[#This Row],[Cognitive Health Weight]]*CH_Marker_Norm</f>
        <v>0</v>
      </c>
      <c r="H19">
        <f>Markers_Raw_Max[[#This Row],[Connection + Purpose Weight]]*CP_Marker_Norm</f>
        <v>0</v>
      </c>
      <c r="I19">
        <f>Markers_Raw_Max[[#This Row],[Core Care Weight]]*CC_Marker_Norm</f>
        <v>0</v>
      </c>
    </row>
    <row r="20" spans="2:9" x14ac:dyDescent="0.25">
      <c r="B20" t="s">
        <v>53</v>
      </c>
      <c r="C20">
        <f>Markers_Raw_Max[[#This Row],[Healthful Nutrition Weight]]*HN_Marker_Norm</f>
        <v>1.1076923076923078</v>
      </c>
      <c r="D20">
        <f>Markers_Raw_Max[[#This Row],[Movement + Exercise Weight]]*ME_Marker_Norm</f>
        <v>1.2461538461538462</v>
      </c>
      <c r="E20">
        <f>Markers_Raw_Max[[#This Row],[Restorative Sleep Weight]]*RS_Marker_Norm</f>
        <v>1.2857142857142858</v>
      </c>
      <c r="F20">
        <f>Markers_Raw_Max[[#This Row],[Stress Management Weight]]*SM_Marker_Norm</f>
        <v>1.1328671328671329</v>
      </c>
      <c r="G20">
        <f>Markers_Raw_Max[[#This Row],[Cognitive Health Weight]]*CH_Marker_Norm</f>
        <v>1.2949640287769784</v>
      </c>
      <c r="H20">
        <f>Markers_Raw_Max[[#This Row],[Connection + Purpose Weight]]*CP_Marker_Norm</f>
        <v>0</v>
      </c>
      <c r="I20">
        <f>Markers_Raw_Max[[#This Row],[Core Care Weight]]*CC_Marker_Norm</f>
        <v>1.4452554744525548</v>
      </c>
    </row>
    <row r="21" spans="2:9" x14ac:dyDescent="0.25">
      <c r="B21" t="s">
        <v>54</v>
      </c>
      <c r="C21">
        <f>Markers_Raw_Max[[#This Row],[Healthful Nutrition Weight]]*HN_Marker_Norm</f>
        <v>0.55384615384615388</v>
      </c>
      <c r="D21">
        <f>Markers_Raw_Max[[#This Row],[Movement + Exercise Weight]]*ME_Marker_Norm</f>
        <v>0.41538461538461541</v>
      </c>
      <c r="E21">
        <f>Markers_Raw_Max[[#This Row],[Restorative Sleep Weight]]*RS_Marker_Norm</f>
        <v>0</v>
      </c>
      <c r="F21">
        <f>Markers_Raw_Max[[#This Row],[Stress Management Weight]]*SM_Marker_Norm</f>
        <v>0.3776223776223776</v>
      </c>
      <c r="G21">
        <f>Markers_Raw_Max[[#This Row],[Cognitive Health Weight]]*CH_Marker_Norm</f>
        <v>0</v>
      </c>
      <c r="H21">
        <f>Markers_Raw_Max[[#This Row],[Connection + Purpose Weight]]*CP_Marker_Norm</f>
        <v>0</v>
      </c>
      <c r="I21">
        <f>Markers_Raw_Max[[#This Row],[Core Care Weight]]*CC_Marker_Norm</f>
        <v>0</v>
      </c>
    </row>
    <row r="22" spans="2:9" x14ac:dyDescent="0.25">
      <c r="B22" t="s">
        <v>55</v>
      </c>
      <c r="C22">
        <f>Markers_Raw_Max[[#This Row],[Healthful Nutrition Weight]]*HN_Marker_Norm</f>
        <v>2.2153846153846155</v>
      </c>
      <c r="D22">
        <f>Markers_Raw_Max[[#This Row],[Movement + Exercise Weight]]*ME_Marker_Norm</f>
        <v>2.0769230769230771</v>
      </c>
      <c r="E22">
        <f>Markers_Raw_Max[[#This Row],[Restorative Sleep Weight]]*RS_Marker_Norm</f>
        <v>1.9285714285714288</v>
      </c>
      <c r="F22">
        <f>Markers_Raw_Max[[#This Row],[Stress Management Weight]]*SM_Marker_Norm</f>
        <v>0.94405594405594395</v>
      </c>
      <c r="G22">
        <f>Markers_Raw_Max[[#This Row],[Cognitive Health Weight]]*CH_Marker_Norm</f>
        <v>1.8129496402877698</v>
      </c>
      <c r="H22">
        <f>Markers_Raw_Max[[#This Row],[Connection + Purpose Weight]]*CP_Marker_Norm</f>
        <v>0</v>
      </c>
      <c r="I22">
        <f>Markers_Raw_Max[[#This Row],[Core Care Weight]]*CC_Marker_Norm</f>
        <v>2.8905109489051095</v>
      </c>
    </row>
    <row r="23" spans="2:9" x14ac:dyDescent="0.25">
      <c r="B23" t="s">
        <v>56</v>
      </c>
      <c r="C23">
        <f>Markers_Raw_Max[[#This Row],[Healthful Nutrition Weight]]*HN_Marker_Norm</f>
        <v>1.1076923076923078</v>
      </c>
      <c r="D23">
        <f>Markers_Raw_Max[[#This Row],[Movement + Exercise Weight]]*ME_Marker_Norm</f>
        <v>2.907692307692308</v>
      </c>
      <c r="E23">
        <f>Markers_Raw_Max[[#This Row],[Restorative Sleep Weight]]*RS_Marker_Norm</f>
        <v>0</v>
      </c>
      <c r="F23">
        <f>Markers_Raw_Max[[#This Row],[Stress Management Weight]]*SM_Marker_Norm</f>
        <v>0.75524475524475521</v>
      </c>
      <c r="G23">
        <f>Markers_Raw_Max[[#This Row],[Cognitive Health Weight]]*CH_Marker_Norm</f>
        <v>1.2949640287769784</v>
      </c>
      <c r="H23">
        <f>Markers_Raw_Max[[#This Row],[Connection + Purpose Weight]]*CP_Marker_Norm</f>
        <v>0</v>
      </c>
      <c r="I23">
        <f>Markers_Raw_Max[[#This Row],[Core Care Weight]]*CC_Marker_Norm</f>
        <v>0</v>
      </c>
    </row>
    <row r="24" spans="2:9" x14ac:dyDescent="0.25">
      <c r="B24" t="s">
        <v>57</v>
      </c>
      <c r="C24">
        <f>Markers_Raw_Max[[#This Row],[Healthful Nutrition Weight]]*HN_Marker_Norm</f>
        <v>0.83076923076923082</v>
      </c>
      <c r="D24">
        <f>Markers_Raw_Max[[#This Row],[Movement + Exercise Weight]]*ME_Marker_Norm</f>
        <v>2.907692307692308</v>
      </c>
      <c r="E24">
        <f>Markers_Raw_Max[[#This Row],[Restorative Sleep Weight]]*RS_Marker_Norm</f>
        <v>0</v>
      </c>
      <c r="F24">
        <f>Markers_Raw_Max[[#This Row],[Stress Management Weight]]*SM_Marker_Norm</f>
        <v>0.94405594405594395</v>
      </c>
      <c r="G24">
        <f>Markers_Raw_Max[[#This Row],[Cognitive Health Weight]]*CH_Marker_Norm</f>
        <v>1.5539568345323742</v>
      </c>
      <c r="H24">
        <f>Markers_Raw_Max[[#This Row],[Connection + Purpose Weight]]*CP_Marker_Norm</f>
        <v>0</v>
      </c>
      <c r="I24">
        <f>Markers_Raw_Max[[#This Row],[Core Care Weight]]*CC_Marker_Norm</f>
        <v>0</v>
      </c>
    </row>
    <row r="25" spans="2:9" x14ac:dyDescent="0.25">
      <c r="B25" t="s">
        <v>58</v>
      </c>
      <c r="C25">
        <f>Markers_Raw_Max[[#This Row],[Healthful Nutrition Weight]]*HN_Marker_Norm</f>
        <v>1.3846153846153846</v>
      </c>
      <c r="D25">
        <f>Markers_Raw_Max[[#This Row],[Movement + Exercise Weight]]*ME_Marker_Norm</f>
        <v>2.907692307692308</v>
      </c>
      <c r="E25">
        <f>Markers_Raw_Max[[#This Row],[Restorative Sleep Weight]]*RS_Marker_Norm</f>
        <v>0</v>
      </c>
      <c r="F25">
        <f>Markers_Raw_Max[[#This Row],[Stress Management Weight]]*SM_Marker_Norm</f>
        <v>0.94405594405594395</v>
      </c>
      <c r="G25">
        <f>Markers_Raw_Max[[#This Row],[Cognitive Health Weight]]*CH_Marker_Norm</f>
        <v>1.8129496402877698</v>
      </c>
      <c r="H25">
        <f>Markers_Raw_Max[[#This Row],[Connection + Purpose Weight]]*CP_Marker_Norm</f>
        <v>0</v>
      </c>
      <c r="I25">
        <f>Markers_Raw_Max[[#This Row],[Core Care Weight]]*CC_Marker_Norm</f>
        <v>0</v>
      </c>
    </row>
    <row r="26" spans="2:9" x14ac:dyDescent="0.25">
      <c r="B26" t="s">
        <v>59</v>
      </c>
      <c r="C26">
        <f>Markers_Raw_Max[[#This Row],[Healthful Nutrition Weight]]*HN_Marker_Norm</f>
        <v>0.83076923076923082</v>
      </c>
      <c r="D26">
        <f>Markers_Raw_Max[[#This Row],[Movement + Exercise Weight]]*ME_Marker_Norm</f>
        <v>0</v>
      </c>
      <c r="E26">
        <f>Markers_Raw_Max[[#This Row],[Restorative Sleep Weight]]*RS_Marker_Norm</f>
        <v>0</v>
      </c>
      <c r="F26">
        <f>Markers_Raw_Max[[#This Row],[Stress Management Weight]]*SM_Marker_Norm</f>
        <v>0</v>
      </c>
      <c r="G26">
        <f>Markers_Raw_Max[[#This Row],[Cognitive Health Weight]]*CH_Marker_Norm</f>
        <v>0</v>
      </c>
      <c r="H26">
        <f>Markers_Raw_Max[[#This Row],[Connection + Purpose Weight]]*CP_Marker_Norm</f>
        <v>0</v>
      </c>
      <c r="I26">
        <f>Markers_Raw_Max[[#This Row],[Core Care Weight]]*CC_Marker_Norm</f>
        <v>1.8065693430656935</v>
      </c>
    </row>
    <row r="27" spans="2:9" x14ac:dyDescent="0.25">
      <c r="B27" t="s">
        <v>60</v>
      </c>
      <c r="C27">
        <f>Markers_Raw_Max[[#This Row],[Healthful Nutrition Weight]]*HN_Marker_Norm</f>
        <v>0.83076923076923082</v>
      </c>
      <c r="D27">
        <f>Markers_Raw_Max[[#This Row],[Movement + Exercise Weight]]*ME_Marker_Norm</f>
        <v>0</v>
      </c>
      <c r="E27">
        <f>Markers_Raw_Max[[#This Row],[Restorative Sleep Weight]]*RS_Marker_Norm</f>
        <v>0</v>
      </c>
      <c r="F27">
        <f>Markers_Raw_Max[[#This Row],[Stress Management Weight]]*SM_Marker_Norm</f>
        <v>0</v>
      </c>
      <c r="G27">
        <f>Markers_Raw_Max[[#This Row],[Cognitive Health Weight]]*CH_Marker_Norm</f>
        <v>0</v>
      </c>
      <c r="H27">
        <f>Markers_Raw_Max[[#This Row],[Connection + Purpose Weight]]*CP_Marker_Norm</f>
        <v>0</v>
      </c>
      <c r="I27">
        <f>Markers_Raw_Max[[#This Row],[Core Care Weight]]*CC_Marker_Norm</f>
        <v>1.4452554744525548</v>
      </c>
    </row>
    <row r="28" spans="2:9" x14ac:dyDescent="0.25">
      <c r="B28" t="s">
        <v>61</v>
      </c>
      <c r="C28">
        <f>Markers_Raw_Max[[#This Row],[Healthful Nutrition Weight]]*HN_Marker_Norm</f>
        <v>0.27692307692307694</v>
      </c>
      <c r="D28">
        <f>Markers_Raw_Max[[#This Row],[Movement + Exercise Weight]]*ME_Marker_Norm</f>
        <v>2.907692307692308</v>
      </c>
      <c r="E28">
        <f>Markers_Raw_Max[[#This Row],[Restorative Sleep Weight]]*RS_Marker_Norm</f>
        <v>1.9285714285714288</v>
      </c>
      <c r="F28">
        <f>Markers_Raw_Max[[#This Row],[Stress Management Weight]]*SM_Marker_Norm</f>
        <v>0.56643356643356646</v>
      </c>
      <c r="G28">
        <f>Markers_Raw_Max[[#This Row],[Cognitive Health Weight]]*CH_Marker_Norm</f>
        <v>0</v>
      </c>
      <c r="H28">
        <f>Markers_Raw_Max[[#This Row],[Connection + Purpose Weight]]*CP_Marker_Norm</f>
        <v>0</v>
      </c>
      <c r="I28">
        <f>Markers_Raw_Max[[#This Row],[Core Care Weight]]*CC_Marker_Norm</f>
        <v>2.167883211678832</v>
      </c>
    </row>
    <row r="29" spans="2:9" x14ac:dyDescent="0.25">
      <c r="B29" t="s">
        <v>62</v>
      </c>
      <c r="C29">
        <f>Markers_Raw_Max[[#This Row],[Healthful Nutrition Weight]]*HN_Marker_Norm</f>
        <v>0.55384615384615388</v>
      </c>
      <c r="D29">
        <f>Markers_Raw_Max[[#This Row],[Movement + Exercise Weight]]*ME_Marker_Norm</f>
        <v>0</v>
      </c>
      <c r="E29">
        <f>Markers_Raw_Max[[#This Row],[Restorative Sleep Weight]]*RS_Marker_Norm</f>
        <v>0</v>
      </c>
      <c r="F29">
        <f>Markers_Raw_Max[[#This Row],[Stress Management Weight]]*SM_Marker_Norm</f>
        <v>0</v>
      </c>
      <c r="G29">
        <f>Markers_Raw_Max[[#This Row],[Cognitive Health Weight]]*CH_Marker_Norm</f>
        <v>0</v>
      </c>
      <c r="H29">
        <f>Markers_Raw_Max[[#This Row],[Connection + Purpose Weight]]*CP_Marker_Norm</f>
        <v>0</v>
      </c>
      <c r="I29">
        <f>Markers_Raw_Max[[#This Row],[Core Care Weight]]*CC_Marker_Norm</f>
        <v>0</v>
      </c>
    </row>
    <row r="30" spans="2:9" x14ac:dyDescent="0.25">
      <c r="B30" t="s">
        <v>63</v>
      </c>
      <c r="C30">
        <f>Markers_Raw_Max[[#This Row],[Healthful Nutrition Weight]]*HN_Marker_Norm</f>
        <v>0.55384615384615388</v>
      </c>
      <c r="D30">
        <f>Markers_Raw_Max[[#This Row],[Movement + Exercise Weight]]*ME_Marker_Norm</f>
        <v>0</v>
      </c>
      <c r="E30">
        <f>Markers_Raw_Max[[#This Row],[Restorative Sleep Weight]]*RS_Marker_Norm</f>
        <v>0</v>
      </c>
      <c r="F30">
        <f>Markers_Raw_Max[[#This Row],[Stress Management Weight]]*SM_Marker_Norm</f>
        <v>0</v>
      </c>
      <c r="G30">
        <f>Markers_Raw_Max[[#This Row],[Cognitive Health Weight]]*CH_Marker_Norm</f>
        <v>0</v>
      </c>
      <c r="H30">
        <f>Markers_Raw_Max[[#This Row],[Connection + Purpose Weight]]*CP_Marker_Norm</f>
        <v>0</v>
      </c>
      <c r="I30">
        <f>Markers_Raw_Max[[#This Row],[Core Care Weight]]*CC_Marker_Norm</f>
        <v>0</v>
      </c>
    </row>
    <row r="31" spans="2:9" x14ac:dyDescent="0.25">
      <c r="B31" t="s">
        <v>64</v>
      </c>
      <c r="C31">
        <f>Markers_Raw_Max[[#This Row],[Healthful Nutrition Weight]]*HN_Marker_Norm</f>
        <v>0.83076923076923082</v>
      </c>
      <c r="D31">
        <f>Markers_Raw_Max[[#This Row],[Movement + Exercise Weight]]*ME_Marker_Norm</f>
        <v>0</v>
      </c>
      <c r="E31">
        <f>Markers_Raw_Max[[#This Row],[Restorative Sleep Weight]]*RS_Marker_Norm</f>
        <v>0</v>
      </c>
      <c r="F31">
        <f>Markers_Raw_Max[[#This Row],[Stress Management Weight]]*SM_Marker_Norm</f>
        <v>0</v>
      </c>
      <c r="G31">
        <f>Markers_Raw_Max[[#This Row],[Cognitive Health Weight]]*CH_Marker_Norm</f>
        <v>0</v>
      </c>
      <c r="H31">
        <f>Markers_Raw_Max[[#This Row],[Connection + Purpose Weight]]*CP_Marker_Norm</f>
        <v>0</v>
      </c>
      <c r="I31">
        <f>Markers_Raw_Max[[#This Row],[Core Care Weight]]*CC_Marker_Norm</f>
        <v>0</v>
      </c>
    </row>
    <row r="32" spans="2:9" x14ac:dyDescent="0.25">
      <c r="B32" t="s">
        <v>65</v>
      </c>
      <c r="C32">
        <f>Markers_Raw_Max[[#This Row],[Healthful Nutrition Weight]]*HN_Marker_Norm</f>
        <v>0.83076923076923082</v>
      </c>
      <c r="D32">
        <f>Markers_Raw_Max[[#This Row],[Movement + Exercise Weight]]*ME_Marker_Norm</f>
        <v>0</v>
      </c>
      <c r="E32">
        <f>Markers_Raw_Max[[#This Row],[Restorative Sleep Weight]]*RS_Marker_Norm</f>
        <v>0</v>
      </c>
      <c r="F32">
        <f>Markers_Raw_Max[[#This Row],[Stress Management Weight]]*SM_Marker_Norm</f>
        <v>0</v>
      </c>
      <c r="G32">
        <f>Markers_Raw_Max[[#This Row],[Cognitive Health Weight]]*CH_Marker_Norm</f>
        <v>0</v>
      </c>
      <c r="H32">
        <f>Markers_Raw_Max[[#This Row],[Connection + Purpose Weight]]*CP_Marker_Norm</f>
        <v>0</v>
      </c>
      <c r="I32">
        <f>Markers_Raw_Max[[#This Row],[Core Care Weight]]*CC_Marker_Norm</f>
        <v>0</v>
      </c>
    </row>
    <row r="33" spans="2:9" x14ac:dyDescent="0.25">
      <c r="B33" t="s">
        <v>66</v>
      </c>
      <c r="C33">
        <f>Markers_Raw_Max[[#This Row],[Healthful Nutrition Weight]]*HN_Marker_Norm</f>
        <v>1.1076923076923078</v>
      </c>
      <c r="D33">
        <f>Markers_Raw_Max[[#This Row],[Movement + Exercise Weight]]*ME_Marker_Norm</f>
        <v>0</v>
      </c>
      <c r="E33">
        <f>Markers_Raw_Max[[#This Row],[Restorative Sleep Weight]]*RS_Marker_Norm</f>
        <v>0</v>
      </c>
      <c r="F33">
        <f>Markers_Raw_Max[[#This Row],[Stress Management Weight]]*SM_Marker_Norm</f>
        <v>0.56643356643356646</v>
      </c>
      <c r="G33">
        <f>Markers_Raw_Max[[#This Row],[Cognitive Health Weight]]*CH_Marker_Norm</f>
        <v>0</v>
      </c>
      <c r="H33">
        <f>Markers_Raw_Max[[#This Row],[Connection + Purpose Weight]]*CP_Marker_Norm</f>
        <v>0</v>
      </c>
      <c r="I33">
        <f>Markers_Raw_Max[[#This Row],[Core Care Weight]]*CC_Marker_Norm</f>
        <v>0</v>
      </c>
    </row>
    <row r="34" spans="2:9" x14ac:dyDescent="0.25">
      <c r="B34" t="s">
        <v>67</v>
      </c>
      <c r="C34">
        <f>Markers_Raw_Max[[#This Row],[Healthful Nutrition Weight]]*HN_Marker_Norm</f>
        <v>1.1076923076923078</v>
      </c>
      <c r="D34">
        <f>Markers_Raw_Max[[#This Row],[Movement + Exercise Weight]]*ME_Marker_Norm</f>
        <v>0</v>
      </c>
      <c r="E34">
        <f>Markers_Raw_Max[[#This Row],[Restorative Sleep Weight]]*RS_Marker_Norm</f>
        <v>0</v>
      </c>
      <c r="F34">
        <f>Markers_Raw_Max[[#This Row],[Stress Management Weight]]*SM_Marker_Norm</f>
        <v>0.56643356643356646</v>
      </c>
      <c r="G34">
        <f>Markers_Raw_Max[[#This Row],[Cognitive Health Weight]]*CH_Marker_Norm</f>
        <v>0</v>
      </c>
      <c r="H34">
        <f>Markers_Raw_Max[[#This Row],[Connection + Purpose Weight]]*CP_Marker_Norm</f>
        <v>0</v>
      </c>
      <c r="I34">
        <f>Markers_Raw_Max[[#This Row],[Core Care Weight]]*CC_Marker_Norm</f>
        <v>1.8065693430656935</v>
      </c>
    </row>
    <row r="35" spans="2:9" x14ac:dyDescent="0.25">
      <c r="B35" t="s">
        <v>68</v>
      </c>
      <c r="C35">
        <f>Markers_Raw_Max[[#This Row],[Healthful Nutrition Weight]]*HN_Marker_Norm</f>
        <v>1.1076923076923078</v>
      </c>
      <c r="D35">
        <f>Markers_Raw_Max[[#This Row],[Movement + Exercise Weight]]*ME_Marker_Norm</f>
        <v>0</v>
      </c>
      <c r="E35">
        <f>Markers_Raw_Max[[#This Row],[Restorative Sleep Weight]]*RS_Marker_Norm</f>
        <v>0</v>
      </c>
      <c r="F35">
        <f>Markers_Raw_Max[[#This Row],[Stress Management Weight]]*SM_Marker_Norm</f>
        <v>0</v>
      </c>
      <c r="G35">
        <f>Markers_Raw_Max[[#This Row],[Cognitive Health Weight]]*CH_Marker_Norm</f>
        <v>2.0719424460431655</v>
      </c>
      <c r="H35">
        <f>Markers_Raw_Max[[#This Row],[Connection + Purpose Weight]]*CP_Marker_Norm</f>
        <v>0</v>
      </c>
      <c r="I35">
        <f>Markers_Raw_Max[[#This Row],[Core Care Weight]]*CC_Marker_Norm</f>
        <v>0</v>
      </c>
    </row>
    <row r="36" spans="2:9" x14ac:dyDescent="0.25">
      <c r="B36" t="s">
        <v>69</v>
      </c>
      <c r="C36">
        <f>Markers_Raw_Max[[#This Row],[Healthful Nutrition Weight]]*HN_Marker_Norm</f>
        <v>1.1076923076923078</v>
      </c>
      <c r="D36">
        <f>Markers_Raw_Max[[#This Row],[Movement + Exercise Weight]]*ME_Marker_Norm</f>
        <v>0</v>
      </c>
      <c r="E36">
        <f>Markers_Raw_Max[[#This Row],[Restorative Sleep Weight]]*RS_Marker_Norm</f>
        <v>0</v>
      </c>
      <c r="F36">
        <f>Markers_Raw_Max[[#This Row],[Stress Management Weight]]*SM_Marker_Norm</f>
        <v>0</v>
      </c>
      <c r="G36">
        <f>Markers_Raw_Max[[#This Row],[Cognitive Health Weight]]*CH_Marker_Norm</f>
        <v>1.5539568345323742</v>
      </c>
      <c r="H36">
        <f>Markers_Raw_Max[[#This Row],[Connection + Purpose Weight]]*CP_Marker_Norm</f>
        <v>0</v>
      </c>
      <c r="I36">
        <f>Markers_Raw_Max[[#This Row],[Core Care Weight]]*CC_Marker_Norm</f>
        <v>0</v>
      </c>
    </row>
    <row r="37" spans="2:9" x14ac:dyDescent="0.25">
      <c r="B37" t="s">
        <v>70</v>
      </c>
      <c r="C37">
        <f>Markers_Raw_Max[[#This Row],[Healthful Nutrition Weight]]*HN_Marker_Norm</f>
        <v>1.1076923076923078</v>
      </c>
      <c r="D37">
        <f>Markers_Raw_Max[[#This Row],[Movement + Exercise Weight]]*ME_Marker_Norm</f>
        <v>0</v>
      </c>
      <c r="E37">
        <f>Markers_Raw_Max[[#This Row],[Restorative Sleep Weight]]*RS_Marker_Norm</f>
        <v>0</v>
      </c>
      <c r="F37">
        <f>Markers_Raw_Max[[#This Row],[Stress Management Weight]]*SM_Marker_Norm</f>
        <v>0</v>
      </c>
      <c r="G37">
        <f>Markers_Raw_Max[[#This Row],[Cognitive Health Weight]]*CH_Marker_Norm</f>
        <v>1.8129496402877698</v>
      </c>
      <c r="H37">
        <f>Markers_Raw_Max[[#This Row],[Connection + Purpose Weight]]*CP_Marker_Norm</f>
        <v>0</v>
      </c>
      <c r="I37">
        <f>Markers_Raw_Max[[#This Row],[Core Care Weight]]*CC_Marker_Norm</f>
        <v>0</v>
      </c>
    </row>
    <row r="38" spans="2:9" x14ac:dyDescent="0.25">
      <c r="B38" t="s">
        <v>71</v>
      </c>
      <c r="C38">
        <f>Markers_Raw_Max[[#This Row],[Healthful Nutrition Weight]]*HN_Marker_Norm</f>
        <v>0.27692307692307694</v>
      </c>
      <c r="D38">
        <f>Markers_Raw_Max[[#This Row],[Movement + Exercise Weight]]*ME_Marker_Norm</f>
        <v>0</v>
      </c>
      <c r="E38">
        <f>Markers_Raw_Max[[#This Row],[Restorative Sleep Weight]]*RS_Marker_Norm</f>
        <v>0</v>
      </c>
      <c r="F38">
        <f>Markers_Raw_Max[[#This Row],[Stress Management Weight]]*SM_Marker_Norm</f>
        <v>0</v>
      </c>
      <c r="G38">
        <f>Markers_Raw_Max[[#This Row],[Cognitive Health Weight]]*CH_Marker_Norm</f>
        <v>0</v>
      </c>
      <c r="H38">
        <f>Markers_Raw_Max[[#This Row],[Connection + Purpose Weight]]*CP_Marker_Norm</f>
        <v>0</v>
      </c>
      <c r="I38">
        <f>Markers_Raw_Max[[#This Row],[Core Care Weight]]*CC_Marker_Norm</f>
        <v>1.8065693430656935</v>
      </c>
    </row>
    <row r="39" spans="2:9" x14ac:dyDescent="0.25">
      <c r="B39" t="s">
        <v>72</v>
      </c>
      <c r="C39">
        <f>Markers_Raw_Max[[#This Row],[Healthful Nutrition Weight]]*HN_Marker_Norm</f>
        <v>0.27692307692307694</v>
      </c>
      <c r="D39">
        <f>Markers_Raw_Max[[#This Row],[Movement + Exercise Weight]]*ME_Marker_Norm</f>
        <v>0</v>
      </c>
      <c r="E39">
        <f>Markers_Raw_Max[[#This Row],[Restorative Sleep Weight]]*RS_Marker_Norm</f>
        <v>0</v>
      </c>
      <c r="F39">
        <f>Markers_Raw_Max[[#This Row],[Stress Management Weight]]*SM_Marker_Norm</f>
        <v>0</v>
      </c>
      <c r="G39">
        <f>Markers_Raw_Max[[#This Row],[Cognitive Health Weight]]*CH_Marker_Norm</f>
        <v>0</v>
      </c>
      <c r="H39">
        <f>Markers_Raw_Max[[#This Row],[Connection + Purpose Weight]]*CP_Marker_Norm</f>
        <v>0</v>
      </c>
      <c r="I39">
        <f>Markers_Raw_Max[[#This Row],[Core Care Weight]]*CC_Marker_Norm</f>
        <v>1.8065693430656935</v>
      </c>
    </row>
    <row r="40" spans="2:9" x14ac:dyDescent="0.25">
      <c r="B40" t="s">
        <v>73</v>
      </c>
      <c r="C40">
        <f>Markers_Raw_Max[[#This Row],[Healthful Nutrition Weight]]*HN_Marker_Norm</f>
        <v>0</v>
      </c>
      <c r="D40">
        <f>Markers_Raw_Max[[#This Row],[Movement + Exercise Weight]]*ME_Marker_Norm</f>
        <v>1.2461538461538462</v>
      </c>
      <c r="E40">
        <f>Markers_Raw_Max[[#This Row],[Restorative Sleep Weight]]*RS_Marker_Norm</f>
        <v>0</v>
      </c>
      <c r="F40">
        <f>Markers_Raw_Max[[#This Row],[Stress Management Weight]]*SM_Marker_Norm</f>
        <v>0</v>
      </c>
      <c r="G40">
        <f>Markers_Raw_Max[[#This Row],[Cognitive Health Weight]]*CH_Marker_Norm</f>
        <v>0</v>
      </c>
      <c r="H40">
        <f>Markers_Raw_Max[[#This Row],[Connection + Purpose Weight]]*CP_Marker_Norm</f>
        <v>0</v>
      </c>
      <c r="I40">
        <f>Markers_Raw_Max[[#This Row],[Core Care Weight]]*CC_Marker_Norm</f>
        <v>2.5291970802919708</v>
      </c>
    </row>
    <row r="41" spans="2:9" x14ac:dyDescent="0.25">
      <c r="B41" t="s">
        <v>74</v>
      </c>
      <c r="C41">
        <f>Markers_Raw_Max[[#This Row],[Healthful Nutrition Weight]]*HN_Marker_Norm</f>
        <v>0.83076923076923082</v>
      </c>
      <c r="D41">
        <f>Markers_Raw_Max[[#This Row],[Movement + Exercise Weight]]*ME_Marker_Norm</f>
        <v>0</v>
      </c>
      <c r="E41">
        <f>Markers_Raw_Max[[#This Row],[Restorative Sleep Weight]]*RS_Marker_Norm</f>
        <v>0</v>
      </c>
      <c r="F41">
        <f>Markers_Raw_Max[[#This Row],[Stress Management Weight]]*SM_Marker_Norm</f>
        <v>0</v>
      </c>
      <c r="G41">
        <f>Markers_Raw_Max[[#This Row],[Cognitive Health Weight]]*CH_Marker_Norm</f>
        <v>0</v>
      </c>
      <c r="H41">
        <f>Markers_Raw_Max[[#This Row],[Connection + Purpose Weight]]*CP_Marker_Norm</f>
        <v>0</v>
      </c>
      <c r="I41">
        <f>Markers_Raw_Max[[#This Row],[Core Care Weight]]*CC_Marker_Norm</f>
        <v>0</v>
      </c>
    </row>
    <row r="42" spans="2:9" x14ac:dyDescent="0.25">
      <c r="B42" t="s">
        <v>75</v>
      </c>
      <c r="C42">
        <f>Markers_Raw_Max[[#This Row],[Healthful Nutrition Weight]]*HN_Marker_Norm</f>
        <v>1.3846153846153846</v>
      </c>
      <c r="D42">
        <f>Markers_Raw_Max[[#This Row],[Movement + Exercise Weight]]*ME_Marker_Norm</f>
        <v>0</v>
      </c>
      <c r="E42">
        <f>Markers_Raw_Max[[#This Row],[Restorative Sleep Weight]]*RS_Marker_Norm</f>
        <v>0</v>
      </c>
      <c r="F42">
        <f>Markers_Raw_Max[[#This Row],[Stress Management Weight]]*SM_Marker_Norm</f>
        <v>0</v>
      </c>
      <c r="G42">
        <f>Markers_Raw_Max[[#This Row],[Cognitive Health Weight]]*CH_Marker_Norm</f>
        <v>2.0719424460431655</v>
      </c>
      <c r="H42">
        <f>Markers_Raw_Max[[#This Row],[Connection + Purpose Weight]]*CP_Marker_Norm</f>
        <v>0</v>
      </c>
      <c r="I42">
        <f>Markers_Raw_Max[[#This Row],[Core Care Weight]]*CC_Marker_Norm</f>
        <v>1.083941605839416</v>
      </c>
    </row>
    <row r="43" spans="2:9" x14ac:dyDescent="0.25">
      <c r="B43" t="s">
        <v>76</v>
      </c>
      <c r="C43">
        <f>Markers_Raw_Max[[#This Row],[Healthful Nutrition Weight]]*HN_Marker_Norm</f>
        <v>0</v>
      </c>
      <c r="D43">
        <f>Markers_Raw_Max[[#This Row],[Movement + Exercise Weight]]*ME_Marker_Norm</f>
        <v>0.83076923076923082</v>
      </c>
      <c r="E43">
        <f>Markers_Raw_Max[[#This Row],[Restorative Sleep Weight]]*RS_Marker_Norm</f>
        <v>3.2142857142857144</v>
      </c>
      <c r="F43">
        <f>Markers_Raw_Max[[#This Row],[Stress Management Weight]]*SM_Marker_Norm</f>
        <v>1.5104895104895104</v>
      </c>
      <c r="G43">
        <f>Markers_Raw_Max[[#This Row],[Cognitive Health Weight]]*CH_Marker_Norm</f>
        <v>1.5539568345323742</v>
      </c>
      <c r="H43">
        <f>Markers_Raw_Max[[#This Row],[Connection + Purpose Weight]]*CP_Marker_Norm</f>
        <v>9</v>
      </c>
      <c r="I43">
        <f>Markers_Raw_Max[[#This Row],[Core Care Weight]]*CC_Marker_Norm</f>
        <v>0</v>
      </c>
    </row>
    <row r="44" spans="2:9" x14ac:dyDescent="0.25">
      <c r="B44" t="s">
        <v>77</v>
      </c>
      <c r="C44">
        <f>Markers_Raw_Max[[#This Row],[Healthful Nutrition Weight]]*HN_Marker_Norm</f>
        <v>0.55384615384615388</v>
      </c>
      <c r="D44">
        <f>Markers_Raw_Max[[#This Row],[Movement + Exercise Weight]]*ME_Marker_Norm</f>
        <v>0</v>
      </c>
      <c r="E44">
        <f>Markers_Raw_Max[[#This Row],[Restorative Sleep Weight]]*RS_Marker_Norm</f>
        <v>0</v>
      </c>
      <c r="F44">
        <f>Markers_Raw_Max[[#This Row],[Stress Management Weight]]*SM_Marker_Norm</f>
        <v>0.56643356643356646</v>
      </c>
      <c r="G44">
        <f>Markers_Raw_Max[[#This Row],[Cognitive Health Weight]]*CH_Marker_Norm</f>
        <v>0</v>
      </c>
      <c r="H44">
        <f>Markers_Raw_Max[[#This Row],[Connection + Purpose Weight]]*CP_Marker_Norm</f>
        <v>0</v>
      </c>
      <c r="I44">
        <f>Markers_Raw_Max[[#This Row],[Core Care Weight]]*CC_Marker_Norm</f>
        <v>0</v>
      </c>
    </row>
    <row r="45" spans="2:9" x14ac:dyDescent="0.25">
      <c r="B45" t="s">
        <v>78</v>
      </c>
      <c r="C45">
        <f>Markers_Raw_Max[[#This Row],[Healthful Nutrition Weight]]*HN_Marker_Norm</f>
        <v>0.55384615384615388</v>
      </c>
      <c r="D45">
        <f>Markers_Raw_Max[[#This Row],[Movement + Exercise Weight]]*ME_Marker_Norm</f>
        <v>0</v>
      </c>
      <c r="E45">
        <f>Markers_Raw_Max[[#This Row],[Restorative Sleep Weight]]*RS_Marker_Norm</f>
        <v>0</v>
      </c>
      <c r="F45">
        <f>Markers_Raw_Max[[#This Row],[Stress Management Weight]]*SM_Marker_Norm</f>
        <v>0.56643356643356646</v>
      </c>
      <c r="G45">
        <f>Markers_Raw_Max[[#This Row],[Cognitive Health Weight]]*CH_Marker_Norm</f>
        <v>0</v>
      </c>
      <c r="H45">
        <f>Markers_Raw_Max[[#This Row],[Connection + Purpose Weight]]*CP_Marker_Norm</f>
        <v>0</v>
      </c>
      <c r="I45">
        <f>Markers_Raw_Max[[#This Row],[Core Care Weight]]*CC_Marker_Norm</f>
        <v>0</v>
      </c>
    </row>
    <row r="46" spans="2:9" x14ac:dyDescent="0.25">
      <c r="B46" t="s">
        <v>79</v>
      </c>
      <c r="C46">
        <f>Markers_Raw_Max[[#This Row],[Healthful Nutrition Weight]]*HN_Marker_Norm</f>
        <v>0.55384615384615388</v>
      </c>
      <c r="D46">
        <f>Markers_Raw_Max[[#This Row],[Movement + Exercise Weight]]*ME_Marker_Norm</f>
        <v>0</v>
      </c>
      <c r="E46">
        <f>Markers_Raw_Max[[#This Row],[Restorative Sleep Weight]]*RS_Marker_Norm</f>
        <v>2.5714285714285716</v>
      </c>
      <c r="F46">
        <f>Markers_Raw_Max[[#This Row],[Stress Management Weight]]*SM_Marker_Norm</f>
        <v>0.75524475524475521</v>
      </c>
      <c r="G46">
        <f>Markers_Raw_Max[[#This Row],[Cognitive Health Weight]]*CH_Marker_Norm</f>
        <v>1.2949640287769784</v>
      </c>
      <c r="H46">
        <f>Markers_Raw_Max[[#This Row],[Connection + Purpose Weight]]*CP_Marker_Norm</f>
        <v>0</v>
      </c>
      <c r="I46">
        <f>Markers_Raw_Max[[#This Row],[Core Care Weight]]*CC_Marker_Norm</f>
        <v>2.8905109489051095</v>
      </c>
    </row>
    <row r="47" spans="2:9" x14ac:dyDescent="0.25">
      <c r="B47" t="s">
        <v>80</v>
      </c>
      <c r="C47">
        <f>Markers_Raw_Max[[#This Row],[Healthful Nutrition Weight]]*HN_Marker_Norm</f>
        <v>1.1076923076923078</v>
      </c>
      <c r="D47">
        <f>Markers_Raw_Max[[#This Row],[Movement + Exercise Weight]]*ME_Marker_Norm</f>
        <v>0</v>
      </c>
      <c r="E47">
        <f>Markers_Raw_Max[[#This Row],[Restorative Sleep Weight]]*RS_Marker_Norm</f>
        <v>0</v>
      </c>
      <c r="F47">
        <f>Markers_Raw_Max[[#This Row],[Stress Management Weight]]*SM_Marker_Norm</f>
        <v>0</v>
      </c>
      <c r="G47">
        <f>Markers_Raw_Max[[#This Row],[Cognitive Health Weight]]*CH_Marker_Norm</f>
        <v>0</v>
      </c>
      <c r="H47">
        <f>Markers_Raw_Max[[#This Row],[Connection + Purpose Weight]]*CP_Marker_Norm</f>
        <v>0</v>
      </c>
      <c r="I47">
        <f>Markers_Raw_Max[[#This Row],[Core Care Weight]]*CC_Marker_Norm</f>
        <v>0</v>
      </c>
    </row>
    <row r="48" spans="2:9" x14ac:dyDescent="0.25">
      <c r="B48" t="s">
        <v>81</v>
      </c>
      <c r="C48">
        <f>Markers_Raw_Max[[#This Row],[Healthful Nutrition Weight]]*HN_Marker_Norm</f>
        <v>1.1076923076923078</v>
      </c>
      <c r="D48">
        <f>Markers_Raw_Max[[#This Row],[Movement + Exercise Weight]]*ME_Marker_Norm</f>
        <v>0</v>
      </c>
      <c r="E48">
        <f>Markers_Raw_Max[[#This Row],[Restorative Sleep Weight]]*RS_Marker_Norm</f>
        <v>0</v>
      </c>
      <c r="F48">
        <f>Markers_Raw_Max[[#This Row],[Stress Management Weight]]*SM_Marker_Norm</f>
        <v>0</v>
      </c>
      <c r="G48">
        <f>Markers_Raw_Max[[#This Row],[Cognitive Health Weight]]*CH_Marker_Norm</f>
        <v>0</v>
      </c>
      <c r="H48">
        <f>Markers_Raw_Max[[#This Row],[Connection + Purpose Weight]]*CP_Marker_Norm</f>
        <v>0</v>
      </c>
      <c r="I48">
        <f>Markers_Raw_Max[[#This Row],[Core Care Weight]]*CC_Marker_Norm</f>
        <v>0</v>
      </c>
    </row>
    <row r="49" spans="2:9" x14ac:dyDescent="0.25">
      <c r="B49" t="s">
        <v>82</v>
      </c>
      <c r="C49">
        <f>Markers_Raw_Max[[#This Row],[Healthful Nutrition Weight]]*HN_Marker_Norm</f>
        <v>0</v>
      </c>
      <c r="D49">
        <f>Markers_Raw_Max[[#This Row],[Movement + Exercise Weight]]*ME_Marker_Norm</f>
        <v>0</v>
      </c>
      <c r="E49">
        <f>Markers_Raw_Max[[#This Row],[Restorative Sleep Weight]]*RS_Marker_Norm</f>
        <v>0</v>
      </c>
      <c r="F49">
        <f>Markers_Raw_Max[[#This Row],[Stress Management Weight]]*SM_Marker_Norm</f>
        <v>0.94405594405594395</v>
      </c>
      <c r="G49">
        <f>Markers_Raw_Max[[#This Row],[Cognitive Health Weight]]*CH_Marker_Norm</f>
        <v>0</v>
      </c>
      <c r="H49">
        <f>Markers_Raw_Max[[#This Row],[Connection + Purpose Weight]]*CP_Marker_Norm</f>
        <v>5.3999999999999995</v>
      </c>
      <c r="I49">
        <f>Markers_Raw_Max[[#This Row],[Core Care Weight]]*CC_Marker_Norm</f>
        <v>0</v>
      </c>
    </row>
    <row r="50" spans="2:9" x14ac:dyDescent="0.25">
      <c r="B50" t="s">
        <v>83</v>
      </c>
      <c r="C50">
        <f>Markers_Raw_Max[[#This Row],[Healthful Nutrition Weight]]*HN_Marker_Norm</f>
        <v>1.3846153846153846</v>
      </c>
      <c r="D50">
        <f>Markers_Raw_Max[[#This Row],[Movement + Exercise Weight]]*ME_Marker_Norm</f>
        <v>0</v>
      </c>
      <c r="E50">
        <f>Markers_Raw_Max[[#This Row],[Restorative Sleep Weight]]*RS_Marker_Norm</f>
        <v>0</v>
      </c>
      <c r="F50">
        <f>Markers_Raw_Max[[#This Row],[Stress Management Weight]]*SM_Marker_Norm</f>
        <v>0</v>
      </c>
      <c r="G50">
        <f>Markers_Raw_Max[[#This Row],[Cognitive Health Weight]]*CH_Marker_Norm</f>
        <v>0</v>
      </c>
      <c r="H50">
        <f>Markers_Raw_Max[[#This Row],[Connection + Purpose Weight]]*CP_Marker_Norm</f>
        <v>0</v>
      </c>
      <c r="I50">
        <f>Markers_Raw_Max[[#This Row],[Core Care Weight]]*CC_Marker_Norm</f>
        <v>0</v>
      </c>
    </row>
    <row r="51" spans="2:9" x14ac:dyDescent="0.25">
      <c r="B51" t="s">
        <v>84</v>
      </c>
      <c r="C51">
        <f>Markers_Raw_Max[[#This Row],[Healthful Nutrition Weight]]*HN_Marker_Norm</f>
        <v>0</v>
      </c>
      <c r="D51">
        <f>Markers_Raw_Max[[#This Row],[Movement + Exercise Weight]]*ME_Marker_Norm</f>
        <v>2.0769230769230771</v>
      </c>
      <c r="E51">
        <f>Markers_Raw_Max[[#This Row],[Restorative Sleep Weight]]*RS_Marker_Norm</f>
        <v>0</v>
      </c>
      <c r="F51">
        <f>Markers_Raw_Max[[#This Row],[Stress Management Weight]]*SM_Marker_Norm</f>
        <v>0.56643356643356646</v>
      </c>
      <c r="G51">
        <f>Markers_Raw_Max[[#This Row],[Cognitive Health Weight]]*CH_Marker_Norm</f>
        <v>0</v>
      </c>
      <c r="H51">
        <f>Markers_Raw_Max[[#This Row],[Connection + Purpose Weight]]*CP_Marker_Norm</f>
        <v>0</v>
      </c>
      <c r="I51">
        <f>Markers_Raw_Max[[#This Row],[Core Care Weight]]*CC_Marker_Norm</f>
        <v>0</v>
      </c>
    </row>
    <row r="52" spans="2:9" x14ac:dyDescent="0.25">
      <c r="B52" t="s">
        <v>85</v>
      </c>
      <c r="C52">
        <f>Markers_Raw_Max[[#This Row],[Healthful Nutrition Weight]]*HN_Marker_Norm</f>
        <v>0.83076923076923082</v>
      </c>
      <c r="D52">
        <f>Markers_Raw_Max[[#This Row],[Movement + Exercise Weight]]*ME_Marker_Norm</f>
        <v>0</v>
      </c>
      <c r="E52">
        <f>Markers_Raw_Max[[#This Row],[Restorative Sleep Weight]]*RS_Marker_Norm</f>
        <v>0</v>
      </c>
      <c r="F52">
        <f>Markers_Raw_Max[[#This Row],[Stress Management Weight]]*SM_Marker_Norm</f>
        <v>0</v>
      </c>
      <c r="G52">
        <f>Markers_Raw_Max[[#This Row],[Cognitive Health Weight]]*CH_Marker_Norm</f>
        <v>0</v>
      </c>
      <c r="H52">
        <f>Markers_Raw_Max[[#This Row],[Connection + Purpose Weight]]*CP_Marker_Norm</f>
        <v>0</v>
      </c>
      <c r="I52">
        <f>Markers_Raw_Max[[#This Row],[Core Care Weight]]*CC_Marker_Norm</f>
        <v>0</v>
      </c>
    </row>
    <row r="53" spans="2:9" x14ac:dyDescent="0.25">
      <c r="B53" t="s">
        <v>86</v>
      </c>
      <c r="C53">
        <f>Markers_Raw_Max[[#This Row],[Healthful Nutrition Weight]]*HN_Marker_Norm</f>
        <v>0.83076923076923082</v>
      </c>
      <c r="D53">
        <f>Markers_Raw_Max[[#This Row],[Movement + Exercise Weight]]*ME_Marker_Norm</f>
        <v>0</v>
      </c>
      <c r="E53">
        <f>Markers_Raw_Max[[#This Row],[Restorative Sleep Weight]]*RS_Marker_Norm</f>
        <v>0</v>
      </c>
      <c r="F53">
        <f>Markers_Raw_Max[[#This Row],[Stress Management Weight]]*SM_Marker_Norm</f>
        <v>0</v>
      </c>
      <c r="G53">
        <f>Markers_Raw_Max[[#This Row],[Cognitive Health Weight]]*CH_Marker_Norm</f>
        <v>0</v>
      </c>
      <c r="H53">
        <f>Markers_Raw_Max[[#This Row],[Connection + Purpose Weight]]*CP_Marker_Norm</f>
        <v>0</v>
      </c>
      <c r="I53">
        <f>Markers_Raw_Max[[#This Row],[Core Care Weight]]*CC_Marker_Norm</f>
        <v>0</v>
      </c>
    </row>
    <row r="54" spans="2:9" x14ac:dyDescent="0.25">
      <c r="B54" t="s">
        <v>87</v>
      </c>
      <c r="C54">
        <f>Markers_Raw_Max[[#This Row],[Healthful Nutrition Weight]]*HN_Marker_Norm</f>
        <v>1.1076923076923078</v>
      </c>
      <c r="D54">
        <f>Markers_Raw_Max[[#This Row],[Movement + Exercise Weight]]*ME_Marker_Norm</f>
        <v>0</v>
      </c>
      <c r="E54">
        <f>Markers_Raw_Max[[#This Row],[Restorative Sleep Weight]]*RS_Marker_Norm</f>
        <v>0</v>
      </c>
      <c r="F54">
        <f>Markers_Raw_Max[[#This Row],[Stress Management Weight]]*SM_Marker_Norm</f>
        <v>0.75524475524475521</v>
      </c>
      <c r="G54">
        <f>Markers_Raw_Max[[#This Row],[Cognitive Health Weight]]*CH_Marker_Norm</f>
        <v>0</v>
      </c>
      <c r="H54">
        <f>Markers_Raw_Max[[#This Row],[Connection + Purpose Weight]]*CP_Marker_Norm</f>
        <v>0</v>
      </c>
      <c r="I54">
        <f>Markers_Raw_Max[[#This Row],[Core Care Weight]]*CC_Marker_Norm</f>
        <v>1.4452554744525548</v>
      </c>
    </row>
    <row r="55" spans="2:9" x14ac:dyDescent="0.25">
      <c r="B55" t="s">
        <v>88</v>
      </c>
      <c r="C55">
        <f>Markers_Raw_Max[[#This Row],[Healthful Nutrition Weight]]*HN_Marker_Norm</f>
        <v>1.3846153846153846</v>
      </c>
      <c r="D55">
        <f>Markers_Raw_Max[[#This Row],[Movement + Exercise Weight]]*ME_Marker_Norm</f>
        <v>0</v>
      </c>
      <c r="E55">
        <f>Markers_Raw_Max[[#This Row],[Restorative Sleep Weight]]*RS_Marker_Norm</f>
        <v>0</v>
      </c>
      <c r="F55">
        <f>Markers_Raw_Max[[#This Row],[Stress Management Weight]]*SM_Marker_Norm</f>
        <v>0</v>
      </c>
      <c r="G55">
        <f>Markers_Raw_Max[[#This Row],[Cognitive Health Weight]]*CH_Marker_Norm</f>
        <v>0</v>
      </c>
      <c r="H55">
        <f>Markers_Raw_Max[[#This Row],[Connection + Purpose Weight]]*CP_Marker_Norm</f>
        <v>0</v>
      </c>
      <c r="I55">
        <f>Markers_Raw_Max[[#This Row],[Core Care Weight]]*CC_Marker_Norm</f>
        <v>0</v>
      </c>
    </row>
    <row r="56" spans="2:9" x14ac:dyDescent="0.25">
      <c r="B56" t="s">
        <v>89</v>
      </c>
      <c r="C56">
        <f>Markers_Raw_Max[[#This Row],[Healthful Nutrition Weight]]*HN_Marker_Norm</f>
        <v>1.1076923076923078</v>
      </c>
      <c r="D56">
        <f>Markers_Raw_Max[[#This Row],[Movement + Exercise Weight]]*ME_Marker_Norm</f>
        <v>0</v>
      </c>
      <c r="E56">
        <f>Markers_Raw_Max[[#This Row],[Restorative Sleep Weight]]*RS_Marker_Norm</f>
        <v>0</v>
      </c>
      <c r="F56">
        <f>Markers_Raw_Max[[#This Row],[Stress Management Weight]]*SM_Marker_Norm</f>
        <v>0</v>
      </c>
      <c r="G56">
        <f>Markers_Raw_Max[[#This Row],[Cognitive Health Weight]]*CH_Marker_Norm</f>
        <v>0</v>
      </c>
      <c r="H56">
        <f>Markers_Raw_Max[[#This Row],[Connection + Purpose Weight]]*CP_Marker_Norm</f>
        <v>0</v>
      </c>
      <c r="I56">
        <f>Markers_Raw_Max[[#This Row],[Core Care Weight]]*CC_Marker_Norm</f>
        <v>0</v>
      </c>
    </row>
    <row r="57" spans="2:9" x14ac:dyDescent="0.25">
      <c r="B57" t="s">
        <v>90</v>
      </c>
      <c r="C57">
        <f>Markers_Raw_Max[[#This Row],[Healthful Nutrition Weight]]*HN_Marker_Norm</f>
        <v>0.83076923076923082</v>
      </c>
      <c r="D57">
        <f>Markers_Raw_Max[[#This Row],[Movement + Exercise Weight]]*ME_Marker_Norm</f>
        <v>0</v>
      </c>
      <c r="E57">
        <f>Markers_Raw_Max[[#This Row],[Restorative Sleep Weight]]*RS_Marker_Norm</f>
        <v>0</v>
      </c>
      <c r="F57">
        <f>Markers_Raw_Max[[#This Row],[Stress Management Weight]]*SM_Marker_Norm</f>
        <v>0</v>
      </c>
      <c r="G57">
        <f>Markers_Raw_Max[[#This Row],[Cognitive Health Weight]]*CH_Marker_Norm</f>
        <v>0</v>
      </c>
      <c r="H57">
        <f>Markers_Raw_Max[[#This Row],[Connection + Purpose Weight]]*CP_Marker_Norm</f>
        <v>0</v>
      </c>
      <c r="I57">
        <f>Markers_Raw_Max[[#This Row],[Core Care Weight]]*CC_Marker_Norm</f>
        <v>0</v>
      </c>
    </row>
    <row r="58" spans="2:9" x14ac:dyDescent="0.25">
      <c r="B58" t="s">
        <v>91</v>
      </c>
      <c r="C58">
        <f>Markers_Raw_Max[[#This Row],[Healthful Nutrition Weight]]*HN_Marker_Norm</f>
        <v>1.1076923076923078</v>
      </c>
      <c r="D58">
        <f>Markers_Raw_Max[[#This Row],[Movement + Exercise Weight]]*ME_Marker_Norm</f>
        <v>0</v>
      </c>
      <c r="E58">
        <f>Markers_Raw_Max[[#This Row],[Restorative Sleep Weight]]*RS_Marker_Norm</f>
        <v>0</v>
      </c>
      <c r="F58">
        <f>Markers_Raw_Max[[#This Row],[Stress Management Weight]]*SM_Marker_Norm</f>
        <v>0</v>
      </c>
      <c r="G58">
        <f>Markers_Raw_Max[[#This Row],[Cognitive Health Weight]]*CH_Marker_Norm</f>
        <v>0</v>
      </c>
      <c r="H58">
        <f>Markers_Raw_Max[[#This Row],[Connection + Purpose Weight]]*CP_Marker_Norm</f>
        <v>0</v>
      </c>
      <c r="I58">
        <f>Markers_Raw_Max[[#This Row],[Core Care Weight]]*CC_Marker_Norm</f>
        <v>0</v>
      </c>
    </row>
    <row r="59" spans="2:9" x14ac:dyDescent="0.25">
      <c r="B59" t="s">
        <v>92</v>
      </c>
      <c r="C59">
        <f>Markers_Raw_Max[[#This Row],[Healthful Nutrition Weight]]*HN_Marker_Norm</f>
        <v>0.55384615384615388</v>
      </c>
      <c r="D59">
        <f>Markers_Raw_Max[[#This Row],[Movement + Exercise Weight]]*ME_Marker_Norm</f>
        <v>0</v>
      </c>
      <c r="E59">
        <f>Markers_Raw_Max[[#This Row],[Restorative Sleep Weight]]*RS_Marker_Norm</f>
        <v>0</v>
      </c>
      <c r="F59">
        <f>Markers_Raw_Max[[#This Row],[Stress Management Weight]]*SM_Marker_Norm</f>
        <v>0</v>
      </c>
      <c r="G59">
        <f>Markers_Raw_Max[[#This Row],[Cognitive Health Weight]]*CH_Marker_Norm</f>
        <v>0</v>
      </c>
      <c r="H59">
        <f>Markers_Raw_Max[[#This Row],[Connection + Purpose Weight]]*CP_Marker_Norm</f>
        <v>0</v>
      </c>
      <c r="I59">
        <f>Markers_Raw_Max[[#This Row],[Core Care Weight]]*CC_Marker_Norm</f>
        <v>0</v>
      </c>
    </row>
    <row r="60" spans="2:9" x14ac:dyDescent="0.25">
      <c r="B60" t="s">
        <v>93</v>
      </c>
      <c r="C60">
        <f>Markers_Raw_Max[[#This Row],[Healthful Nutrition Weight]]*HN_Marker_Norm</f>
        <v>0.83076923076923082</v>
      </c>
      <c r="D60">
        <f>Markers_Raw_Max[[#This Row],[Movement + Exercise Weight]]*ME_Marker_Norm</f>
        <v>0</v>
      </c>
      <c r="E60">
        <f>Markers_Raw_Max[[#This Row],[Restorative Sleep Weight]]*RS_Marker_Norm</f>
        <v>0</v>
      </c>
      <c r="F60">
        <f>Markers_Raw_Max[[#This Row],[Stress Management Weight]]*SM_Marker_Norm</f>
        <v>0</v>
      </c>
      <c r="G60">
        <f>Markers_Raw_Max[[#This Row],[Cognitive Health Weight]]*CH_Marker_Norm</f>
        <v>0</v>
      </c>
      <c r="H60">
        <f>Markers_Raw_Max[[#This Row],[Connection + Purpose Weight]]*CP_Marker_Norm</f>
        <v>0</v>
      </c>
      <c r="I60">
        <f>Markers_Raw_Max[[#This Row],[Core Care Weight]]*CC_Marker_Norm</f>
        <v>0</v>
      </c>
    </row>
    <row r="61" spans="2:9" x14ac:dyDescent="0.25">
      <c r="B61" t="s">
        <v>94</v>
      </c>
      <c r="C61">
        <f>Markers_Raw_Max[[#This Row],[Healthful Nutrition Weight]]*HN_Marker_Norm</f>
        <v>0.83076923076923082</v>
      </c>
      <c r="D61">
        <f>Markers_Raw_Max[[#This Row],[Movement + Exercise Weight]]*ME_Marker_Norm</f>
        <v>1.2461538461538462</v>
      </c>
      <c r="E61">
        <f>Markers_Raw_Max[[#This Row],[Restorative Sleep Weight]]*RS_Marker_Norm</f>
        <v>1.9285714285714288</v>
      </c>
      <c r="F61">
        <f>Markers_Raw_Max[[#This Row],[Stress Management Weight]]*SM_Marker_Norm</f>
        <v>0</v>
      </c>
      <c r="G61">
        <f>Markers_Raw_Max[[#This Row],[Cognitive Health Weight]]*CH_Marker_Norm</f>
        <v>0</v>
      </c>
      <c r="H61">
        <f>Markers_Raw_Max[[#This Row],[Connection + Purpose Weight]]*CP_Marker_Norm</f>
        <v>0</v>
      </c>
      <c r="I61">
        <f>Markers_Raw_Max[[#This Row],[Core Care Weight]]*CC_Marker_Norm</f>
        <v>0</v>
      </c>
    </row>
    <row r="62" spans="2:9" x14ac:dyDescent="0.25">
      <c r="B62" t="s">
        <v>95</v>
      </c>
      <c r="C62">
        <f>Markers_Raw_Max[[#This Row],[Healthful Nutrition Weight]]*HN_Marker_Norm</f>
        <v>0.55384615384615388</v>
      </c>
      <c r="D62">
        <f>Markers_Raw_Max[[#This Row],[Movement + Exercise Weight]]*ME_Marker_Norm</f>
        <v>0</v>
      </c>
      <c r="E62">
        <f>Markers_Raw_Max[[#This Row],[Restorative Sleep Weight]]*RS_Marker_Norm</f>
        <v>0</v>
      </c>
      <c r="F62">
        <f>Markers_Raw_Max[[#This Row],[Stress Management Weight]]*SM_Marker_Norm</f>
        <v>0.75524475524475521</v>
      </c>
      <c r="G62">
        <f>Markers_Raw_Max[[#This Row],[Cognitive Health Weight]]*CH_Marker_Norm</f>
        <v>0</v>
      </c>
      <c r="H62">
        <f>Markers_Raw_Max[[#This Row],[Connection + Purpose Weight]]*CP_Marker_Norm</f>
        <v>0</v>
      </c>
      <c r="I62">
        <f>Markers_Raw_Max[[#This Row],[Core Care Weight]]*CC_Marker_Norm</f>
        <v>0</v>
      </c>
    </row>
    <row r="63" spans="2:9" x14ac:dyDescent="0.25">
      <c r="B63" t="s">
        <v>96</v>
      </c>
      <c r="C63">
        <f>Markers_Raw_Max[[#This Row],[Healthful Nutrition Weight]]*HN_Marker_Norm</f>
        <v>0</v>
      </c>
      <c r="D63">
        <f>Markers_Raw_Max[[#This Row],[Movement + Exercise Weight]]*ME_Marker_Norm</f>
        <v>3.3230769230769233</v>
      </c>
      <c r="E63">
        <f>Markers_Raw_Max[[#This Row],[Restorative Sleep Weight]]*RS_Marker_Norm</f>
        <v>0</v>
      </c>
      <c r="F63">
        <f>Markers_Raw_Max[[#This Row],[Stress Management Weight]]*SM_Marker_Norm</f>
        <v>0</v>
      </c>
      <c r="G63">
        <f>Markers_Raw_Max[[#This Row],[Cognitive Health Weight]]*CH_Marker_Norm</f>
        <v>1.0359712230215827</v>
      </c>
      <c r="H63">
        <f>Markers_Raw_Max[[#This Row],[Connection + Purpose Weight]]*CP_Marker_Norm</f>
        <v>0</v>
      </c>
      <c r="I63">
        <f>Markers_Raw_Max[[#This Row],[Core Care Weight]]*CC_Marker_Norm</f>
        <v>0</v>
      </c>
    </row>
    <row r="64" spans="2:9" x14ac:dyDescent="0.25">
      <c r="B64" t="s">
        <v>97</v>
      </c>
      <c r="C64">
        <f>Markers_Raw_Max[[#This Row],[Healthful Nutrition Weight]]*HN_Marker_Norm</f>
        <v>1.9384615384615387</v>
      </c>
      <c r="D64">
        <f>Markers_Raw_Max[[#This Row],[Movement + Exercise Weight]]*ME_Marker_Norm</f>
        <v>2.4923076923076923</v>
      </c>
      <c r="E64">
        <f>Markers_Raw_Max[[#This Row],[Restorative Sleep Weight]]*RS_Marker_Norm</f>
        <v>2.5714285714285716</v>
      </c>
      <c r="F64">
        <f>Markers_Raw_Max[[#This Row],[Stress Management Weight]]*SM_Marker_Norm</f>
        <v>0.75524475524475521</v>
      </c>
      <c r="G64">
        <f>Markers_Raw_Max[[#This Row],[Cognitive Health Weight]]*CH_Marker_Norm</f>
        <v>1.2949640287769784</v>
      </c>
      <c r="H64">
        <f>Markers_Raw_Max[[#This Row],[Connection + Purpose Weight]]*CP_Marker_Norm</f>
        <v>0</v>
      </c>
      <c r="I64">
        <f>Markers_Raw_Max[[#This Row],[Core Care Weight]]*CC_Marker_Norm</f>
        <v>0</v>
      </c>
    </row>
    <row r="65" spans="2:9" x14ac:dyDescent="0.25">
      <c r="B65" t="s">
        <v>98</v>
      </c>
      <c r="C65">
        <f>Markers_Raw_Max[[#This Row],[Healthful Nutrition Weight]]*HN_Marker_Norm</f>
        <v>1.3846153846153846</v>
      </c>
      <c r="D65">
        <f>Markers_Raw_Max[[#This Row],[Movement + Exercise Weight]]*ME_Marker_Norm</f>
        <v>1.6615384615384616</v>
      </c>
      <c r="E65">
        <f>Markers_Raw_Max[[#This Row],[Restorative Sleep Weight]]*RS_Marker_Norm</f>
        <v>1.9285714285714288</v>
      </c>
      <c r="F65">
        <f>Markers_Raw_Max[[#This Row],[Stress Management Weight]]*SM_Marker_Norm</f>
        <v>0.56643356643356646</v>
      </c>
      <c r="G65">
        <f>Markers_Raw_Max[[#This Row],[Cognitive Health Weight]]*CH_Marker_Norm</f>
        <v>0</v>
      </c>
      <c r="H65">
        <f>Markers_Raw_Max[[#This Row],[Connection + Purpose Weight]]*CP_Marker_Norm</f>
        <v>0</v>
      </c>
      <c r="I65">
        <f>Markers_Raw_Max[[#This Row],[Core Care Weight]]*CC_Marker_Norm</f>
        <v>0</v>
      </c>
    </row>
    <row r="66" spans="2:9" x14ac:dyDescent="0.25">
      <c r="B66" t="s">
        <v>99</v>
      </c>
      <c r="C66">
        <f>Markers_Raw_Max[[#This Row],[Healthful Nutrition Weight]]*HN_Marker_Norm</f>
        <v>1.6615384615384616</v>
      </c>
      <c r="D66">
        <f>Markers_Raw_Max[[#This Row],[Movement + Exercise Weight]]*ME_Marker_Norm</f>
        <v>2.4923076923076923</v>
      </c>
      <c r="E66">
        <f>Markers_Raw_Max[[#This Row],[Restorative Sleep Weight]]*RS_Marker_Norm</f>
        <v>2.5714285714285716</v>
      </c>
      <c r="F66">
        <f>Markers_Raw_Max[[#This Row],[Stress Management Weight]]*SM_Marker_Norm</f>
        <v>0.75524475524475521</v>
      </c>
      <c r="G66">
        <f>Markers_Raw_Max[[#This Row],[Cognitive Health Weight]]*CH_Marker_Norm</f>
        <v>1.0359712230215827</v>
      </c>
      <c r="H66">
        <f>Markers_Raw_Max[[#This Row],[Connection + Purpose Weight]]*CP_Marker_Norm</f>
        <v>0</v>
      </c>
      <c r="I66">
        <f>Markers_Raw_Max[[#This Row],[Core Care Weight]]*CC_Marker_Norm</f>
        <v>0</v>
      </c>
    </row>
    <row r="67" spans="2:9" x14ac:dyDescent="0.25">
      <c r="B67" t="s">
        <v>100</v>
      </c>
      <c r="C67">
        <f>Markers_Raw_Max[[#This Row],[Healthful Nutrition Weight]]*HN_Marker_Norm</f>
        <v>1.9384615384615387</v>
      </c>
      <c r="D67">
        <f>Markers_Raw_Max[[#This Row],[Movement + Exercise Weight]]*ME_Marker_Norm</f>
        <v>2.907692307692308</v>
      </c>
      <c r="E67">
        <f>Markers_Raw_Max[[#This Row],[Restorative Sleep Weight]]*RS_Marker_Norm</f>
        <v>3.2142857142857144</v>
      </c>
      <c r="F67">
        <f>Markers_Raw_Max[[#This Row],[Stress Management Weight]]*SM_Marker_Norm</f>
        <v>0.75524475524475521</v>
      </c>
      <c r="G67">
        <f>Markers_Raw_Max[[#This Row],[Cognitive Health Weight]]*CH_Marker_Norm</f>
        <v>1.5539568345323742</v>
      </c>
      <c r="H67">
        <f>Markers_Raw_Max[[#This Row],[Connection + Purpose Weight]]*CP_Marker_Norm</f>
        <v>0</v>
      </c>
      <c r="I67">
        <f>Markers_Raw_Max[[#This Row],[Core Care Weight]]*CC_Marker_Norm</f>
        <v>0</v>
      </c>
    </row>
    <row r="68" spans="2:9" x14ac:dyDescent="0.25">
      <c r="B68" t="s">
        <v>101</v>
      </c>
      <c r="C68">
        <f>Markers_Raw_Max[[#This Row],[Healthful Nutrition Weight]]*HN_Marker_Norm</f>
        <v>0.55384615384615388</v>
      </c>
      <c r="D68">
        <f>Markers_Raw_Max[[#This Row],[Movement + Exercise Weight]]*ME_Marker_Norm</f>
        <v>1.2461538461538462</v>
      </c>
      <c r="E68">
        <f>Markers_Raw_Max[[#This Row],[Restorative Sleep Weight]]*RS_Marker_Norm</f>
        <v>1.2857142857142858</v>
      </c>
      <c r="F68">
        <f>Markers_Raw_Max[[#This Row],[Stress Management Weight]]*SM_Marker_Norm</f>
        <v>0.75524475524475521</v>
      </c>
      <c r="G68">
        <f>Markers_Raw_Max[[#This Row],[Cognitive Health Weight]]*CH_Marker_Norm</f>
        <v>0</v>
      </c>
      <c r="H68">
        <f>Markers_Raw_Max[[#This Row],[Connection + Purpose Weight]]*CP_Marker_Norm</f>
        <v>0</v>
      </c>
      <c r="I68">
        <f>Markers_Raw_Max[[#This Row],[Core Care Weight]]*CC_Marker_Norm</f>
        <v>0</v>
      </c>
    </row>
    <row r="69" spans="2:9" x14ac:dyDescent="0.25">
      <c r="B69" t="s">
        <v>102</v>
      </c>
      <c r="C69">
        <f>Markers_Raw_Max[[#This Row],[Healthful Nutrition Weight]]*HN_Marker_Norm</f>
        <v>1.3846153846153846</v>
      </c>
      <c r="D69">
        <f>Markers_Raw_Max[[#This Row],[Movement + Exercise Weight]]*ME_Marker_Norm</f>
        <v>2.0769230769230771</v>
      </c>
      <c r="E69">
        <f>Markers_Raw_Max[[#This Row],[Restorative Sleep Weight]]*RS_Marker_Norm</f>
        <v>1.9285714285714288</v>
      </c>
      <c r="F69">
        <f>Markers_Raw_Max[[#This Row],[Stress Management Weight]]*SM_Marker_Norm</f>
        <v>0.75524475524475521</v>
      </c>
      <c r="G69">
        <f>Markers_Raw_Max[[#This Row],[Cognitive Health Weight]]*CH_Marker_Norm</f>
        <v>0</v>
      </c>
      <c r="H69">
        <f>Markers_Raw_Max[[#This Row],[Connection + Purpose Weight]]*CP_Marker_Norm</f>
        <v>0</v>
      </c>
      <c r="I69">
        <f>Markers_Raw_Max[[#This Row],[Core Care Weight]]*CC_Marker_Norm</f>
        <v>2.8905109489051095</v>
      </c>
    </row>
    <row r="70" spans="2:9" x14ac:dyDescent="0.25">
      <c r="B70" t="s">
        <v>103</v>
      </c>
      <c r="C70">
        <f>Markers_Raw_Max[[#This Row],[Healthful Nutrition Weight]]*HN_Marker_Norm</f>
        <v>1.3846153846153846</v>
      </c>
      <c r="D70">
        <f>Markers_Raw_Max[[#This Row],[Movement + Exercise Weight]]*ME_Marker_Norm</f>
        <v>2.0769230769230771</v>
      </c>
      <c r="E70">
        <f>Markers_Raw_Max[[#This Row],[Restorative Sleep Weight]]*RS_Marker_Norm</f>
        <v>1.9285714285714288</v>
      </c>
      <c r="F70">
        <f>Markers_Raw_Max[[#This Row],[Stress Management Weight]]*SM_Marker_Norm</f>
        <v>0.56643356643356646</v>
      </c>
      <c r="G70">
        <f>Markers_Raw_Max[[#This Row],[Cognitive Health Weight]]*CH_Marker_Norm</f>
        <v>0</v>
      </c>
      <c r="H70">
        <f>Markers_Raw_Max[[#This Row],[Connection + Purpose Weight]]*CP_Marker_Norm</f>
        <v>0</v>
      </c>
      <c r="I70">
        <f>Markers_Raw_Max[[#This Row],[Core Care Weight]]*CC_Marker_Norm</f>
        <v>2.8905109489051095</v>
      </c>
    </row>
    <row r="71" spans="2:9" x14ac:dyDescent="0.25">
      <c r="B71" t="s">
        <v>104</v>
      </c>
      <c r="C71">
        <f>Markers_Raw_Max[[#This Row],[Healthful Nutrition Weight]]*HN_Marker_Norm</f>
        <v>0.55384615384615388</v>
      </c>
      <c r="D71">
        <f>Markers_Raw_Max[[#This Row],[Movement + Exercise Weight]]*ME_Marker_Norm</f>
        <v>0</v>
      </c>
      <c r="E71">
        <f>Markers_Raw_Max[[#This Row],[Restorative Sleep Weight]]*RS_Marker_Norm</f>
        <v>0</v>
      </c>
      <c r="F71">
        <f>Markers_Raw_Max[[#This Row],[Stress Management Weight]]*SM_Marker_Norm</f>
        <v>0</v>
      </c>
      <c r="G71">
        <f>Markers_Raw_Max[[#This Row],[Cognitive Health Weight]]*CH_Marker_Norm</f>
        <v>0</v>
      </c>
      <c r="H71">
        <f>Markers_Raw_Max[[#This Row],[Connection + Purpose Weight]]*CP_Marker_Norm</f>
        <v>0</v>
      </c>
      <c r="I71">
        <f>Markers_Raw_Max[[#This Row],[Core Care Weight]]*CC_Marker_Norm</f>
        <v>0</v>
      </c>
    </row>
    <row r="72" spans="2:9" x14ac:dyDescent="0.25">
      <c r="B72" t="s">
        <v>105</v>
      </c>
      <c r="C72">
        <f>Markers_Raw_Max[[#This Row],[Healthful Nutrition Weight]]*HN_Marker_Norm</f>
        <v>0</v>
      </c>
      <c r="D72">
        <f>Markers_Raw_Max[[#This Row],[Movement + Exercise Weight]]*ME_Marker_Norm</f>
        <v>2.907692307692308</v>
      </c>
      <c r="E72">
        <f>Markers_Raw_Max[[#This Row],[Restorative Sleep Weight]]*RS_Marker_Norm</f>
        <v>0</v>
      </c>
      <c r="F72">
        <f>Markers_Raw_Max[[#This Row],[Stress Management Weight]]*SM_Marker_Norm</f>
        <v>0</v>
      </c>
      <c r="G72">
        <f>Markers_Raw_Max[[#This Row],[Cognitive Health Weight]]*CH_Marker_Norm</f>
        <v>1.2949640287769784</v>
      </c>
      <c r="H72">
        <f>Markers_Raw_Max[[#This Row],[Connection + Purpose Weight]]*CP_Marker_Norm</f>
        <v>0</v>
      </c>
      <c r="I72">
        <f>Markers_Raw_Max[[#This Row],[Core Care Weight]]*CC_Marker_Norm</f>
        <v>0</v>
      </c>
    </row>
    <row r="73" spans="2:9" x14ac:dyDescent="0.25">
      <c r="B73" t="s">
        <v>106</v>
      </c>
      <c r="C73">
        <f>Markers_Raw_Max[[#This Row],[Healthful Nutrition Weight]]*HN_Marker_Norm</f>
        <v>0</v>
      </c>
      <c r="D73">
        <f>Markers_Raw_Max[[#This Row],[Movement + Exercise Weight]]*ME_Marker_Norm</f>
        <v>0.83076923076923082</v>
      </c>
      <c r="E73">
        <f>Markers_Raw_Max[[#This Row],[Restorative Sleep Weight]]*RS_Marker_Norm</f>
        <v>3.8571428571428577</v>
      </c>
      <c r="F73">
        <f>Markers_Raw_Max[[#This Row],[Stress Management Weight]]*SM_Marker_Norm</f>
        <v>1.1328671328671329</v>
      </c>
      <c r="G73">
        <f>Markers_Raw_Max[[#This Row],[Cognitive Health Weight]]*CH_Marker_Norm</f>
        <v>0</v>
      </c>
      <c r="H73">
        <f>Markers_Raw_Max[[#This Row],[Connection + Purpose Weight]]*CP_Marker_Norm</f>
        <v>0</v>
      </c>
      <c r="I73">
        <f>Markers_Raw_Max[[#This Row],[Core Care Weight]]*CC_Marker_Norm</f>
        <v>2.8905109489051095</v>
      </c>
    </row>
    <row r="74" spans="2:9" x14ac:dyDescent="0.25">
      <c r="B74" t="s">
        <v>107</v>
      </c>
      <c r="C74">
        <f>Markers_Raw_Max[[#This Row],[Healthful Nutrition Weight]]*HN_Marker_Norm</f>
        <v>0.55384615384615388</v>
      </c>
      <c r="D74">
        <f>Markers_Raw_Max[[#This Row],[Movement + Exercise Weight]]*ME_Marker_Norm</f>
        <v>0.83076923076923082</v>
      </c>
      <c r="E74">
        <f>Markers_Raw_Max[[#This Row],[Restorative Sleep Weight]]*RS_Marker_Norm</f>
        <v>4.5</v>
      </c>
      <c r="F74">
        <f>Markers_Raw_Max[[#This Row],[Stress Management Weight]]*SM_Marker_Norm</f>
        <v>1.1328671328671329</v>
      </c>
      <c r="G74">
        <f>Markers_Raw_Max[[#This Row],[Cognitive Health Weight]]*CH_Marker_Norm</f>
        <v>1.5539568345323742</v>
      </c>
      <c r="H74">
        <f>Markers_Raw_Max[[#This Row],[Connection + Purpose Weight]]*CP_Marker_Norm</f>
        <v>0</v>
      </c>
      <c r="I74">
        <f>Markers_Raw_Max[[#This Row],[Core Care Weight]]*CC_Marker_Norm</f>
        <v>0</v>
      </c>
    </row>
    <row r="75" spans="2:9" x14ac:dyDescent="0.25">
      <c r="B75" t="s">
        <v>108</v>
      </c>
      <c r="C75">
        <f>Markers_Raw_Max[[#This Row],[Healthful Nutrition Weight]]*HN_Marker_Norm</f>
        <v>0.55384615384615388</v>
      </c>
      <c r="D75">
        <f>Markers_Raw_Max[[#This Row],[Movement + Exercise Weight]]*ME_Marker_Norm</f>
        <v>0.83076923076923082</v>
      </c>
      <c r="E75">
        <f>Markers_Raw_Max[[#This Row],[Restorative Sleep Weight]]*RS_Marker_Norm</f>
        <v>4.5</v>
      </c>
      <c r="F75">
        <f>Markers_Raw_Max[[#This Row],[Stress Management Weight]]*SM_Marker_Norm</f>
        <v>1.1328671328671329</v>
      </c>
      <c r="G75">
        <f>Markers_Raw_Max[[#This Row],[Cognitive Health Weight]]*CH_Marker_Norm</f>
        <v>1.8129496402877698</v>
      </c>
      <c r="H75">
        <f>Markers_Raw_Max[[#This Row],[Connection + Purpose Weight]]*CP_Marker_Norm</f>
        <v>0</v>
      </c>
      <c r="I75">
        <f>Markers_Raw_Max[[#This Row],[Core Care Weight]]*CC_Marker_Norm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7 d 4 9 0 5 - 4 d 3 6 - 4 d 9 c - 8 3 8 c - 7 a c d 6 9 8 a 8 3 d 8 "   x m l n s = " h t t p : / / s c h e m a s . m i c r o s o f t . c o m / D a t a M a s h u p " > A A A A A B U D A A B Q S w M E F A A C A A g A 3 H Q h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N x 0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d C F b K I p H u A 4 A A A A R A A A A E w A c A E Z v c m 1 1 b G F z L 1 N l Y 3 R p b 2 4 x L m 0 g o h g A K K A U A A A A A A A A A A A A A A A A A A A A A A A A A A A A K 0 5 N L s n M z 1 M I h t C G 1 g B Q S w E C L Q A U A A I A C A D c d C F b 6 6 s 4 S 6 U A A A D 3 A A A A E g A A A A A A A A A A A A A A A A A A A A A A Q 2 9 u Z m l n L 1 B h Y 2 t h Z 2 U u e G 1 s U E s B A i 0 A F A A C A A g A 3 H Q h W w / K 6 a u k A A A A 6 Q A A A B M A A A A A A A A A A A A A A A A A 8 Q A A A F t D b 2 5 0 Z W 5 0 X 1 R 5 c G V z X S 5 4 b W x Q S w E C L Q A U A A I A C A D c d C F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H d N Y j k P p E O n 2 5 W x t E T w R w A A A A A C A A A A A A A Q Z g A A A A E A A C A A A A D N b L K P t m d v H 3 B J v o K F Y S d Y W r s K 1 8 x j 9 H L M r / P h I r h r M g A A A A A O g A A A A A I A A C A A A A D 2 y u i l D p v Q / k P 0 X k B E K g n J Y V a 0 V N 6 2 9 l X o t A E u E t 3 O e 1 A A A A B W N x s d S m l a Q / b X 2 t v A / 3 8 u R 3 l V d 9 c C s N 9 8 t L + G M f 0 5 S H 7 t w Z 5 Y H T K h h 7 h W o 5 m c N L H k H h C l k u 2 j 4 9 8 x R J 4 l H S T p 6 o i s 1 j q g c J e j D X V h 0 R D Q u E A A A A B N g 3 O p b H Y 3 S r F r Q D w 6 M t l B P r Z + U B J e E i B T g f V K S 5 4 k C P b e z 3 r a Y D k T 9 + C B 8 Y w F y c u L v i g J O c p o 6 / b 2 i Y o F N J F U < / D a t a M a s h u p > 
</file>

<file path=customXml/itemProps1.xml><?xml version="1.0" encoding="utf-8"?>
<ds:datastoreItem xmlns:ds="http://schemas.openxmlformats.org/officeDocument/2006/customXml" ds:itemID="{D5418730-F71E-474F-9237-E7020BD64A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7</vt:i4>
      </vt:variant>
    </vt:vector>
  </HeadingPairs>
  <TitlesOfParts>
    <vt:vector size="28" baseType="lpstr">
      <vt:lpstr>PowerQuery &gt;&gt;&gt;</vt:lpstr>
      <vt:lpstr>Support Tables &gt;&gt;&gt;</vt:lpstr>
      <vt:lpstr>Support_Tables</vt:lpstr>
      <vt:lpstr>Pillar Weights</vt:lpstr>
      <vt:lpstr>Patient_Potential</vt:lpstr>
      <vt:lpstr>Recommenation_Mapping</vt:lpstr>
      <vt:lpstr>Map</vt:lpstr>
      <vt:lpstr>Marker_Table_Raw_Max</vt:lpstr>
      <vt:lpstr>Marker_Table_Norm_Max</vt:lpstr>
      <vt:lpstr>Sample_Patient_Values</vt:lpstr>
      <vt:lpstr>Sample_Patient_Weighted</vt:lpstr>
      <vt:lpstr>Sample_Patient_Norm</vt:lpstr>
      <vt:lpstr>Sample_Patient_Norm_Dif</vt:lpstr>
      <vt:lpstr>CHECKS &gt;&gt;&gt;</vt:lpstr>
      <vt:lpstr>NUTRITION_CHECK</vt:lpstr>
      <vt:lpstr>MOVEMENT_CHECK</vt:lpstr>
      <vt:lpstr>SLEEP_CHECK</vt:lpstr>
      <vt:lpstr>STRESS_CHECK</vt:lpstr>
      <vt:lpstr>COGNITIVE_CHECK</vt:lpstr>
      <vt:lpstr>CONNECTION_CHECK</vt:lpstr>
      <vt:lpstr>CORE_CHECK</vt:lpstr>
      <vt:lpstr>CC_Marker_Norm</vt:lpstr>
      <vt:lpstr>CH_Marker_Norm</vt:lpstr>
      <vt:lpstr>CP_Marker_Norm</vt:lpstr>
      <vt:lpstr>HN_Marker_Norm</vt:lpstr>
      <vt:lpstr>ME_Marker_Norm</vt:lpstr>
      <vt:lpstr>RS_Marker_Norm</vt:lpstr>
      <vt:lpstr>SM_Marker_Norm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Dolan</dc:creator>
  <cp:lastModifiedBy>Keegan Dolan</cp:lastModifiedBy>
  <dcterms:created xsi:type="dcterms:W3CDTF">2025-08-18T23:26:49Z</dcterms:created>
  <dcterms:modified xsi:type="dcterms:W3CDTF">2025-09-11T20:30:10Z</dcterms:modified>
</cp:coreProperties>
</file>