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траты" sheetId="1" r:id="rId4"/>
  </sheets>
  <definedNames/>
  <calcPr/>
</workbook>
</file>

<file path=xl/sharedStrings.xml><?xml version="1.0" encoding="utf-8"?>
<sst xmlns="http://schemas.openxmlformats.org/spreadsheetml/2006/main" count="281" uniqueCount="73">
  <si>
    <t>1-ый месяц</t>
  </si>
  <si>
    <t>Оборудование и ремонт</t>
  </si>
  <si>
    <t>№</t>
  </si>
  <si>
    <t>Наименование</t>
  </si>
  <si>
    <t>Цена (руб.)</t>
  </si>
  <si>
    <t>Количество</t>
  </si>
  <si>
    <t>Итого (руб.)</t>
  </si>
  <si>
    <t>Закупка продуктов</t>
  </si>
  <si>
    <t>Цена (руб/кг)</t>
  </si>
  <si>
    <t>Количество (кг)</t>
  </si>
  <si>
    <t>Реклама</t>
  </si>
  <si>
    <t xml:space="preserve">Цена </t>
  </si>
  <si>
    <t>Затраты на персонал</t>
  </si>
  <si>
    <t>Логистика и прочие траты</t>
  </si>
  <si>
    <t>Аренда и налоги</t>
  </si>
  <si>
    <t>Холодильник</t>
  </si>
  <si>
    <t>Сырая/замороженная рыба</t>
  </si>
  <si>
    <t>Реклама Google</t>
  </si>
  <si>
    <t>429$ за 10 дней</t>
  </si>
  <si>
    <t>Курьер</t>
  </si>
  <si>
    <t>Перевозка грузов в фурах</t>
  </si>
  <si>
    <t>45 за км</t>
  </si>
  <si>
    <t>Склад</t>
  </si>
  <si>
    <t>Морозилка в ПВЗ</t>
  </si>
  <si>
    <t>Вяленая/сушёная рыба</t>
  </si>
  <si>
    <t>Наружная реклама (Баннер)</t>
  </si>
  <si>
    <t>~150000</t>
  </si>
  <si>
    <t>Кассир</t>
  </si>
  <si>
    <t>Брендированная сумка курьера и одежда</t>
  </si>
  <si>
    <t>ПВЗ</t>
  </si>
  <si>
    <t>Потолок, пол, стены</t>
  </si>
  <si>
    <t>Овощи</t>
  </si>
  <si>
    <t>Телевизионная реклама</t>
  </si>
  <si>
    <t>~80000 за один показ</t>
  </si>
  <si>
    <t>Менеджер на складе</t>
  </si>
  <si>
    <t>Мопед</t>
  </si>
  <si>
    <t>Стелаж пристенный</t>
  </si>
  <si>
    <t xml:space="preserve">Фрукты </t>
  </si>
  <si>
    <t>Яндекс баннер</t>
  </si>
  <si>
    <t>Кладовщик</t>
  </si>
  <si>
    <t>Бензин</t>
  </si>
  <si>
    <t>Стелаж стеклянный</t>
  </si>
  <si>
    <t>Алкоголь</t>
  </si>
  <si>
    <t>Бухгалтер</t>
  </si>
  <si>
    <t>Комммунальные расходы</t>
  </si>
  <si>
    <t>Прочее</t>
  </si>
  <si>
    <t>-</t>
  </si>
  <si>
    <t>Программист</t>
  </si>
  <si>
    <t>Сервер</t>
  </si>
  <si>
    <t>Менеджер на ПВЗ</t>
  </si>
  <si>
    <t>Уборщица</t>
  </si>
  <si>
    <t>Оператор тех. поддержки</t>
  </si>
  <si>
    <t xml:space="preserve">Итого "Оборудование и ремонт" (руб.) </t>
  </si>
  <si>
    <t xml:space="preserve">Итого "Закупка продуктов" (руб.) </t>
  </si>
  <si>
    <t xml:space="preserve">Итого "Реклама" (руб.) </t>
  </si>
  <si>
    <t xml:space="preserve">Итого "Затраты на персонал" (руб.) </t>
  </si>
  <si>
    <t xml:space="preserve">Итого "Логистика и прочие траты" (руб.) </t>
  </si>
  <si>
    <t xml:space="preserve">Итого "Аренда и налоги" (руб.) </t>
  </si>
  <si>
    <t>За месяц</t>
  </si>
  <si>
    <t>Итого доходов (руб.)</t>
  </si>
  <si>
    <t>Прибыль без НДС</t>
  </si>
  <si>
    <t>2-ой месяц</t>
  </si>
  <si>
    <t>На случай ЧП, неустойки и прочее</t>
  </si>
  <si>
    <t>Итого расходов (руб.)</t>
  </si>
  <si>
    <t>3-ий месяц</t>
  </si>
  <si>
    <t>Итого расходов за 3 месяца (руб.)</t>
  </si>
  <si>
    <t>Итого доходов  за 3 месяца(руб.)</t>
  </si>
  <si>
    <t>Итоговая прибыль за 3 месяца (руб.)</t>
  </si>
  <si>
    <t>График распределения расходов</t>
  </si>
  <si>
    <t>Прибыль по месяцам</t>
  </si>
  <si>
    <t>Первый месяц</t>
  </si>
  <si>
    <t>Второй месяц</t>
  </si>
  <si>
    <t>Третий месяц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</si>
</sst>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3" fontId="1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Border="1" applyFont="1"/>
    <xf borderId="5" fillId="0" fontId="1" numFmtId="0" xfId="0" applyAlignment="1" applyBorder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Font="1"/>
    <xf borderId="0" fillId="0" fontId="1" numFmtId="0" xfId="0" applyAlignment="1" applyFont="1">
      <alignment horizontal="right"/>
    </xf>
    <xf borderId="6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Border="1" applyFont="1"/>
    <xf borderId="0" fillId="4" fontId="1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'Затраты'!$A$104:$A$109</c:f>
            </c:strRef>
          </c:cat>
          <c:val>
            <c:numRef>
              <c:f>'Затраты'!$B$104:$B$109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'Затраты'!$A$129:$A$131</c:f>
            </c:strRef>
          </c:cat>
          <c:val>
            <c:numRef>
              <c:f>'Затраты'!$B$129:$B$131</c:f>
              <c:numCache/>
            </c:numRef>
          </c:val>
        </c:ser>
        <c:axId val="205438736"/>
        <c:axId val="242937761"/>
      </c:barChart>
      <c:catAx>
        <c:axId val="20543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937761"/>
      </c:catAx>
      <c:valAx>
        <c:axId val="242937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4387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88</xdr:row>
      <xdr:rowOff>9525</xdr:rowOff>
    </xdr:from>
    <xdr:ext cx="4895850" cy="29432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112</xdr:row>
      <xdr:rowOff>9525</xdr:rowOff>
    </xdr:from>
    <xdr:ext cx="3305175" cy="31432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88"/>
    <col customWidth="1" min="3" max="3" width="20.75"/>
    <col customWidth="1" min="4" max="4" width="26.63"/>
    <col customWidth="1" min="7" max="7" width="30.63"/>
    <col customWidth="1" min="9" max="9" width="31.38"/>
    <col customWidth="1" min="11" max="11" width="24.63"/>
    <col customWidth="1" min="14" max="14" width="20.25"/>
    <col customWidth="1" min="17" max="17" width="20.88"/>
    <col customWidth="1" min="19" max="19" width="40.38"/>
    <col customWidth="1" min="20" max="20" width="19.0"/>
    <col customWidth="1" min="24" max="24" width="30.38"/>
    <col customWidth="1" min="26" max="26" width="19.75"/>
    <col customWidth="1" min="31" max="31" width="31.88"/>
    <col customWidth="1" min="33" max="33" width="34.5"/>
    <col customWidth="1" min="38" max="38" width="27.25"/>
  </cols>
  <sheetData>
    <row r="1">
      <c r="A1" s="1" t="s">
        <v>0</v>
      </c>
      <c r="B1" s="2"/>
      <c r="C1" s="2"/>
      <c r="D1" s="2"/>
      <c r="E1" s="2"/>
      <c r="F1" s="2"/>
      <c r="I1" s="1"/>
      <c r="J1" s="2"/>
      <c r="K1" s="2"/>
      <c r="L1" s="2"/>
      <c r="M1" s="2"/>
      <c r="N1" s="2"/>
      <c r="O1" s="3"/>
      <c r="P1" s="3"/>
      <c r="Q1" s="1"/>
      <c r="R1" s="2"/>
      <c r="S1" s="2"/>
      <c r="T1" s="2"/>
      <c r="U1" s="2"/>
      <c r="V1" s="2"/>
      <c r="X1" s="1"/>
      <c r="Y1" s="2"/>
      <c r="Z1" s="2"/>
      <c r="AA1" s="2"/>
      <c r="AB1" s="2"/>
      <c r="AC1" s="2"/>
      <c r="AD1" s="2"/>
      <c r="AE1" s="1"/>
      <c r="AF1" s="2"/>
      <c r="AG1" s="2"/>
      <c r="AH1" s="2"/>
      <c r="AI1" s="2"/>
      <c r="AJ1" s="2"/>
      <c r="AK1" s="2"/>
      <c r="AL1" s="1"/>
      <c r="AM1" s="2"/>
      <c r="AN1" s="2"/>
      <c r="AO1" s="2"/>
      <c r="AP1" s="2"/>
      <c r="AQ1" s="2"/>
      <c r="AR1" s="2"/>
    </row>
    <row r="2">
      <c r="A2" s="4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7" t="s">
        <v>6</v>
      </c>
      <c r="I2" s="4" t="s">
        <v>7</v>
      </c>
      <c r="J2" s="5" t="s">
        <v>2</v>
      </c>
      <c r="K2" s="6" t="s">
        <v>3</v>
      </c>
      <c r="L2" s="6" t="s">
        <v>8</v>
      </c>
      <c r="M2" s="6" t="s">
        <v>9</v>
      </c>
      <c r="N2" s="7" t="s">
        <v>6</v>
      </c>
      <c r="O2" s="3"/>
      <c r="P2" s="3"/>
      <c r="Q2" s="4" t="s">
        <v>10</v>
      </c>
      <c r="R2" s="5" t="s">
        <v>2</v>
      </c>
      <c r="S2" s="6" t="s">
        <v>3</v>
      </c>
      <c r="T2" s="6" t="s">
        <v>11</v>
      </c>
      <c r="U2" s="6" t="s">
        <v>5</v>
      </c>
      <c r="V2" s="7" t="s">
        <v>6</v>
      </c>
      <c r="X2" s="4" t="s">
        <v>12</v>
      </c>
      <c r="Y2" s="5" t="s">
        <v>2</v>
      </c>
      <c r="Z2" s="6" t="s">
        <v>3</v>
      </c>
      <c r="AA2" s="6" t="s">
        <v>4</v>
      </c>
      <c r="AB2" s="6" t="s">
        <v>5</v>
      </c>
      <c r="AC2" s="7" t="s">
        <v>6</v>
      </c>
      <c r="AD2" s="2"/>
      <c r="AE2" s="4" t="s">
        <v>13</v>
      </c>
      <c r="AF2" s="5" t="s">
        <v>2</v>
      </c>
      <c r="AG2" s="6" t="s">
        <v>3</v>
      </c>
      <c r="AH2" s="6" t="s">
        <v>4</v>
      </c>
      <c r="AI2" s="6" t="s">
        <v>5</v>
      </c>
      <c r="AJ2" s="7" t="s">
        <v>6</v>
      </c>
      <c r="AK2" s="2"/>
      <c r="AL2" s="4" t="s">
        <v>14</v>
      </c>
      <c r="AM2" s="5" t="s">
        <v>2</v>
      </c>
      <c r="AN2" s="6" t="s">
        <v>3</v>
      </c>
      <c r="AO2" s="6" t="s">
        <v>4</v>
      </c>
      <c r="AP2" s="6" t="s">
        <v>5</v>
      </c>
      <c r="AQ2" s="7" t="s">
        <v>6</v>
      </c>
      <c r="AR2" s="2"/>
    </row>
    <row r="3">
      <c r="B3" s="8">
        <v>1.0</v>
      </c>
      <c r="C3" s="2" t="s">
        <v>15</v>
      </c>
      <c r="D3" s="2">
        <v>183000.0</v>
      </c>
      <c r="E3" s="2">
        <v>6.0</v>
      </c>
      <c r="F3" s="9">
        <f>$D$3*E3</f>
        <v>1098000</v>
      </c>
      <c r="J3" s="8">
        <v>1.0</v>
      </c>
      <c r="K3" s="2" t="s">
        <v>16</v>
      </c>
      <c r="L3" s="2">
        <v>300.0</v>
      </c>
      <c r="M3" s="2">
        <f t="shared" ref="M3:M7" si="1">ROUND(N3/L3,0)</f>
        <v>273333</v>
      </c>
      <c r="N3" s="10">
        <f>ROUND(82000000/1.4*2*0.7,0)</f>
        <v>82000000</v>
      </c>
      <c r="O3" s="3">
        <f>N3*0.9*1.4</f>
        <v>103320000</v>
      </c>
      <c r="P3" s="3"/>
      <c r="R3" s="8">
        <v>1.0</v>
      </c>
      <c r="S3" s="2" t="s">
        <v>17</v>
      </c>
      <c r="T3" s="11" t="s">
        <v>18</v>
      </c>
      <c r="U3" s="2">
        <v>3.0</v>
      </c>
      <c r="V3" s="9">
        <f>429*10*83</f>
        <v>356070</v>
      </c>
      <c r="Y3" s="8">
        <v>1.0</v>
      </c>
      <c r="Z3" s="2" t="s">
        <v>19</v>
      </c>
      <c r="AA3" s="2">
        <v>48000.0</v>
      </c>
      <c r="AB3" s="2">
        <v>400.0</v>
      </c>
      <c r="AC3" s="9">
        <f t="shared" ref="AC3:AC11" si="2">AB3*AA3</f>
        <v>19200000</v>
      </c>
      <c r="AF3" s="8">
        <v>1.0</v>
      </c>
      <c r="AG3" s="2" t="s">
        <v>20</v>
      </c>
      <c r="AH3" s="11" t="s">
        <v>21</v>
      </c>
      <c r="AI3" s="2">
        <f>160*30*50</f>
        <v>240000</v>
      </c>
      <c r="AJ3" s="9">
        <f>45*AI3</f>
        <v>10800000</v>
      </c>
      <c r="AM3" s="8">
        <v>1.0</v>
      </c>
      <c r="AN3" s="2" t="s">
        <v>22</v>
      </c>
      <c r="AO3" s="11">
        <v>730000.0</v>
      </c>
      <c r="AP3" s="2">
        <v>3.0</v>
      </c>
      <c r="AQ3" s="9">
        <f>AO3*AP3</f>
        <v>2190000</v>
      </c>
    </row>
    <row r="4">
      <c r="B4" s="8">
        <v>2.0</v>
      </c>
      <c r="C4" s="2" t="s">
        <v>23</v>
      </c>
      <c r="D4" s="2">
        <v>36000.0</v>
      </c>
      <c r="E4" s="2">
        <v>200.0</v>
      </c>
      <c r="F4" s="9">
        <f t="shared" ref="F4:F7" si="3">D4*E4</f>
        <v>7200000</v>
      </c>
      <c r="J4" s="8">
        <v>2.0</v>
      </c>
      <c r="K4" s="2" t="s">
        <v>24</v>
      </c>
      <c r="L4" s="2">
        <v>2000.0</v>
      </c>
      <c r="M4" s="2">
        <f t="shared" si="1"/>
        <v>17571</v>
      </c>
      <c r="N4" s="10">
        <f>ROUND(82000000/1.4*2*0.3,0)</f>
        <v>35142857</v>
      </c>
      <c r="O4" s="3">
        <f>ROUND(N4*0.9*1.4,0)</f>
        <v>44280000</v>
      </c>
      <c r="P4" s="3"/>
      <c r="R4" s="8">
        <v>2.0</v>
      </c>
      <c r="S4" s="2" t="s">
        <v>25</v>
      </c>
      <c r="T4" s="11" t="s">
        <v>26</v>
      </c>
      <c r="U4" s="2">
        <v>3.0</v>
      </c>
      <c r="V4" s="9">
        <f>150000*3</f>
        <v>450000</v>
      </c>
      <c r="Y4" s="8">
        <v>2.0</v>
      </c>
      <c r="Z4" s="2" t="s">
        <v>27</v>
      </c>
      <c r="AA4" s="2">
        <v>58000.0</v>
      </c>
      <c r="AB4" s="2">
        <v>200.0</v>
      </c>
      <c r="AC4" s="9">
        <f t="shared" si="2"/>
        <v>11600000</v>
      </c>
      <c r="AF4" s="8">
        <v>2.0</v>
      </c>
      <c r="AG4" s="2" t="s">
        <v>28</v>
      </c>
      <c r="AH4" s="11">
        <v>7000.0</v>
      </c>
      <c r="AI4" s="2">
        <v>250.0</v>
      </c>
      <c r="AJ4" s="9">
        <f t="shared" ref="AJ4:AJ8" si="4">AH4*AI4</f>
        <v>1750000</v>
      </c>
      <c r="AM4" s="8">
        <v>2.0</v>
      </c>
      <c r="AN4" s="2" t="s">
        <v>29</v>
      </c>
      <c r="AO4" s="11">
        <v>55000.0</v>
      </c>
      <c r="AP4" s="2">
        <v>200.0</v>
      </c>
      <c r="AQ4" s="9">
        <f>$AO$4*AP4</f>
        <v>11000000</v>
      </c>
    </row>
    <row r="5">
      <c r="B5" s="8">
        <v>3.0</v>
      </c>
      <c r="C5" s="2" t="s">
        <v>30</v>
      </c>
      <c r="D5" s="2">
        <v>26250.0</v>
      </c>
      <c r="E5" s="2">
        <v>200.0</v>
      </c>
      <c r="F5" s="9">
        <f t="shared" si="3"/>
        <v>5250000</v>
      </c>
      <c r="J5" s="8">
        <v>3.0</v>
      </c>
      <c r="K5" s="2" t="s">
        <v>31</v>
      </c>
      <c r="L5" s="2">
        <v>39.0</v>
      </c>
      <c r="M5" s="2">
        <f t="shared" si="1"/>
        <v>1321499</v>
      </c>
      <c r="N5" s="10">
        <f>ROUND(67000000/1.3,0)</f>
        <v>51538462</v>
      </c>
      <c r="O5" s="3">
        <f t="shared" ref="O5:O6" si="5">ROUND(N5*0.9*1.3,0)</f>
        <v>60300001</v>
      </c>
      <c r="P5" s="3"/>
      <c r="R5" s="8">
        <v>3.0</v>
      </c>
      <c r="S5" s="2" t="s">
        <v>32</v>
      </c>
      <c r="T5" s="11" t="s">
        <v>33</v>
      </c>
      <c r="U5" s="2">
        <v>10.0</v>
      </c>
      <c r="V5" s="9">
        <f>80000*U5</f>
        <v>800000</v>
      </c>
      <c r="Y5" s="8">
        <v>3.0</v>
      </c>
      <c r="Z5" s="2" t="s">
        <v>34</v>
      </c>
      <c r="AA5" s="2">
        <v>82000.0</v>
      </c>
      <c r="AB5" s="2">
        <v>3.0</v>
      </c>
      <c r="AC5" s="9">
        <f t="shared" si="2"/>
        <v>246000</v>
      </c>
      <c r="AF5" s="8">
        <v>3.0</v>
      </c>
      <c r="AG5" s="2" t="s">
        <v>35</v>
      </c>
      <c r="AH5" s="11">
        <v>10000.0</v>
      </c>
      <c r="AI5" s="2">
        <v>200.0</v>
      </c>
      <c r="AJ5" s="9">
        <f t="shared" si="4"/>
        <v>2000000</v>
      </c>
      <c r="AM5" s="8">
        <v>3.0</v>
      </c>
      <c r="AO5" s="11"/>
      <c r="AQ5" s="9"/>
    </row>
    <row r="6">
      <c r="B6" s="8">
        <v>4.0</v>
      </c>
      <c r="C6" s="2" t="s">
        <v>36</v>
      </c>
      <c r="D6" s="2">
        <f>7500*10</f>
        <v>75000</v>
      </c>
      <c r="E6" s="2">
        <v>200.0</v>
      </c>
      <c r="F6" s="9">
        <f t="shared" si="3"/>
        <v>15000000</v>
      </c>
      <c r="J6" s="8">
        <v>4.0</v>
      </c>
      <c r="K6" s="2" t="s">
        <v>37</v>
      </c>
      <c r="L6" s="2">
        <v>69.0</v>
      </c>
      <c r="M6" s="2">
        <f t="shared" si="1"/>
        <v>702341</v>
      </c>
      <c r="N6" s="10">
        <f>ROUND(63000000/1.3,0)</f>
        <v>48461538</v>
      </c>
      <c r="O6" s="3">
        <f t="shared" si="5"/>
        <v>56699999</v>
      </c>
      <c r="P6" s="3"/>
      <c r="R6" s="8">
        <v>4.0</v>
      </c>
      <c r="S6" s="2" t="s">
        <v>38</v>
      </c>
      <c r="T6" s="11">
        <v>2500000.0</v>
      </c>
      <c r="U6" s="2">
        <v>1.0</v>
      </c>
      <c r="V6" s="10">
        <f>2500000</f>
        <v>2500000</v>
      </c>
      <c r="Y6" s="8">
        <v>4.0</v>
      </c>
      <c r="Z6" s="2" t="s">
        <v>39</v>
      </c>
      <c r="AA6" s="2">
        <v>39000.0</v>
      </c>
      <c r="AB6" s="2">
        <v>30.0</v>
      </c>
      <c r="AC6" s="9">
        <f t="shared" si="2"/>
        <v>1170000</v>
      </c>
      <c r="AF6" s="8">
        <v>4.0</v>
      </c>
      <c r="AG6" s="2" t="s">
        <v>40</v>
      </c>
      <c r="AH6" s="11">
        <v>37.0</v>
      </c>
      <c r="AI6" s="2">
        <f>4000</f>
        <v>4000</v>
      </c>
      <c r="AJ6" s="10">
        <f t="shared" si="4"/>
        <v>148000</v>
      </c>
      <c r="AK6" s="2"/>
      <c r="AM6" s="8">
        <v>4.0</v>
      </c>
      <c r="AO6" s="11"/>
      <c r="AQ6" s="9"/>
      <c r="AR6" s="2"/>
    </row>
    <row r="7">
      <c r="B7" s="8">
        <v>5.0</v>
      </c>
      <c r="C7" s="2" t="s">
        <v>41</v>
      </c>
      <c r="D7" s="12">
        <f>14000*2</f>
        <v>28000</v>
      </c>
      <c r="E7" s="2">
        <v>200.0</v>
      </c>
      <c r="F7" s="9">
        <f t="shared" si="3"/>
        <v>5600000</v>
      </c>
      <c r="J7" s="8">
        <v>5.0</v>
      </c>
      <c r="K7" s="2" t="s">
        <v>42</v>
      </c>
      <c r="L7" s="2">
        <v>1260.0</v>
      </c>
      <c r="M7" s="2">
        <f t="shared" si="1"/>
        <v>46825</v>
      </c>
      <c r="N7" s="10">
        <f>ROUND(59000000/1.5*1.5,0)</f>
        <v>59000000</v>
      </c>
      <c r="O7" s="3">
        <f>N7*0.9*1.5</f>
        <v>79650000</v>
      </c>
      <c r="P7" s="3"/>
      <c r="R7" s="8">
        <v>5.0</v>
      </c>
      <c r="V7" s="9">
        <f>V3+V4+V5+V6</f>
        <v>4106070</v>
      </c>
      <c r="Y7" s="8">
        <v>5.0</v>
      </c>
      <c r="Z7" s="2" t="s">
        <v>43</v>
      </c>
      <c r="AA7" s="2">
        <v>46000.0</v>
      </c>
      <c r="AB7" s="2">
        <v>1.0</v>
      </c>
      <c r="AC7" s="9">
        <f t="shared" si="2"/>
        <v>46000</v>
      </c>
      <c r="AF7" s="8">
        <v>5.0</v>
      </c>
      <c r="AG7" s="2" t="s">
        <v>44</v>
      </c>
      <c r="AH7" s="11">
        <v>8000.0</v>
      </c>
      <c r="AI7" s="2">
        <v>203.0</v>
      </c>
      <c r="AJ7" s="9">
        <f t="shared" si="4"/>
        <v>1624000</v>
      </c>
      <c r="AM7" s="8">
        <v>5.0</v>
      </c>
      <c r="AO7" s="13"/>
      <c r="AQ7" s="9"/>
    </row>
    <row r="8">
      <c r="B8" s="8">
        <v>6.0</v>
      </c>
      <c r="F8" s="9"/>
      <c r="J8" s="8">
        <v>6.0</v>
      </c>
      <c r="K8" s="2" t="s">
        <v>45</v>
      </c>
      <c r="L8" s="2" t="s">
        <v>46</v>
      </c>
      <c r="M8" s="2" t="s">
        <v>46</v>
      </c>
      <c r="N8" s="10">
        <f>51000000</f>
        <v>51000000</v>
      </c>
      <c r="O8" s="3">
        <f>N8*0.9*1.2</f>
        <v>55080000</v>
      </c>
      <c r="P8" s="3"/>
      <c r="R8" s="8">
        <v>6.0</v>
      </c>
      <c r="V8" s="9"/>
      <c r="Y8" s="8">
        <v>6.0</v>
      </c>
      <c r="Z8" s="2" t="s">
        <v>47</v>
      </c>
      <c r="AA8" s="2">
        <v>91000.0</v>
      </c>
      <c r="AB8" s="2">
        <v>3.0</v>
      </c>
      <c r="AC8" s="9">
        <f t="shared" si="2"/>
        <v>273000</v>
      </c>
      <c r="AF8" s="8">
        <v>6.0</v>
      </c>
      <c r="AG8" s="2" t="s">
        <v>48</v>
      </c>
      <c r="AH8" s="11">
        <v>70000.0</v>
      </c>
      <c r="AI8" s="2">
        <v>1.0</v>
      </c>
      <c r="AJ8" s="9">
        <f t="shared" si="4"/>
        <v>70000</v>
      </c>
      <c r="AM8" s="8">
        <v>6.0</v>
      </c>
      <c r="AO8" s="11"/>
      <c r="AQ8" s="9"/>
    </row>
    <row r="9">
      <c r="B9" s="8">
        <v>7.0</v>
      </c>
      <c r="F9" s="9"/>
      <c r="J9" s="8">
        <v>7.0</v>
      </c>
      <c r="N9" s="9"/>
      <c r="O9" s="3">
        <f>SUM(O3:O8)</f>
        <v>399330000</v>
      </c>
      <c r="P9" s="3"/>
      <c r="R9" s="8">
        <v>7.0</v>
      </c>
      <c r="V9" s="9"/>
      <c r="Y9" s="8">
        <v>7.0</v>
      </c>
      <c r="Z9" s="2" t="s">
        <v>49</v>
      </c>
      <c r="AA9" s="2">
        <v>63000.0</v>
      </c>
      <c r="AB9" s="2">
        <v>50.0</v>
      </c>
      <c r="AC9" s="9">
        <f t="shared" si="2"/>
        <v>3150000</v>
      </c>
      <c r="AF9" s="8">
        <v>7.0</v>
      </c>
      <c r="AJ9" s="9"/>
      <c r="AM9" s="8">
        <v>7.0</v>
      </c>
      <c r="AQ9" s="9"/>
    </row>
    <row r="10">
      <c r="B10" s="8">
        <v>8.0</v>
      </c>
      <c r="F10" s="9"/>
      <c r="J10" s="8">
        <v>8.0</v>
      </c>
      <c r="N10" s="9">
        <f>N3+N4+N5+N6+N7+N8</f>
        <v>327142857</v>
      </c>
      <c r="O10" s="3">
        <f>ROUND(0.97*(O9+O9*0.1*0.5),0)</f>
        <v>406717605</v>
      </c>
      <c r="P10" s="3">
        <f>O10-N10</f>
        <v>79574748</v>
      </c>
      <c r="R10" s="8">
        <v>8.0</v>
      </c>
      <c r="V10" s="9"/>
      <c r="Y10" s="8">
        <v>8.0</v>
      </c>
      <c r="Z10" s="2" t="s">
        <v>50</v>
      </c>
      <c r="AA10" s="2">
        <v>30000.0</v>
      </c>
      <c r="AB10" s="2">
        <v>100.0</v>
      </c>
      <c r="AC10" s="9">
        <f t="shared" si="2"/>
        <v>3000000</v>
      </c>
      <c r="AF10" s="8">
        <v>8.0</v>
      </c>
      <c r="AJ10" s="9"/>
      <c r="AM10" s="8">
        <v>8.0</v>
      </c>
      <c r="AQ10" s="9"/>
    </row>
    <row r="11">
      <c r="B11" s="8">
        <v>9.0</v>
      </c>
      <c r="F11" s="9"/>
      <c r="J11" s="8">
        <v>9.0</v>
      </c>
      <c r="N11" s="9"/>
      <c r="O11" s="3"/>
      <c r="P11" s="3"/>
      <c r="R11" s="8">
        <v>9.0</v>
      </c>
      <c r="V11" s="9"/>
      <c r="Y11" s="8">
        <v>9.0</v>
      </c>
      <c r="Z11" s="2" t="s">
        <v>51</v>
      </c>
      <c r="AA11" s="2">
        <v>50000.0</v>
      </c>
      <c r="AB11" s="2">
        <v>10.0</v>
      </c>
      <c r="AC11" s="9">
        <f t="shared" si="2"/>
        <v>500000</v>
      </c>
      <c r="AF11" s="8">
        <v>9.0</v>
      </c>
      <c r="AJ11" s="9"/>
      <c r="AM11" s="8">
        <v>9.0</v>
      </c>
      <c r="AQ11" s="9"/>
    </row>
    <row r="12">
      <c r="B12" s="8">
        <v>10.0</v>
      </c>
      <c r="F12" s="9"/>
      <c r="J12" s="8">
        <v>10.0</v>
      </c>
      <c r="N12" s="9"/>
      <c r="O12" s="3"/>
      <c r="P12" s="3"/>
      <c r="R12" s="8">
        <v>10.0</v>
      </c>
      <c r="V12" s="9"/>
      <c r="Y12" s="8">
        <v>10.0</v>
      </c>
      <c r="AC12" s="9"/>
      <c r="AF12" s="8">
        <v>10.0</v>
      </c>
      <c r="AJ12" s="9"/>
      <c r="AM12" s="8">
        <v>10.0</v>
      </c>
      <c r="AQ12" s="9"/>
    </row>
    <row r="13">
      <c r="B13" s="8">
        <v>11.0</v>
      </c>
      <c r="F13" s="9"/>
      <c r="J13" s="8">
        <v>11.0</v>
      </c>
      <c r="N13" s="9"/>
      <c r="O13" s="3"/>
      <c r="P13" s="3"/>
      <c r="R13" s="8">
        <v>11.0</v>
      </c>
      <c r="V13" s="9"/>
      <c r="Y13" s="8">
        <v>11.0</v>
      </c>
      <c r="AC13" s="9"/>
      <c r="AF13" s="8">
        <v>11.0</v>
      </c>
      <c r="AJ13" s="9"/>
      <c r="AM13" s="8">
        <v>11.0</v>
      </c>
      <c r="AQ13" s="9"/>
    </row>
    <row r="14">
      <c r="B14" s="8">
        <v>12.0</v>
      </c>
      <c r="F14" s="9"/>
      <c r="J14" s="8">
        <v>12.0</v>
      </c>
      <c r="N14" s="9"/>
      <c r="O14" s="3"/>
      <c r="P14" s="3"/>
      <c r="R14" s="8">
        <v>12.0</v>
      </c>
      <c r="V14" s="9"/>
      <c r="Y14" s="8">
        <v>12.0</v>
      </c>
      <c r="AC14" s="9"/>
      <c r="AF14" s="8">
        <v>12.0</v>
      </c>
      <c r="AJ14" s="9"/>
      <c r="AM14" s="8">
        <v>12.0</v>
      </c>
      <c r="AQ14" s="9"/>
    </row>
    <row r="15">
      <c r="B15" s="8">
        <v>13.0</v>
      </c>
      <c r="F15" s="9"/>
      <c r="J15" s="8">
        <v>13.0</v>
      </c>
      <c r="N15" s="9"/>
      <c r="O15" s="3"/>
      <c r="P15" s="3"/>
      <c r="R15" s="8">
        <v>13.0</v>
      </c>
      <c r="V15" s="9"/>
      <c r="Y15" s="8">
        <v>13.0</v>
      </c>
      <c r="AC15" s="9"/>
      <c r="AF15" s="8">
        <v>13.0</v>
      </c>
      <c r="AJ15" s="9"/>
      <c r="AM15" s="8">
        <v>13.0</v>
      </c>
      <c r="AQ15" s="9"/>
    </row>
    <row r="16">
      <c r="B16" s="8">
        <v>14.0</v>
      </c>
      <c r="F16" s="9"/>
      <c r="J16" s="8">
        <v>14.0</v>
      </c>
      <c r="N16" s="9"/>
      <c r="O16" s="3"/>
      <c r="P16" s="3"/>
      <c r="R16" s="8">
        <v>14.0</v>
      </c>
      <c r="V16" s="9"/>
      <c r="Y16" s="8">
        <v>14.0</v>
      </c>
      <c r="AC16" s="9"/>
      <c r="AF16" s="8">
        <v>14.0</v>
      </c>
      <c r="AJ16" s="9"/>
      <c r="AM16" s="8">
        <v>14.0</v>
      </c>
      <c r="AQ16" s="9"/>
    </row>
    <row r="17">
      <c r="B17" s="8">
        <v>15.0</v>
      </c>
      <c r="F17" s="9"/>
      <c r="J17" s="8">
        <v>15.0</v>
      </c>
      <c r="N17" s="9"/>
      <c r="O17" s="3"/>
      <c r="P17" s="3"/>
      <c r="R17" s="8">
        <v>15.0</v>
      </c>
      <c r="V17" s="9"/>
      <c r="Y17" s="8">
        <v>15.0</v>
      </c>
      <c r="AC17" s="9"/>
      <c r="AF17" s="8">
        <v>15.0</v>
      </c>
      <c r="AJ17" s="9"/>
      <c r="AM17" s="8">
        <v>15.0</v>
      </c>
      <c r="AQ17" s="9"/>
    </row>
    <row r="18">
      <c r="B18" s="8">
        <v>16.0</v>
      </c>
      <c r="F18" s="9"/>
      <c r="J18" s="8">
        <v>16.0</v>
      </c>
      <c r="N18" s="9"/>
      <c r="O18" s="3"/>
      <c r="P18" s="3"/>
      <c r="R18" s="8">
        <v>16.0</v>
      </c>
      <c r="V18" s="9"/>
      <c r="Y18" s="8">
        <v>16.0</v>
      </c>
      <c r="AC18" s="9"/>
      <c r="AF18" s="8">
        <v>16.0</v>
      </c>
      <c r="AJ18" s="9"/>
      <c r="AM18" s="8">
        <v>16.0</v>
      </c>
      <c r="AQ18" s="9"/>
    </row>
    <row r="19">
      <c r="B19" s="8">
        <v>17.0</v>
      </c>
      <c r="F19" s="9"/>
      <c r="J19" s="8">
        <v>17.0</v>
      </c>
      <c r="N19" s="9"/>
      <c r="O19" s="3"/>
      <c r="P19" s="3"/>
      <c r="R19" s="8">
        <v>17.0</v>
      </c>
      <c r="V19" s="9"/>
      <c r="Y19" s="8">
        <v>17.0</v>
      </c>
      <c r="AC19" s="9"/>
      <c r="AF19" s="8">
        <v>17.0</v>
      </c>
      <c r="AJ19" s="9"/>
      <c r="AM19" s="8">
        <v>17.0</v>
      </c>
      <c r="AQ19" s="9"/>
    </row>
    <row r="20">
      <c r="B20" s="8">
        <v>18.0</v>
      </c>
      <c r="F20" s="9"/>
      <c r="J20" s="8">
        <v>18.0</v>
      </c>
      <c r="N20" s="9"/>
      <c r="O20" s="3"/>
      <c r="P20" s="3"/>
      <c r="R20" s="8">
        <v>18.0</v>
      </c>
      <c r="V20" s="9"/>
      <c r="Y20" s="8">
        <v>18.0</v>
      </c>
      <c r="AC20" s="9"/>
      <c r="AF20" s="8">
        <v>18.0</v>
      </c>
      <c r="AJ20" s="9"/>
      <c r="AM20" s="8">
        <v>18.0</v>
      </c>
      <c r="AQ20" s="9"/>
    </row>
    <row r="21">
      <c r="B21" s="14">
        <v>19.0</v>
      </c>
      <c r="C21" s="15"/>
      <c r="D21" s="15"/>
      <c r="E21" s="15"/>
      <c r="F21" s="16"/>
      <c r="J21" s="14">
        <v>19.0</v>
      </c>
      <c r="K21" s="15"/>
      <c r="L21" s="15"/>
      <c r="M21" s="15"/>
      <c r="N21" s="16"/>
      <c r="O21" s="3"/>
      <c r="P21" s="3"/>
      <c r="R21" s="14">
        <v>19.0</v>
      </c>
      <c r="S21" s="15"/>
      <c r="T21" s="15"/>
      <c r="U21" s="15"/>
      <c r="V21" s="16"/>
      <c r="Y21" s="14">
        <v>19.0</v>
      </c>
      <c r="Z21" s="15"/>
      <c r="AA21" s="15"/>
      <c r="AB21" s="15"/>
      <c r="AC21" s="16"/>
      <c r="AF21" s="14">
        <v>19.0</v>
      </c>
      <c r="AG21" s="15"/>
      <c r="AH21" s="15"/>
      <c r="AI21" s="15"/>
      <c r="AJ21" s="16"/>
      <c r="AM21" s="14">
        <v>19.0</v>
      </c>
      <c r="AN21" s="15"/>
      <c r="AO21" s="15"/>
      <c r="AP21" s="15"/>
      <c r="AQ21" s="16"/>
    </row>
    <row r="22">
      <c r="A22" s="2" t="s">
        <v>52</v>
      </c>
      <c r="B22" s="12">
        <f>SUM(F3:F21)</f>
        <v>34148000</v>
      </c>
      <c r="I22" s="2" t="s">
        <v>53</v>
      </c>
      <c r="J22" s="2">
        <f>SUM(N3:N8)</f>
        <v>327142857</v>
      </c>
      <c r="O22" s="3"/>
      <c r="P22" s="3"/>
      <c r="Q22" s="2" t="s">
        <v>54</v>
      </c>
      <c r="R22" s="2">
        <f>SUM(V3:V6)</f>
        <v>4106070</v>
      </c>
      <c r="X22" s="2" t="s">
        <v>55</v>
      </c>
      <c r="Y22" s="2">
        <f>SUM(AC3:AC13)</f>
        <v>39185000</v>
      </c>
      <c r="AE22" s="2" t="s">
        <v>56</v>
      </c>
      <c r="AF22" s="12">
        <f>SUM(AJ3:AJ7)</f>
        <v>16322000</v>
      </c>
      <c r="AL22" s="2" t="s">
        <v>57</v>
      </c>
      <c r="AM22" s="12">
        <f>SUM(AQ3:AQ7)</f>
        <v>13190000</v>
      </c>
    </row>
    <row r="23">
      <c r="B23" s="2" t="s">
        <v>58</v>
      </c>
      <c r="J23" s="2" t="s">
        <v>58</v>
      </c>
      <c r="O23" s="3"/>
      <c r="P23" s="3"/>
      <c r="R23" s="2" t="s">
        <v>58</v>
      </c>
      <c r="Y23" s="2" t="s">
        <v>58</v>
      </c>
      <c r="AC23" s="2"/>
      <c r="AD23" s="2"/>
      <c r="AF23" s="2" t="s">
        <v>58</v>
      </c>
      <c r="AM23" s="2" t="s">
        <v>58</v>
      </c>
    </row>
    <row r="24">
      <c r="O24" s="3"/>
      <c r="P24" s="3"/>
    </row>
    <row r="25">
      <c r="A25" s="4" t="s">
        <v>6</v>
      </c>
      <c r="B25" s="2">
        <f>SUM(B22,J22,R22,Y22,AF22,AM22)</f>
        <v>434093927</v>
      </c>
      <c r="D25" s="4" t="s">
        <v>59</v>
      </c>
      <c r="E25" s="12">
        <f>O10</f>
        <v>406717605</v>
      </c>
      <c r="G25" s="4" t="s">
        <v>60</v>
      </c>
      <c r="H25" s="12">
        <f>E25-B25</f>
        <v>-27376322</v>
      </c>
      <c r="O25" s="3"/>
      <c r="P25" s="3"/>
    </row>
    <row r="26">
      <c r="B26" s="2" t="s">
        <v>58</v>
      </c>
      <c r="O26" s="3"/>
      <c r="P26" s="3"/>
    </row>
    <row r="27">
      <c r="A27" s="2"/>
      <c r="O27" s="3"/>
      <c r="P27" s="3"/>
    </row>
    <row r="28">
      <c r="A28" s="2" t="s">
        <v>61</v>
      </c>
      <c r="O28" s="3"/>
      <c r="P28" s="3"/>
    </row>
    <row r="29">
      <c r="A29" s="4" t="s">
        <v>1</v>
      </c>
      <c r="B29" s="5" t="s">
        <v>2</v>
      </c>
      <c r="C29" s="6" t="s">
        <v>3</v>
      </c>
      <c r="D29" s="6" t="s">
        <v>4</v>
      </c>
      <c r="E29" s="6" t="s">
        <v>5</v>
      </c>
      <c r="F29" s="7" t="s">
        <v>6</v>
      </c>
      <c r="I29" s="4" t="s">
        <v>7</v>
      </c>
      <c r="J29" s="5" t="s">
        <v>2</v>
      </c>
      <c r="K29" s="6" t="s">
        <v>3</v>
      </c>
      <c r="L29" s="6" t="s">
        <v>8</v>
      </c>
      <c r="M29" s="6" t="s">
        <v>9</v>
      </c>
      <c r="N29" s="7" t="s">
        <v>6</v>
      </c>
      <c r="O29" s="3"/>
      <c r="P29" s="3"/>
      <c r="Q29" s="4" t="s">
        <v>10</v>
      </c>
      <c r="R29" s="5" t="s">
        <v>2</v>
      </c>
      <c r="S29" s="6" t="s">
        <v>3</v>
      </c>
      <c r="T29" s="6" t="s">
        <v>11</v>
      </c>
      <c r="U29" s="6" t="s">
        <v>5</v>
      </c>
      <c r="V29" s="7" t="s">
        <v>6</v>
      </c>
      <c r="X29" s="4" t="s">
        <v>12</v>
      </c>
      <c r="Y29" s="5" t="s">
        <v>2</v>
      </c>
      <c r="Z29" s="6" t="s">
        <v>3</v>
      </c>
      <c r="AA29" s="6" t="s">
        <v>4</v>
      </c>
      <c r="AB29" s="6" t="s">
        <v>5</v>
      </c>
      <c r="AC29" s="7" t="s">
        <v>6</v>
      </c>
      <c r="AD29" s="2"/>
      <c r="AE29" s="4" t="s">
        <v>13</v>
      </c>
      <c r="AF29" s="5" t="s">
        <v>2</v>
      </c>
      <c r="AG29" s="6" t="s">
        <v>3</v>
      </c>
      <c r="AH29" s="6" t="s">
        <v>4</v>
      </c>
      <c r="AI29" s="6" t="s">
        <v>5</v>
      </c>
      <c r="AJ29" s="7" t="s">
        <v>6</v>
      </c>
      <c r="AK29" s="2"/>
      <c r="AL29" s="4" t="s">
        <v>14</v>
      </c>
      <c r="AM29" s="5" t="s">
        <v>2</v>
      </c>
      <c r="AN29" s="6" t="s">
        <v>3</v>
      </c>
      <c r="AO29" s="6" t="s">
        <v>4</v>
      </c>
      <c r="AP29" s="6" t="s">
        <v>5</v>
      </c>
      <c r="AQ29" s="7" t="s">
        <v>6</v>
      </c>
      <c r="AR29" s="2"/>
    </row>
    <row r="30">
      <c r="B30" s="8">
        <v>1.0</v>
      </c>
      <c r="C30" s="2" t="s">
        <v>62</v>
      </c>
      <c r="F30" s="10">
        <v>1.0E7</v>
      </c>
      <c r="J30" s="8">
        <v>1.0</v>
      </c>
      <c r="K30" s="2" t="s">
        <v>16</v>
      </c>
      <c r="L30" s="2">
        <v>300.0</v>
      </c>
      <c r="M30" s="2">
        <f t="shared" ref="M30:M34" si="6">ROUND(N30/L30,0)</f>
        <v>314333</v>
      </c>
      <c r="N30" s="10">
        <f>ROUND(82000000/1.4*2*0.7*1.15,0)</f>
        <v>94300000</v>
      </c>
      <c r="O30" s="3">
        <f>N30*0.9*1.4</f>
        <v>118818000</v>
      </c>
      <c r="P30" s="3"/>
      <c r="R30" s="8">
        <v>1.0</v>
      </c>
      <c r="S30" s="2" t="s">
        <v>17</v>
      </c>
      <c r="T30" s="11" t="s">
        <v>18</v>
      </c>
      <c r="U30" s="2">
        <v>3.0</v>
      </c>
      <c r="V30" s="9">
        <f>429*10*83</f>
        <v>356070</v>
      </c>
      <c r="Y30" s="8">
        <v>1.0</v>
      </c>
      <c r="Z30" s="2" t="s">
        <v>19</v>
      </c>
      <c r="AA30" s="2">
        <v>48000.0</v>
      </c>
      <c r="AB30" s="2">
        <v>400.0</v>
      </c>
      <c r="AC30" s="9">
        <f t="shared" ref="AC30:AC38" si="7">AB30*AA30</f>
        <v>19200000</v>
      </c>
      <c r="AF30" s="8">
        <v>1.0</v>
      </c>
      <c r="AG30" s="2" t="s">
        <v>20</v>
      </c>
      <c r="AH30" s="11" t="s">
        <v>21</v>
      </c>
      <c r="AI30" s="2">
        <f>160*30*50</f>
        <v>240000</v>
      </c>
      <c r="AJ30" s="9">
        <f>45*AI30</f>
        <v>10800000</v>
      </c>
      <c r="AM30" s="8">
        <v>1.0</v>
      </c>
      <c r="AN30" s="2" t="s">
        <v>22</v>
      </c>
      <c r="AO30" s="11">
        <v>730000.0</v>
      </c>
      <c r="AP30" s="2">
        <v>3.0</v>
      </c>
      <c r="AQ30" s="9">
        <f>AO30*AP30</f>
        <v>2190000</v>
      </c>
    </row>
    <row r="31">
      <c r="B31" s="8">
        <v>2.0</v>
      </c>
      <c r="C31" s="2" t="s">
        <v>23</v>
      </c>
      <c r="D31" s="2">
        <v>36000.0</v>
      </c>
      <c r="E31" s="12">
        <f t="shared" ref="E31:E34" si="8">$AP$31-E4</f>
        <v>20</v>
      </c>
      <c r="F31" s="9">
        <f t="shared" ref="F31:F34" si="9">D31*E31</f>
        <v>720000</v>
      </c>
      <c r="J31" s="8">
        <v>2.0</v>
      </c>
      <c r="K31" s="2" t="s">
        <v>24</v>
      </c>
      <c r="L31" s="2">
        <v>2000.0</v>
      </c>
      <c r="M31" s="2">
        <f t="shared" si="6"/>
        <v>20207</v>
      </c>
      <c r="N31" s="10">
        <f>ROUND(82000000/1.4*2*0.3*1.15,0)</f>
        <v>40414286</v>
      </c>
      <c r="O31" s="3">
        <f>ROUND(N31*0.9*1.4,0)</f>
        <v>50922000</v>
      </c>
      <c r="P31" s="3"/>
      <c r="R31" s="8">
        <v>2.0</v>
      </c>
      <c r="S31" s="2" t="s">
        <v>25</v>
      </c>
      <c r="T31" s="11" t="s">
        <v>26</v>
      </c>
      <c r="U31" s="2">
        <v>3.0</v>
      </c>
      <c r="V31" s="9">
        <f>150000*3</f>
        <v>450000</v>
      </c>
      <c r="Y31" s="8">
        <v>2.0</v>
      </c>
      <c r="Z31" s="2" t="s">
        <v>27</v>
      </c>
      <c r="AA31" s="2">
        <v>58000.0</v>
      </c>
      <c r="AB31" s="2">
        <v>200.0</v>
      </c>
      <c r="AC31" s="9">
        <f t="shared" si="7"/>
        <v>11600000</v>
      </c>
      <c r="AF31" s="8">
        <v>2.0</v>
      </c>
      <c r="AG31" s="2" t="s">
        <v>40</v>
      </c>
      <c r="AH31" s="11">
        <v>37.0</v>
      </c>
      <c r="AI31" s="2">
        <f>4000</f>
        <v>4000</v>
      </c>
      <c r="AJ31" s="10">
        <f t="shared" ref="AJ31:AJ32" si="10">AH31*AI31</f>
        <v>148000</v>
      </c>
      <c r="AK31" s="2"/>
      <c r="AM31" s="8">
        <v>2.0</v>
      </c>
      <c r="AN31" s="2" t="s">
        <v>29</v>
      </c>
      <c r="AO31" s="11">
        <v>55000.0</v>
      </c>
      <c r="AP31" s="2">
        <f>AP4*1.1</f>
        <v>220</v>
      </c>
      <c r="AQ31" s="9">
        <f>$AO$4*AP31</f>
        <v>12100000</v>
      </c>
      <c r="AR31" s="2"/>
    </row>
    <row r="32">
      <c r="B32" s="8">
        <v>3.0</v>
      </c>
      <c r="C32" s="2" t="s">
        <v>30</v>
      </c>
      <c r="D32" s="2">
        <v>26250.0</v>
      </c>
      <c r="E32" s="12">
        <f t="shared" si="8"/>
        <v>20</v>
      </c>
      <c r="F32" s="9">
        <f t="shared" si="9"/>
        <v>525000</v>
      </c>
      <c r="J32" s="8">
        <v>3.0</v>
      </c>
      <c r="K32" s="2" t="s">
        <v>31</v>
      </c>
      <c r="L32" s="2">
        <v>39.0</v>
      </c>
      <c r="M32" s="2">
        <f t="shared" si="6"/>
        <v>1519724</v>
      </c>
      <c r="N32" s="10">
        <f>ROUND(67000000/1.3*1.15,0)</f>
        <v>59269231</v>
      </c>
      <c r="O32" s="3">
        <f t="shared" ref="O32:O33" si="11">ROUND(N32*0.9*1.3,0)</f>
        <v>69345000</v>
      </c>
      <c r="P32" s="3"/>
      <c r="R32" s="8">
        <v>3.0</v>
      </c>
      <c r="S32" s="2" t="s">
        <v>32</v>
      </c>
      <c r="T32" s="11" t="s">
        <v>33</v>
      </c>
      <c r="U32" s="2">
        <v>10.0</v>
      </c>
      <c r="V32" s="9">
        <f>80000*U32</f>
        <v>800000</v>
      </c>
      <c r="Y32" s="8">
        <v>3.0</v>
      </c>
      <c r="Z32" s="2" t="s">
        <v>34</v>
      </c>
      <c r="AA32" s="2">
        <v>82000.0</v>
      </c>
      <c r="AB32" s="2">
        <v>3.0</v>
      </c>
      <c r="AC32" s="9">
        <f t="shared" si="7"/>
        <v>246000</v>
      </c>
      <c r="AF32" s="8">
        <v>3.0</v>
      </c>
      <c r="AG32" s="2" t="s">
        <v>44</v>
      </c>
      <c r="AH32" s="11">
        <v>8000.0</v>
      </c>
      <c r="AI32" s="2">
        <v>203.0</v>
      </c>
      <c r="AJ32" s="9">
        <f t="shared" si="10"/>
        <v>1624000</v>
      </c>
      <c r="AM32" s="8">
        <v>3.0</v>
      </c>
      <c r="AO32" s="13"/>
      <c r="AQ32" s="9"/>
    </row>
    <row r="33">
      <c r="B33" s="8">
        <v>4.0</v>
      </c>
      <c r="C33" s="2" t="s">
        <v>36</v>
      </c>
      <c r="D33" s="2">
        <f>7500*10</f>
        <v>75000</v>
      </c>
      <c r="E33" s="12">
        <f t="shared" si="8"/>
        <v>20</v>
      </c>
      <c r="F33" s="9">
        <f t="shared" si="9"/>
        <v>1500000</v>
      </c>
      <c r="J33" s="8">
        <v>4.0</v>
      </c>
      <c r="K33" s="2" t="s">
        <v>37</v>
      </c>
      <c r="L33" s="2">
        <v>69.0</v>
      </c>
      <c r="M33" s="2">
        <f t="shared" si="6"/>
        <v>807692</v>
      </c>
      <c r="N33" s="10">
        <f>ROUND(63000000/1.3*1.15,0)</f>
        <v>55730769</v>
      </c>
      <c r="O33" s="3">
        <f t="shared" si="11"/>
        <v>65205000</v>
      </c>
      <c r="P33" s="3"/>
      <c r="R33" s="8">
        <v>4.0</v>
      </c>
      <c r="S33" s="2" t="s">
        <v>38</v>
      </c>
      <c r="T33" s="11">
        <v>2500000.0</v>
      </c>
      <c r="U33" s="2">
        <v>1.0</v>
      </c>
      <c r="V33" s="10">
        <f>2500000</f>
        <v>2500000</v>
      </c>
      <c r="Y33" s="8">
        <v>4.0</v>
      </c>
      <c r="Z33" s="2" t="s">
        <v>39</v>
      </c>
      <c r="AA33" s="2">
        <v>39000.0</v>
      </c>
      <c r="AB33" s="2">
        <v>30.0</v>
      </c>
      <c r="AC33" s="9">
        <f t="shared" si="7"/>
        <v>1170000</v>
      </c>
      <c r="AF33" s="8">
        <v>4.0</v>
      </c>
      <c r="AJ33" s="9"/>
      <c r="AM33" s="8">
        <v>4.0</v>
      </c>
      <c r="AQ33" s="9"/>
    </row>
    <row r="34">
      <c r="B34" s="8">
        <v>5.0</v>
      </c>
      <c r="C34" s="2" t="s">
        <v>41</v>
      </c>
      <c r="D34" s="12">
        <f>14000*2</f>
        <v>28000</v>
      </c>
      <c r="E34" s="12">
        <f t="shared" si="8"/>
        <v>20</v>
      </c>
      <c r="F34" s="9">
        <f t="shared" si="9"/>
        <v>560000</v>
      </c>
      <c r="J34" s="8">
        <v>5.0</v>
      </c>
      <c r="K34" s="2" t="s">
        <v>42</v>
      </c>
      <c r="L34" s="2">
        <v>1260.0</v>
      </c>
      <c r="M34" s="2">
        <f t="shared" si="6"/>
        <v>53849</v>
      </c>
      <c r="N34" s="10">
        <f>ROUND(59000000/1.5*1.5*1.15,0)</f>
        <v>67850000</v>
      </c>
      <c r="O34" s="3">
        <f>N34*0.9*1.5</f>
        <v>91597500</v>
      </c>
      <c r="P34" s="3"/>
      <c r="R34" s="8">
        <v>5.0</v>
      </c>
      <c r="V34" s="9"/>
      <c r="Y34" s="8">
        <v>5.0</v>
      </c>
      <c r="Z34" s="2" t="s">
        <v>43</v>
      </c>
      <c r="AA34" s="2">
        <v>46000.0</v>
      </c>
      <c r="AB34" s="2">
        <v>1.0</v>
      </c>
      <c r="AC34" s="9">
        <f t="shared" si="7"/>
        <v>46000</v>
      </c>
      <c r="AF34" s="8">
        <v>5.0</v>
      </c>
      <c r="AJ34" s="9"/>
      <c r="AM34" s="8">
        <v>5.0</v>
      </c>
      <c r="AQ34" s="9"/>
    </row>
    <row r="35">
      <c r="B35" s="8">
        <v>6.0</v>
      </c>
      <c r="F35" s="9"/>
      <c r="J35" s="8">
        <v>6.0</v>
      </c>
      <c r="K35" s="2" t="s">
        <v>45</v>
      </c>
      <c r="L35" s="2" t="s">
        <v>46</v>
      </c>
      <c r="M35" s="2" t="s">
        <v>46</v>
      </c>
      <c r="N35" s="10">
        <f>51000000*1.15</f>
        <v>58650000</v>
      </c>
      <c r="O35" s="3">
        <f>N35*0.9*1.2</f>
        <v>63342000</v>
      </c>
      <c r="P35" s="3"/>
      <c r="R35" s="8">
        <v>6.0</v>
      </c>
      <c r="V35" s="9"/>
      <c r="Y35" s="8">
        <v>6.0</v>
      </c>
      <c r="Z35" s="2" t="s">
        <v>47</v>
      </c>
      <c r="AA35" s="2">
        <v>91000.0</v>
      </c>
      <c r="AB35" s="2">
        <v>3.0</v>
      </c>
      <c r="AC35" s="9">
        <f t="shared" si="7"/>
        <v>273000</v>
      </c>
      <c r="AF35" s="8">
        <v>6.0</v>
      </c>
      <c r="AH35" s="11"/>
      <c r="AJ35" s="9"/>
      <c r="AM35" s="8">
        <v>6.0</v>
      </c>
      <c r="AO35" s="11"/>
      <c r="AQ35" s="9"/>
    </row>
    <row r="36">
      <c r="B36" s="8">
        <v>7.0</v>
      </c>
      <c r="F36" s="9"/>
      <c r="J36" s="8">
        <v>7.0</v>
      </c>
      <c r="N36" s="9"/>
      <c r="O36" s="3">
        <f>SUM(O30:O35)</f>
        <v>459229500</v>
      </c>
      <c r="P36" s="3"/>
      <c r="R36" s="8">
        <v>7.0</v>
      </c>
      <c r="V36" s="9"/>
      <c r="Y36" s="8">
        <v>7.0</v>
      </c>
      <c r="Z36" s="2" t="s">
        <v>49</v>
      </c>
      <c r="AA36" s="2">
        <v>63000.0</v>
      </c>
      <c r="AB36" s="2">
        <v>50.0</v>
      </c>
      <c r="AC36" s="9">
        <f t="shared" si="7"/>
        <v>3150000</v>
      </c>
      <c r="AF36" s="8">
        <v>7.0</v>
      </c>
      <c r="AJ36" s="9"/>
      <c r="AM36" s="8">
        <v>7.0</v>
      </c>
      <c r="AQ36" s="9"/>
    </row>
    <row r="37">
      <c r="B37" s="8">
        <v>8.0</v>
      </c>
      <c r="F37" s="9"/>
      <c r="J37" s="8">
        <v>8.0</v>
      </c>
      <c r="N37" s="9">
        <f>N30+N31+N32+N33+N34+N35</f>
        <v>376214286</v>
      </c>
      <c r="O37" s="3">
        <f>ROUND(0.97*(O36+O36*0.1*0.5),0)</f>
        <v>467725246</v>
      </c>
      <c r="P37" s="3">
        <f>O37-N37</f>
        <v>91510960</v>
      </c>
      <c r="R37" s="8">
        <v>8.0</v>
      </c>
      <c r="V37" s="9"/>
      <c r="Y37" s="8">
        <v>8.0</v>
      </c>
      <c r="Z37" s="2" t="s">
        <v>50</v>
      </c>
      <c r="AA37" s="2">
        <v>30000.0</v>
      </c>
      <c r="AB37" s="2">
        <v>100.0</v>
      </c>
      <c r="AC37" s="9">
        <f t="shared" si="7"/>
        <v>3000000</v>
      </c>
      <c r="AF37" s="8">
        <v>8.0</v>
      </c>
      <c r="AJ37" s="9"/>
      <c r="AM37" s="8">
        <v>8.0</v>
      </c>
      <c r="AQ37" s="9"/>
    </row>
    <row r="38">
      <c r="B38" s="8">
        <v>9.0</v>
      </c>
      <c r="F38" s="9"/>
      <c r="J38" s="8">
        <v>9.0</v>
      </c>
      <c r="N38" s="9"/>
      <c r="O38" s="3"/>
      <c r="P38" s="3"/>
      <c r="R38" s="8">
        <v>9.0</v>
      </c>
      <c r="V38" s="9"/>
      <c r="Y38" s="8">
        <v>9.0</v>
      </c>
      <c r="Z38" s="2" t="s">
        <v>51</v>
      </c>
      <c r="AA38" s="2">
        <v>50000.0</v>
      </c>
      <c r="AB38" s="2">
        <v>10.0</v>
      </c>
      <c r="AC38" s="9">
        <f t="shared" si="7"/>
        <v>500000</v>
      </c>
      <c r="AF38" s="8">
        <v>9.0</v>
      </c>
      <c r="AJ38" s="9"/>
      <c r="AM38" s="8">
        <v>9.0</v>
      </c>
      <c r="AQ38" s="9"/>
    </row>
    <row r="39">
      <c r="B39" s="8">
        <v>10.0</v>
      </c>
      <c r="F39" s="9"/>
      <c r="J39" s="8">
        <v>10.0</v>
      </c>
      <c r="N39" s="9"/>
      <c r="O39" s="3"/>
      <c r="P39" s="3"/>
      <c r="R39" s="8">
        <v>10.0</v>
      </c>
      <c r="V39" s="9"/>
      <c r="Y39" s="8">
        <v>10.0</v>
      </c>
      <c r="AC39" s="9"/>
      <c r="AF39" s="8">
        <v>10.0</v>
      </c>
      <c r="AJ39" s="9"/>
      <c r="AM39" s="8">
        <v>10.0</v>
      </c>
      <c r="AQ39" s="9"/>
    </row>
    <row r="40">
      <c r="B40" s="8">
        <v>11.0</v>
      </c>
      <c r="F40" s="9"/>
      <c r="J40" s="8">
        <v>11.0</v>
      </c>
      <c r="N40" s="9"/>
      <c r="O40" s="3"/>
      <c r="P40" s="3"/>
      <c r="R40" s="8">
        <v>11.0</v>
      </c>
      <c r="V40" s="9"/>
      <c r="Y40" s="8">
        <v>11.0</v>
      </c>
      <c r="AC40" s="9"/>
      <c r="AF40" s="8">
        <v>11.0</v>
      </c>
      <c r="AJ40" s="9"/>
      <c r="AM40" s="8">
        <v>11.0</v>
      </c>
      <c r="AQ40" s="9"/>
    </row>
    <row r="41">
      <c r="B41" s="8">
        <v>12.0</v>
      </c>
      <c r="F41" s="9"/>
      <c r="J41" s="8">
        <v>12.0</v>
      </c>
      <c r="N41" s="9"/>
      <c r="O41" s="3"/>
      <c r="P41" s="3"/>
      <c r="R41" s="8">
        <v>12.0</v>
      </c>
      <c r="V41" s="9"/>
      <c r="Y41" s="8">
        <v>12.0</v>
      </c>
      <c r="AC41" s="9"/>
      <c r="AF41" s="8">
        <v>12.0</v>
      </c>
      <c r="AJ41" s="9"/>
      <c r="AM41" s="8">
        <v>12.0</v>
      </c>
      <c r="AQ41" s="9"/>
    </row>
    <row r="42">
      <c r="B42" s="8">
        <v>13.0</v>
      </c>
      <c r="F42" s="9"/>
      <c r="J42" s="8">
        <v>13.0</v>
      </c>
      <c r="N42" s="9"/>
      <c r="O42" s="3"/>
      <c r="P42" s="3"/>
      <c r="R42" s="8">
        <v>13.0</v>
      </c>
      <c r="V42" s="9"/>
      <c r="Y42" s="8">
        <v>13.0</v>
      </c>
      <c r="AC42" s="9"/>
      <c r="AF42" s="8">
        <v>13.0</v>
      </c>
      <c r="AJ42" s="9"/>
      <c r="AM42" s="8">
        <v>13.0</v>
      </c>
      <c r="AQ42" s="9"/>
    </row>
    <row r="43">
      <c r="B43" s="8">
        <v>14.0</v>
      </c>
      <c r="F43" s="9"/>
      <c r="J43" s="8">
        <v>14.0</v>
      </c>
      <c r="N43" s="9"/>
      <c r="O43" s="3"/>
      <c r="P43" s="3"/>
      <c r="R43" s="8">
        <v>14.0</v>
      </c>
      <c r="V43" s="9"/>
      <c r="Y43" s="8">
        <v>14.0</v>
      </c>
      <c r="AC43" s="9"/>
      <c r="AF43" s="8">
        <v>14.0</v>
      </c>
      <c r="AJ43" s="9"/>
      <c r="AM43" s="8">
        <v>14.0</v>
      </c>
      <c r="AQ43" s="9"/>
    </row>
    <row r="44">
      <c r="B44" s="8">
        <v>15.0</v>
      </c>
      <c r="F44" s="9"/>
      <c r="J44" s="8">
        <v>15.0</v>
      </c>
      <c r="N44" s="9"/>
      <c r="O44" s="3"/>
      <c r="P44" s="3"/>
      <c r="R44" s="8">
        <v>15.0</v>
      </c>
      <c r="V44" s="9"/>
      <c r="Y44" s="8">
        <v>15.0</v>
      </c>
      <c r="AC44" s="9"/>
      <c r="AF44" s="8">
        <v>15.0</v>
      </c>
      <c r="AJ44" s="9"/>
      <c r="AM44" s="8">
        <v>15.0</v>
      </c>
      <c r="AQ44" s="9"/>
    </row>
    <row r="45">
      <c r="B45" s="8">
        <v>16.0</v>
      </c>
      <c r="F45" s="9"/>
      <c r="J45" s="8">
        <v>16.0</v>
      </c>
      <c r="N45" s="9"/>
      <c r="O45" s="3"/>
      <c r="P45" s="3"/>
      <c r="R45" s="8">
        <v>16.0</v>
      </c>
      <c r="V45" s="9"/>
      <c r="Y45" s="8">
        <v>16.0</v>
      </c>
      <c r="AC45" s="9"/>
      <c r="AF45" s="8">
        <v>16.0</v>
      </c>
      <c r="AJ45" s="9"/>
      <c r="AM45" s="8">
        <v>16.0</v>
      </c>
      <c r="AQ45" s="9"/>
    </row>
    <row r="46">
      <c r="B46" s="8">
        <v>17.0</v>
      </c>
      <c r="F46" s="9"/>
      <c r="J46" s="8">
        <v>17.0</v>
      </c>
      <c r="N46" s="9"/>
      <c r="O46" s="3"/>
      <c r="P46" s="3"/>
      <c r="R46" s="8">
        <v>17.0</v>
      </c>
      <c r="V46" s="9"/>
      <c r="Y46" s="8">
        <v>17.0</v>
      </c>
      <c r="AC46" s="9"/>
      <c r="AF46" s="8">
        <v>17.0</v>
      </c>
      <c r="AJ46" s="9"/>
      <c r="AM46" s="8">
        <v>17.0</v>
      </c>
      <c r="AQ46" s="9"/>
    </row>
    <row r="47">
      <c r="B47" s="8">
        <v>18.0</v>
      </c>
      <c r="F47" s="9"/>
      <c r="J47" s="8">
        <v>18.0</v>
      </c>
      <c r="N47" s="9"/>
      <c r="O47" s="3"/>
      <c r="P47" s="3"/>
      <c r="R47" s="8">
        <v>18.0</v>
      </c>
      <c r="V47" s="9"/>
      <c r="Y47" s="8">
        <v>18.0</v>
      </c>
      <c r="AC47" s="9"/>
      <c r="AF47" s="8">
        <v>18.0</v>
      </c>
      <c r="AJ47" s="9"/>
      <c r="AM47" s="8">
        <v>18.0</v>
      </c>
      <c r="AQ47" s="9"/>
    </row>
    <row r="48">
      <c r="B48" s="14">
        <v>19.0</v>
      </c>
      <c r="C48" s="15"/>
      <c r="D48" s="15"/>
      <c r="E48" s="15"/>
      <c r="F48" s="16"/>
      <c r="J48" s="14">
        <v>19.0</v>
      </c>
      <c r="K48" s="15"/>
      <c r="L48" s="15"/>
      <c r="M48" s="15"/>
      <c r="N48" s="16"/>
      <c r="O48" s="3"/>
      <c r="P48" s="3"/>
      <c r="R48" s="14">
        <v>19.0</v>
      </c>
      <c r="S48" s="15"/>
      <c r="T48" s="15"/>
      <c r="U48" s="15"/>
      <c r="V48" s="16"/>
      <c r="Y48" s="14">
        <v>19.0</v>
      </c>
      <c r="Z48" s="15"/>
      <c r="AA48" s="15"/>
      <c r="AB48" s="15"/>
      <c r="AC48" s="16"/>
      <c r="AF48" s="14">
        <v>19.0</v>
      </c>
      <c r="AG48" s="15"/>
      <c r="AH48" s="15"/>
      <c r="AI48" s="15"/>
      <c r="AJ48" s="16"/>
      <c r="AM48" s="14">
        <v>19.0</v>
      </c>
      <c r="AN48" s="15"/>
      <c r="AO48" s="15"/>
      <c r="AP48" s="15"/>
      <c r="AQ48" s="16"/>
    </row>
    <row r="49">
      <c r="A49" s="2" t="s">
        <v>52</v>
      </c>
      <c r="B49" s="10">
        <f>SUM(F30:F34)</f>
        <v>13305000</v>
      </c>
      <c r="I49" s="2" t="s">
        <v>53</v>
      </c>
      <c r="J49" s="2">
        <f>SUM(N30:N35)</f>
        <v>376214286</v>
      </c>
      <c r="O49" s="3"/>
      <c r="P49" s="3"/>
      <c r="Q49" s="2" t="s">
        <v>54</v>
      </c>
      <c r="R49" s="2">
        <f>SUM(V30:V33)</f>
        <v>4106070</v>
      </c>
      <c r="X49" s="2" t="s">
        <v>55</v>
      </c>
      <c r="Y49" s="2">
        <f>SUM(AC30:AC40)</f>
        <v>39185000</v>
      </c>
      <c r="AE49" s="2" t="s">
        <v>56</v>
      </c>
      <c r="AF49" s="12">
        <f>SUM(AJ30:AJ32)</f>
        <v>12572000</v>
      </c>
      <c r="AL49" s="2" t="s">
        <v>57</v>
      </c>
      <c r="AM49" s="12">
        <f>SUM(AQ30:AQ32)</f>
        <v>14290000</v>
      </c>
    </row>
    <row r="50">
      <c r="B50" s="2" t="s">
        <v>58</v>
      </c>
      <c r="J50" s="2" t="s">
        <v>58</v>
      </c>
      <c r="O50" s="3"/>
      <c r="P50" s="3"/>
      <c r="R50" s="2" t="s">
        <v>58</v>
      </c>
      <c r="Y50" s="2" t="s">
        <v>58</v>
      </c>
      <c r="AC50" s="2"/>
      <c r="AD50" s="2"/>
      <c r="AF50" s="2" t="s">
        <v>58</v>
      </c>
      <c r="AM50" s="2" t="s">
        <v>58</v>
      </c>
    </row>
    <row r="51">
      <c r="O51" s="3"/>
      <c r="P51" s="3"/>
    </row>
    <row r="52">
      <c r="A52" s="4" t="s">
        <v>63</v>
      </c>
      <c r="B52" s="2">
        <f>SUM(B49,J49,R49,Y49,AF49,AL45)</f>
        <v>445382356</v>
      </c>
      <c r="D52" s="4" t="s">
        <v>59</v>
      </c>
      <c r="E52" s="12">
        <f>O37</f>
        <v>467725246</v>
      </c>
      <c r="G52" s="4" t="s">
        <v>60</v>
      </c>
      <c r="H52" s="12">
        <f>(E52-B52)*0.8</f>
        <v>17874312</v>
      </c>
      <c r="O52" s="3"/>
      <c r="P52" s="3"/>
    </row>
    <row r="53">
      <c r="B53" s="2" t="s">
        <v>58</v>
      </c>
      <c r="O53" s="3"/>
      <c r="P53" s="3"/>
    </row>
    <row r="54">
      <c r="O54" s="3"/>
      <c r="P54" s="3"/>
    </row>
    <row r="55">
      <c r="A55" s="2" t="s">
        <v>64</v>
      </c>
      <c r="O55" s="3"/>
      <c r="P55" s="3"/>
    </row>
    <row r="56">
      <c r="A56" s="4" t="s">
        <v>1</v>
      </c>
      <c r="B56" s="5" t="s">
        <v>2</v>
      </c>
      <c r="C56" s="6" t="s">
        <v>3</v>
      </c>
      <c r="D56" s="6" t="s">
        <v>4</v>
      </c>
      <c r="E56" s="6" t="s">
        <v>5</v>
      </c>
      <c r="F56" s="7" t="s">
        <v>6</v>
      </c>
      <c r="I56" s="4" t="s">
        <v>7</v>
      </c>
      <c r="J56" s="5" t="s">
        <v>2</v>
      </c>
      <c r="K56" s="6" t="s">
        <v>3</v>
      </c>
      <c r="L56" s="6" t="s">
        <v>8</v>
      </c>
      <c r="M56" s="6" t="s">
        <v>9</v>
      </c>
      <c r="N56" s="7" t="s">
        <v>6</v>
      </c>
      <c r="O56" s="3"/>
      <c r="P56" s="3"/>
      <c r="Q56" s="4" t="s">
        <v>10</v>
      </c>
      <c r="R56" s="5" t="s">
        <v>2</v>
      </c>
      <c r="S56" s="6" t="s">
        <v>3</v>
      </c>
      <c r="T56" s="6" t="s">
        <v>11</v>
      </c>
      <c r="U56" s="6" t="s">
        <v>5</v>
      </c>
      <c r="V56" s="7" t="s">
        <v>6</v>
      </c>
      <c r="X56" s="4" t="s">
        <v>12</v>
      </c>
      <c r="Y56" s="5" t="s">
        <v>2</v>
      </c>
      <c r="Z56" s="6" t="s">
        <v>3</v>
      </c>
      <c r="AA56" s="6" t="s">
        <v>4</v>
      </c>
      <c r="AB56" s="6" t="s">
        <v>5</v>
      </c>
      <c r="AC56" s="7" t="s">
        <v>6</v>
      </c>
      <c r="AD56" s="2"/>
      <c r="AE56" s="4" t="s">
        <v>13</v>
      </c>
      <c r="AF56" s="5" t="s">
        <v>2</v>
      </c>
      <c r="AG56" s="6" t="s">
        <v>3</v>
      </c>
      <c r="AH56" s="6" t="s">
        <v>4</v>
      </c>
      <c r="AI56" s="6" t="s">
        <v>5</v>
      </c>
      <c r="AJ56" s="7" t="s">
        <v>6</v>
      </c>
      <c r="AK56" s="2"/>
      <c r="AL56" s="4" t="s">
        <v>14</v>
      </c>
      <c r="AM56" s="5" t="s">
        <v>2</v>
      </c>
      <c r="AN56" s="6" t="s">
        <v>3</v>
      </c>
      <c r="AO56" s="6" t="s">
        <v>4</v>
      </c>
      <c r="AP56" s="6" t="s">
        <v>5</v>
      </c>
      <c r="AQ56" s="7" t="s">
        <v>6</v>
      </c>
      <c r="AR56" s="2"/>
    </row>
    <row r="57">
      <c r="B57" s="8">
        <v>1.0</v>
      </c>
      <c r="C57" s="2" t="s">
        <v>62</v>
      </c>
      <c r="F57" s="10">
        <v>1.0E7</v>
      </c>
      <c r="J57" s="8">
        <v>1.0</v>
      </c>
      <c r="K57" s="2" t="s">
        <v>16</v>
      </c>
      <c r="L57" s="2">
        <v>300.0</v>
      </c>
      <c r="M57" s="2">
        <f t="shared" ref="M57:M61" si="12">ROUND(N57/L57,0)</f>
        <v>361483</v>
      </c>
      <c r="N57" s="10">
        <f>ROUND(82000000/1.4*2*0.7*1.15*1.15,0)</f>
        <v>108445000</v>
      </c>
      <c r="O57" s="3">
        <f>N57*0.9*1.4</f>
        <v>136640700</v>
      </c>
      <c r="P57" s="3"/>
      <c r="R57" s="8">
        <v>1.0</v>
      </c>
      <c r="S57" s="2" t="s">
        <v>17</v>
      </c>
      <c r="T57" s="11" t="s">
        <v>18</v>
      </c>
      <c r="U57" s="2">
        <v>3.0</v>
      </c>
      <c r="V57" s="9">
        <f>429*10*83</f>
        <v>356070</v>
      </c>
      <c r="Y57" s="8">
        <v>1.0</v>
      </c>
      <c r="Z57" s="2" t="s">
        <v>19</v>
      </c>
      <c r="AA57" s="2">
        <v>48000.0</v>
      </c>
      <c r="AB57" s="2">
        <v>400.0</v>
      </c>
      <c r="AC57" s="9">
        <f t="shared" ref="AC57:AC65" si="13">AB57*AA57</f>
        <v>19200000</v>
      </c>
      <c r="AF57" s="8">
        <v>1.0</v>
      </c>
      <c r="AG57" s="2" t="s">
        <v>20</v>
      </c>
      <c r="AH57" s="11" t="s">
        <v>21</v>
      </c>
      <c r="AI57" s="2">
        <f>160*30*50</f>
        <v>240000</v>
      </c>
      <c r="AJ57" s="9">
        <f>45*AI57</f>
        <v>10800000</v>
      </c>
      <c r="AM57" s="8">
        <v>1.0</v>
      </c>
      <c r="AN57" s="2" t="s">
        <v>22</v>
      </c>
      <c r="AO57" s="11">
        <v>730000.0</v>
      </c>
      <c r="AP57" s="2">
        <v>3.0</v>
      </c>
      <c r="AQ57" s="9">
        <f>AO57*AP57</f>
        <v>2190000</v>
      </c>
    </row>
    <row r="58">
      <c r="B58" s="8">
        <v>2.0</v>
      </c>
      <c r="C58" s="2" t="s">
        <v>23</v>
      </c>
      <c r="D58" s="2">
        <v>36000.0</v>
      </c>
      <c r="E58" s="12">
        <f t="shared" ref="E58:E61" si="14">$AP$58-$AP$31</f>
        <v>22</v>
      </c>
      <c r="F58" s="9">
        <f t="shared" ref="F58:F61" si="15">D58*E58</f>
        <v>792000</v>
      </c>
      <c r="J58" s="8">
        <v>2.0</v>
      </c>
      <c r="K58" s="2" t="s">
        <v>24</v>
      </c>
      <c r="L58" s="2">
        <v>2000.0</v>
      </c>
      <c r="M58" s="2">
        <f t="shared" si="12"/>
        <v>23238</v>
      </c>
      <c r="N58" s="10">
        <f>ROUND(82000000/1.4*2*0.3*1.15*1.15,0)</f>
        <v>46476429</v>
      </c>
      <c r="O58" s="3">
        <f>ROUND(N58*0.9*1.4,0)</f>
        <v>58560301</v>
      </c>
      <c r="P58" s="3"/>
      <c r="R58" s="8">
        <v>2.0</v>
      </c>
      <c r="S58" s="2" t="s">
        <v>25</v>
      </c>
      <c r="T58" s="11" t="s">
        <v>26</v>
      </c>
      <c r="U58" s="2">
        <v>3.0</v>
      </c>
      <c r="V58" s="9">
        <f>150000*3</f>
        <v>450000</v>
      </c>
      <c r="Y58" s="8">
        <v>2.0</v>
      </c>
      <c r="Z58" s="2" t="s">
        <v>27</v>
      </c>
      <c r="AA58" s="2">
        <v>58000.0</v>
      </c>
      <c r="AB58" s="2">
        <v>200.0</v>
      </c>
      <c r="AC58" s="9">
        <f t="shared" si="13"/>
        <v>11600000</v>
      </c>
      <c r="AF58" s="8">
        <v>2.0</v>
      </c>
      <c r="AG58" s="2" t="s">
        <v>40</v>
      </c>
      <c r="AH58" s="11">
        <v>37.0</v>
      </c>
      <c r="AI58" s="2">
        <f>4000</f>
        <v>4000</v>
      </c>
      <c r="AJ58" s="10">
        <f t="shared" ref="AJ58:AJ59" si="16">AH58*AI58</f>
        <v>148000</v>
      </c>
      <c r="AK58" s="2"/>
      <c r="AM58" s="8">
        <v>2.0</v>
      </c>
      <c r="AN58" s="2" t="s">
        <v>29</v>
      </c>
      <c r="AO58" s="11">
        <v>55000.0</v>
      </c>
      <c r="AP58" s="2">
        <f>AP31*1.1</f>
        <v>242</v>
      </c>
      <c r="AQ58" s="9">
        <f>$AO$4*AP58</f>
        <v>13310000</v>
      </c>
      <c r="AR58" s="2"/>
    </row>
    <row r="59">
      <c r="B59" s="8">
        <v>3.0</v>
      </c>
      <c r="C59" s="2" t="s">
        <v>30</v>
      </c>
      <c r="D59" s="2">
        <v>26250.0</v>
      </c>
      <c r="E59" s="12">
        <f t="shared" si="14"/>
        <v>22</v>
      </c>
      <c r="F59" s="9">
        <f t="shared" si="15"/>
        <v>577500</v>
      </c>
      <c r="J59" s="8">
        <v>3.0</v>
      </c>
      <c r="K59" s="2" t="s">
        <v>31</v>
      </c>
      <c r="L59" s="2">
        <v>39.0</v>
      </c>
      <c r="M59" s="2">
        <f t="shared" si="12"/>
        <v>1747682</v>
      </c>
      <c r="N59" s="10">
        <f>ROUND(67000000/1.3*1.15*1.15,0)</f>
        <v>68159615</v>
      </c>
      <c r="O59" s="3">
        <f t="shared" ref="O59:O60" si="17">ROUND(N59*0.9*1.3,0)</f>
        <v>79746750</v>
      </c>
      <c r="P59" s="3"/>
      <c r="R59" s="8">
        <v>3.0</v>
      </c>
      <c r="S59" s="2" t="s">
        <v>32</v>
      </c>
      <c r="T59" s="11" t="s">
        <v>33</v>
      </c>
      <c r="U59" s="2">
        <v>10.0</v>
      </c>
      <c r="V59" s="9">
        <f>80000*U59</f>
        <v>800000</v>
      </c>
      <c r="Y59" s="8">
        <v>3.0</v>
      </c>
      <c r="Z59" s="2" t="s">
        <v>34</v>
      </c>
      <c r="AA59" s="2">
        <v>82000.0</v>
      </c>
      <c r="AB59" s="2">
        <v>3.0</v>
      </c>
      <c r="AC59" s="9">
        <f t="shared" si="13"/>
        <v>246000</v>
      </c>
      <c r="AF59" s="8">
        <v>3.0</v>
      </c>
      <c r="AG59" s="2" t="s">
        <v>44</v>
      </c>
      <c r="AH59" s="11">
        <v>8000.0</v>
      </c>
      <c r="AI59" s="2">
        <v>203.0</v>
      </c>
      <c r="AJ59" s="9">
        <f t="shared" si="16"/>
        <v>1624000</v>
      </c>
      <c r="AM59" s="8">
        <v>3.0</v>
      </c>
      <c r="AO59" s="13"/>
      <c r="AQ59" s="9"/>
    </row>
    <row r="60">
      <c r="B60" s="8">
        <v>4.0</v>
      </c>
      <c r="C60" s="2" t="s">
        <v>36</v>
      </c>
      <c r="D60" s="2">
        <f>7500*10</f>
        <v>75000</v>
      </c>
      <c r="E60" s="12">
        <f t="shared" si="14"/>
        <v>22</v>
      </c>
      <c r="F60" s="9">
        <f t="shared" si="15"/>
        <v>1650000</v>
      </c>
      <c r="J60" s="8">
        <v>4.0</v>
      </c>
      <c r="K60" s="2" t="s">
        <v>37</v>
      </c>
      <c r="L60" s="2">
        <v>69.0</v>
      </c>
      <c r="M60" s="2">
        <f t="shared" si="12"/>
        <v>928846</v>
      </c>
      <c r="N60" s="10">
        <f>ROUND(63000000/1.3*1.15*1.15,0)</f>
        <v>64090385</v>
      </c>
      <c r="O60" s="3">
        <f t="shared" si="17"/>
        <v>74985750</v>
      </c>
      <c r="P60" s="3"/>
      <c r="R60" s="8">
        <v>4.0</v>
      </c>
      <c r="S60" s="2" t="s">
        <v>38</v>
      </c>
      <c r="T60" s="11">
        <v>2500000.0</v>
      </c>
      <c r="U60" s="2">
        <v>1.0</v>
      </c>
      <c r="V60" s="10">
        <f>2500000</f>
        <v>2500000</v>
      </c>
      <c r="Y60" s="8">
        <v>4.0</v>
      </c>
      <c r="Z60" s="2" t="s">
        <v>39</v>
      </c>
      <c r="AA60" s="2">
        <v>39000.0</v>
      </c>
      <c r="AB60" s="2">
        <v>30.0</v>
      </c>
      <c r="AC60" s="9">
        <f t="shared" si="13"/>
        <v>1170000</v>
      </c>
      <c r="AF60" s="8">
        <v>4.0</v>
      </c>
      <c r="AJ60" s="9"/>
      <c r="AM60" s="8">
        <v>4.0</v>
      </c>
      <c r="AQ60" s="9"/>
    </row>
    <row r="61">
      <c r="B61" s="8">
        <v>5.0</v>
      </c>
      <c r="C61" s="2" t="s">
        <v>41</v>
      </c>
      <c r="D61" s="12">
        <f>14000*2</f>
        <v>28000</v>
      </c>
      <c r="E61" s="12">
        <f t="shared" si="14"/>
        <v>22</v>
      </c>
      <c r="F61" s="9">
        <f t="shared" si="15"/>
        <v>616000</v>
      </c>
      <c r="J61" s="8">
        <v>5.0</v>
      </c>
      <c r="K61" s="2" t="s">
        <v>42</v>
      </c>
      <c r="L61" s="2">
        <v>1260.0</v>
      </c>
      <c r="M61" s="2">
        <f t="shared" si="12"/>
        <v>61927</v>
      </c>
      <c r="N61" s="10">
        <f>ROUND(59000000/1.5*1.5*1.15*1.15,0)</f>
        <v>78027500</v>
      </c>
      <c r="O61" s="3">
        <f>N61*0.9*1.5</f>
        <v>105337125</v>
      </c>
      <c r="P61" s="3"/>
      <c r="R61" s="8">
        <v>5.0</v>
      </c>
      <c r="V61" s="9"/>
      <c r="Y61" s="8">
        <v>5.0</v>
      </c>
      <c r="Z61" s="2" t="s">
        <v>43</v>
      </c>
      <c r="AA61" s="2">
        <v>46000.0</v>
      </c>
      <c r="AB61" s="2">
        <v>1.0</v>
      </c>
      <c r="AC61" s="9">
        <f t="shared" si="13"/>
        <v>46000</v>
      </c>
      <c r="AF61" s="8">
        <v>5.0</v>
      </c>
      <c r="AJ61" s="9"/>
      <c r="AM61" s="8">
        <v>5.0</v>
      </c>
      <c r="AQ61" s="9"/>
    </row>
    <row r="62">
      <c r="B62" s="8">
        <v>6.0</v>
      </c>
      <c r="F62" s="9"/>
      <c r="J62" s="8">
        <v>6.0</v>
      </c>
      <c r="K62" s="2" t="s">
        <v>45</v>
      </c>
      <c r="L62" s="2" t="s">
        <v>46</v>
      </c>
      <c r="M62" s="2" t="s">
        <v>46</v>
      </c>
      <c r="N62" s="10">
        <f>51000000*1.15*1.15</f>
        <v>67447500</v>
      </c>
      <c r="O62" s="3">
        <f>N62*0.9*1.2</f>
        <v>72843300</v>
      </c>
      <c r="P62" s="3"/>
      <c r="R62" s="8">
        <v>6.0</v>
      </c>
      <c r="V62" s="9"/>
      <c r="Y62" s="8">
        <v>6.0</v>
      </c>
      <c r="Z62" s="2" t="s">
        <v>47</v>
      </c>
      <c r="AA62" s="2">
        <v>91000.0</v>
      </c>
      <c r="AB62" s="2">
        <v>3.0</v>
      </c>
      <c r="AC62" s="9">
        <f t="shared" si="13"/>
        <v>273000</v>
      </c>
      <c r="AF62" s="8">
        <v>6.0</v>
      </c>
      <c r="AH62" s="11"/>
      <c r="AJ62" s="9"/>
      <c r="AM62" s="8">
        <v>6.0</v>
      </c>
      <c r="AO62" s="11"/>
      <c r="AQ62" s="9"/>
    </row>
    <row r="63">
      <c r="B63" s="8">
        <v>7.0</v>
      </c>
      <c r="F63" s="9"/>
      <c r="J63" s="8">
        <v>7.0</v>
      </c>
      <c r="N63" s="9"/>
      <c r="O63" s="3">
        <f>SUM(O57:O62)</f>
        <v>528113926</v>
      </c>
      <c r="P63" s="3"/>
      <c r="R63" s="8">
        <v>7.0</v>
      </c>
      <c r="V63" s="9"/>
      <c r="Y63" s="8">
        <v>7.0</v>
      </c>
      <c r="Z63" s="2" t="s">
        <v>49</v>
      </c>
      <c r="AA63" s="2">
        <v>63000.0</v>
      </c>
      <c r="AB63" s="2">
        <v>50.0</v>
      </c>
      <c r="AC63" s="9">
        <f t="shared" si="13"/>
        <v>3150000</v>
      </c>
      <c r="AF63" s="8">
        <v>7.0</v>
      </c>
      <c r="AJ63" s="9"/>
      <c r="AM63" s="8">
        <v>7.0</v>
      </c>
      <c r="AQ63" s="9"/>
    </row>
    <row r="64">
      <c r="B64" s="8">
        <v>8.0</v>
      </c>
      <c r="F64" s="9"/>
      <c r="J64" s="8">
        <v>8.0</v>
      </c>
      <c r="N64" s="9">
        <f>N57+N58+N59+N60+N61+N62</f>
        <v>432646429</v>
      </c>
      <c r="O64" s="3">
        <f>ROUND(0.97*(O63+O63*0.1*0.5),0)</f>
        <v>537884034</v>
      </c>
      <c r="P64" s="3">
        <f>O64-N64</f>
        <v>105237605</v>
      </c>
      <c r="R64" s="8">
        <v>8.0</v>
      </c>
      <c r="V64" s="9"/>
      <c r="Y64" s="8">
        <v>8.0</v>
      </c>
      <c r="Z64" s="2" t="s">
        <v>50</v>
      </c>
      <c r="AA64" s="2">
        <v>30000.0</v>
      </c>
      <c r="AB64" s="2">
        <v>100.0</v>
      </c>
      <c r="AC64" s="9">
        <f t="shared" si="13"/>
        <v>3000000</v>
      </c>
      <c r="AF64" s="8">
        <v>8.0</v>
      </c>
      <c r="AJ64" s="9"/>
      <c r="AM64" s="8">
        <v>8.0</v>
      </c>
      <c r="AQ64" s="9"/>
    </row>
    <row r="65">
      <c r="B65" s="8">
        <v>9.0</v>
      </c>
      <c r="F65" s="9"/>
      <c r="J65" s="8">
        <v>9.0</v>
      </c>
      <c r="N65" s="9"/>
      <c r="R65" s="8">
        <v>9.0</v>
      </c>
      <c r="V65" s="9"/>
      <c r="Y65" s="8">
        <v>9.0</v>
      </c>
      <c r="Z65" s="2" t="s">
        <v>51</v>
      </c>
      <c r="AA65" s="2">
        <v>50000.0</v>
      </c>
      <c r="AB65" s="2">
        <v>10.0</v>
      </c>
      <c r="AC65" s="9">
        <f t="shared" si="13"/>
        <v>500000</v>
      </c>
      <c r="AF65" s="8">
        <v>9.0</v>
      </c>
      <c r="AJ65" s="9"/>
      <c r="AM65" s="8">
        <v>9.0</v>
      </c>
      <c r="AQ65" s="9"/>
    </row>
    <row r="66">
      <c r="B66" s="8">
        <v>10.0</v>
      </c>
      <c r="F66" s="9"/>
      <c r="J66" s="8">
        <v>10.0</v>
      </c>
      <c r="N66" s="9"/>
      <c r="R66" s="8">
        <v>10.0</v>
      </c>
      <c r="V66" s="9"/>
      <c r="Y66" s="8">
        <v>10.0</v>
      </c>
      <c r="AC66" s="9"/>
      <c r="AF66" s="8">
        <v>10.0</v>
      </c>
      <c r="AJ66" s="9"/>
      <c r="AM66" s="8">
        <v>10.0</v>
      </c>
      <c r="AQ66" s="9"/>
    </row>
    <row r="67">
      <c r="B67" s="8">
        <v>11.0</v>
      </c>
      <c r="F67" s="9"/>
      <c r="J67" s="8">
        <v>11.0</v>
      </c>
      <c r="N67" s="9"/>
      <c r="R67" s="8">
        <v>11.0</v>
      </c>
      <c r="V67" s="9"/>
      <c r="Y67" s="8">
        <v>11.0</v>
      </c>
      <c r="AC67" s="9"/>
      <c r="AF67" s="8">
        <v>11.0</v>
      </c>
      <c r="AJ67" s="9"/>
      <c r="AM67" s="8">
        <v>11.0</v>
      </c>
      <c r="AQ67" s="9"/>
    </row>
    <row r="68">
      <c r="B68" s="8">
        <v>12.0</v>
      </c>
      <c r="F68" s="9"/>
      <c r="J68" s="8">
        <v>12.0</v>
      </c>
      <c r="N68" s="9"/>
      <c r="R68" s="8">
        <v>12.0</v>
      </c>
      <c r="V68" s="9"/>
      <c r="Y68" s="8">
        <v>12.0</v>
      </c>
      <c r="AC68" s="9"/>
      <c r="AF68" s="8">
        <v>12.0</v>
      </c>
      <c r="AJ68" s="9"/>
      <c r="AM68" s="8">
        <v>12.0</v>
      </c>
      <c r="AQ68" s="9"/>
    </row>
    <row r="69">
      <c r="B69" s="8">
        <v>13.0</v>
      </c>
      <c r="F69" s="9"/>
      <c r="J69" s="8">
        <v>13.0</v>
      </c>
      <c r="N69" s="9"/>
      <c r="R69" s="8">
        <v>13.0</v>
      </c>
      <c r="V69" s="9"/>
      <c r="Y69" s="8">
        <v>13.0</v>
      </c>
      <c r="AC69" s="9"/>
      <c r="AF69" s="8">
        <v>13.0</v>
      </c>
      <c r="AJ69" s="9"/>
      <c r="AM69" s="8">
        <v>13.0</v>
      </c>
      <c r="AQ69" s="9"/>
    </row>
    <row r="70">
      <c r="B70" s="8">
        <v>14.0</v>
      </c>
      <c r="F70" s="9"/>
      <c r="J70" s="8">
        <v>14.0</v>
      </c>
      <c r="N70" s="9"/>
      <c r="R70" s="8">
        <v>14.0</v>
      </c>
      <c r="V70" s="9"/>
      <c r="Y70" s="8">
        <v>14.0</v>
      </c>
      <c r="AC70" s="9"/>
      <c r="AF70" s="8">
        <v>14.0</v>
      </c>
      <c r="AJ70" s="9"/>
      <c r="AM70" s="8">
        <v>14.0</v>
      </c>
      <c r="AQ70" s="9"/>
    </row>
    <row r="71">
      <c r="B71" s="8">
        <v>15.0</v>
      </c>
      <c r="F71" s="9"/>
      <c r="J71" s="8">
        <v>15.0</v>
      </c>
      <c r="N71" s="9"/>
      <c r="R71" s="8">
        <v>15.0</v>
      </c>
      <c r="V71" s="9"/>
      <c r="Y71" s="8">
        <v>15.0</v>
      </c>
      <c r="AC71" s="9"/>
      <c r="AF71" s="8">
        <v>15.0</v>
      </c>
      <c r="AJ71" s="9"/>
      <c r="AM71" s="8">
        <v>15.0</v>
      </c>
      <c r="AQ71" s="9"/>
    </row>
    <row r="72">
      <c r="B72" s="8">
        <v>16.0</v>
      </c>
      <c r="F72" s="9"/>
      <c r="J72" s="8">
        <v>16.0</v>
      </c>
      <c r="N72" s="9"/>
      <c r="R72" s="8">
        <v>16.0</v>
      </c>
      <c r="V72" s="9"/>
      <c r="Y72" s="8">
        <v>16.0</v>
      </c>
      <c r="AC72" s="9"/>
      <c r="AF72" s="8">
        <v>16.0</v>
      </c>
      <c r="AJ72" s="9"/>
      <c r="AM72" s="8">
        <v>16.0</v>
      </c>
      <c r="AQ72" s="9"/>
    </row>
    <row r="73">
      <c r="B73" s="8">
        <v>17.0</v>
      </c>
      <c r="F73" s="9"/>
      <c r="J73" s="8">
        <v>17.0</v>
      </c>
      <c r="N73" s="9"/>
      <c r="R73" s="8">
        <v>17.0</v>
      </c>
      <c r="V73" s="9"/>
      <c r="Y73" s="8">
        <v>17.0</v>
      </c>
      <c r="AC73" s="9"/>
      <c r="AF73" s="8">
        <v>17.0</v>
      </c>
      <c r="AJ73" s="9"/>
      <c r="AM73" s="8">
        <v>17.0</v>
      </c>
      <c r="AQ73" s="9"/>
    </row>
    <row r="74">
      <c r="B74" s="8">
        <v>18.0</v>
      </c>
      <c r="F74" s="9"/>
      <c r="J74" s="8">
        <v>18.0</v>
      </c>
      <c r="N74" s="9"/>
      <c r="R74" s="8">
        <v>18.0</v>
      </c>
      <c r="V74" s="9"/>
      <c r="Y74" s="8">
        <v>18.0</v>
      </c>
      <c r="AC74" s="9"/>
      <c r="AF74" s="8">
        <v>18.0</v>
      </c>
      <c r="AJ74" s="9"/>
      <c r="AM74" s="8">
        <v>18.0</v>
      </c>
      <c r="AQ74" s="9"/>
    </row>
    <row r="75">
      <c r="B75" s="14">
        <v>19.0</v>
      </c>
      <c r="C75" s="15"/>
      <c r="D75" s="15"/>
      <c r="E75" s="15"/>
      <c r="F75" s="16"/>
      <c r="J75" s="14">
        <v>19.0</v>
      </c>
      <c r="K75" s="15"/>
      <c r="L75" s="15"/>
      <c r="M75" s="15"/>
      <c r="N75" s="16"/>
      <c r="R75" s="14">
        <v>19.0</v>
      </c>
      <c r="S75" s="15"/>
      <c r="T75" s="15"/>
      <c r="U75" s="15"/>
      <c r="V75" s="16"/>
      <c r="Y75" s="14">
        <v>19.0</v>
      </c>
      <c r="Z75" s="15"/>
      <c r="AA75" s="15"/>
      <c r="AB75" s="15"/>
      <c r="AC75" s="16"/>
      <c r="AF75" s="14">
        <v>19.0</v>
      </c>
      <c r="AG75" s="15"/>
      <c r="AH75" s="15"/>
      <c r="AI75" s="15"/>
      <c r="AJ75" s="16"/>
      <c r="AM75" s="14">
        <v>19.0</v>
      </c>
      <c r="AN75" s="15"/>
      <c r="AO75" s="15"/>
      <c r="AP75" s="15"/>
      <c r="AQ75" s="16"/>
    </row>
    <row r="76">
      <c r="A76" s="2" t="s">
        <v>52</v>
      </c>
      <c r="B76" s="10">
        <f>SUM(F57:F61)</f>
        <v>13635500</v>
      </c>
      <c r="I76" s="2" t="s">
        <v>53</v>
      </c>
      <c r="J76" s="2">
        <f>SUM(N57:N62)</f>
        <v>432646429</v>
      </c>
      <c r="Q76" s="2" t="s">
        <v>54</v>
      </c>
      <c r="R76" s="2">
        <f>SUM(V57:V60)</f>
        <v>4106070</v>
      </c>
      <c r="X76" s="2" t="s">
        <v>55</v>
      </c>
      <c r="Y76" s="2">
        <f>SUM(AC57:AC67)</f>
        <v>39185000</v>
      </c>
      <c r="AE76" s="2" t="s">
        <v>56</v>
      </c>
      <c r="AF76" s="12">
        <f>SUM(AJ57:AJ59)</f>
        <v>12572000</v>
      </c>
      <c r="AL76" s="2" t="s">
        <v>57</v>
      </c>
      <c r="AM76" s="12">
        <f>SUM(AQ57:AQ59)</f>
        <v>15500000</v>
      </c>
    </row>
    <row r="77">
      <c r="B77" s="2" t="s">
        <v>58</v>
      </c>
      <c r="J77" s="2" t="s">
        <v>58</v>
      </c>
      <c r="R77" s="2" t="s">
        <v>58</v>
      </c>
      <c r="Y77" s="2" t="s">
        <v>58</v>
      </c>
      <c r="AC77" s="2"/>
      <c r="AD77" s="2"/>
      <c r="AF77" s="2" t="s">
        <v>58</v>
      </c>
      <c r="AM77" s="2" t="s">
        <v>58</v>
      </c>
    </row>
    <row r="79">
      <c r="A79" s="4" t="s">
        <v>63</v>
      </c>
      <c r="B79" s="2">
        <f>SUM(B76,J76,R76,Y76,AF76,AM76)</f>
        <v>517644999</v>
      </c>
      <c r="D79" s="4" t="s">
        <v>59</v>
      </c>
      <c r="E79" s="12">
        <f>O64</f>
        <v>537884034</v>
      </c>
      <c r="G79" s="4" t="s">
        <v>60</v>
      </c>
      <c r="H79" s="12">
        <f>(E79-B79)*0.8</f>
        <v>16191228</v>
      </c>
    </row>
    <row r="80">
      <c r="B80" s="2" t="s">
        <v>58</v>
      </c>
    </row>
    <row r="83">
      <c r="A83" s="4" t="s">
        <v>65</v>
      </c>
      <c r="B83" s="12">
        <f>B79+B52+B25</f>
        <v>1397121282</v>
      </c>
      <c r="D83" s="4" t="s">
        <v>66</v>
      </c>
      <c r="E83" s="12">
        <f>E25+E52+E79</f>
        <v>1412326885</v>
      </c>
      <c r="G83" s="4" t="s">
        <v>67</v>
      </c>
      <c r="H83" s="12">
        <f>H25+H52+H79</f>
        <v>6689218</v>
      </c>
    </row>
    <row r="87">
      <c r="A87" s="2"/>
    </row>
    <row r="88" ht="16.5" customHeight="1">
      <c r="A88" s="17" t="s">
        <v>68</v>
      </c>
    </row>
    <row r="89">
      <c r="D89" s="2"/>
    </row>
    <row r="104">
      <c r="A104" s="2" t="s">
        <v>1</v>
      </c>
      <c r="B104" s="12">
        <f>B76+B49+B22</f>
        <v>61088500</v>
      </c>
    </row>
    <row r="105">
      <c r="A105" s="2" t="s">
        <v>7</v>
      </c>
      <c r="B105" s="12">
        <f>J76+J49+J22</f>
        <v>1136003572</v>
      </c>
    </row>
    <row r="106">
      <c r="A106" s="2" t="s">
        <v>10</v>
      </c>
      <c r="B106" s="12">
        <f>R76+R49+R22</f>
        <v>12318210</v>
      </c>
    </row>
    <row r="107">
      <c r="A107" s="2" t="s">
        <v>12</v>
      </c>
      <c r="B107" s="12">
        <f>Y76+Y49+Y22</f>
        <v>117555000</v>
      </c>
    </row>
    <row r="108">
      <c r="A108" s="2" t="s">
        <v>13</v>
      </c>
      <c r="B108" s="12">
        <f>AF76+AF49+AF22</f>
        <v>41466000</v>
      </c>
    </row>
    <row r="109">
      <c r="A109" s="2" t="s">
        <v>14</v>
      </c>
      <c r="B109" s="12">
        <f>AM76+AM49+AM22</f>
        <v>42980000</v>
      </c>
    </row>
    <row r="112">
      <c r="A112" s="17" t="s">
        <v>69</v>
      </c>
    </row>
    <row r="129">
      <c r="A129" s="18" t="s">
        <v>70</v>
      </c>
      <c r="B129" s="19">
        <f>H25</f>
        <v>-27376322</v>
      </c>
    </row>
    <row r="130">
      <c r="A130" s="18" t="s">
        <v>71</v>
      </c>
      <c r="B130" s="19">
        <f>H52</f>
        <v>17874312</v>
      </c>
    </row>
    <row r="131">
      <c r="A131" s="18" t="s">
        <v>72</v>
      </c>
      <c r="B131" s="19">
        <f>H79</f>
        <v>16191228</v>
      </c>
    </row>
  </sheetData>
  <drawing r:id="rId1"/>
</worksheet>
</file>