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4767d61dabc6f/KULIAH DIMARE/SISTEM OTOMASI PERKANTORAN/"/>
    </mc:Choice>
  </mc:AlternateContent>
  <xr:revisionPtr revIDLastSave="11" documentId="8_{B4CC83A1-780B-49A0-B7CD-843351328480}" xr6:coauthVersionLast="47" xr6:coauthVersionMax="47" xr10:uidLastSave="{471AD5DB-A18B-4E1B-8B14-AC21309A2E58}"/>
  <bookViews>
    <workbookView xWindow="-110" yWindow="-110" windowWidth="19420" windowHeight="10300" xr2:uid="{41B2BDF0-1FE3-4124-BA88-B0CBCDF44CD5}"/>
  </bookViews>
  <sheets>
    <sheet name="Sheet1" sheetId="1" r:id="rId1"/>
  </sheets>
  <calcPr calcId="191029"/>
  <pivotCaches>
    <pivotCache cacheId="1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K5" i="1"/>
  <c r="I13" i="1" l="1"/>
  <c r="N15" i="1"/>
  <c r="M15" i="1"/>
  <c r="K15" i="1"/>
  <c r="L15" i="1" s="1"/>
  <c r="I15" i="1"/>
  <c r="F15" i="1"/>
  <c r="H15" i="1" s="1"/>
  <c r="J15" i="1" s="1"/>
  <c r="E15" i="1"/>
  <c r="G15" i="1" s="1"/>
  <c r="D15" i="1"/>
  <c r="N14" i="1"/>
  <c r="M14" i="1"/>
  <c r="K14" i="1"/>
  <c r="L14" i="1" s="1"/>
  <c r="I14" i="1"/>
  <c r="F14" i="1"/>
  <c r="H14" i="1" s="1"/>
  <c r="E14" i="1"/>
  <c r="G14" i="1" s="1"/>
  <c r="D14" i="1"/>
  <c r="N13" i="1"/>
  <c r="M13" i="1"/>
  <c r="K13" i="1"/>
  <c r="L13" i="1" s="1"/>
  <c r="F13" i="1"/>
  <c r="H13" i="1" s="1"/>
  <c r="E13" i="1"/>
  <c r="G13" i="1" s="1"/>
  <c r="D13" i="1"/>
  <c r="N12" i="1"/>
  <c r="M12" i="1"/>
  <c r="K12" i="1"/>
  <c r="L12" i="1" s="1"/>
  <c r="I12" i="1"/>
  <c r="F12" i="1"/>
  <c r="H12" i="1" s="1"/>
  <c r="J12" i="1" s="1"/>
  <c r="E12" i="1"/>
  <c r="G12" i="1" s="1"/>
  <c r="D12" i="1"/>
  <c r="N11" i="1"/>
  <c r="M11" i="1"/>
  <c r="K11" i="1"/>
  <c r="L11" i="1" s="1"/>
  <c r="I11" i="1"/>
  <c r="F11" i="1"/>
  <c r="H11" i="1" s="1"/>
  <c r="E11" i="1"/>
  <c r="G11" i="1" s="1"/>
  <c r="D11" i="1"/>
  <c r="N10" i="1"/>
  <c r="M10" i="1"/>
  <c r="K10" i="1"/>
  <c r="L10" i="1" s="1"/>
  <c r="I10" i="1"/>
  <c r="F10" i="1"/>
  <c r="H10" i="1" s="1"/>
  <c r="E10" i="1"/>
  <c r="G10" i="1" s="1"/>
  <c r="D10" i="1"/>
  <c r="N9" i="1"/>
  <c r="M9" i="1"/>
  <c r="K9" i="1"/>
  <c r="L9" i="1" s="1"/>
  <c r="I9" i="1"/>
  <c r="J9" i="1" s="1"/>
  <c r="G9" i="1"/>
  <c r="F9" i="1"/>
  <c r="H9" i="1" s="1"/>
  <c r="E9" i="1"/>
  <c r="D9" i="1"/>
  <c r="N8" i="1"/>
  <c r="M8" i="1"/>
  <c r="K8" i="1"/>
  <c r="L8" i="1" s="1"/>
  <c r="I8" i="1"/>
  <c r="F8" i="1"/>
  <c r="H8" i="1" s="1"/>
  <c r="E8" i="1"/>
  <c r="G8" i="1" s="1"/>
  <c r="D8" i="1"/>
  <c r="N7" i="1"/>
  <c r="M7" i="1"/>
  <c r="K7" i="1"/>
  <c r="L7" i="1" s="1"/>
  <c r="I7" i="1"/>
  <c r="F7" i="1"/>
  <c r="H7" i="1" s="1"/>
  <c r="E7" i="1"/>
  <c r="G7" i="1" s="1"/>
  <c r="D7" i="1"/>
  <c r="N6" i="1"/>
  <c r="M6" i="1"/>
  <c r="L6" i="1"/>
  <c r="K6" i="1"/>
  <c r="I6" i="1"/>
  <c r="F6" i="1"/>
  <c r="H6" i="1" s="1"/>
  <c r="E6" i="1"/>
  <c r="G6" i="1" s="1"/>
  <c r="D6" i="1"/>
  <c r="N5" i="1"/>
  <c r="M5" i="1"/>
  <c r="L5" i="1"/>
  <c r="I5" i="1"/>
  <c r="F5" i="1"/>
  <c r="H5" i="1" s="1"/>
  <c r="E5" i="1"/>
  <c r="G5" i="1" s="1"/>
  <c r="D5" i="1"/>
  <c r="N4" i="1"/>
  <c r="M4" i="1"/>
  <c r="K4" i="1"/>
  <c r="L4" i="1" s="1"/>
  <c r="I4" i="1"/>
  <c r="F4" i="1"/>
  <c r="E4" i="1"/>
  <c r="G4" i="1" s="1"/>
  <c r="D4" i="1"/>
  <c r="J7" i="1" l="1"/>
  <c r="J8" i="1"/>
  <c r="J11" i="1"/>
  <c r="J10" i="1"/>
  <c r="O10" i="1" s="1"/>
  <c r="J13" i="1"/>
  <c r="H4" i="1"/>
  <c r="J14" i="1"/>
  <c r="O14" i="1" s="1"/>
  <c r="J6" i="1"/>
  <c r="O6" i="1" s="1"/>
  <c r="O4" i="1"/>
  <c r="O12" i="1"/>
  <c r="O8" i="1"/>
  <c r="D17" i="1"/>
  <c r="O15" i="1"/>
  <c r="O11" i="1"/>
  <c r="O5" i="1"/>
  <c r="O13" i="1"/>
  <c r="O7" i="1"/>
  <c r="O9" i="1"/>
  <c r="D16" i="1"/>
  <c r="P6" i="1" l="1"/>
  <c r="Q6" i="1" s="1"/>
  <c r="P8" i="1"/>
  <c r="Q8" i="1" s="1"/>
  <c r="P14" i="1"/>
  <c r="Q14" i="1" s="1"/>
  <c r="P10" i="1"/>
  <c r="Q10" i="1" s="1"/>
  <c r="P11" i="1"/>
  <c r="Q11" i="1" s="1"/>
  <c r="Q13" i="1"/>
  <c r="P15" i="1"/>
  <c r="Q15" i="1" s="1"/>
  <c r="P4" i="1"/>
  <c r="Q4" i="1" s="1"/>
  <c r="P12" i="1"/>
  <c r="Q12" i="1" s="1"/>
  <c r="D18" i="1"/>
  <c r="P5" i="1"/>
  <c r="Q5" i="1" s="1"/>
  <c r="P13" i="1"/>
  <c r="P9" i="1"/>
  <c r="Q9" i="1" s="1"/>
  <c r="P7" i="1"/>
  <c r="Q7" i="1" s="1"/>
  <c r="Q18" i="1" l="1"/>
  <c r="Q17" i="1"/>
  <c r="Q19" i="1"/>
  <c r="Q16" i="1"/>
</calcChain>
</file>

<file path=xl/sharedStrings.xml><?xml version="1.0" encoding="utf-8"?>
<sst xmlns="http://schemas.openxmlformats.org/spreadsheetml/2006/main" count="123" uniqueCount="103">
  <si>
    <t>DATA PENJUALAN TIKET BUS</t>
  </si>
  <si>
    <t>Kode Tiket</t>
  </si>
  <si>
    <t>Nama penumpang</t>
  </si>
  <si>
    <t>Jumlah Penumpang</t>
  </si>
  <si>
    <t>Asal</t>
  </si>
  <si>
    <t>Tujuan</t>
  </si>
  <si>
    <t>Kelas</t>
  </si>
  <si>
    <t>Jam Berangkat</t>
  </si>
  <si>
    <t>Harga Tiket</t>
  </si>
  <si>
    <t>Jalur Perjalanan</t>
  </si>
  <si>
    <t>Biaya Transportasi</t>
  </si>
  <si>
    <t>Bagasi(kg)</t>
  </si>
  <si>
    <t>Biaya Bagasi</t>
  </si>
  <si>
    <t>Menu Makanan &amp; minuman</t>
  </si>
  <si>
    <t>Harga menu</t>
  </si>
  <si>
    <t>Subtotal</t>
  </si>
  <si>
    <t>Diskon</t>
  </si>
  <si>
    <t>Total</t>
  </si>
  <si>
    <t>MDS-NLJ-BTW15</t>
  </si>
  <si>
    <t>JKB-NLK-COW30</t>
  </si>
  <si>
    <t>LMP-MAT-EOW25</t>
  </si>
  <si>
    <t>MDS-APT-EOW30</t>
  </si>
  <si>
    <t>PKJ-NLJ-BOW20</t>
  </si>
  <si>
    <t>JKB-APK-CTW15</t>
  </si>
  <si>
    <t>PKJ-MAT-BTW25</t>
  </si>
  <si>
    <t>PKJ-MAJ-COW30</t>
  </si>
  <si>
    <t>MDS-NLK-BTW15</t>
  </si>
  <si>
    <t>LMP-APK-EOW15</t>
  </si>
  <si>
    <t>JKB-APT-ETW30</t>
  </si>
  <si>
    <t>MDS-MAJ-BOW25</t>
  </si>
  <si>
    <t>jumlah Perjalanan executive</t>
  </si>
  <si>
    <t>Total keseluruhan</t>
  </si>
  <si>
    <t>Jumlah penumpang Asal Jakarta</t>
  </si>
  <si>
    <t>Total rata rata</t>
  </si>
  <si>
    <t>Total Harga Tiket Penerbangan business</t>
  </si>
  <si>
    <t>Total tertinggi</t>
  </si>
  <si>
    <t>Total Terendah</t>
  </si>
  <si>
    <t>Anita Wongso</t>
  </si>
  <si>
    <t xml:space="preserve">Merlyin Alfaro </t>
  </si>
  <si>
    <t>Derick Gono</t>
  </si>
  <si>
    <t>Rudi Sanjaya</t>
  </si>
  <si>
    <t>Gracia Rianda</t>
  </si>
  <si>
    <t>Jenny Halono</t>
  </si>
  <si>
    <t>Michelle Zen</t>
  </si>
  <si>
    <t>Tjandra Winata</t>
  </si>
  <si>
    <t>Candy Pasaribu</t>
  </si>
  <si>
    <t>Aji Parwira</t>
  </si>
  <si>
    <t>Endang Batubara</t>
  </si>
  <si>
    <t>Robin Salim</t>
  </si>
  <si>
    <t>Harga</t>
  </si>
  <si>
    <t>Juice</t>
  </si>
  <si>
    <t>The</t>
  </si>
  <si>
    <t>Kopi</t>
  </si>
  <si>
    <t>Menu</t>
  </si>
  <si>
    <t>Mie Aceh</t>
  </si>
  <si>
    <t>Ayam Penyet</t>
  </si>
  <si>
    <t>Nasi Lemak</t>
  </si>
  <si>
    <t>J</t>
  </si>
  <si>
    <t>T</t>
  </si>
  <si>
    <t>K</t>
  </si>
  <si>
    <t>Kode Minuman</t>
  </si>
  <si>
    <t>MA</t>
  </si>
  <si>
    <t>AP</t>
  </si>
  <si>
    <t>NL</t>
  </si>
  <si>
    <t>Kode Makanan</t>
  </si>
  <si>
    <t>TABEL MENU MAKANAN</t>
  </si>
  <si>
    <t>10.30 WIB</t>
  </si>
  <si>
    <t>Palembang</t>
  </si>
  <si>
    <t>Lampung</t>
  </si>
  <si>
    <t>LMP</t>
  </si>
  <si>
    <t>Economy</t>
  </si>
  <si>
    <t>C</t>
  </si>
  <si>
    <t>14.10 WIB</t>
  </si>
  <si>
    <t>Bandung</t>
  </si>
  <si>
    <t>Jakarta</t>
  </si>
  <si>
    <t>JKB</t>
  </si>
  <si>
    <t>Business</t>
  </si>
  <si>
    <t>B</t>
  </si>
  <si>
    <t>13.30 WIB</t>
  </si>
  <si>
    <t>Pekanbaru</t>
  </si>
  <si>
    <t>PKJ</t>
  </si>
  <si>
    <t>Executive</t>
  </si>
  <si>
    <t>E</t>
  </si>
  <si>
    <t>09.00 WIB</t>
  </si>
  <si>
    <t>Sabang</t>
  </si>
  <si>
    <t>Medan</t>
  </si>
  <si>
    <t>MDS</t>
  </si>
  <si>
    <t>HARGA TIKET</t>
  </si>
  <si>
    <t>DISKON</t>
  </si>
  <si>
    <t>KELAS</t>
  </si>
  <si>
    <t>KODE KELAS</t>
  </si>
  <si>
    <t xml:space="preserve">Tujuan </t>
  </si>
  <si>
    <t>Asal Penumpang</t>
  </si>
  <si>
    <t>Kode Berangkat</t>
  </si>
  <si>
    <t>TABEL KELAS</t>
  </si>
  <si>
    <t>TABEL KEBERANGKATAN</t>
  </si>
  <si>
    <t>TABEL MENU MINUMAN</t>
  </si>
  <si>
    <t>Sum of Jumlah Penumpang</t>
  </si>
  <si>
    <t>Row Labels</t>
  </si>
  <si>
    <t>ONE WAY</t>
  </si>
  <si>
    <t>TWO WAY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</si>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</sst>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/>
    </xf>
    <xf numFmtId="44" fontId="2" fillId="3" borderId="0" xfId="1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42" fontId="2" fillId="3" borderId="0" xfId="1" applyNumberFormat="1" applyFont="1" applyFill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0" borderId="0" xfId="0" applyFont="1" applyAlignment="1"/>
    <xf numFmtId="0" fontId="2" fillId="3" borderId="0" xfId="0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130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249977111117893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[ulangopk.xlsx]Sheet1!PivotTable3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Sheet1!$T$11:$T$12</c:f>
              <c:strCache>
                <c:ptCount val="1"/>
                <c:pt idx="0">
                  <c:v>Jakarta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Sheet1!$S$13:$S$16</c:f>
              <c:strCache>
                <c:ptCount val="3"/>
                <c:pt idx="0">
                  <c:v>Business</c:v>
                </c:pt>
                <c:pt idx="1">
                  <c:v>Economy</c:v>
                </c:pt>
                <c:pt idx="2">
                  <c:v>Executive</c:v>
                </c:pt>
              </c:strCache>
            </c:strRef>
          </c:cat>
          <c:val>
            <c:numRef>
              <c:f>Sheet1!$T$13:$T$16</c:f>
              <c:numCache>
                <c:formatCode>General</c:formatCode>
                <c:ptCount val="3"/>
                <c:pt idx="1">
                  <c:v>3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F-4EF3-9B75-1339FD0B4EBB}"/>
            </c:ext>
          </c:extLst>
        </c:ser>
        <c:ser>
          <c:idx val="1"/>
          <c:order val="1"/>
          <c:tx>
            <c:strRef>
              <c:f>Sheet1!$U$11:$U$12</c:f>
              <c:strCache>
                <c:ptCount val="1"/>
                <c:pt idx="0">
                  <c:v>Lampung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Sheet1!$S$13:$S$16</c:f>
              <c:strCache>
                <c:ptCount val="3"/>
                <c:pt idx="0">
                  <c:v>Business</c:v>
                </c:pt>
                <c:pt idx="1">
                  <c:v>Economy</c:v>
                </c:pt>
                <c:pt idx="2">
                  <c:v>Executive</c:v>
                </c:pt>
              </c:strCache>
            </c:strRef>
          </c:cat>
          <c:val>
            <c:numRef>
              <c:f>Sheet1!$U$13:$U$16</c:f>
              <c:numCache>
                <c:formatCode>General</c:formatCode>
                <c:ptCount val="3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9DF-4EF3-9B75-1339FD0B4EBB}"/>
            </c:ext>
          </c:extLst>
        </c:ser>
        <c:ser>
          <c:idx val="2"/>
          <c:order val="2"/>
          <c:tx>
            <c:strRef>
              <c:f>Sheet1!$V$11:$V$12</c:f>
              <c:strCache>
                <c:ptCount val="1"/>
                <c:pt idx="0">
                  <c:v>Medan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Sheet1!$S$13:$S$16</c:f>
              <c:strCache>
                <c:ptCount val="3"/>
                <c:pt idx="0">
                  <c:v>Business</c:v>
                </c:pt>
                <c:pt idx="1">
                  <c:v>Economy</c:v>
                </c:pt>
                <c:pt idx="2">
                  <c:v>Executive</c:v>
                </c:pt>
              </c:strCache>
            </c:strRef>
          </c:cat>
          <c:val>
            <c:numRef>
              <c:f>Sheet1!$V$13:$V$16</c:f>
              <c:numCache>
                <c:formatCode>General</c:formatCode>
                <c:ptCount val="3"/>
                <c:pt idx="0">
                  <c:v>12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9DF-4EF3-9B75-1339FD0B4EBB}"/>
            </c:ext>
          </c:extLst>
        </c:ser>
        <c:ser>
          <c:idx val="3"/>
          <c:order val="3"/>
          <c:tx>
            <c:strRef>
              <c:f>Sheet1!$W$11:$W$12</c:f>
              <c:strCache>
                <c:ptCount val="1"/>
                <c:pt idx="0">
                  <c:v>Pekanbaru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Sheet1!$S$13:$S$16</c:f>
              <c:strCache>
                <c:ptCount val="3"/>
                <c:pt idx="0">
                  <c:v>Business</c:v>
                </c:pt>
                <c:pt idx="1">
                  <c:v>Economy</c:v>
                </c:pt>
                <c:pt idx="2">
                  <c:v>Executive</c:v>
                </c:pt>
              </c:strCache>
            </c:strRef>
          </c:cat>
          <c:val>
            <c:numRef>
              <c:f>Sheet1!$W$13:$W$16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9DF-4EF3-9B75-1339FD0B4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3201231"/>
        <c:axId val="1950754767"/>
      </c:barChart>
      <c:catAx>
        <c:axId val="195320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54767"/>
        <c:crosses val="autoZero"/>
        <c:auto val="1"/>
        <c:lblAlgn val="ctr"/>
        <c:lblOffset val="100"/>
        <c:noMultiLvlLbl val="0"/>
      </c:catAx>
      <c:valAx>
        <c:axId val="195075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2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227544</xdr:colOff>
      <xdr:row>2</xdr:row>
      <xdr:rowOff>88195</xdr:rowOff>
    </xdr:from>
    <xdr:to>
      <xdr:col>31</xdr:col>
      <xdr:colOff>425099</xdr:colOff>
      <xdr:row>15</xdr:row>
      <xdr:rowOff>150284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E81BB-E021-8C4A-B61F-B26660767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sya Syafriza" refreshedDate="45317.689342939811" createdVersion="8" refreshedVersion="8" minRefreshableVersion="3" recordCount="16" xr:uid="{B1CF86CD-6EFC-4C35-A0EC-9E8923241DA4}">
  <cacheSource type="worksheet">
    <worksheetSource ref="A3:Q19" sheet="Sheet1"/>
  </cacheSource>
  <cacheFields count="17">
    <cacheField name="Kode Tiket" numFmtId="0">
      <sharedItems containsBlank="1"/>
    </cacheField>
    <cacheField name="Nama penumpang" numFmtId="0">
      <sharedItems containsBlank="1"/>
    </cacheField>
    <cacheField name="Jumlah Penumpang" numFmtId="0">
      <sharedItems containsString="0" containsBlank="1" containsNumber="1" containsInteger="1" minValue="1" maxValue="10" count="9">
        <n v="3"/>
        <n v="2"/>
        <n v="7"/>
        <n v="5"/>
        <n v="1"/>
        <n v="4"/>
        <n v="8"/>
        <n v="10"/>
        <m/>
      </sharedItems>
    </cacheField>
    <cacheField name="Asal" numFmtId="0">
      <sharedItems containsBlank="1" containsMixedTypes="1" containsNumber="1" containsInteger="1" minValue="4" maxValue="1250000" count="8">
        <s v="Medan"/>
        <s v="Jakarta"/>
        <s v="Lampung"/>
        <s v="Pekanbaru"/>
        <n v="4"/>
        <n v="13"/>
        <n v="1250000"/>
        <m/>
      </sharedItems>
    </cacheField>
    <cacheField name="Tujuan" numFmtId="0">
      <sharedItems containsBlank="1"/>
    </cacheField>
    <cacheField name="Kelas" numFmtId="0">
      <sharedItems containsBlank="1" count="4">
        <s v="Business"/>
        <s v="Economy"/>
        <s v="Executive"/>
        <m/>
      </sharedItems>
    </cacheField>
    <cacheField name="Jam Berangkat" numFmtId="0">
      <sharedItems containsBlank="1"/>
    </cacheField>
    <cacheField name="Harga Tiket" numFmtId="0">
      <sharedItems containsString="0" containsBlank="1" containsNumber="1" containsInteger="1" minValue="100000" maxValue="350000"/>
    </cacheField>
    <cacheField name="Jalur Perjalanan" numFmtId="0">
      <sharedItems containsBlank="1" count="3">
        <s v="TWO WAY"/>
        <s v="ONE WAY"/>
        <m/>
      </sharedItems>
    </cacheField>
    <cacheField name="Biaya Transportasi" numFmtId="0">
      <sharedItems containsString="0" containsBlank="1" containsNumber="1" containsInteger="1" minValue="200000" maxValue="7000000"/>
    </cacheField>
    <cacheField name="Bagasi(kg)" numFmtId="0">
      <sharedItems containsBlank="1"/>
    </cacheField>
    <cacheField name="Biaya Bagasi" numFmtId="0">
      <sharedItems containsString="0" containsBlank="1" containsNumber="1" containsInteger="1" minValue="75000" maxValue="300000"/>
    </cacheField>
    <cacheField name="Menu Makanan &amp; minuman" numFmtId="0">
      <sharedItems containsBlank="1"/>
    </cacheField>
    <cacheField name="Harga menu" numFmtId="0">
      <sharedItems containsString="0" containsBlank="1" containsNumber="1" containsInteger="1" minValue="35000" maxValue="55000"/>
    </cacheField>
    <cacheField name="Subtotal" numFmtId="0">
      <sharedItems containsMixedTypes="1" containsNumber="1" containsInteger="1" minValue="320000" maxValue="7345000"/>
    </cacheField>
    <cacheField name="Diskon" numFmtId="0">
      <sharedItems containsString="0" containsBlank="1" containsNumber="1" containsInteger="1" minValue="9600" maxValue="1101750"/>
    </cacheField>
    <cacheField name="Total" numFmtId="164">
      <sharedItems containsSemiMixedTypes="0" containsString="0" containsNumber="1" minValue="310400" maxValue="21557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MDS-NLJ-BTW15"/>
    <s v="Anita Wongso"/>
    <x v="0"/>
    <x v="0"/>
    <s v="Sabang"/>
    <x v="0"/>
    <s v="09.00 WIB"/>
    <n v="250000"/>
    <x v="0"/>
    <n v="1500000"/>
    <s v="15 Kg"/>
    <n v="75000"/>
    <s v="Nasi Lemak &amp; Juice"/>
    <n v="45000"/>
    <n v="1620000"/>
    <n v="162000"/>
    <n v="1458000"/>
  </r>
  <r>
    <s v="JKB-NLK-COW30"/>
    <s v="Merlyin Alfaro "/>
    <x v="1"/>
    <x v="1"/>
    <s v="Bandung"/>
    <x v="1"/>
    <s v="14.10 WIB"/>
    <n v="100000"/>
    <x v="1"/>
    <n v="200000"/>
    <s v="30 Kg"/>
    <n v="300000"/>
    <s v="Nasi Lemak &amp; Kopi"/>
    <n v="35000"/>
    <n v="535000"/>
    <n v="16050"/>
    <n v="518950"/>
  </r>
  <r>
    <s v="LMP-MAT-EOW25"/>
    <s v="Derick Gono"/>
    <x v="2"/>
    <x v="2"/>
    <s v="Palembang"/>
    <x v="2"/>
    <s v="10.30 WIB"/>
    <n v="350000"/>
    <x v="1"/>
    <n v="2450000"/>
    <s v="25 Kg"/>
    <n v="225000"/>
    <s v="Mie Aceh &amp; The"/>
    <n v="45000"/>
    <n v="2720000"/>
    <n v="408000"/>
    <n v="2312000"/>
  </r>
  <r>
    <s v="MDS-APT-EOW30"/>
    <s v="Rudi Sanjaya"/>
    <x v="3"/>
    <x v="0"/>
    <s v="Sabang"/>
    <x v="2"/>
    <s v="09.00 WIB"/>
    <n v="350000"/>
    <x v="1"/>
    <n v="1750000"/>
    <s v="30 Kg"/>
    <n v="300000"/>
    <s v="Ayam Penyet &amp; The"/>
    <n v="45000"/>
    <n v="2095000"/>
    <n v="314250"/>
    <n v="1780750"/>
  </r>
  <r>
    <s v="PKJ-NLJ-BOW20"/>
    <s v="Gracia Rianda"/>
    <x v="1"/>
    <x v="3"/>
    <s v="Jakarta"/>
    <x v="0"/>
    <s v="13.30 WIB"/>
    <n v="250000"/>
    <x v="1"/>
    <n v="500000"/>
    <s v="20 Kg"/>
    <n v="150000"/>
    <s v="Nasi Lemak &amp; Juice"/>
    <n v="45000"/>
    <n v="695000"/>
    <n v="69500"/>
    <n v="625500"/>
  </r>
  <r>
    <s v="JKB-APK-CTW15"/>
    <s v="Jenny Halono"/>
    <x v="4"/>
    <x v="1"/>
    <s v="Bandung"/>
    <x v="1"/>
    <s v="14.10 WIB"/>
    <n v="100000"/>
    <x v="0"/>
    <n v="200000"/>
    <s v="15 Kg"/>
    <n v="75000"/>
    <s v="Ayam Penyet &amp; Kopi"/>
    <n v="45000"/>
    <n v="320000"/>
    <n v="9600"/>
    <n v="310400"/>
  </r>
  <r>
    <s v="PKJ-MAT-BTW25"/>
    <s v="Michelle Zen"/>
    <x v="0"/>
    <x v="3"/>
    <s v="Jakarta"/>
    <x v="0"/>
    <s v="13.30 WIB"/>
    <n v="250000"/>
    <x v="0"/>
    <n v="1500000"/>
    <s v="25 Kg"/>
    <n v="225000"/>
    <s v="Mie Aceh &amp; The"/>
    <n v="45000"/>
    <n v="1770000"/>
    <n v="177000"/>
    <n v="1593000"/>
  </r>
  <r>
    <s v="PKJ-MAJ-COW30"/>
    <s v="Tjandra Winata"/>
    <x v="5"/>
    <x v="3"/>
    <s v="Jakarta"/>
    <x v="1"/>
    <s v="13.30 WIB"/>
    <n v="100000"/>
    <x v="1"/>
    <n v="400000"/>
    <s v="30 Kg"/>
    <n v="300000"/>
    <s v="Mie Aceh &amp; Juice"/>
    <n v="55000"/>
    <n v="755000"/>
    <n v="22650"/>
    <n v="732350"/>
  </r>
  <r>
    <s v="MDS-NLK-BTW15"/>
    <s v="Candy Pasaribu"/>
    <x v="3"/>
    <x v="0"/>
    <s v="Sabang"/>
    <x v="0"/>
    <s v="09.00 WIB"/>
    <n v="250000"/>
    <x v="0"/>
    <n v="2500000"/>
    <s v="15 Kg"/>
    <n v="75000"/>
    <s v="Nasi Lemak &amp; Kopi"/>
    <n v="35000"/>
    <n v="2610000"/>
    <n v="261000"/>
    <n v="2349000"/>
  </r>
  <r>
    <s v="LMP-APK-EOW15"/>
    <s v="Aji Parwira"/>
    <x v="6"/>
    <x v="2"/>
    <s v="Palembang"/>
    <x v="2"/>
    <s v="10.30 WIB"/>
    <n v="350000"/>
    <x v="1"/>
    <n v="2800000"/>
    <s v="15 Kg"/>
    <n v="75000"/>
    <s v="Ayam Penyet &amp; Kopi"/>
    <n v="45000"/>
    <n v="2920000"/>
    <n v="438000"/>
    <n v="2482000"/>
  </r>
  <r>
    <s v="JKB-APT-ETW30"/>
    <s v="Endang Batubara"/>
    <x v="7"/>
    <x v="1"/>
    <s v="Bandung"/>
    <x v="2"/>
    <s v="14.10 WIB"/>
    <n v="350000"/>
    <x v="0"/>
    <n v="7000000"/>
    <s v="30 Kg"/>
    <n v="300000"/>
    <s v="Ayam Penyet &amp; The"/>
    <n v="45000"/>
    <n v="7345000"/>
    <n v="1101750"/>
    <n v="6243250"/>
  </r>
  <r>
    <s v="MDS-MAJ-BOW25"/>
    <s v="Robin Salim"/>
    <x v="5"/>
    <x v="0"/>
    <s v="Sabang"/>
    <x v="0"/>
    <s v="09.00 WIB"/>
    <n v="250000"/>
    <x v="1"/>
    <n v="1000000"/>
    <s v="25 Kg"/>
    <n v="225000"/>
    <s v="Mie Aceh &amp; Juice"/>
    <n v="55000"/>
    <n v="1280000"/>
    <n v="128000"/>
    <n v="1152000"/>
  </r>
  <r>
    <s v="jumlah Perjalanan executive"/>
    <m/>
    <x v="8"/>
    <x v="4"/>
    <m/>
    <x v="3"/>
    <m/>
    <m/>
    <x v="2"/>
    <m/>
    <m/>
    <m/>
    <m/>
    <m/>
    <s v="Total keseluruhan"/>
    <m/>
    <n v="21557200"/>
  </r>
  <r>
    <s v="Jumlah penumpang Asal Jakarta"/>
    <m/>
    <x v="8"/>
    <x v="5"/>
    <m/>
    <x v="3"/>
    <m/>
    <m/>
    <x v="2"/>
    <m/>
    <m/>
    <m/>
    <m/>
    <m/>
    <s v="Total rata rata"/>
    <m/>
    <n v="1796433.3333333333"/>
  </r>
  <r>
    <s v="Total Harga Tiket Penerbangan business"/>
    <m/>
    <x v="8"/>
    <x v="6"/>
    <m/>
    <x v="3"/>
    <m/>
    <m/>
    <x v="2"/>
    <m/>
    <m/>
    <m/>
    <m/>
    <m/>
    <s v="Total tertinggi"/>
    <m/>
    <n v="6243250"/>
  </r>
  <r>
    <m/>
    <m/>
    <x v="8"/>
    <x v="7"/>
    <m/>
    <x v="3"/>
    <m/>
    <m/>
    <x v="2"/>
    <m/>
    <m/>
    <m/>
    <m/>
    <m/>
    <s v="Total Terendah"/>
    <m/>
    <n v="310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6D028-D13F-49A3-8EBF-59A6C733E264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S11:X16" firstHeaderRow="1" firstDataRow="2" firstDataCol="1"/>
  <pivotFields count="17">
    <pivotField showAll="0"/>
    <pivotField showAll="0"/>
    <pivotField dataField="1" showAll="0">
      <items count="10">
        <item x="4"/>
        <item x="1"/>
        <item x="0"/>
        <item x="5"/>
        <item x="3"/>
        <item x="2"/>
        <item x="6"/>
        <item x="7"/>
        <item x="8"/>
        <item t="default"/>
      </items>
    </pivotField>
    <pivotField axis="axisCol" showAll="0">
      <items count="9">
        <item h="1" x="4"/>
        <item h="1" x="5"/>
        <item h="1" x="6"/>
        <item x="1"/>
        <item x="2"/>
        <item x="0"/>
        <item x="3"/>
        <item h="1" x="7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 v="3"/>
    </i>
    <i>
      <x v="4"/>
    </i>
    <i>
      <x v="5"/>
    </i>
    <i>
      <x v="6"/>
    </i>
    <i t="grand">
      <x/>
    </i>
  </colItems>
  <dataFields count="1">
    <dataField name="Sum of Jumlah Penumpang" fld="2" baseField="0" baseItem="0"/>
  </dataFields>
  <formats count="55">
    <format dxfId="91">
      <pivotArea type="all" dataOnly="0" outline="0" fieldPosition="0"/>
    </format>
    <format dxfId="90">
      <pivotArea type="origin" dataOnly="0" labelOnly="1" outline="0" fieldPosition="0"/>
    </format>
    <format dxfId="89">
      <pivotArea field="3" type="button" dataOnly="0" labelOnly="1" outline="0" axis="axisCol" fieldPosition="0"/>
    </format>
    <format dxfId="88">
      <pivotArea type="topRight" dataOnly="0" labelOnly="1" outline="0" fieldPosition="0"/>
    </format>
    <format dxfId="87">
      <pivotArea field="5" type="button" dataOnly="0" labelOnly="1" outline="0" axis="axisRow" fieldPosition="0"/>
    </format>
    <format dxfId="86">
      <pivotArea dataOnly="0" labelOnly="1" fieldPosition="0">
        <references count="1">
          <reference field="5" count="0"/>
        </references>
      </pivotArea>
    </format>
    <format dxfId="85">
      <pivotArea dataOnly="0" labelOnly="1" grandRow="1" outline="0" fieldPosition="0"/>
    </format>
    <format dxfId="84">
      <pivotArea dataOnly="0" labelOnly="1" fieldPosition="0">
        <references count="1">
          <reference field="3" count="0"/>
        </references>
      </pivotArea>
    </format>
    <format dxfId="83">
      <pivotArea dataOnly="0" labelOnly="1" grandCol="1" outline="0" fieldPosition="0"/>
    </format>
    <format dxfId="82">
      <pivotArea type="origin" dataOnly="0" labelOnly="1" outline="0" fieldPosition="0"/>
    </format>
    <format dxfId="81">
      <pivotArea field="3" type="button" dataOnly="0" labelOnly="1" outline="0" axis="axisCol" fieldPosition="0"/>
    </format>
    <format dxfId="80">
      <pivotArea type="topRight" dataOnly="0" labelOnly="1" outline="0" fieldPosition="0"/>
    </format>
    <format dxfId="79">
      <pivotArea field="5" type="button" dataOnly="0" labelOnly="1" outline="0" axis="axisRow" fieldPosition="0"/>
    </format>
    <format dxfId="78">
      <pivotArea dataOnly="0" labelOnly="1" fieldPosition="0">
        <references count="1">
          <reference field="3" count="0"/>
        </references>
      </pivotArea>
    </format>
    <format dxfId="77">
      <pivotArea dataOnly="0" labelOnly="1" grandCol="1" outline="0" fieldPosition="0"/>
    </format>
    <format dxfId="76">
      <pivotArea type="origin" dataOnly="0" labelOnly="1" outline="0" fieldPosition="0"/>
    </format>
    <format dxfId="74">
      <pivotArea field="3" type="button" dataOnly="0" labelOnly="1" outline="0" axis="axisCol" fieldPosition="0"/>
    </format>
    <format dxfId="72">
      <pivotArea type="topRight" dataOnly="0" labelOnly="1" outline="0" fieldPosition="0"/>
    </format>
    <format dxfId="70">
      <pivotArea field="5" type="button" dataOnly="0" labelOnly="1" outline="0" axis="axisRow" fieldPosition="0"/>
    </format>
    <format dxfId="68">
      <pivotArea dataOnly="0" labelOnly="1" fieldPosition="0">
        <references count="1">
          <reference field="3" count="0"/>
        </references>
      </pivotArea>
    </format>
    <format dxfId="66">
      <pivotArea dataOnly="0" labelOnly="1" grandCol="1" outline="0" fieldPosition="0"/>
    </format>
    <format dxfId="64">
      <pivotArea grandRow="1" outline="0" collapsedLevelsAreSubtotals="1" fieldPosition="0"/>
    </format>
    <format dxfId="63">
      <pivotArea dataOnly="0" labelOnly="1" grandRow="1" outline="0" fieldPosition="0"/>
    </format>
    <format dxfId="62">
      <pivotArea collapsedLevelsAreSubtotals="1" fieldPosition="0">
        <references count="1">
          <reference field="5" count="0"/>
        </references>
      </pivotArea>
    </format>
    <format dxfId="61">
      <pivotArea dataOnly="0" labelOnly="1" fieldPosition="0">
        <references count="1">
          <reference field="5" count="0"/>
        </references>
      </pivotArea>
    </format>
    <format dxfId="5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3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5" type="button" dataOnly="0" labelOnly="1" outline="0" axis="axisRow" fieldPosition="0"/>
    </format>
    <format dxfId="43">
      <pivotArea dataOnly="0" labelOnly="1" fieldPosition="0">
        <references count="1">
          <reference field="5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3" count="0"/>
        </references>
      </pivotArea>
    </format>
    <format dxfId="40">
      <pivotArea dataOnly="0" labelOnly="1" grandCol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3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5" type="button" dataOnly="0" labelOnly="1" outline="0" axis="axisRow" fieldPosition="0"/>
    </format>
    <format dxfId="33">
      <pivotArea dataOnly="0" labelOnly="1" fieldPosition="0">
        <references count="1">
          <reference field="5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3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5" type="button" dataOnly="0" labelOnly="1" outline="0" axis="axisRow" fieldPosition="0"/>
    </format>
    <format dxfId="23">
      <pivotArea dataOnly="0" labelOnly="1" fieldPosition="0">
        <references count="1">
          <reference field="5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Col="1" outline="0" fieldPosition="0"/>
    </format>
  </formats>
  <chartFormats count="28">
    <chartFormat chart="0" format="1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0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2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22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23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25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3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3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5" count="1" selected="0">
            <x v="3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5" count="1" selected="0">
            <x v="2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5" count="1" selected="0">
            <x v="2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5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5" count="1" selected="0">
            <x v="2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5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C5253-EE57-44AA-BC98-F25DEFEC374C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W7" firstHeaderRow="1" firstDataRow="2" firstDataCol="1"/>
  <pivotFields count="17">
    <pivotField showAll="0"/>
    <pivotField showAll="0"/>
    <pivotField dataField="1" showAll="0"/>
    <pivotField showAll="0"/>
    <pivotField showAll="0"/>
    <pivotField axis="axisCol" showAll="0">
      <items count="5">
        <item x="0"/>
        <item x="1"/>
        <item x="2"/>
        <item h="1" x="3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</pivotFields>
  <rowFields count="1">
    <field x="8"/>
  </rowFields>
  <rowItems count="3">
    <i>
      <x/>
    </i>
    <i>
      <x v="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Jumlah Penumpang" fld="2" baseField="0" baseItem="0"/>
  </dataFields>
  <formats count="39">
    <format dxfId="129">
      <pivotArea type="origin" dataOnly="0" labelOnly="1" outline="0" fieldPosition="0"/>
    </format>
    <format dxfId="128">
      <pivotArea field="5" type="button" dataOnly="0" labelOnly="1" outline="0" axis="axisCol" fieldPosition="0"/>
    </format>
    <format dxfId="127">
      <pivotArea type="topRight" dataOnly="0" labelOnly="1" outline="0" fieldPosition="0"/>
    </format>
    <format dxfId="126">
      <pivotArea field="8" type="button" dataOnly="0" labelOnly="1" outline="0" axis="axisRow" fieldPosition="0"/>
    </format>
    <format dxfId="125">
      <pivotArea dataOnly="0" labelOnly="1" fieldPosition="0">
        <references count="1">
          <reference field="5" count="0"/>
        </references>
      </pivotArea>
    </format>
    <format dxfId="124">
      <pivotArea dataOnly="0" labelOnly="1" grandCol="1" outline="0" fieldPosition="0"/>
    </format>
    <format dxfId="123">
      <pivotArea grandRow="1" outline="0" collapsedLevelsAreSubtotals="1" fieldPosition="0"/>
    </format>
    <format dxfId="122">
      <pivotArea dataOnly="0" labelOnly="1" grandRow="1" outline="0" fieldPosition="0"/>
    </format>
    <format dxfId="121">
      <pivotArea dataOnly="0" fieldPosition="0">
        <references count="1">
          <reference field="8" count="0"/>
        </references>
      </pivotArea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type="origin" dataOnly="0" labelOnly="1" outline="0" fieldPosition="0"/>
    </format>
    <format dxfId="117">
      <pivotArea field="5" type="button" dataOnly="0" labelOnly="1" outline="0" axis="axisCol" fieldPosition="0"/>
    </format>
    <format dxfId="116">
      <pivotArea type="topRight" dataOnly="0" labelOnly="1" outline="0" fieldPosition="0"/>
    </format>
    <format dxfId="115">
      <pivotArea field="8" type="button" dataOnly="0" labelOnly="1" outline="0" axis="axisRow" fieldPosition="0"/>
    </format>
    <format dxfId="114">
      <pivotArea dataOnly="0" labelOnly="1" fieldPosition="0">
        <references count="1">
          <reference field="8" count="0"/>
        </references>
      </pivotArea>
    </format>
    <format dxfId="113">
      <pivotArea dataOnly="0" labelOnly="1" grandRow="1" outline="0" fieldPosition="0"/>
    </format>
    <format dxfId="112">
      <pivotArea dataOnly="0" labelOnly="1" fieldPosition="0">
        <references count="1">
          <reference field="5" count="0"/>
        </references>
      </pivotArea>
    </format>
    <format dxfId="111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5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8" type="button" dataOnly="0" labelOnly="1" outline="0" axis="axisRow" fieldPosition="0"/>
    </format>
    <format dxfId="13">
      <pivotArea dataOnly="0" labelOnly="1" fieldPosition="0">
        <references count="1">
          <reference field="8" count="2">
            <x v="0"/>
            <x v="1"/>
          </reference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5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8" type="button" dataOnly="0" labelOnly="1" outline="0" axis="axisRow" fieldPosition="0"/>
    </format>
    <format dxfId="3">
      <pivotArea dataOnly="0" labelOnly="1" fieldPosition="0">
        <references count="1">
          <reference field="8" count="2">
            <x v="0"/>
            <x v="1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7F76-BEA4-4E9A-86E3-7006AADD5E39}">
  <dimension ref="A1:X38"/>
  <sheetViews>
    <sheetView tabSelected="1" zoomScale="72" zoomScaleNormal="72" workbookViewId="0">
      <selection activeCell="I16" sqref="I16"/>
    </sheetView>
  </sheetViews>
  <sheetFormatPr defaultRowHeight="14.5" x14ac:dyDescent="0.35"/>
  <cols>
    <col min="1" max="1" width="27.6328125" customWidth="1"/>
    <col min="2" max="2" width="15.26953125" bestFit="1" customWidth="1"/>
    <col min="3" max="3" width="12.36328125" customWidth="1"/>
    <col min="4" max="5" width="15.90625" customWidth="1"/>
    <col min="6" max="6" width="15.54296875" customWidth="1"/>
    <col min="7" max="7" width="25.81640625" customWidth="1"/>
    <col min="8" max="8" width="15" customWidth="1"/>
    <col min="9" max="9" width="13" customWidth="1"/>
    <col min="10" max="10" width="18.81640625" customWidth="1"/>
    <col min="11" max="11" width="13.1796875" customWidth="1"/>
    <col min="12" max="12" width="15.08984375" customWidth="1"/>
    <col min="13" max="13" width="24.7265625" bestFit="1" customWidth="1"/>
    <col min="14" max="14" width="16.54296875" bestFit="1" customWidth="1"/>
    <col min="15" max="15" width="14.7265625" customWidth="1"/>
    <col min="16" max="16" width="14.81640625" customWidth="1"/>
    <col min="17" max="17" width="16.7265625" customWidth="1"/>
    <col min="18" max="18" width="11.08984375" bestFit="1" customWidth="1"/>
    <col min="19" max="19" width="24.7265625" bestFit="1" customWidth="1"/>
    <col min="20" max="20" width="21.6328125" customWidth="1"/>
    <col min="21" max="21" width="19.26953125" customWidth="1"/>
    <col min="22" max="22" width="12.81640625" customWidth="1"/>
    <col min="23" max="23" width="15.453125" customWidth="1"/>
    <col min="24" max="24" width="16.54296875" customWidth="1"/>
    <col min="25" max="25" width="6.90625" bestFit="1" customWidth="1"/>
    <col min="26" max="26" width="10.1796875" bestFit="1" customWidth="1"/>
    <col min="27" max="27" width="6.90625" bestFit="1" customWidth="1"/>
    <col min="28" max="28" width="11.08984375" bestFit="1" customWidth="1"/>
    <col min="29" max="29" width="10.36328125" bestFit="1" customWidth="1"/>
    <col min="30" max="30" width="13.81640625" bestFit="1" customWidth="1"/>
    <col min="31" max="31" width="8.6328125" bestFit="1" customWidth="1"/>
    <col min="32" max="32" width="9.08984375" bestFit="1" customWidth="1"/>
    <col min="33" max="34" width="11.81640625" bestFit="1" customWidth="1"/>
    <col min="35" max="35" width="8.81640625" bestFit="1" customWidth="1"/>
    <col min="36" max="36" width="15.26953125" bestFit="1" customWidth="1"/>
    <col min="37" max="37" width="8.6328125" bestFit="1" customWidth="1"/>
    <col min="38" max="38" width="11.81640625" bestFit="1" customWidth="1"/>
    <col min="39" max="39" width="11.08984375" bestFit="1" customWidth="1"/>
  </cols>
  <sheetData>
    <row r="1" spans="1:24" ht="15.5" x14ac:dyDescent="0.35">
      <c r="F1" s="14" t="s">
        <v>0</v>
      </c>
      <c r="G1" s="14"/>
    </row>
    <row r="3" spans="1:24" ht="27.5" customHeight="1" x14ac:dyDescent="0.35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1" t="s">
        <v>8</v>
      </c>
      <c r="I3" s="2" t="s">
        <v>9</v>
      </c>
      <c r="J3" s="2" t="s">
        <v>10</v>
      </c>
      <c r="K3" s="1" t="s">
        <v>11</v>
      </c>
      <c r="L3" s="1" t="s">
        <v>12</v>
      </c>
      <c r="M3" s="2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S3" s="12" t="s">
        <v>97</v>
      </c>
      <c r="T3" s="12" t="s">
        <v>102</v>
      </c>
      <c r="U3" s="12"/>
      <c r="V3" s="12"/>
      <c r="W3" s="12"/>
    </row>
    <row r="4" spans="1:24" ht="15.5" x14ac:dyDescent="0.35">
      <c r="A4" s="3" t="s">
        <v>18</v>
      </c>
      <c r="B4" s="3" t="s">
        <v>37</v>
      </c>
      <c r="C4" s="4">
        <v>3</v>
      </c>
      <c r="D4" s="3" t="str">
        <f>VLOOKUP(MID(A4,1,3),Sheet1!$A$27:$B$31,2,FALSE)</f>
        <v>Medan</v>
      </c>
      <c r="E4" s="3" t="str">
        <f>VLOOKUP(MID(Sheet1!A4,1,3),Sheet1!$A$27:$C$31,3,FALSE)</f>
        <v>Sabang</v>
      </c>
      <c r="F4" s="3" t="str">
        <f>VLOOKUP(MID(A4,9,1),Sheet1!$G$27:$H$30,2,FALSE)</f>
        <v>Business</v>
      </c>
      <c r="G4" s="3" t="str">
        <f>VLOOKUP(Sheet1!E4,Sheet1!$C$27:$D$31,2,FALSE)</f>
        <v>09.00 WIB</v>
      </c>
      <c r="H4" s="5">
        <f>VLOOKUP(F4,Sheet1!$H$27:$J$30,3,FALSE)</f>
        <v>250000</v>
      </c>
      <c r="I4" s="3" t="str">
        <f>IF(MID(A4,10,2)="TW","TWO WAY","ONE WAY")</f>
        <v>TWO WAY</v>
      </c>
      <c r="J4" s="6">
        <f>Sheet1!H4*Sheet1!C4*IF(Sheet1!I4="TWO WAY","2","1")</f>
        <v>1500000</v>
      </c>
      <c r="K4" s="3" t="str">
        <f>CONCATENATE(RIGHT(Sheet1!A4,2)," Kg")</f>
        <v>15 Kg</v>
      </c>
      <c r="L4" s="5">
        <f>IF(MID(K4,1,2)&gt;10,(MID(K4,1,2)-10)*15000)</f>
        <v>75000</v>
      </c>
      <c r="M4" s="3" t="str">
        <f>CONCATENATE(HLOOKUP(MID(A4,5,2),Sheet1!$A$36:$D$38,2,FALSE)," &amp; ",HLOOKUP(MID(Sheet1!A4,7,1),Sheet1!$G$36:$J$38,2,FALSE))</f>
        <v>Nasi Lemak &amp; Juice</v>
      </c>
      <c r="N4" s="5">
        <f>SUM(HLOOKUP(MID(A4,5,2),Sheet1!$A$36:$D$38,3,FALSE),HLOOKUP(MID(Sheet1!A4,7,1),Sheet1!$G$36:$J$38,3,FALSE))</f>
        <v>45000</v>
      </c>
      <c r="O4" s="5">
        <f>SUM(J4,L4,N4)</f>
        <v>1620000</v>
      </c>
      <c r="P4" s="5">
        <f>Sheet1!O4*VLOOKUP(Sheet1!F4,Sheet1!$H$27:$I$30,2,FALSE)</f>
        <v>162000</v>
      </c>
      <c r="Q4" s="5">
        <f>O4-P4</f>
        <v>1458000</v>
      </c>
      <c r="S4" s="12" t="s">
        <v>98</v>
      </c>
      <c r="T4" s="12" t="s">
        <v>76</v>
      </c>
      <c r="U4" s="12" t="s">
        <v>70</v>
      </c>
      <c r="V4" s="12" t="s">
        <v>81</v>
      </c>
      <c r="W4" s="12" t="s">
        <v>101</v>
      </c>
    </row>
    <row r="5" spans="1:24" ht="15.5" x14ac:dyDescent="0.35">
      <c r="A5" s="3" t="s">
        <v>19</v>
      </c>
      <c r="B5" s="3" t="s">
        <v>38</v>
      </c>
      <c r="C5" s="3">
        <v>2</v>
      </c>
      <c r="D5" s="3" t="str">
        <f>VLOOKUP(MID(A5,1,3),Sheet1!$A$27:$B$31,2,FALSE)</f>
        <v>Jakarta</v>
      </c>
      <c r="E5" s="3" t="str">
        <f>VLOOKUP(MID(Sheet1!A5,1,3),Sheet1!$A$27:$C$31,3,FALSE)</f>
        <v>Bandung</v>
      </c>
      <c r="F5" s="3" t="str">
        <f>VLOOKUP(MID(A5,9,1),Sheet1!$G$27:$H$30,2,FALSE)</f>
        <v>Economy</v>
      </c>
      <c r="G5" s="3" t="str">
        <f>VLOOKUP(Sheet1!E5,Sheet1!$C$27:$D$31,2,FALSE)</f>
        <v>14.10 WIB</v>
      </c>
      <c r="H5" s="5">
        <f>VLOOKUP(F5,Sheet1!$H$27:$J$30,3,FALSE)</f>
        <v>100000</v>
      </c>
      <c r="I5" s="3" t="str">
        <f>IF(MID(A5,10,2)="TW","TWO WAY","ONE WAY")</f>
        <v>ONE WAY</v>
      </c>
      <c r="J5" s="6">
        <f>Sheet1!H5*Sheet1!C5*IF(Sheet1!I5="TWO WAY","2","1")</f>
        <v>200000</v>
      </c>
      <c r="K5" s="3" t="str">
        <f>CONCATENATE(RIGHT(Sheet1!A5,2)," Kg")</f>
        <v>30 Kg</v>
      </c>
      <c r="L5" s="5">
        <f>IF(MID(K5,1,2)&gt;10,(MID(K5,1,2)-10)*15000)</f>
        <v>300000</v>
      </c>
      <c r="M5" s="3" t="str">
        <f>CONCATENATE(HLOOKUP(MID(A5,5,2),Sheet1!$A$36:$D$38,2,FALSE)," &amp; ",HLOOKUP(MID(Sheet1!A5,7,1),Sheet1!$G$36:$J$38,2,FALSE))</f>
        <v>Nasi Lemak &amp; Kopi</v>
      </c>
      <c r="N5" s="5">
        <f>SUM(HLOOKUP(MID(A5,5,2),Sheet1!$A$36:$D$38,3,FALSE),HLOOKUP(MID(Sheet1!A5,7,1),Sheet1!$G$36:$J$38,3,FALSE))</f>
        <v>35000</v>
      </c>
      <c r="O5" s="5">
        <f>SUM(J5,L5,N5)</f>
        <v>535000</v>
      </c>
      <c r="P5" s="5">
        <f>Sheet1!O5*VLOOKUP(Sheet1!F5,Sheet1!$H$27:$I$30,2,FALSE)</f>
        <v>16050</v>
      </c>
      <c r="Q5" s="5">
        <f t="shared" ref="Q5:Q19" si="0">O5-P5</f>
        <v>518950</v>
      </c>
      <c r="S5" s="3" t="s">
        <v>99</v>
      </c>
      <c r="T5" s="15">
        <v>6</v>
      </c>
      <c r="U5" s="15">
        <v>6</v>
      </c>
      <c r="V5" s="15">
        <v>20</v>
      </c>
      <c r="W5" s="15">
        <v>32</v>
      </c>
    </row>
    <row r="6" spans="1:24" ht="15.5" x14ac:dyDescent="0.35">
      <c r="A6" s="3" t="s">
        <v>20</v>
      </c>
      <c r="B6" s="3" t="s">
        <v>39</v>
      </c>
      <c r="C6" s="3">
        <v>7</v>
      </c>
      <c r="D6" s="3" t="str">
        <f>VLOOKUP(MID(A6,1,3),Sheet1!$A$27:$B$31,2,FALSE)</f>
        <v>Lampung</v>
      </c>
      <c r="E6" s="3" t="str">
        <f>VLOOKUP(MID(Sheet1!A6,1,3),Sheet1!$A$27:$C$31,3,FALSE)</f>
        <v>Palembang</v>
      </c>
      <c r="F6" s="3" t="str">
        <f>VLOOKUP(MID(A6,9,1),Sheet1!$G$27:$H$30,2,FALSE)</f>
        <v>Executive</v>
      </c>
      <c r="G6" s="3" t="str">
        <f>VLOOKUP(Sheet1!E6,Sheet1!$C$27:$D$31,2,FALSE)</f>
        <v>10.30 WIB</v>
      </c>
      <c r="H6" s="5">
        <f>VLOOKUP(F6,Sheet1!$H$27:$J$30,3,FALSE)</f>
        <v>350000</v>
      </c>
      <c r="I6" s="3" t="str">
        <f>IF(MID(A6,10,2)="TW","TWO WAY","ONE WAY")</f>
        <v>ONE WAY</v>
      </c>
      <c r="J6" s="6">
        <f>Sheet1!H6*Sheet1!C6*IF(Sheet1!I6="TWO WAY","2","1")</f>
        <v>2450000</v>
      </c>
      <c r="K6" s="3" t="str">
        <f>CONCATENATE(RIGHT(Sheet1!A6,2)," Kg")</f>
        <v>25 Kg</v>
      </c>
      <c r="L6" s="5">
        <f>IF(MID(K6,1,2)&gt;10,(MID(K6,1,2)-10)*15000)</f>
        <v>225000</v>
      </c>
      <c r="M6" s="3" t="str">
        <f>CONCATENATE(HLOOKUP(MID(A6,5,2),Sheet1!$A$36:$D$38,2,FALSE)," &amp; ",HLOOKUP(MID(Sheet1!A6,7,1),Sheet1!$G$36:$J$38,2,FALSE))</f>
        <v>Mie Aceh &amp; The</v>
      </c>
      <c r="N6" s="5">
        <f>SUM(HLOOKUP(MID(A6,5,2),Sheet1!$A$36:$D$38,3,FALSE),HLOOKUP(MID(Sheet1!A6,7,1),Sheet1!$G$36:$J$38,3,FALSE))</f>
        <v>45000</v>
      </c>
      <c r="O6" s="5">
        <f>SUM(J6,L6,N6)</f>
        <v>2720000</v>
      </c>
      <c r="P6" s="5">
        <f>Sheet1!O6*VLOOKUP(Sheet1!F6,Sheet1!$H$27:$I$30,2,FALSE)</f>
        <v>408000</v>
      </c>
      <c r="Q6" s="5">
        <f t="shared" si="0"/>
        <v>2312000</v>
      </c>
      <c r="S6" s="3" t="s">
        <v>100</v>
      </c>
      <c r="T6" s="15">
        <v>11</v>
      </c>
      <c r="U6" s="15">
        <v>1</v>
      </c>
      <c r="V6" s="15">
        <v>10</v>
      </c>
      <c r="W6" s="15">
        <v>22</v>
      </c>
    </row>
    <row r="7" spans="1:24" ht="15.5" x14ac:dyDescent="0.35">
      <c r="A7" s="3" t="s">
        <v>21</v>
      </c>
      <c r="B7" s="3" t="s">
        <v>40</v>
      </c>
      <c r="C7" s="3">
        <v>5</v>
      </c>
      <c r="D7" s="3" t="str">
        <f>VLOOKUP(MID(A7,1,3),Sheet1!$A$27:$B$31,2,FALSE)</f>
        <v>Medan</v>
      </c>
      <c r="E7" s="3" t="str">
        <f>VLOOKUP(MID(Sheet1!A7,1,3),Sheet1!$A$27:$C$31,3,FALSE)</f>
        <v>Sabang</v>
      </c>
      <c r="F7" s="3" t="str">
        <f>VLOOKUP(MID(A7,9,1),Sheet1!$G$27:$H$30,2,FALSE)</f>
        <v>Executive</v>
      </c>
      <c r="G7" s="3" t="str">
        <f>VLOOKUP(Sheet1!E7,Sheet1!$C$27:$D$31,2,FALSE)</f>
        <v>09.00 WIB</v>
      </c>
      <c r="H7" s="5">
        <f>VLOOKUP(F7,Sheet1!$H$27:$J$30,3,FALSE)</f>
        <v>350000</v>
      </c>
      <c r="I7" s="3" t="str">
        <f>IF(MID(A7,10,2)="TW","TWO WAY","ONE WAY")</f>
        <v>ONE WAY</v>
      </c>
      <c r="J7" s="6">
        <f>Sheet1!H7*Sheet1!C7*IF(Sheet1!I7="TWO WAY","2","1")</f>
        <v>1750000</v>
      </c>
      <c r="K7" s="3" t="str">
        <f>CONCATENATE(RIGHT(Sheet1!A7,2)," Kg")</f>
        <v>30 Kg</v>
      </c>
      <c r="L7" s="5">
        <f>IF(MID(K7,1,2)&gt;10,(MID(K7,1,2)-10)*15000)</f>
        <v>300000</v>
      </c>
      <c r="M7" s="3" t="str">
        <f>CONCATENATE(HLOOKUP(MID(A7,5,2),Sheet1!$A$36:$D$38,2,FALSE)," &amp; ",HLOOKUP(MID(Sheet1!A7,7,1),Sheet1!$G$36:$J$38,2,FALSE))</f>
        <v>Ayam Penyet &amp; The</v>
      </c>
      <c r="N7" s="5">
        <f>SUM(HLOOKUP(MID(A7,5,2),Sheet1!$A$36:$D$38,3,FALSE),HLOOKUP(MID(Sheet1!A7,7,1),Sheet1!$G$36:$J$38,3,FALSE))</f>
        <v>45000</v>
      </c>
      <c r="O7" s="5">
        <f>SUM(J7,L7,N7)</f>
        <v>2095000</v>
      </c>
      <c r="P7" s="5">
        <f>Sheet1!O7*VLOOKUP(Sheet1!F7,Sheet1!$H$27:$I$30,2,FALSE)</f>
        <v>314250</v>
      </c>
      <c r="Q7" s="5">
        <f t="shared" si="0"/>
        <v>1780750</v>
      </c>
      <c r="S7" s="12" t="s">
        <v>101</v>
      </c>
      <c r="T7" s="16">
        <v>17</v>
      </c>
      <c r="U7" s="16">
        <v>7</v>
      </c>
      <c r="V7" s="16">
        <v>30</v>
      </c>
      <c r="W7" s="16">
        <v>54</v>
      </c>
    </row>
    <row r="8" spans="1:24" ht="15.5" x14ac:dyDescent="0.35">
      <c r="A8" s="3" t="s">
        <v>22</v>
      </c>
      <c r="B8" s="3" t="s">
        <v>41</v>
      </c>
      <c r="C8" s="3">
        <v>2</v>
      </c>
      <c r="D8" s="3" t="str">
        <f>VLOOKUP(MID(A8,1,3),Sheet1!$A$27:$B$31,2,FALSE)</f>
        <v>Pekanbaru</v>
      </c>
      <c r="E8" s="3" t="str">
        <f>VLOOKUP(MID(Sheet1!A8,1,3),Sheet1!$A$27:$C$31,3,FALSE)</f>
        <v>Jakarta</v>
      </c>
      <c r="F8" s="3" t="str">
        <f>VLOOKUP(MID(A8,9,1),Sheet1!$G$27:$H$30,2,FALSE)</f>
        <v>Business</v>
      </c>
      <c r="G8" s="3" t="str">
        <f>VLOOKUP(Sheet1!E8,Sheet1!$C$27:$D$31,2,FALSE)</f>
        <v>13.30 WIB</v>
      </c>
      <c r="H8" s="5">
        <f>VLOOKUP(F8,Sheet1!$H$27:$J$30,3,FALSE)</f>
        <v>250000</v>
      </c>
      <c r="I8" s="3" t="str">
        <f>IF(MID(A8,10,2)="TW","TWO WAY","ONE WAY")</f>
        <v>ONE WAY</v>
      </c>
      <c r="J8" s="6">
        <f>Sheet1!H8*Sheet1!C8*IF(Sheet1!I8="TWO WAY","2","1")</f>
        <v>500000</v>
      </c>
      <c r="K8" s="3" t="str">
        <f>CONCATENATE(RIGHT(Sheet1!A8,2)," Kg")</f>
        <v>20 Kg</v>
      </c>
      <c r="L8" s="5">
        <f>IF(MID(K8,1,2)&gt;10,(MID(K8,1,2)-10)*15000)</f>
        <v>150000</v>
      </c>
      <c r="M8" s="3" t="str">
        <f>CONCATENATE(HLOOKUP(MID(A8,5,2),Sheet1!$A$36:$D$38,2,FALSE)," &amp; ",HLOOKUP(MID(Sheet1!A8,7,1),Sheet1!$G$36:$J$38,2,FALSE))</f>
        <v>Nasi Lemak &amp; Juice</v>
      </c>
      <c r="N8" s="5">
        <f>SUM(HLOOKUP(MID(A8,5,2),Sheet1!$A$36:$D$38,3,FALSE),HLOOKUP(MID(Sheet1!A8,7,1),Sheet1!$G$36:$J$38,3,FALSE))</f>
        <v>45000</v>
      </c>
      <c r="O8" s="5">
        <f>SUM(J8,L8,N8)</f>
        <v>695000</v>
      </c>
      <c r="P8" s="5">
        <f>Sheet1!O8*VLOOKUP(Sheet1!F8,Sheet1!$H$27:$I$30,2,FALSE)</f>
        <v>69500</v>
      </c>
      <c r="Q8" s="5">
        <f t="shared" si="0"/>
        <v>625500</v>
      </c>
    </row>
    <row r="9" spans="1:24" ht="15.5" x14ac:dyDescent="0.35">
      <c r="A9" s="3" t="s">
        <v>23</v>
      </c>
      <c r="B9" s="3" t="s">
        <v>42</v>
      </c>
      <c r="C9" s="3">
        <v>1</v>
      </c>
      <c r="D9" s="3" t="str">
        <f>VLOOKUP(MID(A9,1,3),Sheet1!$A$27:$B$31,2,FALSE)</f>
        <v>Jakarta</v>
      </c>
      <c r="E9" s="3" t="str">
        <f>VLOOKUP(MID(Sheet1!A9,1,3),Sheet1!$A$27:$C$31,3,FALSE)</f>
        <v>Bandung</v>
      </c>
      <c r="F9" s="3" t="str">
        <f>VLOOKUP(MID(A9,9,1),Sheet1!$G$27:$H$30,2,FALSE)</f>
        <v>Economy</v>
      </c>
      <c r="G9" s="3" t="str">
        <f>VLOOKUP(Sheet1!E9,Sheet1!$C$27:$D$31,2,FALSE)</f>
        <v>14.10 WIB</v>
      </c>
      <c r="H9" s="5">
        <f>VLOOKUP(F9,Sheet1!$H$27:$J$30,3,FALSE)</f>
        <v>100000</v>
      </c>
      <c r="I9" s="3" t="str">
        <f>IF(MID(A9,10,2)="TW","TWO WAY","ONE WAY")</f>
        <v>TWO WAY</v>
      </c>
      <c r="J9" s="6">
        <f>Sheet1!H9*Sheet1!C9*IF(Sheet1!I9="TWO WAY","2","1")</f>
        <v>200000</v>
      </c>
      <c r="K9" s="3" t="str">
        <f>CONCATENATE(RIGHT(Sheet1!A9,2)," Kg")</f>
        <v>15 Kg</v>
      </c>
      <c r="L9" s="5">
        <f>IF(MID(K9,1,2)&gt;10,(MID(K9,1,2)-10)*15000)</f>
        <v>75000</v>
      </c>
      <c r="M9" s="3" t="str">
        <f>CONCATENATE(HLOOKUP(MID(A9,5,2),Sheet1!$A$36:$D$38,2,FALSE)," &amp; ",HLOOKUP(MID(Sheet1!A9,7,1),Sheet1!$G$36:$J$38,2,FALSE))</f>
        <v>Ayam Penyet &amp; Kopi</v>
      </c>
      <c r="N9" s="5">
        <f>SUM(HLOOKUP(MID(A9,5,2),Sheet1!$A$36:$D$38,3,FALSE),HLOOKUP(MID(Sheet1!A9,7,1),Sheet1!$G$36:$J$38,3,FALSE))</f>
        <v>45000</v>
      </c>
      <c r="O9" s="5">
        <f>SUM(J9,L9,N9)</f>
        <v>320000</v>
      </c>
      <c r="P9" s="5">
        <f>Sheet1!O9*VLOOKUP(Sheet1!F9,Sheet1!$H$27:$I$30,2,FALSE)</f>
        <v>9600</v>
      </c>
      <c r="Q9" s="5">
        <f t="shared" si="0"/>
        <v>310400</v>
      </c>
    </row>
    <row r="10" spans="1:24" ht="15.5" x14ac:dyDescent="0.35">
      <c r="A10" s="3" t="s">
        <v>24</v>
      </c>
      <c r="B10" s="3" t="s">
        <v>43</v>
      </c>
      <c r="C10" s="3">
        <v>3</v>
      </c>
      <c r="D10" s="3" t="str">
        <f>VLOOKUP(MID(A10,1,3),Sheet1!$A$27:$B$31,2,FALSE)</f>
        <v>Pekanbaru</v>
      </c>
      <c r="E10" s="3" t="str">
        <f>VLOOKUP(MID(Sheet1!A10,1,3),Sheet1!$A$27:$C$31,3,FALSE)</f>
        <v>Jakarta</v>
      </c>
      <c r="F10" s="3" t="str">
        <f>VLOOKUP(MID(A10,9,1),Sheet1!$G$27:$H$30,2,FALSE)</f>
        <v>Business</v>
      </c>
      <c r="G10" s="3" t="str">
        <f>VLOOKUP(Sheet1!E10,Sheet1!$C$27:$D$31,2,FALSE)</f>
        <v>13.30 WIB</v>
      </c>
      <c r="H10" s="5">
        <f>VLOOKUP(F10,Sheet1!$H$27:$J$30,3,FALSE)</f>
        <v>250000</v>
      </c>
      <c r="I10" s="3" t="str">
        <f>IF(MID(A10,10,2)="TW","TWO WAY","ONE WAY")</f>
        <v>TWO WAY</v>
      </c>
      <c r="J10" s="6">
        <f>Sheet1!H10*Sheet1!C10*IF(Sheet1!I10="TWO WAY","2","1")</f>
        <v>1500000</v>
      </c>
      <c r="K10" s="3" t="str">
        <f>CONCATENATE(RIGHT(Sheet1!A10,2)," Kg")</f>
        <v>25 Kg</v>
      </c>
      <c r="L10" s="5">
        <f>IF(MID(K10,1,2)&gt;10,(MID(K10,1,2)-10)*15000)</f>
        <v>225000</v>
      </c>
      <c r="M10" s="3" t="str">
        <f>CONCATENATE(HLOOKUP(MID(A10,5,2),Sheet1!$A$36:$D$38,2,FALSE)," &amp; ",HLOOKUP(MID(Sheet1!A10,7,1),Sheet1!$G$36:$J$38,2,FALSE))</f>
        <v>Mie Aceh &amp; The</v>
      </c>
      <c r="N10" s="5">
        <f>SUM(HLOOKUP(MID(A10,5,2),Sheet1!$A$36:$D$38,3,FALSE),HLOOKUP(MID(Sheet1!A10,7,1),Sheet1!$G$36:$J$38,3,FALSE))</f>
        <v>45000</v>
      </c>
      <c r="O10" s="5">
        <f>SUM(J10,L10,N10)</f>
        <v>1770000</v>
      </c>
      <c r="P10" s="5">
        <f>Sheet1!O10*VLOOKUP(Sheet1!F10,Sheet1!$H$27:$I$30,2,FALSE)</f>
        <v>177000</v>
      </c>
      <c r="Q10" s="5">
        <f t="shared" si="0"/>
        <v>1593000</v>
      </c>
    </row>
    <row r="11" spans="1:24" ht="15.5" x14ac:dyDescent="0.35">
      <c r="A11" s="3" t="s">
        <v>25</v>
      </c>
      <c r="B11" s="3" t="s">
        <v>44</v>
      </c>
      <c r="C11" s="3">
        <v>4</v>
      </c>
      <c r="D11" s="3" t="str">
        <f>VLOOKUP(MID(A11,1,3),Sheet1!$A$27:$B$31,2,FALSE)</f>
        <v>Pekanbaru</v>
      </c>
      <c r="E11" s="3" t="str">
        <f>VLOOKUP(MID(Sheet1!A11,1,3),Sheet1!$A$27:$C$31,3,FALSE)</f>
        <v>Jakarta</v>
      </c>
      <c r="F11" s="3" t="str">
        <f>VLOOKUP(MID(A11,9,1),Sheet1!$G$27:$H$30,2,FALSE)</f>
        <v>Economy</v>
      </c>
      <c r="G11" s="3" t="str">
        <f>VLOOKUP(Sheet1!E11,Sheet1!$C$27:$D$31,2,FALSE)</f>
        <v>13.30 WIB</v>
      </c>
      <c r="H11" s="5">
        <f>VLOOKUP(F11,Sheet1!$H$27:$J$30,3,FALSE)</f>
        <v>100000</v>
      </c>
      <c r="I11" s="3" t="str">
        <f>IF(MID(A11,10,2)="TW","TWO WAY","ONE WAY")</f>
        <v>ONE WAY</v>
      </c>
      <c r="J11" s="6">
        <f>Sheet1!H11*Sheet1!C11*IF(Sheet1!I11="TWO WAY","2","1")</f>
        <v>400000</v>
      </c>
      <c r="K11" s="3" t="str">
        <f>CONCATENATE(RIGHT(Sheet1!A11,2)," Kg")</f>
        <v>30 Kg</v>
      </c>
      <c r="L11" s="5">
        <f>IF(MID(K11,1,2)&gt;10,(MID(K11,1,2)-10)*15000)</f>
        <v>300000</v>
      </c>
      <c r="M11" s="3" t="str">
        <f>CONCATENATE(HLOOKUP(MID(A11,5,2),Sheet1!$A$36:$D$38,2,FALSE)," &amp; ",HLOOKUP(MID(Sheet1!A11,7,1),Sheet1!$G$36:$J$38,2,FALSE))</f>
        <v>Mie Aceh &amp; Juice</v>
      </c>
      <c r="N11" s="5">
        <f>SUM(HLOOKUP(MID(A11,5,2),Sheet1!$A$36:$D$38,3,FALSE),HLOOKUP(MID(Sheet1!A11,7,1),Sheet1!$G$36:$J$38,3,FALSE))</f>
        <v>55000</v>
      </c>
      <c r="O11" s="5">
        <f>SUM(J11,L11,N11)</f>
        <v>755000</v>
      </c>
      <c r="P11" s="5">
        <f>Sheet1!O11*VLOOKUP(Sheet1!F11,Sheet1!$H$27:$I$30,2,FALSE)</f>
        <v>22650</v>
      </c>
      <c r="Q11" s="5">
        <f t="shared" si="0"/>
        <v>732350</v>
      </c>
      <c r="S11" s="12" t="s">
        <v>97</v>
      </c>
      <c r="T11" s="12" t="s">
        <v>102</v>
      </c>
      <c r="U11" s="12"/>
      <c r="V11" s="12"/>
      <c r="W11" s="12"/>
      <c r="X11" s="12"/>
    </row>
    <row r="12" spans="1:24" ht="15.5" x14ac:dyDescent="0.35">
      <c r="A12" s="3" t="s">
        <v>26</v>
      </c>
      <c r="B12" s="3" t="s">
        <v>45</v>
      </c>
      <c r="C12" s="3">
        <v>5</v>
      </c>
      <c r="D12" s="3" t="str">
        <f>VLOOKUP(MID(A12,1,3),Sheet1!$A$27:$B$31,2,FALSE)</f>
        <v>Medan</v>
      </c>
      <c r="E12" s="3" t="str">
        <f>VLOOKUP(MID(Sheet1!A12,1,3),Sheet1!$A$27:$C$31,3,FALSE)</f>
        <v>Sabang</v>
      </c>
      <c r="F12" s="3" t="str">
        <f>VLOOKUP(MID(A12,9,1),Sheet1!$G$27:$H$30,2,FALSE)</f>
        <v>Business</v>
      </c>
      <c r="G12" s="3" t="str">
        <f>VLOOKUP(Sheet1!E12,Sheet1!$C$27:$D$31,2,FALSE)</f>
        <v>09.00 WIB</v>
      </c>
      <c r="H12" s="5">
        <f>VLOOKUP(F12,Sheet1!$H$27:$J$30,3,FALSE)</f>
        <v>250000</v>
      </c>
      <c r="I12" s="3" t="str">
        <f>IF(MID(A12,10,2)="TW","TWO WAY","ONE WAY")</f>
        <v>TWO WAY</v>
      </c>
      <c r="J12" s="6">
        <f>Sheet1!H12*Sheet1!C12*IF(Sheet1!I12="TWO WAY","2","1")</f>
        <v>2500000</v>
      </c>
      <c r="K12" s="3" t="str">
        <f>CONCATENATE(RIGHT(Sheet1!A12,2)," Kg")</f>
        <v>15 Kg</v>
      </c>
      <c r="L12" s="5">
        <f>IF(MID(K12,1,2)&gt;10,(MID(K12,1,2)-10)*15000)</f>
        <v>75000</v>
      </c>
      <c r="M12" s="3" t="str">
        <f>CONCATENATE(HLOOKUP(MID(A12,5,2),Sheet1!$A$36:$D$38,2,FALSE)," &amp; ",HLOOKUP(MID(Sheet1!A12,7,1),Sheet1!$G$36:$J$38,2,FALSE))</f>
        <v>Nasi Lemak &amp; Kopi</v>
      </c>
      <c r="N12" s="5">
        <f>SUM(HLOOKUP(MID(A12,5,2),Sheet1!$A$36:$D$38,3,FALSE),HLOOKUP(MID(Sheet1!A12,7,1),Sheet1!$G$36:$J$38,3,FALSE))</f>
        <v>35000</v>
      </c>
      <c r="O12" s="5">
        <f>SUM(J12,L12,N12)</f>
        <v>2610000</v>
      </c>
      <c r="P12" s="5">
        <f>Sheet1!O12*VLOOKUP(Sheet1!F12,Sheet1!$H$27:$I$30,2,FALSE)</f>
        <v>261000</v>
      </c>
      <c r="Q12" s="5">
        <f t="shared" si="0"/>
        <v>2349000</v>
      </c>
      <c r="S12" s="12" t="s">
        <v>98</v>
      </c>
      <c r="T12" s="12" t="s">
        <v>74</v>
      </c>
      <c r="U12" s="12" t="s">
        <v>68</v>
      </c>
      <c r="V12" s="12" t="s">
        <v>85</v>
      </c>
      <c r="W12" s="12" t="s">
        <v>79</v>
      </c>
      <c r="X12" s="12" t="s">
        <v>101</v>
      </c>
    </row>
    <row r="13" spans="1:24" ht="15.5" x14ac:dyDescent="0.35">
      <c r="A13" s="3" t="s">
        <v>27</v>
      </c>
      <c r="B13" s="3" t="s">
        <v>46</v>
      </c>
      <c r="C13" s="3">
        <v>8</v>
      </c>
      <c r="D13" s="3" t="str">
        <f>VLOOKUP(MID(A13,1,3),Sheet1!$A$27:$B$31,2,FALSE)</f>
        <v>Lampung</v>
      </c>
      <c r="E13" s="3" t="str">
        <f>VLOOKUP(MID(Sheet1!A13,1,3),Sheet1!$A$27:$C$31,3,FALSE)</f>
        <v>Palembang</v>
      </c>
      <c r="F13" s="3" t="str">
        <f>VLOOKUP(MID(A13,9,1),Sheet1!$G$27:$H$30,2,FALSE)</f>
        <v>Executive</v>
      </c>
      <c r="G13" s="3" t="str">
        <f>VLOOKUP(Sheet1!E13,Sheet1!$C$27:$D$31,2,FALSE)</f>
        <v>10.30 WIB</v>
      </c>
      <c r="H13" s="5">
        <f>VLOOKUP(F13,Sheet1!$H$27:$J$30,3,FALSE)</f>
        <v>350000</v>
      </c>
      <c r="I13" s="3" t="str">
        <f>IF(MID(A13,10,2)="TW","TWO WAY","ONE WAY")</f>
        <v>ONE WAY</v>
      </c>
      <c r="J13" s="6">
        <f>Sheet1!H13*Sheet1!C13*IF(Sheet1!I13="TWO WAY","2","1")</f>
        <v>2800000</v>
      </c>
      <c r="K13" s="3" t="str">
        <f>CONCATENATE(RIGHT(Sheet1!A13,2)," Kg")</f>
        <v>15 Kg</v>
      </c>
      <c r="L13" s="5">
        <f>IF(MID(K13,1,2)&gt;10,(MID(K13,1,2)-10)*15000)</f>
        <v>75000</v>
      </c>
      <c r="M13" s="3" t="str">
        <f>CONCATENATE(HLOOKUP(MID(A13,5,2),Sheet1!$A$36:$D$38,2,FALSE)," &amp; ",HLOOKUP(MID(Sheet1!A13,7,1),Sheet1!$G$36:$J$38,2,FALSE))</f>
        <v>Ayam Penyet &amp; Kopi</v>
      </c>
      <c r="N13" s="5">
        <f>SUM(HLOOKUP(MID(A13,5,2),Sheet1!$A$36:$D$38,3,FALSE),HLOOKUP(MID(Sheet1!A13,7,1),Sheet1!$G$36:$J$38,3,FALSE))</f>
        <v>45000</v>
      </c>
      <c r="O13" s="5">
        <f>SUM(J13,L13,N13)</f>
        <v>2920000</v>
      </c>
      <c r="P13" s="5">
        <f>Sheet1!O13*VLOOKUP(Sheet1!F13,Sheet1!$H$27:$I$30,2,FALSE)</f>
        <v>438000</v>
      </c>
      <c r="Q13" s="5">
        <f t="shared" si="0"/>
        <v>2482000</v>
      </c>
      <c r="S13" s="3" t="s">
        <v>76</v>
      </c>
      <c r="T13" s="15"/>
      <c r="U13" s="15"/>
      <c r="V13" s="15">
        <v>12</v>
      </c>
      <c r="W13" s="15">
        <v>5</v>
      </c>
      <c r="X13" s="15">
        <v>17</v>
      </c>
    </row>
    <row r="14" spans="1:24" ht="15.5" x14ac:dyDescent="0.35">
      <c r="A14" s="3" t="s">
        <v>28</v>
      </c>
      <c r="B14" s="3" t="s">
        <v>47</v>
      </c>
      <c r="C14" s="3">
        <v>10</v>
      </c>
      <c r="D14" s="3" t="str">
        <f>VLOOKUP(MID(A14,1,3),Sheet1!$A$27:$B$31,2,FALSE)</f>
        <v>Jakarta</v>
      </c>
      <c r="E14" s="3" t="str">
        <f>VLOOKUP(MID(Sheet1!A14,1,3),Sheet1!$A$27:$C$31,3,FALSE)</f>
        <v>Bandung</v>
      </c>
      <c r="F14" s="3" t="str">
        <f>VLOOKUP(MID(A14,9,1),Sheet1!$G$27:$H$30,2,FALSE)</f>
        <v>Executive</v>
      </c>
      <c r="G14" s="3" t="str">
        <f>VLOOKUP(Sheet1!E14,Sheet1!$C$27:$D$31,2,FALSE)</f>
        <v>14.10 WIB</v>
      </c>
      <c r="H14" s="5">
        <f>VLOOKUP(F14,Sheet1!$H$27:$J$30,3,FALSE)</f>
        <v>350000</v>
      </c>
      <c r="I14" s="3" t="str">
        <f>IF(MID(A14,10,2)="TW","TWO WAY","ONE WAY")</f>
        <v>TWO WAY</v>
      </c>
      <c r="J14" s="6">
        <f>Sheet1!H14*Sheet1!C14*IF(Sheet1!I14="TWO WAY","2","1")</f>
        <v>7000000</v>
      </c>
      <c r="K14" s="3" t="str">
        <f>CONCATENATE(RIGHT(Sheet1!A14,2)," Kg")</f>
        <v>30 Kg</v>
      </c>
      <c r="L14" s="5">
        <f>IF(MID(K14,1,2)&gt;10,(MID(K14,1,2)-10)*15000)</f>
        <v>300000</v>
      </c>
      <c r="M14" s="3" t="str">
        <f>CONCATENATE(HLOOKUP(MID(A14,5,2),Sheet1!$A$36:$D$38,2,FALSE)," &amp; ",HLOOKUP(MID(Sheet1!A14,7,1),Sheet1!$G$36:$J$38,2,FALSE))</f>
        <v>Ayam Penyet &amp; The</v>
      </c>
      <c r="N14" s="5">
        <f>SUM(HLOOKUP(MID(A14,5,2),Sheet1!$A$36:$D$38,3,FALSE),HLOOKUP(MID(Sheet1!A14,7,1),Sheet1!$G$36:$J$38,3,FALSE))</f>
        <v>45000</v>
      </c>
      <c r="O14" s="5">
        <f>SUM(J14,L14,N14)</f>
        <v>7345000</v>
      </c>
      <c r="P14" s="5">
        <f>Sheet1!O14*VLOOKUP(Sheet1!F14,Sheet1!$H$27:$I$30,2,FALSE)</f>
        <v>1101750</v>
      </c>
      <c r="Q14" s="5">
        <f t="shared" si="0"/>
        <v>6243250</v>
      </c>
      <c r="S14" s="3" t="s">
        <v>70</v>
      </c>
      <c r="T14" s="15">
        <v>3</v>
      </c>
      <c r="U14" s="15"/>
      <c r="V14" s="15"/>
      <c r="W14" s="15">
        <v>4</v>
      </c>
      <c r="X14" s="15">
        <v>7</v>
      </c>
    </row>
    <row r="15" spans="1:24" ht="15.5" x14ac:dyDescent="0.35">
      <c r="A15" s="3" t="s">
        <v>29</v>
      </c>
      <c r="B15" s="3" t="s">
        <v>48</v>
      </c>
      <c r="C15" s="3">
        <v>4</v>
      </c>
      <c r="D15" s="3" t="str">
        <f>VLOOKUP(MID(A15,1,3),Sheet1!$A$27:$B$31,2,FALSE)</f>
        <v>Medan</v>
      </c>
      <c r="E15" s="3" t="str">
        <f>VLOOKUP(MID(Sheet1!A15,1,3),Sheet1!$A$27:$C$31,3,FALSE)</f>
        <v>Sabang</v>
      </c>
      <c r="F15" s="3" t="str">
        <f>VLOOKUP(MID(A15,9,1),Sheet1!$G$27:$H$30,2,FALSE)</f>
        <v>Business</v>
      </c>
      <c r="G15" s="3" t="str">
        <f>VLOOKUP(Sheet1!E15,Sheet1!$C$27:$D$31,2,FALSE)</f>
        <v>09.00 WIB</v>
      </c>
      <c r="H15" s="5">
        <f>VLOOKUP(F15,Sheet1!$H$27:$J$30,3,FALSE)</f>
        <v>250000</v>
      </c>
      <c r="I15" s="3" t="str">
        <f>IF(MID(A15,10,2)="TW","TWO WAY","ONE WAY")</f>
        <v>ONE WAY</v>
      </c>
      <c r="J15" s="6">
        <f>Sheet1!H15*Sheet1!C15*IF(Sheet1!I15="TWO WAY","2","1")</f>
        <v>1000000</v>
      </c>
      <c r="K15" s="3" t="str">
        <f>CONCATENATE(RIGHT(Sheet1!A15,2)," Kg")</f>
        <v>25 Kg</v>
      </c>
      <c r="L15" s="5">
        <f>IF(MID(K15,1,2)&gt;10,(MID(K15,1,2)-10)*15000)</f>
        <v>225000</v>
      </c>
      <c r="M15" s="3" t="str">
        <f>CONCATENATE(HLOOKUP(MID(A15,5,2),Sheet1!$A$36:$D$38,2,FALSE)," &amp; ",HLOOKUP(MID(Sheet1!A15,7,1),Sheet1!$G$36:$J$38,2,FALSE))</f>
        <v>Mie Aceh &amp; Juice</v>
      </c>
      <c r="N15" s="5">
        <f>SUM(HLOOKUP(MID(A15,5,2),Sheet1!$A$36:$D$38,3,FALSE),HLOOKUP(MID(Sheet1!A15,7,1),Sheet1!$G$36:$J$38,3,FALSE))</f>
        <v>55000</v>
      </c>
      <c r="O15" s="5">
        <f>SUM(J15,L15,N15)</f>
        <v>1280000</v>
      </c>
      <c r="P15" s="5">
        <f>Sheet1!O15*VLOOKUP(Sheet1!F15,Sheet1!$H$27:$I$30,2,FALSE)</f>
        <v>128000</v>
      </c>
      <c r="Q15" s="5">
        <f t="shared" si="0"/>
        <v>1152000</v>
      </c>
      <c r="S15" s="3" t="s">
        <v>81</v>
      </c>
      <c r="T15" s="15">
        <v>10</v>
      </c>
      <c r="U15" s="15">
        <v>15</v>
      </c>
      <c r="V15" s="15">
        <v>5</v>
      </c>
      <c r="W15" s="15"/>
      <c r="X15" s="15">
        <v>30</v>
      </c>
    </row>
    <row r="16" spans="1:24" ht="15.5" x14ac:dyDescent="0.35">
      <c r="A16" s="7" t="s">
        <v>30</v>
      </c>
      <c r="B16" s="7"/>
      <c r="C16" s="7"/>
      <c r="D16" s="3">
        <f>COUNTIF(F4:F15,"Executive")</f>
        <v>4</v>
      </c>
      <c r="E16" s="8"/>
      <c r="F16" s="8"/>
      <c r="G16" s="8"/>
      <c r="H16" s="8"/>
      <c r="I16" s="8"/>
      <c r="J16" s="8"/>
      <c r="K16" s="9"/>
      <c r="L16" s="8"/>
      <c r="M16" s="8"/>
      <c r="N16" s="8"/>
      <c r="O16" s="7" t="s">
        <v>31</v>
      </c>
      <c r="P16" s="7"/>
      <c r="Q16" s="5">
        <f>SUM(Q4:Q15)</f>
        <v>21557200</v>
      </c>
      <c r="S16" s="12" t="s">
        <v>101</v>
      </c>
      <c r="T16" s="16">
        <v>13</v>
      </c>
      <c r="U16" s="16">
        <v>15</v>
      </c>
      <c r="V16" s="16">
        <v>17</v>
      </c>
      <c r="W16" s="16">
        <v>9</v>
      </c>
      <c r="X16" s="16">
        <v>54</v>
      </c>
    </row>
    <row r="17" spans="1:17" ht="15.5" x14ac:dyDescent="0.35">
      <c r="A17" s="7" t="s">
        <v>32</v>
      </c>
      <c r="B17" s="7"/>
      <c r="C17" s="7"/>
      <c r="D17" s="3">
        <f>SUMIF(D4:D15,"Jakarta",C4:C15)</f>
        <v>13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7" t="s">
        <v>33</v>
      </c>
      <c r="P17" s="7"/>
      <c r="Q17" s="5">
        <f>AVERAGE(Q4:Q15)</f>
        <v>1796433.3333333333</v>
      </c>
    </row>
    <row r="18" spans="1:17" ht="15.5" x14ac:dyDescent="0.35">
      <c r="A18" s="7" t="s">
        <v>34</v>
      </c>
      <c r="B18" s="7"/>
      <c r="C18" s="7"/>
      <c r="D18" s="10">
        <f>SUMIF(F4:F15,"Business",H4:H15)</f>
        <v>1250000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7" t="s">
        <v>35</v>
      </c>
      <c r="P18" s="7"/>
      <c r="Q18" s="5">
        <f>MAX(Q4:Q15)</f>
        <v>6243250</v>
      </c>
    </row>
    <row r="19" spans="1:17" ht="15.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7" t="s">
        <v>36</v>
      </c>
      <c r="P19" s="7"/>
      <c r="Q19" s="5">
        <f>MIN(Q4:Q15)</f>
        <v>310400</v>
      </c>
    </row>
    <row r="22" spans="1:17" ht="16.5" customHeight="1" x14ac:dyDescent="0.35"/>
    <row r="25" spans="1:17" ht="15.5" x14ac:dyDescent="0.35">
      <c r="A25" s="8" t="s">
        <v>95</v>
      </c>
      <c r="B25" s="11"/>
      <c r="C25" s="11"/>
      <c r="D25" s="11"/>
      <c r="E25" s="11"/>
      <c r="F25" s="11"/>
      <c r="G25" s="8" t="s">
        <v>94</v>
      </c>
      <c r="H25" s="11"/>
      <c r="I25" s="11"/>
      <c r="J25" s="11"/>
      <c r="K25" s="11"/>
    </row>
    <row r="26" spans="1:17" ht="15.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7" ht="15.5" x14ac:dyDescent="0.35">
      <c r="A27" s="12" t="s">
        <v>93</v>
      </c>
      <c r="B27" s="12" t="s">
        <v>92</v>
      </c>
      <c r="C27" s="12" t="s">
        <v>91</v>
      </c>
      <c r="D27" s="12" t="s">
        <v>7</v>
      </c>
      <c r="E27" s="8"/>
      <c r="F27" s="8"/>
      <c r="G27" s="12" t="s">
        <v>90</v>
      </c>
      <c r="H27" s="12" t="s">
        <v>89</v>
      </c>
      <c r="I27" s="12" t="s">
        <v>88</v>
      </c>
      <c r="J27" s="12" t="s">
        <v>87</v>
      </c>
      <c r="K27" s="8"/>
    </row>
    <row r="28" spans="1:17" ht="15.5" x14ac:dyDescent="0.35">
      <c r="A28" s="3" t="s">
        <v>86</v>
      </c>
      <c r="B28" s="3" t="s">
        <v>85</v>
      </c>
      <c r="C28" s="3" t="s">
        <v>84</v>
      </c>
      <c r="D28" s="3" t="s">
        <v>83</v>
      </c>
      <c r="E28" s="8"/>
      <c r="F28" s="8"/>
      <c r="G28" s="3" t="s">
        <v>82</v>
      </c>
      <c r="H28" s="3" t="s">
        <v>81</v>
      </c>
      <c r="I28" s="13">
        <v>0.15</v>
      </c>
      <c r="J28" s="5">
        <v>350000</v>
      </c>
      <c r="K28" s="8"/>
    </row>
    <row r="29" spans="1:17" ht="15.5" x14ac:dyDescent="0.35">
      <c r="A29" s="3" t="s">
        <v>80</v>
      </c>
      <c r="B29" s="3" t="s">
        <v>79</v>
      </c>
      <c r="C29" s="3" t="s">
        <v>74</v>
      </c>
      <c r="D29" s="3" t="s">
        <v>78</v>
      </c>
      <c r="E29" s="8"/>
      <c r="F29" s="8"/>
      <c r="G29" s="3" t="s">
        <v>77</v>
      </c>
      <c r="H29" s="3" t="s">
        <v>76</v>
      </c>
      <c r="I29" s="13">
        <v>0.1</v>
      </c>
      <c r="J29" s="5">
        <v>250000</v>
      </c>
      <c r="K29" s="8"/>
    </row>
    <row r="30" spans="1:17" ht="15.5" x14ac:dyDescent="0.35">
      <c r="A30" s="3" t="s">
        <v>75</v>
      </c>
      <c r="B30" s="3" t="s">
        <v>74</v>
      </c>
      <c r="C30" s="3" t="s">
        <v>73</v>
      </c>
      <c r="D30" s="3" t="s">
        <v>72</v>
      </c>
      <c r="E30" s="8"/>
      <c r="F30" s="8"/>
      <c r="G30" s="3" t="s">
        <v>71</v>
      </c>
      <c r="H30" s="3" t="s">
        <v>70</v>
      </c>
      <c r="I30" s="13">
        <v>0.03</v>
      </c>
      <c r="J30" s="5">
        <v>100000</v>
      </c>
      <c r="K30" s="8"/>
    </row>
    <row r="31" spans="1:17" ht="15.5" x14ac:dyDescent="0.35">
      <c r="A31" s="3" t="s">
        <v>69</v>
      </c>
      <c r="B31" s="3" t="s">
        <v>68</v>
      </c>
      <c r="C31" s="3" t="s">
        <v>67</v>
      </c>
      <c r="D31" s="3" t="s">
        <v>66</v>
      </c>
      <c r="E31" s="8"/>
      <c r="F31" s="8"/>
      <c r="G31" s="8"/>
      <c r="H31" s="8"/>
      <c r="I31" s="8"/>
      <c r="J31" s="8"/>
      <c r="K31" s="8"/>
    </row>
    <row r="32" spans="1:17" ht="15.5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15.5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5.5" x14ac:dyDescent="0.35">
      <c r="A34" s="8" t="s">
        <v>65</v>
      </c>
      <c r="B34" s="8"/>
      <c r="C34" s="8"/>
      <c r="D34" s="8"/>
      <c r="E34" s="8"/>
      <c r="F34" s="8"/>
      <c r="G34" s="8" t="s">
        <v>96</v>
      </c>
      <c r="H34" s="8"/>
      <c r="I34" s="8"/>
      <c r="J34" s="8"/>
      <c r="K34" s="8"/>
    </row>
    <row r="35" spans="1:11" ht="15.5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15.5" x14ac:dyDescent="0.35">
      <c r="A36" s="12" t="s">
        <v>64</v>
      </c>
      <c r="B36" s="3" t="s">
        <v>63</v>
      </c>
      <c r="C36" s="3" t="s">
        <v>62</v>
      </c>
      <c r="D36" s="3" t="s">
        <v>61</v>
      </c>
      <c r="E36" s="8"/>
      <c r="G36" s="12" t="s">
        <v>60</v>
      </c>
      <c r="H36" s="3" t="s">
        <v>59</v>
      </c>
      <c r="I36" s="3" t="s">
        <v>58</v>
      </c>
      <c r="J36" s="3" t="s">
        <v>57</v>
      </c>
      <c r="K36" s="8"/>
    </row>
    <row r="37" spans="1:11" ht="15.5" x14ac:dyDescent="0.35">
      <c r="A37" s="12" t="s">
        <v>53</v>
      </c>
      <c r="B37" s="3" t="s">
        <v>56</v>
      </c>
      <c r="C37" s="3" t="s">
        <v>55</v>
      </c>
      <c r="D37" s="3" t="s">
        <v>54</v>
      </c>
      <c r="E37" s="8"/>
      <c r="G37" s="12" t="s">
        <v>53</v>
      </c>
      <c r="H37" s="3" t="s">
        <v>52</v>
      </c>
      <c r="I37" s="3" t="s">
        <v>51</v>
      </c>
      <c r="J37" s="3" t="s">
        <v>50</v>
      </c>
      <c r="K37" s="8"/>
    </row>
    <row r="38" spans="1:11" ht="15.5" x14ac:dyDescent="0.35">
      <c r="A38" s="12" t="s">
        <v>49</v>
      </c>
      <c r="B38" s="5">
        <v>20000</v>
      </c>
      <c r="C38" s="5">
        <v>30000</v>
      </c>
      <c r="D38" s="5">
        <v>30000</v>
      </c>
      <c r="E38" s="8"/>
      <c r="G38" s="12" t="s">
        <v>49</v>
      </c>
      <c r="H38" s="5">
        <v>15000</v>
      </c>
      <c r="I38" s="3">
        <v>15000</v>
      </c>
      <c r="J38" s="3">
        <v>25000</v>
      </c>
      <c r="K38" s="8"/>
    </row>
  </sheetData>
  <mergeCells count="7">
    <mergeCell ref="O17:P17"/>
    <mergeCell ref="O18:P18"/>
    <mergeCell ref="O19:P19"/>
    <mergeCell ref="A16:C16"/>
    <mergeCell ref="A17:C17"/>
    <mergeCell ref="A18:C18"/>
    <mergeCell ref="O16:P16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Syafriza</dc:creator>
  <cp:lastModifiedBy>Tasya Syafriza</cp:lastModifiedBy>
  <dcterms:created xsi:type="dcterms:W3CDTF">2024-01-26T08:50:00Z</dcterms:created>
  <dcterms:modified xsi:type="dcterms:W3CDTF">2024-01-26T09:54:06Z</dcterms:modified>
</cp:coreProperties>
</file>