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er\Desktop\"/>
    </mc:Choice>
  </mc:AlternateContent>
  <xr:revisionPtr revIDLastSave="0" documentId="13_ncr:1_{B526B10C-3C07-4064-A668-ADCB3BFB398C}" xr6:coauthVersionLast="47" xr6:coauthVersionMax="47" xr10:uidLastSave="{00000000-0000-0000-0000-000000000000}"/>
  <bookViews>
    <workbookView xWindow="-120" yWindow="-120" windowWidth="29040" windowHeight="15720" activeTab="1" xr2:uid="{3B5D3CEC-F36E-4ED0-8239-0A518FFD3708}"/>
  </bookViews>
  <sheets>
    <sheet name="DCF" sheetId="1" r:id="rId1"/>
    <sheet name="WACC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2" l="1"/>
  <c r="C6" i="2" s="1"/>
  <c r="D37" i="1"/>
  <c r="E33" i="1"/>
  <c r="E22" i="1"/>
  <c r="F22" i="1" s="1"/>
  <c r="G22" i="1" s="1"/>
  <c r="H22" i="1" s="1"/>
  <c r="I22" i="1" s="1"/>
  <c r="D21" i="1"/>
  <c r="D23" i="1" s="1"/>
  <c r="C59" i="1"/>
  <c r="C19" i="2" s="1"/>
  <c r="I58" i="1"/>
  <c r="C18" i="2" s="1"/>
  <c r="C32" i="1"/>
  <c r="D32" i="1"/>
  <c r="D33" i="1" s="1"/>
  <c r="D28" i="1"/>
  <c r="D5" i="1"/>
  <c r="D8" i="1" s="1"/>
  <c r="C38" i="1" s="1"/>
  <c r="C81" i="1"/>
  <c r="C82" i="1" s="1"/>
  <c r="C79" i="1"/>
  <c r="C78" i="1" s="1"/>
  <c r="G77" i="1"/>
  <c r="H77" i="1" s="1"/>
  <c r="E77" i="1"/>
  <c r="D77" i="1" s="1"/>
  <c r="B35" i="1"/>
  <c r="D19" i="1"/>
  <c r="D16" i="1"/>
  <c r="D17" i="1" s="1"/>
  <c r="E14" i="1"/>
  <c r="E18" i="1" s="1"/>
  <c r="E21" i="1" s="1"/>
  <c r="D12" i="1"/>
  <c r="E12" i="1" s="1"/>
  <c r="D19" i="2" l="1"/>
  <c r="D18" i="2"/>
  <c r="C13" i="2"/>
  <c r="C65" i="1"/>
  <c r="D26" i="1"/>
  <c r="D30" i="1" s="1"/>
  <c r="E27" i="1"/>
  <c r="C8" i="2"/>
  <c r="E32" i="1"/>
  <c r="E26" i="1" s="1"/>
  <c r="F33" i="1"/>
  <c r="F12" i="1"/>
  <c r="E37" i="1"/>
  <c r="E23" i="1"/>
  <c r="E16" i="1"/>
  <c r="E25" i="1" s="1"/>
  <c r="F14" i="1"/>
  <c r="F16" i="1" l="1"/>
  <c r="G14" i="1"/>
  <c r="F18" i="1"/>
  <c r="F21" i="1" s="1"/>
  <c r="F27" i="1"/>
  <c r="F37" i="1"/>
  <c r="G12" i="1"/>
  <c r="F32" i="1"/>
  <c r="F26" i="1" s="1"/>
  <c r="G33" i="1"/>
  <c r="E30" i="1"/>
  <c r="E38" i="1" s="1"/>
  <c r="F25" i="1" l="1"/>
  <c r="G37" i="1"/>
  <c r="H12" i="1"/>
  <c r="H33" i="1"/>
  <c r="G32" i="1"/>
  <c r="G26" i="1" s="1"/>
  <c r="F23" i="1"/>
  <c r="G27" i="1"/>
  <c r="H14" i="1"/>
  <c r="G18" i="1"/>
  <c r="G21" i="1" s="1"/>
  <c r="G16" i="1"/>
  <c r="F30" i="1" l="1"/>
  <c r="F38" i="1" s="1"/>
  <c r="G25" i="1"/>
  <c r="H16" i="1"/>
  <c r="H27" i="1"/>
  <c r="I14" i="1"/>
  <c r="H18" i="1"/>
  <c r="H21" i="1" s="1"/>
  <c r="H37" i="1"/>
  <c r="I12" i="1"/>
  <c r="G23" i="1"/>
  <c r="H32" i="1"/>
  <c r="H26" i="1" s="1"/>
  <c r="I33" i="1"/>
  <c r="I32" i="1" l="1"/>
  <c r="I26" i="1" s="1"/>
  <c r="G30" i="1"/>
  <c r="G38" i="1" s="1"/>
  <c r="B43" i="1"/>
  <c r="I37" i="1"/>
  <c r="B44" i="1"/>
  <c r="H23" i="1"/>
  <c r="I18" i="1"/>
  <c r="I21" i="1" s="1"/>
  <c r="I16" i="1"/>
  <c r="I27" i="1"/>
  <c r="H25" i="1"/>
  <c r="H30" i="1" l="1"/>
  <c r="H38" i="1" s="1"/>
  <c r="I25" i="1"/>
  <c r="I23" i="1"/>
  <c r="I30" i="1" l="1"/>
  <c r="C43" i="1" s="1"/>
  <c r="I38" i="1" l="1"/>
  <c r="C63" i="1" l="1"/>
  <c r="D21" i="2" l="1"/>
  <c r="H4" i="1" s="1"/>
  <c r="E39" i="1" l="1"/>
  <c r="F39" i="1"/>
  <c r="G39" i="1"/>
  <c r="H39" i="1"/>
  <c r="C44" i="1"/>
  <c r="I39" i="1"/>
  <c r="C46" i="1" l="1"/>
  <c r="C51" i="1"/>
  <c r="C45" i="1"/>
  <c r="C47" i="1" l="1"/>
  <c r="C49" i="1" s="1"/>
  <c r="C62" i="1" l="1"/>
  <c r="C50" i="1"/>
  <c r="C70" i="1" l="1"/>
  <c r="C71" i="1"/>
  <c r="C69" i="1"/>
  <c r="C64" i="1"/>
  <c r="C66" i="1" s="1"/>
  <c r="C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Matan Feldman</author>
    <author>Wall Street Prep</author>
  </authors>
  <commentList>
    <comment ref="D7" authorId="0" shapeId="0" xr:uid="{4EF57FDB-DF76-4A4D-B71B-6BEAA286D8E5}">
      <text>
        <r>
          <rPr>
            <b/>
            <sz val="9"/>
            <color indexed="81"/>
            <rFont val="Tahoma"/>
            <family val="2"/>
          </rPr>
          <t>Matan Feldman:</t>
        </r>
        <r>
          <rPr>
            <sz val="9"/>
            <color indexed="81"/>
            <rFont val="Tahoma"/>
            <family val="2"/>
          </rPr>
          <t xml:space="preserve">
In practice can use the NOW() function to keep current date active</t>
        </r>
      </text>
    </comment>
    <comment ref="B23" authorId="0" shapeId="0" xr:uid="{235306DD-E30E-4215-9178-EC4C959785F1}">
      <text>
        <r>
          <rPr>
            <b/>
            <sz val="9"/>
            <color indexed="81"/>
            <rFont val="Tahoma"/>
            <family val="2"/>
          </rPr>
          <t>Matan Feldman:</t>
        </r>
        <r>
          <rPr>
            <sz val="9"/>
            <color indexed="81"/>
            <rFont val="Tahoma"/>
            <family val="2"/>
          </rPr>
          <t xml:space="preserve">
NOPAT stands for net operating profit after taxes.  It represents a company's operating profits less tax expense on operations.  This means that the tax deductions due to interest expense are ignored in this buildup and are instead captured in the discount rate.</t>
        </r>
      </text>
    </comment>
    <comment ref="I51" authorId="1" shapeId="0" xr:uid="{AD85EE34-5ECA-4F8E-A2CD-D702C2DC9786}">
      <text>
        <r>
          <rPr>
            <sz val="9"/>
            <color indexed="81"/>
            <rFont val="Tahoma"/>
            <family val="2"/>
          </rPr>
          <t xml:space="preserve">Implied g = [r -FCF(t)/TV]/(1+FCF(t)/TV)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Useer</author>
  </authors>
  <commentList>
    <comment ref="C6" authorId="0" shapeId="0" xr:uid="{1AAD4508-10DE-4EE3-BF93-CE5337E5BD09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 xml:space="preserve">Risk Free Rate + Default Spread (Damodaran, Jan'25)
CRISIL Rating: AAA/Stable (Reaffirmed)
</t>
        </r>
      </text>
    </comment>
    <comment ref="C11" authorId="0" shapeId="0" xr:uid="{1CBD587B-9341-4477-B6D9-7C80E06C4C61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 xml:space="preserve">Top Stock Research
Weekly - Two Year beta
As on 30.10.2025
</t>
        </r>
      </text>
    </comment>
    <comment ref="C12" authorId="0" shapeId="0" xr:uid="{F88F713F-2C90-439B-8A28-A8A950E33A65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 xml:space="preserve">Aswath Damodaran
Last Updated: July 1, 2025
</t>
        </r>
      </text>
    </comment>
  </commentList>
</comments>
</file>

<file path=xl/sharedStrings.xml><?xml version="1.0" encoding="utf-8"?>
<sst xmlns="http://schemas.openxmlformats.org/spreadsheetml/2006/main" count="91" uniqueCount="84">
  <si>
    <t>Discounted Cash Flow Valuation</t>
  </si>
  <si>
    <t>Most recent fiscal year end</t>
  </si>
  <si>
    <t>Discount rate (WACC)</t>
  </si>
  <si>
    <t>End of first fiscal year</t>
  </si>
  <si>
    <t>Share price (Public Co)</t>
  </si>
  <si>
    <t>Most recent quarter end date</t>
  </si>
  <si>
    <t>Share price date</t>
  </si>
  <si>
    <t xml:space="preserve">Valuation date </t>
  </si>
  <si>
    <t>Portion of year 1 cash flows in forecast</t>
  </si>
  <si>
    <t>Unlevered Free Cash Flows</t>
  </si>
  <si>
    <t>Actual</t>
  </si>
  <si>
    <t>Forecasts</t>
  </si>
  <si>
    <t>Fiscal year ended</t>
  </si>
  <si>
    <t>Revenue</t>
  </si>
  <si>
    <t>% growth</t>
  </si>
  <si>
    <t>EBITDA</t>
  </si>
  <si>
    <t>% margin</t>
  </si>
  <si>
    <t>EBIT</t>
  </si>
  <si>
    <t>Tax on EBIT</t>
  </si>
  <si>
    <t>Tax rate</t>
  </si>
  <si>
    <t>NOPAT (aka EBIAT)</t>
  </si>
  <si>
    <t>Depreciation &amp; amortization</t>
  </si>
  <si>
    <t>Changes in net working capital</t>
  </si>
  <si>
    <t>Capital expenditures</t>
  </si>
  <si>
    <t>as % of revenue</t>
  </si>
  <si>
    <t>Unlevered free cash flows (UFCF)</t>
  </si>
  <si>
    <t>Net working capital (WC Assets - WC liabilities)</t>
  </si>
  <si>
    <t>Val date</t>
  </si>
  <si>
    <t xml:space="preserve">Yr 1 - Stub </t>
  </si>
  <si>
    <t>Year 2</t>
  </si>
  <si>
    <t>Year 3</t>
  </si>
  <si>
    <t>Year 4</t>
  </si>
  <si>
    <t>Year 5</t>
  </si>
  <si>
    <t>Date for discounting cash flows</t>
  </si>
  <si>
    <t>Unlevered free cash flows (UFCF) stub adjusted</t>
  </si>
  <si>
    <t>Present value of of unlevered free cash flows</t>
  </si>
  <si>
    <t>Terminal value - growth in perpetuity approach</t>
  </si>
  <si>
    <t>Long term growth rate</t>
  </si>
  <si>
    <t>Present value of terminal value</t>
  </si>
  <si>
    <t>Present value of stage 1 cash flows</t>
  </si>
  <si>
    <t>Total enterprise value (TEV)</t>
  </si>
  <si>
    <t>Terminal value as % of TEV</t>
  </si>
  <si>
    <t>Stage 1 cash flows as % of TEV</t>
  </si>
  <si>
    <t>Implied TV exit EBITDA multiple</t>
  </si>
  <si>
    <t>Net debt</t>
  </si>
  <si>
    <t>Shares outstanding</t>
  </si>
  <si>
    <t>Source doc</t>
  </si>
  <si>
    <t>Source date</t>
  </si>
  <si>
    <t>Date</t>
  </si>
  <si>
    <t>Shares</t>
  </si>
  <si>
    <t>Gross debt and equivalents</t>
  </si>
  <si>
    <t>Basic shares</t>
  </si>
  <si>
    <t>Debt</t>
  </si>
  <si>
    <t>Net diluted shares outstanding</t>
  </si>
  <si>
    <t xml:space="preserve">Cash </t>
  </si>
  <si>
    <t>Valuation</t>
  </si>
  <si>
    <t>Enterprise value</t>
  </si>
  <si>
    <t xml:space="preserve">Equity value </t>
  </si>
  <si>
    <t>Equity value per share</t>
  </si>
  <si>
    <t>Year 1 Multiples</t>
  </si>
  <si>
    <t>EV / Revenue</t>
  </si>
  <si>
    <t xml:space="preserve">EV / EBITDA </t>
  </si>
  <si>
    <t>EV / EBIT</t>
  </si>
  <si>
    <t>Long term growth rate (g):</t>
  </si>
  <si>
    <t>WACC:</t>
  </si>
  <si>
    <t>₹ in crores, except per share data</t>
  </si>
  <si>
    <t>WACC Buildup</t>
  </si>
  <si>
    <t>Cost of capital assumptions</t>
  </si>
  <si>
    <t>Cost of debt</t>
  </si>
  <si>
    <t>Cost of debt (after tax)</t>
  </si>
  <si>
    <t xml:space="preserve">Risk free rate </t>
  </si>
  <si>
    <t xml:space="preserve">Beta </t>
  </si>
  <si>
    <t>Market risk premium</t>
  </si>
  <si>
    <t>Cost of equity</t>
  </si>
  <si>
    <t>Capital weights (capital structure)</t>
  </si>
  <si>
    <t xml:space="preserve">Current </t>
  </si>
  <si>
    <t>% of total</t>
  </si>
  <si>
    <t>Equity</t>
  </si>
  <si>
    <t>Cost of capital (WACC)</t>
  </si>
  <si>
    <t>Effective Tax rate</t>
  </si>
  <si>
    <t>Annual Report</t>
  </si>
  <si>
    <t>Share options Outstanding</t>
  </si>
  <si>
    <t>in Crores</t>
  </si>
  <si>
    <t>₹ in crores except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</si>
</sst>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0.0%_);\(0.0%\);@_)"/>
    <numFmt numFmtId="165" formatCode="&quot;$&quot;#,##0.00_);\(&quot;$&quot;#,##0.00\)"/>
    <numFmt numFmtId="166" formatCode="#,##0_);\(#,##0\);@_)"/>
    <numFmt numFmtId="167" formatCode="_(#,##0.0%_);\(#,##0.0%\);_(&quot;–&quot;_)_%;_(@_)_%"/>
    <numFmt numFmtId="168" formatCode="0000\A"/>
    <numFmt numFmtId="169" formatCode="0000\P"/>
    <numFmt numFmtId="170" formatCode="0.0\x_);\(0.0\x\);@_)"/>
    <numFmt numFmtId="171" formatCode="0.000%_);\(0.000%\);@_)"/>
    <numFmt numFmtId="172" formatCode="#,##0.000_);\(#,##0.000\);@_)"/>
    <numFmt numFmtId="173" formatCode="#,##0.000_);\(#,##0.000\)"/>
    <numFmt numFmtId="174" formatCode="&quot;$&quot;#,##0.00_);\(&quot;$&quot;#,##0.00\);@_)"/>
    <numFmt numFmtId="175" formatCode="_(0.0_)_'_x;_(\(0.0\)_';_(&quot;–&quot;_)_%;_(@_)_%"/>
    <numFmt numFmtId="176" formatCode="_(0.0\x_)_';_(\(0.0\x\)_';_(&quot;–&quot;_)_%;_(@_)_%"/>
    <numFmt numFmtId="177" formatCode="0.0%"/>
    <numFmt numFmtId="178" formatCode="#,##0.00_);\(#,##0.00\);\-_);@_)"/>
    <numFmt numFmtId="179" formatCode="#,##0.0_);\(#,##0.0\);\-_);@_)"/>
    <numFmt numFmtId="180" formatCode="_(#,##0.00%_);\(#,##0.00%\);_(&quot;–&quot;_)_%;_(@_)_%"/>
    <numFmt numFmtId="181" formatCode="#,##0.0_);\(#,##0.0\);@_)"/>
    <numFmt numFmtId="182" formatCode="&quot;₹&quot;#,##0.00_);\(&quot;₹&quot;#,##0.00\)"/>
    <numFmt numFmtId="183" formatCode="[$-14009]dd/mm/yyyy;@"/>
    <numFmt numFmtId="185" formatCode="0.00%_);\(0.00%\);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800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singleAccounting"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9DAF8"/>
        <bgColor rgb="FF000000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2" xfId="0" applyFont="1" applyBorder="1"/>
    <xf numFmtId="14" fontId="4" fillId="0" borderId="0" xfId="0" applyNumberFormat="1" applyFont="1"/>
    <xf numFmtId="14" fontId="5" fillId="0" borderId="0" xfId="0" applyNumberFormat="1" applyFont="1"/>
    <xf numFmtId="14" fontId="4" fillId="0" borderId="0" xfId="0" applyNumberFormat="1" applyFont="1" applyAlignment="1">
      <alignment horizontal="right"/>
    </xf>
    <xf numFmtId="0" fontId="6" fillId="0" borderId="0" xfId="2" applyBorder="1"/>
    <xf numFmtId="167" fontId="5" fillId="0" borderId="0" xfId="0" applyNumberFormat="1" applyFont="1"/>
    <xf numFmtId="165" fontId="7" fillId="0" borderId="0" xfId="0" applyNumberFormat="1" applyFont="1" applyAlignment="1">
      <alignment horizontal="right"/>
    </xf>
    <xf numFmtId="0" fontId="2" fillId="0" borderId="3" xfId="0" applyFont="1" applyBorder="1"/>
    <xf numFmtId="0" fontId="0" fillId="0" borderId="3" xfId="0" applyBorder="1"/>
    <xf numFmtId="165" fontId="7" fillId="0" borderId="3" xfId="0" applyNumberFormat="1" applyFont="1" applyBorder="1" applyAlignment="1">
      <alignment horizontal="right"/>
    </xf>
    <xf numFmtId="0" fontId="8" fillId="0" borderId="0" xfId="0" applyFont="1" applyAlignment="1">
      <alignment horizontal="centerContinuous"/>
    </xf>
    <xf numFmtId="0" fontId="9" fillId="0" borderId="4" xfId="0" applyFont="1" applyBorder="1" applyAlignment="1">
      <alignment horizontal="centerContinuous"/>
    </xf>
    <xf numFmtId="0" fontId="10" fillId="0" borderId="0" xfId="0" applyFont="1"/>
    <xf numFmtId="14" fontId="0" fillId="0" borderId="0" xfId="0" applyNumberFormat="1" applyAlignment="1">
      <alignment horizontal="center"/>
    </xf>
    <xf numFmtId="168" fontId="2" fillId="0" borderId="5" xfId="0" applyNumberFormat="1" applyFont="1" applyBorder="1"/>
    <xf numFmtId="169" fontId="2" fillId="0" borderId="0" xfId="0" applyNumberFormat="1" applyFont="1"/>
    <xf numFmtId="166" fontId="5" fillId="0" borderId="0" xfId="0" applyNumberFormat="1" applyFont="1"/>
    <xf numFmtId="166" fontId="4" fillId="0" borderId="5" xfId="0" applyNumberFormat="1" applyFont="1" applyBorder="1"/>
    <xf numFmtId="0" fontId="0" fillId="0" borderId="0" xfId="0" applyAlignment="1">
      <alignment horizontal="left" indent="1"/>
    </xf>
    <xf numFmtId="0" fontId="0" fillId="0" borderId="5" xfId="0" applyBorder="1"/>
    <xf numFmtId="167" fontId="4" fillId="0" borderId="0" xfId="0" applyNumberFormat="1" applyFont="1"/>
    <xf numFmtId="166" fontId="5" fillId="0" borderId="5" xfId="0" applyNumberFormat="1" applyFont="1" applyBorder="1"/>
    <xf numFmtId="167" fontId="5" fillId="0" borderId="5" xfId="0" applyNumberFormat="1" applyFont="1" applyBorder="1"/>
    <xf numFmtId="166" fontId="7" fillId="0" borderId="5" xfId="0" applyNumberFormat="1" applyFont="1" applyBorder="1"/>
    <xf numFmtId="166" fontId="7" fillId="0" borderId="0" xfId="0" applyNumberFormat="1" applyFont="1"/>
    <xf numFmtId="164" fontId="4" fillId="0" borderId="7" xfId="0" applyNumberFormat="1" applyFont="1" applyBorder="1"/>
    <xf numFmtId="0" fontId="2" fillId="0" borderId="0" xfId="0" applyFont="1"/>
    <xf numFmtId="166" fontId="11" fillId="0" borderId="7" xfId="0" applyNumberFormat="1" applyFont="1" applyBorder="1"/>
    <xf numFmtId="166" fontId="11" fillId="0" borderId="0" xfId="0" applyNumberFormat="1" applyFont="1"/>
    <xf numFmtId="167" fontId="0" fillId="0" borderId="0" xfId="0" applyNumberFormat="1"/>
    <xf numFmtId="166" fontId="5" fillId="0" borderId="7" xfId="0" applyNumberFormat="1" applyFont="1" applyBorder="1"/>
    <xf numFmtId="166" fontId="0" fillId="0" borderId="0" xfId="0" applyNumberFormat="1"/>
    <xf numFmtId="37" fontId="5" fillId="0" borderId="0" xfId="0" applyNumberFormat="1" applyFont="1"/>
    <xf numFmtId="167" fontId="5" fillId="0" borderId="8" xfId="0" applyNumberFormat="1" applyFont="1" applyBorder="1"/>
    <xf numFmtId="166" fontId="4" fillId="0" borderId="0" xfId="0" applyNumberFormat="1" applyFont="1"/>
    <xf numFmtId="37" fontId="4" fillId="0" borderId="0" xfId="0" applyNumberFormat="1" applyFont="1"/>
    <xf numFmtId="166" fontId="7" fillId="0" borderId="3" xfId="0" applyNumberFormat="1" applyFont="1" applyBorder="1"/>
    <xf numFmtId="166" fontId="9" fillId="0" borderId="3" xfId="0" applyNumberFormat="1" applyFont="1" applyBorder="1" applyAlignment="1">
      <alignment horizontal="center"/>
    </xf>
    <xf numFmtId="166" fontId="9" fillId="0" borderId="0" xfId="0" applyNumberFormat="1" applyFont="1"/>
    <xf numFmtId="0" fontId="12" fillId="0" borderId="0" xfId="0" applyFont="1" applyAlignment="1">
      <alignment horizontal="center"/>
    </xf>
    <xf numFmtId="14" fontId="0" fillId="0" borderId="0" xfId="0" applyNumberFormat="1"/>
    <xf numFmtId="167" fontId="0" fillId="0" borderId="0" xfId="0" applyNumberFormat="1" applyAlignment="1">
      <alignment horizontal="center"/>
    </xf>
    <xf numFmtId="166" fontId="5" fillId="0" borderId="3" xfId="0" applyNumberFormat="1" applyFont="1" applyBorder="1"/>
    <xf numFmtId="0" fontId="11" fillId="0" borderId="0" xfId="0" applyFont="1"/>
    <xf numFmtId="169" fontId="0" fillId="0" borderId="0" xfId="0" applyNumberFormat="1"/>
    <xf numFmtId="170" fontId="4" fillId="0" borderId="0" xfId="0" applyNumberFormat="1" applyFont="1"/>
    <xf numFmtId="166" fontId="2" fillId="0" borderId="0" xfId="0" applyNumberFormat="1" applyFont="1"/>
    <xf numFmtId="0" fontId="4" fillId="0" borderId="0" xfId="0" applyFont="1"/>
    <xf numFmtId="0" fontId="10" fillId="0" borderId="0" xfId="0" applyFont="1" applyAlignment="1">
      <alignment horizontal="left"/>
    </xf>
    <xf numFmtId="167" fontId="10" fillId="0" borderId="0" xfId="0" applyNumberFormat="1" applyFont="1"/>
    <xf numFmtId="171" fontId="10" fillId="0" borderId="0" xfId="0" applyNumberFormat="1" applyFont="1"/>
    <xf numFmtId="170" fontId="10" fillId="0" borderId="0" xfId="0" applyNumberFormat="1" applyFont="1"/>
    <xf numFmtId="164" fontId="0" fillId="0" borderId="0" xfId="0" quotePrefix="1" applyNumberFormat="1"/>
    <xf numFmtId="37" fontId="0" fillId="0" borderId="0" xfId="0" applyNumberFormat="1"/>
    <xf numFmtId="0" fontId="0" fillId="0" borderId="0" xfId="0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left" vertical="center"/>
    </xf>
    <xf numFmtId="172" fontId="4" fillId="0" borderId="0" xfId="0" applyNumberFormat="1" applyFont="1"/>
    <xf numFmtId="173" fontId="4" fillId="0" borderId="0" xfId="0" applyNumberFormat="1" applyFont="1"/>
    <xf numFmtId="173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166" fontId="0" fillId="0" borderId="0" xfId="0" applyNumberFormat="1" applyAlignment="1">
      <alignment horizontal="right"/>
    </xf>
    <xf numFmtId="37" fontId="10" fillId="0" borderId="3" xfId="0" applyNumberFormat="1" applyFont="1" applyBorder="1" applyAlignment="1">
      <alignment horizontal="right"/>
    </xf>
    <xf numFmtId="37" fontId="0" fillId="0" borderId="0" xfId="0" applyNumberFormat="1" applyAlignment="1">
      <alignment horizontal="right"/>
    </xf>
    <xf numFmtId="174" fontId="2" fillId="0" borderId="0" xfId="0" applyNumberFormat="1" applyFont="1" applyAlignment="1">
      <alignment horizontal="right"/>
    </xf>
    <xf numFmtId="175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9" fontId="0" fillId="0" borderId="0" xfId="0" applyNumberFormat="1"/>
    <xf numFmtId="167" fontId="0" fillId="0" borderId="0" xfId="0" applyNumberFormat="1" applyAlignment="1">
      <alignment horizontal="right"/>
    </xf>
    <xf numFmtId="0" fontId="14" fillId="0" borderId="0" xfId="0" applyFont="1" applyAlignment="1">
      <alignment horizontal="centerContinuous"/>
    </xf>
    <xf numFmtId="0" fontId="8" fillId="0" borderId="7" xfId="0" applyFont="1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0" xfId="0" applyAlignment="1">
      <alignment horizontal="right"/>
    </xf>
    <xf numFmtId="39" fontId="0" fillId="0" borderId="9" xfId="0" applyNumberFormat="1" applyBorder="1" applyAlignment="1">
      <alignment horizontal="right"/>
    </xf>
    <xf numFmtId="177" fontId="5" fillId="2" borderId="10" xfId="0" applyNumberFormat="1" applyFont="1" applyFill="1" applyBorder="1"/>
    <xf numFmtId="177" fontId="5" fillId="2" borderId="11" xfId="0" applyNumberFormat="1" applyFont="1" applyFill="1" applyBorder="1"/>
    <xf numFmtId="177" fontId="4" fillId="2" borderId="11" xfId="0" applyNumberFormat="1" applyFont="1" applyFill="1" applyBorder="1"/>
    <xf numFmtId="177" fontId="5" fillId="2" borderId="7" xfId="0" applyNumberFormat="1" applyFont="1" applyFill="1" applyBorder="1"/>
    <xf numFmtId="177" fontId="5" fillId="2" borderId="12" xfId="0" applyNumberFormat="1" applyFont="1" applyFill="1" applyBorder="1" applyAlignment="1">
      <alignment horizontal="right"/>
    </xf>
    <xf numFmtId="178" fontId="0" fillId="0" borderId="0" xfId="0" applyNumberFormat="1"/>
    <xf numFmtId="178" fontId="0" fillId="0" borderId="7" xfId="0" applyNumberFormat="1" applyBorder="1"/>
    <xf numFmtId="177" fontId="4" fillId="2" borderId="12" xfId="0" applyNumberFormat="1" applyFont="1" applyFill="1" applyBorder="1" applyAlignment="1">
      <alignment horizontal="right"/>
    </xf>
    <xf numFmtId="177" fontId="5" fillId="2" borderId="13" xfId="0" applyNumberFormat="1" applyFont="1" applyFill="1" applyBorder="1" applyAlignment="1">
      <alignment horizontal="right"/>
    </xf>
    <xf numFmtId="179" fontId="0" fillId="0" borderId="0" xfId="0" applyNumberFormat="1"/>
    <xf numFmtId="179" fontId="0" fillId="0" borderId="7" xfId="0" applyNumberFormat="1" applyBorder="1"/>
    <xf numFmtId="0" fontId="0" fillId="0" borderId="9" xfId="0" applyBorder="1"/>
    <xf numFmtId="0" fontId="11" fillId="0" borderId="3" xfId="0" applyFont="1" applyBorder="1"/>
    <xf numFmtId="0" fontId="5" fillId="0" borderId="3" xfId="0" applyFont="1" applyBorder="1"/>
    <xf numFmtId="0" fontId="11" fillId="0" borderId="3" xfId="0" applyFont="1" applyBorder="1" applyAlignment="1">
      <alignment horizontal="right"/>
    </xf>
    <xf numFmtId="0" fontId="13" fillId="0" borderId="0" xfId="0" applyFont="1" applyAlignment="1">
      <alignment horizontal="left"/>
    </xf>
    <xf numFmtId="10" fontId="4" fillId="3" borderId="0" xfId="0" applyNumberFormat="1" applyFont="1" applyFill="1"/>
    <xf numFmtId="180" fontId="7" fillId="3" borderId="3" xfId="0" applyNumberFormat="1" applyFont="1" applyFill="1" applyBorder="1"/>
    <xf numFmtId="180" fontId="5" fillId="3" borderId="0" xfId="0" applyNumberFormat="1" applyFont="1" applyFill="1"/>
    <xf numFmtId="173" fontId="4" fillId="3" borderId="0" xfId="0" applyNumberFormat="1" applyFont="1" applyFill="1"/>
    <xf numFmtId="10" fontId="4" fillId="3" borderId="3" xfId="0" applyNumberFormat="1" applyFont="1" applyFill="1" applyBorder="1"/>
    <xf numFmtId="10" fontId="5" fillId="3" borderId="0" xfId="0" applyNumberFormat="1" applyFont="1" applyFill="1"/>
    <xf numFmtId="177" fontId="5" fillId="0" borderId="0" xfId="0" applyNumberFormat="1" applyFont="1"/>
    <xf numFmtId="0" fontId="2" fillId="0" borderId="9" xfId="0" applyFont="1" applyBorder="1"/>
    <xf numFmtId="177" fontId="9" fillId="0" borderId="0" xfId="0" applyNumberFormat="1" applyFont="1" applyAlignment="1">
      <alignment horizontal="right"/>
    </xf>
    <xf numFmtId="181" fontId="7" fillId="3" borderId="0" xfId="0" applyNumberFormat="1" applyFont="1" applyFill="1"/>
    <xf numFmtId="164" fontId="0" fillId="3" borderId="0" xfId="0" applyNumberFormat="1" applyFill="1"/>
    <xf numFmtId="0" fontId="2" fillId="0" borderId="10" xfId="0" applyFont="1" applyBorder="1"/>
    <xf numFmtId="0" fontId="2" fillId="0" borderId="11" xfId="0" applyFont="1" applyBorder="1"/>
    <xf numFmtId="10" fontId="0" fillId="0" borderId="0" xfId="0" applyNumberFormat="1"/>
    <xf numFmtId="10" fontId="17" fillId="0" borderId="0" xfId="0" applyNumberFormat="1" applyFont="1"/>
    <xf numFmtId="14" fontId="4" fillId="3" borderId="0" xfId="0" applyNumberFormat="1" applyFont="1" applyFill="1"/>
    <xf numFmtId="14" fontId="5" fillId="3" borderId="0" xfId="0" applyNumberFormat="1" applyFont="1" applyFill="1"/>
    <xf numFmtId="182" fontId="4" fillId="3" borderId="0" xfId="0" applyNumberFormat="1" applyFont="1" applyFill="1"/>
    <xf numFmtId="14" fontId="4" fillId="3" borderId="0" xfId="0" applyNumberFormat="1" applyFont="1" applyFill="1" applyAlignment="1">
      <alignment horizontal="right"/>
    </xf>
    <xf numFmtId="167" fontId="5" fillId="3" borderId="0" xfId="0" applyNumberFormat="1" applyFont="1" applyFill="1"/>
    <xf numFmtId="183" fontId="0" fillId="0" borderId="5" xfId="0" applyNumberFormat="1" applyBorder="1" applyAlignment="1">
      <alignment horizontal="center"/>
    </xf>
    <xf numFmtId="183" fontId="0" fillId="0" borderId="6" xfId="0" applyNumberFormat="1" applyBorder="1" applyAlignment="1">
      <alignment horizontal="center"/>
    </xf>
    <xf numFmtId="4" fontId="2" fillId="0" borderId="0" xfId="0" applyNumberFormat="1" applyFont="1"/>
    <xf numFmtId="37" fontId="4" fillId="3" borderId="0" xfId="0" applyNumberFormat="1" applyFont="1" applyFill="1"/>
    <xf numFmtId="181" fontId="2" fillId="0" borderId="0" xfId="0" applyNumberFormat="1" applyFont="1"/>
    <xf numFmtId="3" fontId="0" fillId="0" borderId="0" xfId="0" applyNumberFormat="1"/>
    <xf numFmtId="10" fontId="0" fillId="0" borderId="0" xfId="1" applyNumberFormat="1" applyFont="1"/>
    <xf numFmtId="177" fontId="4" fillId="3" borderId="0" xfId="1" applyNumberFormat="1" applyFont="1" applyFill="1"/>
    <xf numFmtId="14" fontId="18" fillId="0" borderId="0" xfId="0" applyNumberFormat="1" applyFont="1" applyAlignment="1">
      <alignment horizontal="left"/>
    </xf>
    <xf numFmtId="0" fontId="19" fillId="0" borderId="1" xfId="0" applyFont="1" applyBorder="1"/>
    <xf numFmtId="185" fontId="2" fillId="3" borderId="14" xfId="0" applyNumberFormat="1" applyFont="1" applyFill="1" applyBorder="1"/>
  </cellXfs>
  <cellStyles count="3">
    <cellStyle name="Hyperlink" xfId="2" builtinId="8"/>
    <cellStyle name="Normal" xfId="0" builtinId="0"/>
    <cellStyle name="Percent" xfId="1" builtinId="5"/>
  </cellStyles>
  <dxfs count="2">
    <dxf>
      <font>
        <b/>
        <i val="0"/>
      </font>
      <fill>
        <patternFill patternType="solid">
          <bgColor theme="2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12</xdr:row>
      <xdr:rowOff>66675</xdr:rowOff>
    </xdr:from>
    <xdr:to>
      <xdr:col>17</xdr:col>
      <xdr:colOff>200025</xdr:colOff>
      <xdr:row>28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4C4714-CC1E-056C-F92A-89081EB77206}"/>
            </a:ext>
          </a:extLst>
        </xdr:cNvPr>
        <xdr:cNvSpPr txBox="1"/>
      </xdr:nvSpPr>
      <xdr:spPr>
        <a:xfrm>
          <a:off x="12068175" y="2400300"/>
          <a:ext cx="5467350" cy="3019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Revenue</a:t>
          </a:r>
          <a:r>
            <a:rPr lang="en-IN" sz="1100" b="1" baseline="0"/>
            <a:t> </a:t>
          </a:r>
          <a:r>
            <a:rPr lang="en-IN" sz="1100" b="1"/>
            <a:t>Growth Assumption: </a:t>
          </a:r>
          <a:r>
            <a:rPr lang="en-IN" sz="1100"/>
            <a:t>According to the earnings call transcript from April 17 2025, management guidance mentions that the growth rate will decline to 0-3%. However, the CAGR for five-year revenue is 12%. Therefore, an assumption is made that the company is likely get back on track after its decline in FY26, to reach its average growth rate.</a:t>
          </a:r>
        </a:p>
        <a:p>
          <a:endParaRPr lang="en-IN" sz="1100"/>
        </a:p>
        <a:p>
          <a:r>
            <a:rPr lang="en-IN" sz="1100" b="1"/>
            <a:t>EBITDA:</a:t>
          </a:r>
          <a:r>
            <a:rPr lang="en-IN" sz="1100" b="1" baseline="0"/>
            <a:t> </a:t>
          </a:r>
          <a:r>
            <a:rPr lang="en-IN" sz="1100" b="0" baseline="0"/>
            <a:t>5-year historical average = 27%. Therefore, assumed to grow to that rate.</a:t>
          </a:r>
        </a:p>
        <a:p>
          <a:endParaRPr lang="en-IN" sz="1100" b="0" baseline="0"/>
        </a:p>
        <a:p>
          <a:r>
            <a:rPr lang="en-IN" sz="1100" b="1" baseline="0"/>
            <a:t>EBIT: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According to the earnings call transcript from April 17 2025, management guidance mentions that the margin will improve margins from current level,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between 20-22%. Therefore, EBIT margin expected to grow in the same pattern.</a:t>
          </a:r>
        </a:p>
        <a:p>
          <a:endParaRPr lang="en-IN" sz="1100"/>
        </a:p>
        <a:p>
          <a:r>
            <a:rPr lang="en-IN" sz="1100" b="1"/>
            <a:t>CapEx</a:t>
          </a:r>
          <a:r>
            <a:rPr lang="en-IN" sz="1100" b="1" baseline="0"/>
            <a:t> Assumption: </a:t>
          </a:r>
          <a:r>
            <a:rPr lang="en-IN" sz="1100"/>
            <a:t>Average 5-year growth rate of CapEx as % of revenue is 1.69%. </a:t>
          </a:r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Therefore, assumed to grow to that rate.</a:t>
          </a:r>
          <a:endParaRPr lang="en-IN" sz="1100"/>
        </a:p>
      </xdr:txBody>
    </xdr:sp>
    <xdr:clientData/>
  </xdr:twoCellAnchor>
  <xdr:twoCellAnchor>
    <xdr:from>
      <xdr:col>3</xdr:col>
      <xdr:colOff>133350</xdr:colOff>
      <xdr:row>40</xdr:row>
      <xdr:rowOff>180975</xdr:rowOff>
    </xdr:from>
    <xdr:to>
      <xdr:col>6</xdr:col>
      <xdr:colOff>790575</xdr:colOff>
      <xdr:row>46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E8F297D-61F9-45AF-4B85-878FA98C7112}"/>
            </a:ext>
          </a:extLst>
        </xdr:cNvPr>
        <xdr:cNvSpPr txBox="1"/>
      </xdr:nvSpPr>
      <xdr:spPr>
        <a:xfrm>
          <a:off x="5391150" y="7877175"/>
          <a:ext cx="40576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Perpetuity Growth Rate (g) = 4.0%</a:t>
          </a:r>
          <a:br>
            <a:rPr lang="en-IN"/>
          </a:br>
          <a:r>
            <a:rPr lang="en-IN"/>
            <a:t>Reflects long-term </a:t>
          </a:r>
          <a:r>
            <a:rPr lang="en-IN" b="0"/>
            <a:t>nominal GDP growth (real GDP + inflation) </a:t>
          </a:r>
          <a:r>
            <a:rPr lang="en-IN"/>
            <a:t>across Infosys’s key markets - primarily the U.S., Europe, and India.</a:t>
          </a:r>
          <a:br>
            <a:rPr lang="en-IN"/>
          </a:br>
          <a:r>
            <a:rPr lang="en-IN"/>
            <a:t>Assumes steady IT sector expansion driven by digital transformation and AI adoption.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171450</xdr:rowOff>
    </xdr:from>
    <xdr:to>
      <xdr:col>9</xdr:col>
      <xdr:colOff>552451</xdr:colOff>
      <xdr:row>13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C4095E-0161-8562-9943-BC1037BAEECA}"/>
            </a:ext>
          </a:extLst>
        </xdr:cNvPr>
        <xdr:cNvSpPr txBox="1"/>
      </xdr:nvSpPr>
      <xdr:spPr>
        <a:xfrm>
          <a:off x="4314825" y="1524000"/>
          <a:ext cx="4505326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Assumption: Risk Free Rate</a:t>
          </a:r>
          <a:br>
            <a:rPr lang="en-IN" b="0"/>
          </a:br>
          <a:r>
            <a:rPr lang="en-IN" b="0"/>
            <a:t>The risk-free rate is calculated as a blended weighted average of 10-year government bond yields based on Infosys’s FY2025 geographic revenue mix (North America 58%, Europe 30%, India 3%, Rest of World 9%).</a:t>
          </a:r>
          <a:br>
            <a:rPr lang="en-IN" b="0"/>
          </a:br>
          <a:r>
            <a:rPr lang="en-IN" b="0"/>
            <a:t>This approach reflects Infosys’s global exposure, resulting in an effective blended risk-free rate of = 4.05%.</a:t>
          </a:r>
          <a:endParaRPr lang="en-IN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5DA5-9844-498A-942F-10CA9759EC62}">
  <dimension ref="B1:Q83"/>
  <sheetViews>
    <sheetView topLeftCell="A22" workbookViewId="0">
      <selection activeCell="B82" sqref="B82"/>
    </sheetView>
  </sheetViews>
  <sheetFormatPr defaultRowHeight="15" x14ac:dyDescent="0.25"/>
  <cols>
    <col min="2" max="2" width="52.7109375" bestFit="1" customWidth="1"/>
    <col min="3" max="9" width="17" customWidth="1"/>
    <col min="10" max="10" width="15.140625" bestFit="1" customWidth="1"/>
    <col min="11" max="11" width="9.140625" customWidth="1"/>
  </cols>
  <sheetData>
    <row r="1" spans="2:11" ht="15.75" thickBot="1" x14ac:dyDescent="0.3"/>
    <row r="2" spans="2:11" ht="15.75" thickBot="1" x14ac:dyDescent="0.3">
      <c r="B2" s="126" t="s">
        <v>0</v>
      </c>
      <c r="C2" s="2"/>
      <c r="D2" s="2"/>
      <c r="E2" s="2"/>
      <c r="F2" s="2"/>
      <c r="G2" s="2"/>
      <c r="H2" s="2"/>
      <c r="I2" s="2"/>
    </row>
    <row r="3" spans="2:11" x14ac:dyDescent="0.25">
      <c r="B3" s="125" t="s">
        <v>83</v>
      </c>
    </row>
    <row r="4" spans="2:11" x14ac:dyDescent="0.25">
      <c r="B4" t="s">
        <v>1</v>
      </c>
      <c r="D4" s="112">
        <v>45747</v>
      </c>
      <c r="F4" t="s">
        <v>2</v>
      </c>
      <c r="H4" s="124">
        <f>WACC!D21</f>
        <v>0.10038150206845763</v>
      </c>
    </row>
    <row r="5" spans="2:11" x14ac:dyDescent="0.25">
      <c r="B5" t="s">
        <v>3</v>
      </c>
      <c r="D5" s="113">
        <f>EOMONTH(D4,12)</f>
        <v>46112</v>
      </c>
      <c r="F5" t="s">
        <v>4</v>
      </c>
      <c r="H5" s="114">
        <v>1493.8</v>
      </c>
    </row>
    <row r="6" spans="2:11" x14ac:dyDescent="0.25">
      <c r="B6" t="s">
        <v>5</v>
      </c>
      <c r="D6" s="112">
        <v>45930</v>
      </c>
      <c r="F6" t="s">
        <v>6</v>
      </c>
      <c r="H6" s="115">
        <v>45960</v>
      </c>
      <c r="J6" s="7"/>
    </row>
    <row r="7" spans="2:11" x14ac:dyDescent="0.25">
      <c r="B7" t="s">
        <v>7</v>
      </c>
      <c r="D7" s="112">
        <v>45960</v>
      </c>
      <c r="H7" s="7"/>
      <c r="I7" s="7"/>
      <c r="J7" s="7"/>
    </row>
    <row r="8" spans="2:11" x14ac:dyDescent="0.25">
      <c r="B8" t="s">
        <v>8</v>
      </c>
      <c r="D8" s="116">
        <f>YEARFRAC(D7,D5)</f>
        <v>0.41666666666666669</v>
      </c>
    </row>
    <row r="9" spans="2:11" x14ac:dyDescent="0.25">
      <c r="D9" s="9"/>
    </row>
    <row r="10" spans="2:11" x14ac:dyDescent="0.25">
      <c r="B10" s="10" t="s">
        <v>9</v>
      </c>
      <c r="C10" s="11"/>
      <c r="D10" s="12"/>
      <c r="F10" s="11"/>
      <c r="G10" s="11"/>
      <c r="H10" s="11"/>
      <c r="I10" s="11"/>
    </row>
    <row r="11" spans="2:11" ht="17.25" x14ac:dyDescent="0.4">
      <c r="C11" s="13"/>
      <c r="D11" s="13" t="s">
        <v>10</v>
      </c>
      <c r="E11" s="14" t="s">
        <v>11</v>
      </c>
      <c r="F11" s="13"/>
      <c r="G11" s="13"/>
      <c r="H11" s="13"/>
      <c r="I11" s="13"/>
    </row>
    <row r="12" spans="2:11" x14ac:dyDescent="0.25">
      <c r="B12" s="15" t="s">
        <v>12</v>
      </c>
      <c r="C12" s="16"/>
      <c r="D12" s="117">
        <f>D4</f>
        <v>45747</v>
      </c>
      <c r="E12" s="118">
        <f>EOMONTH(D12,12)</f>
        <v>46112</v>
      </c>
      <c r="F12" s="118">
        <f t="shared" ref="F12:I12" si="0">EOMONTH(E12,12)</f>
        <v>46477</v>
      </c>
      <c r="G12" s="118">
        <f t="shared" si="0"/>
        <v>46843</v>
      </c>
      <c r="H12" s="118">
        <f t="shared" si="0"/>
        <v>47208</v>
      </c>
      <c r="I12" s="118">
        <f t="shared" si="0"/>
        <v>47573</v>
      </c>
    </row>
    <row r="13" spans="2:11" x14ac:dyDescent="0.25">
      <c r="B13" s="15"/>
      <c r="D13" s="17"/>
      <c r="E13" s="18"/>
      <c r="F13" s="18"/>
      <c r="G13" s="18"/>
      <c r="H13" s="18"/>
      <c r="I13" s="18"/>
    </row>
    <row r="14" spans="2:11" x14ac:dyDescent="0.25">
      <c r="B14" t="s">
        <v>13</v>
      </c>
      <c r="C14" s="19"/>
      <c r="D14" s="20">
        <v>162990</v>
      </c>
      <c r="E14" s="19">
        <f>D14*(1+E15)</f>
        <v>167064.75</v>
      </c>
      <c r="F14" s="19">
        <f t="shared" ref="F14:I14" si="1">E14*(1+F15)</f>
        <v>175417.98750000002</v>
      </c>
      <c r="G14" s="19">
        <f t="shared" si="1"/>
        <v>189451.42650000003</v>
      </c>
      <c r="H14" s="19">
        <f t="shared" si="1"/>
        <v>208396.56915000005</v>
      </c>
      <c r="I14" s="19">
        <f t="shared" si="1"/>
        <v>233404.15744800007</v>
      </c>
    </row>
    <row r="15" spans="2:11" x14ac:dyDescent="0.25">
      <c r="B15" s="21" t="s">
        <v>14</v>
      </c>
      <c r="D15" s="22"/>
      <c r="E15" s="23">
        <v>2.5000000000000001E-2</v>
      </c>
      <c r="F15" s="23">
        <v>0.05</v>
      </c>
      <c r="G15" s="23">
        <v>0.08</v>
      </c>
      <c r="H15" s="23">
        <v>0.1</v>
      </c>
      <c r="I15" s="23">
        <v>0.12</v>
      </c>
      <c r="K15" s="23"/>
    </row>
    <row r="16" spans="2:11" x14ac:dyDescent="0.25">
      <c r="B16" t="s">
        <v>15</v>
      </c>
      <c r="C16" s="19"/>
      <c r="D16" s="24">
        <f>D18+D25</f>
        <v>39236</v>
      </c>
      <c r="E16" s="19">
        <f>E17*E14</f>
        <v>40930.863749999997</v>
      </c>
      <c r="F16" s="19">
        <f t="shared" ref="F16:I16" si="2">F17*F14</f>
        <v>43854.496875000004</v>
      </c>
      <c r="G16" s="19">
        <f t="shared" si="2"/>
        <v>48310.11375750001</v>
      </c>
      <c r="H16" s="19">
        <f t="shared" si="2"/>
        <v>54183.107979000015</v>
      </c>
      <c r="I16" s="19">
        <f t="shared" si="2"/>
        <v>63019.12251096002</v>
      </c>
    </row>
    <row r="17" spans="2:15" x14ac:dyDescent="0.25">
      <c r="B17" s="21" t="s">
        <v>16</v>
      </c>
      <c r="D17" s="25">
        <f>D16/D14</f>
        <v>0.24072642493404503</v>
      </c>
      <c r="E17" s="23">
        <v>0.245</v>
      </c>
      <c r="F17" s="23">
        <v>0.25</v>
      </c>
      <c r="G17" s="23">
        <v>0.255</v>
      </c>
      <c r="H17" s="23">
        <v>0.26</v>
      </c>
      <c r="I17" s="23">
        <v>0.27</v>
      </c>
    </row>
    <row r="18" spans="2:15" x14ac:dyDescent="0.25">
      <c r="B18" t="s">
        <v>17</v>
      </c>
      <c r="D18" s="20">
        <v>34424</v>
      </c>
      <c r="E18" s="19">
        <f>E19*E14</f>
        <v>35918.921249999999</v>
      </c>
      <c r="F18" s="19">
        <f t="shared" ref="F18:I18" si="3">F19*F14</f>
        <v>38591.957250000007</v>
      </c>
      <c r="G18" s="19">
        <f t="shared" si="3"/>
        <v>42626.570962500009</v>
      </c>
      <c r="H18" s="19">
        <f t="shared" si="3"/>
        <v>47931.210904500018</v>
      </c>
      <c r="I18" s="19">
        <f t="shared" si="3"/>
        <v>54849.977000280014</v>
      </c>
    </row>
    <row r="19" spans="2:15" x14ac:dyDescent="0.25">
      <c r="B19" s="21" t="s">
        <v>16</v>
      </c>
      <c r="D19" s="25">
        <f>D18/D14</f>
        <v>0.21120314129701209</v>
      </c>
      <c r="E19" s="23">
        <v>0.215</v>
      </c>
      <c r="F19" s="23">
        <v>0.22</v>
      </c>
      <c r="G19" s="23">
        <v>0.22500000000000001</v>
      </c>
      <c r="H19" s="23">
        <v>0.23</v>
      </c>
      <c r="I19" s="23">
        <v>0.23499999999999999</v>
      </c>
    </row>
    <row r="20" spans="2:15" x14ac:dyDescent="0.25">
      <c r="B20" s="21"/>
      <c r="D20" s="26"/>
      <c r="E20" s="27"/>
      <c r="F20" s="27"/>
      <c r="G20" s="27"/>
      <c r="H20" s="27"/>
      <c r="I20" s="27"/>
    </row>
    <row r="21" spans="2:15" x14ac:dyDescent="0.25">
      <c r="B21" t="s">
        <v>18</v>
      </c>
      <c r="C21" s="19"/>
      <c r="D21" s="24">
        <f>D22*D18</f>
        <v>9604.2960000000003</v>
      </c>
      <c r="E21" s="24">
        <f t="shared" ref="E21:I21" si="4">E22*E18</f>
        <v>10021.379028750001</v>
      </c>
      <c r="F21" s="24">
        <f t="shared" si="4"/>
        <v>10767.156072750004</v>
      </c>
      <c r="G21" s="24">
        <f t="shared" si="4"/>
        <v>11892.813298537503</v>
      </c>
      <c r="H21" s="24">
        <f t="shared" si="4"/>
        <v>13372.807842355507</v>
      </c>
      <c r="I21" s="24">
        <f t="shared" si="4"/>
        <v>15303.143583078125</v>
      </c>
    </row>
    <row r="22" spans="2:15" x14ac:dyDescent="0.25">
      <c r="B22" s="21" t="s">
        <v>19</v>
      </c>
      <c r="D22" s="28">
        <v>0.27900000000000003</v>
      </c>
      <c r="E22" s="28">
        <f>D22</f>
        <v>0.27900000000000003</v>
      </c>
      <c r="F22" s="28">
        <f t="shared" ref="F22:I22" si="5">E22</f>
        <v>0.27900000000000003</v>
      </c>
      <c r="G22" s="28">
        <f t="shared" si="5"/>
        <v>0.27900000000000003</v>
      </c>
      <c r="H22" s="28">
        <f t="shared" si="5"/>
        <v>0.27900000000000003</v>
      </c>
      <c r="I22" s="28">
        <f t="shared" si="5"/>
        <v>0.27900000000000003</v>
      </c>
      <c r="K22" s="122"/>
      <c r="L22" s="122"/>
      <c r="M22" s="122"/>
      <c r="N22" s="122"/>
      <c r="O22" s="122"/>
    </row>
    <row r="23" spans="2:15" x14ac:dyDescent="0.25">
      <c r="B23" s="29" t="s">
        <v>20</v>
      </c>
      <c r="C23" s="29"/>
      <c r="D23" s="30">
        <f>D18-D21</f>
        <v>24819.703999999998</v>
      </c>
      <c r="E23" s="30">
        <f t="shared" ref="E23:I23" si="6">E18-E21</f>
        <v>25897.542221249998</v>
      </c>
      <c r="F23" s="31">
        <f t="shared" si="6"/>
        <v>27824.801177250003</v>
      </c>
      <c r="G23" s="31">
        <f t="shared" si="6"/>
        <v>30733.757663962504</v>
      </c>
      <c r="H23" s="31">
        <f t="shared" si="6"/>
        <v>34558.403062144513</v>
      </c>
      <c r="I23" s="31">
        <f t="shared" si="6"/>
        <v>39546.833417201888</v>
      </c>
    </row>
    <row r="24" spans="2:15" x14ac:dyDescent="0.25">
      <c r="D24" s="24"/>
      <c r="E24" s="19"/>
      <c r="F24" s="19"/>
      <c r="G24" s="19"/>
      <c r="H24" s="19"/>
      <c r="I24" s="19"/>
      <c r="K24" s="123"/>
      <c r="L24" s="123"/>
      <c r="M24" s="123"/>
      <c r="N24" s="123"/>
      <c r="O24" s="123"/>
    </row>
    <row r="25" spans="2:15" x14ac:dyDescent="0.25">
      <c r="B25" t="s">
        <v>21</v>
      </c>
      <c r="D25" s="20">
        <v>4812</v>
      </c>
      <c r="E25" s="19">
        <f>E16-E18</f>
        <v>5011.9424999999974</v>
      </c>
      <c r="F25" s="19">
        <f t="shared" ref="F25:I25" si="7">F16-F18</f>
        <v>5262.5396249999976</v>
      </c>
      <c r="G25" s="19">
        <f t="shared" si="7"/>
        <v>5683.5427950000012</v>
      </c>
      <c r="H25" s="19">
        <f t="shared" si="7"/>
        <v>6251.897074499997</v>
      </c>
      <c r="I25" s="19">
        <f t="shared" si="7"/>
        <v>8169.1455106800058</v>
      </c>
      <c r="K25" s="110"/>
      <c r="M25" s="32"/>
    </row>
    <row r="26" spans="2:15" x14ac:dyDescent="0.25">
      <c r="B26" t="s">
        <v>22</v>
      </c>
      <c r="D26" s="33">
        <f>D32-C32</f>
        <v>-359</v>
      </c>
      <c r="E26" s="33">
        <f t="shared" ref="E26:I26" si="8">E32-D32</f>
        <v>569.77500000000146</v>
      </c>
      <c r="F26" s="33">
        <f t="shared" si="8"/>
        <v>1168.0387499999997</v>
      </c>
      <c r="G26" s="33">
        <f t="shared" si="8"/>
        <v>1962.3051000000014</v>
      </c>
      <c r="H26" s="33">
        <f t="shared" si="8"/>
        <v>2649.1118850000057</v>
      </c>
      <c r="I26" s="33">
        <f t="shared" si="8"/>
        <v>3496.8276882000027</v>
      </c>
      <c r="M26" s="34"/>
    </row>
    <row r="27" spans="2:15" x14ac:dyDescent="0.25">
      <c r="B27" t="s">
        <v>23</v>
      </c>
      <c r="D27" s="20">
        <v>-2237</v>
      </c>
      <c r="E27" s="19">
        <f>-(E28*E14)</f>
        <v>-2505.9712500000001</v>
      </c>
      <c r="F27" s="19">
        <f>-(F28*F14)</f>
        <v>-2806.6878000000002</v>
      </c>
      <c r="G27" s="19">
        <f>-(G28*G14)</f>
        <v>-3220.6742505000007</v>
      </c>
      <c r="H27" s="19">
        <f>-(H28*H14)</f>
        <v>-3751.1382447000005</v>
      </c>
      <c r="I27" s="19">
        <f>-(I28*I14)</f>
        <v>-4434.6789915120016</v>
      </c>
      <c r="M27" s="34"/>
    </row>
    <row r="28" spans="2:15" x14ac:dyDescent="0.25">
      <c r="B28" s="21" t="s">
        <v>24</v>
      </c>
      <c r="D28" s="36">
        <f>-(D27/D14)</f>
        <v>1.3724768390698815E-2</v>
      </c>
      <c r="E28" s="23">
        <v>1.4999999999999999E-2</v>
      </c>
      <c r="F28" s="23">
        <v>1.6E-2</v>
      </c>
      <c r="G28" s="23">
        <v>1.7000000000000001E-2</v>
      </c>
      <c r="H28" s="23">
        <v>1.7999999999999999E-2</v>
      </c>
      <c r="I28" s="23">
        <v>1.9E-2</v>
      </c>
      <c r="M28" s="34"/>
    </row>
    <row r="29" spans="2:15" x14ac:dyDescent="0.25">
      <c r="D29" s="37"/>
      <c r="E29" s="38"/>
      <c r="F29" s="38"/>
      <c r="G29" s="38"/>
      <c r="H29" s="38"/>
      <c r="I29" s="38"/>
      <c r="M29" s="34"/>
    </row>
    <row r="30" spans="2:15" x14ac:dyDescent="0.25">
      <c r="B30" s="29" t="s">
        <v>25</v>
      </c>
      <c r="C30" s="29"/>
      <c r="D30" s="31">
        <f t="shared" ref="D30:I30" si="9">D23+D25+D26+D27</f>
        <v>27035.703999999998</v>
      </c>
      <c r="E30" s="31">
        <f t="shared" si="9"/>
        <v>28973.288471249998</v>
      </c>
      <c r="F30" s="31">
        <f t="shared" si="9"/>
        <v>31448.691752250001</v>
      </c>
      <c r="G30" s="31">
        <f t="shared" si="9"/>
        <v>35158.931308462503</v>
      </c>
      <c r="H30" s="31">
        <f t="shared" si="9"/>
        <v>39708.273776944516</v>
      </c>
      <c r="I30" s="31">
        <f t="shared" si="9"/>
        <v>46778.127624569897</v>
      </c>
      <c r="M30" s="31"/>
    </row>
    <row r="31" spans="2:15" x14ac:dyDescent="0.25">
      <c r="D31" s="27"/>
      <c r="M31" s="34"/>
    </row>
    <row r="32" spans="2:15" x14ac:dyDescent="0.25">
      <c r="B32" t="s">
        <v>26</v>
      </c>
      <c r="C32" s="37">
        <f>25152+9636-92-2401-7681-1464</f>
        <v>23150</v>
      </c>
      <c r="D32" s="37">
        <f>26413+9618-2720-8-9519-993</f>
        <v>22791</v>
      </c>
      <c r="E32" s="19">
        <f>E33*E14</f>
        <v>23360.775000000001</v>
      </c>
      <c r="F32" s="19">
        <f>F33*F14</f>
        <v>24528.813750000001</v>
      </c>
      <c r="G32" s="19">
        <f>G33*G14</f>
        <v>26491.118850000003</v>
      </c>
      <c r="H32" s="19">
        <f>H33*H14</f>
        <v>29140.230735000008</v>
      </c>
      <c r="I32" s="19">
        <f>I33*I14</f>
        <v>32637.058423200011</v>
      </c>
    </row>
    <row r="33" spans="2:13" x14ac:dyDescent="0.25">
      <c r="B33" s="21" t="s">
        <v>24</v>
      </c>
      <c r="D33" s="8">
        <f>D32/D14</f>
        <v>0.13983066445794221</v>
      </c>
      <c r="E33" s="8">
        <f>D33</f>
        <v>0.13983066445794221</v>
      </c>
      <c r="F33" s="8">
        <f t="shared" ref="F33:I33" si="10">E33</f>
        <v>0.13983066445794221</v>
      </c>
      <c r="G33" s="8">
        <f t="shared" si="10"/>
        <v>0.13983066445794221</v>
      </c>
      <c r="H33" s="8">
        <f t="shared" si="10"/>
        <v>0.13983066445794221</v>
      </c>
      <c r="I33" s="8">
        <f t="shared" si="10"/>
        <v>0.13983066445794221</v>
      </c>
      <c r="J33" s="27"/>
    </row>
    <row r="34" spans="2:13" x14ac:dyDescent="0.25">
      <c r="D34" s="27"/>
      <c r="E34" s="8"/>
      <c r="F34" s="8"/>
      <c r="G34" s="8"/>
      <c r="H34" s="8"/>
      <c r="I34" s="8"/>
      <c r="J34" s="27"/>
      <c r="K34" s="35"/>
      <c r="M34" s="8"/>
    </row>
    <row r="35" spans="2:13" x14ac:dyDescent="0.25">
      <c r="B35" s="10" t="str">
        <f>"Present value of UFCF on "&amp;TEXT(D7,"mmm dd, yyyy")&amp;" valuation date"</f>
        <v>Present value of UFCF on Oct 30, 2025 valuation date</v>
      </c>
      <c r="C35" s="11"/>
      <c r="D35" s="39"/>
      <c r="E35" s="11"/>
      <c r="F35" s="39"/>
      <c r="G35" s="39"/>
      <c r="H35" s="39"/>
      <c r="I35" s="39"/>
      <c r="J35" s="27"/>
    </row>
    <row r="36" spans="2:13" ht="17.25" x14ac:dyDescent="0.4">
      <c r="B36" s="29"/>
      <c r="D36" s="40" t="s">
        <v>27</v>
      </c>
      <c r="E36" s="40" t="s">
        <v>28</v>
      </c>
      <c r="F36" s="41" t="s">
        <v>29</v>
      </c>
      <c r="G36" s="41" t="s">
        <v>30</v>
      </c>
      <c r="H36" s="41" t="s">
        <v>31</v>
      </c>
      <c r="I36" s="41" t="s">
        <v>32</v>
      </c>
      <c r="J36" s="27"/>
    </row>
    <row r="37" spans="2:13" x14ac:dyDescent="0.25">
      <c r="B37" t="s">
        <v>33</v>
      </c>
      <c r="C37" s="42"/>
      <c r="D37" s="43">
        <f>D7</f>
        <v>45960</v>
      </c>
      <c r="E37" s="43">
        <f>IF($H$7=0,E12,AVERAGE(D37,E12))</f>
        <v>46112</v>
      </c>
      <c r="F37" s="43">
        <f>IF($H$7=0,F12,AVERAGE(F12,E12))</f>
        <v>46477</v>
      </c>
      <c r="G37" s="43">
        <f>IF($H$7=0,G12,AVERAGE(G12,F12))</f>
        <v>46843</v>
      </c>
      <c r="H37" s="43">
        <f>IF($H$7=0,H12,AVERAGE(H12,G12))</f>
        <v>47208</v>
      </c>
      <c r="I37" s="43">
        <f>IF($H$7=0,I12,AVERAGE(I12,H12))</f>
        <v>47573</v>
      </c>
      <c r="J37" s="27"/>
    </row>
    <row r="38" spans="2:13" x14ac:dyDescent="0.25">
      <c r="B38" t="s">
        <v>34</v>
      </c>
      <c r="C38" s="44">
        <f>D8</f>
        <v>0.41666666666666669</v>
      </c>
      <c r="D38" s="34"/>
      <c r="E38" s="45">
        <f>E30*C38</f>
        <v>12072.2035296875</v>
      </c>
      <c r="F38" s="45">
        <f>F30</f>
        <v>31448.691752250001</v>
      </c>
      <c r="G38" s="45">
        <f t="shared" ref="G38:I38" si="11">G30</f>
        <v>35158.931308462503</v>
      </c>
      <c r="H38" s="45">
        <f t="shared" si="11"/>
        <v>39708.273776944516</v>
      </c>
      <c r="I38" s="45">
        <f t="shared" si="11"/>
        <v>46778.127624569897</v>
      </c>
      <c r="J38" s="19"/>
    </row>
    <row r="39" spans="2:13" x14ac:dyDescent="0.25">
      <c r="B39" s="29" t="s">
        <v>35</v>
      </c>
      <c r="C39" s="46"/>
      <c r="E39" s="31">
        <f>E38/(1+$H$4)^((E37-$D$37)/365)</f>
        <v>11600.757088498643</v>
      </c>
      <c r="F39" s="31">
        <f>F38/(1+$H$4)^((F37-$D$37)/365)</f>
        <v>27463.702564963525</v>
      </c>
      <c r="G39" s="31">
        <f>G38/(1+$H$4)^((G37-$D$37)/365)</f>
        <v>27895.559131253656</v>
      </c>
      <c r="H39" s="31">
        <f>H38/(1+$H$4)^((H37-$D$37)/365)</f>
        <v>28631.040507144138</v>
      </c>
      <c r="I39" s="31">
        <f>I38/(1+$H$4)^((I37-$D$37)/365)</f>
        <v>30651.778405804758</v>
      </c>
      <c r="J39" s="19"/>
    </row>
    <row r="41" spans="2:13" x14ac:dyDescent="0.25">
      <c r="B41" s="10" t="s">
        <v>36</v>
      </c>
      <c r="C41" s="10"/>
      <c r="E41" s="10"/>
      <c r="F41" s="11"/>
      <c r="G41" s="11"/>
      <c r="H41" s="11"/>
      <c r="I41" s="11"/>
    </row>
    <row r="42" spans="2:13" x14ac:dyDescent="0.25">
      <c r="B42" t="s">
        <v>37</v>
      </c>
      <c r="C42" s="23">
        <v>0.04</v>
      </c>
      <c r="I42" s="34"/>
      <c r="J42" s="34"/>
    </row>
    <row r="43" spans="2:13" x14ac:dyDescent="0.25">
      <c r="B43" s="47" t="str">
        <f>YEAR(I12)&amp;" FCF x (1+g)"</f>
        <v>2030 FCF x (1+g)</v>
      </c>
      <c r="C43" s="34">
        <f>I30*(1+C42)</f>
        <v>48649.252729552696</v>
      </c>
      <c r="I43" s="48"/>
      <c r="J43" s="48"/>
    </row>
    <row r="44" spans="2:13" x14ac:dyDescent="0.25">
      <c r="B44" t="str">
        <f>"Terminal value in "&amp;YEAR(I12)</f>
        <v>Terminal value in 2030</v>
      </c>
      <c r="C44" s="34">
        <f>C43/(H4-C42)</f>
        <v>805697.95488685474</v>
      </c>
      <c r="I44" s="34"/>
      <c r="J44" s="34"/>
    </row>
    <row r="45" spans="2:13" x14ac:dyDescent="0.25">
      <c r="B45" t="s">
        <v>38</v>
      </c>
      <c r="C45" s="34">
        <f>C44/(1+H4)^((I37-D37)/365)</f>
        <v>527940.65152429277</v>
      </c>
      <c r="I45" s="34"/>
      <c r="J45" s="34"/>
    </row>
    <row r="46" spans="2:13" x14ac:dyDescent="0.25">
      <c r="B46" t="s">
        <v>39</v>
      </c>
      <c r="C46" s="19">
        <f>SUM(E39:I39)</f>
        <v>126242.83769766471</v>
      </c>
      <c r="I46" s="34"/>
      <c r="J46" s="34"/>
    </row>
    <row r="47" spans="2:13" x14ac:dyDescent="0.25">
      <c r="B47" s="29" t="s">
        <v>40</v>
      </c>
      <c r="C47" s="49">
        <f>SUM(C45:C46)</f>
        <v>654183.48922195751</v>
      </c>
      <c r="D47" s="50"/>
      <c r="E47" s="29"/>
      <c r="I47" s="49"/>
      <c r="J47" s="49"/>
    </row>
    <row r="48" spans="2:13" x14ac:dyDescent="0.25">
      <c r="D48" s="32"/>
    </row>
    <row r="49" spans="2:12" x14ac:dyDescent="0.25">
      <c r="B49" s="51" t="s">
        <v>41</v>
      </c>
      <c r="C49" s="52">
        <f>C45/$C$47</f>
        <v>0.80702228078576299</v>
      </c>
      <c r="E49" s="51"/>
      <c r="I49" s="52"/>
      <c r="J49" s="52"/>
    </row>
    <row r="50" spans="2:12" x14ac:dyDescent="0.25">
      <c r="B50" s="51" t="s">
        <v>42</v>
      </c>
      <c r="C50" s="52">
        <f t="shared" ref="C50" si="12">C46/$C$47</f>
        <v>0.19297771921423693</v>
      </c>
      <c r="E50" s="51"/>
      <c r="G50" s="53"/>
      <c r="I50" s="52"/>
      <c r="J50" s="32"/>
    </row>
    <row r="51" spans="2:12" x14ac:dyDescent="0.25">
      <c r="B51" s="51" t="s">
        <v>43</v>
      </c>
      <c r="C51" s="54">
        <f>C44/I16</f>
        <v>12.784975778530256</v>
      </c>
      <c r="I51" s="55"/>
      <c r="J51" s="55"/>
    </row>
    <row r="52" spans="2:12" x14ac:dyDescent="0.25">
      <c r="B52" s="51"/>
      <c r="C52" s="15"/>
      <c r="D52" s="54"/>
      <c r="I52" s="55"/>
      <c r="J52" s="55"/>
    </row>
    <row r="53" spans="2:12" x14ac:dyDescent="0.25">
      <c r="B53" s="10" t="s">
        <v>44</v>
      </c>
      <c r="C53" s="11"/>
      <c r="E53" s="10" t="s">
        <v>45</v>
      </c>
      <c r="F53" s="11"/>
      <c r="G53" s="10"/>
      <c r="H53" s="11"/>
      <c r="I53" s="11"/>
    </row>
    <row r="54" spans="2:12" x14ac:dyDescent="0.25">
      <c r="B54" t="s">
        <v>46</v>
      </c>
      <c r="C54" s="6" t="s">
        <v>80</v>
      </c>
      <c r="L54" s="56"/>
    </row>
    <row r="55" spans="2:12" x14ac:dyDescent="0.25">
      <c r="B55" s="57" t="s">
        <v>47</v>
      </c>
      <c r="C55" s="4">
        <v>45747</v>
      </c>
      <c r="G55" s="58"/>
      <c r="H55" s="59" t="s">
        <v>48</v>
      </c>
      <c r="I55" s="59" t="s">
        <v>49</v>
      </c>
      <c r="J55" s="15" t="s">
        <v>82</v>
      </c>
    </row>
    <row r="56" spans="2:12" x14ac:dyDescent="0.25">
      <c r="B56" s="60" t="s">
        <v>50</v>
      </c>
      <c r="C56" s="5"/>
      <c r="E56" t="s">
        <v>51</v>
      </c>
      <c r="G56" s="6"/>
      <c r="H56" s="6">
        <v>45747</v>
      </c>
      <c r="I56" s="37">
        <v>4151936905</v>
      </c>
      <c r="J56" s="61">
        <v>10000000</v>
      </c>
    </row>
    <row r="57" spans="2:12" x14ac:dyDescent="0.25">
      <c r="B57" s="21" t="s">
        <v>52</v>
      </c>
      <c r="C57" s="120">
        <v>8227</v>
      </c>
      <c r="E57" s="57" t="s">
        <v>81</v>
      </c>
      <c r="G57" s="6"/>
      <c r="H57" s="6">
        <v>45747</v>
      </c>
      <c r="I57" s="37">
        <v>7968571</v>
      </c>
      <c r="J57" s="62"/>
    </row>
    <row r="58" spans="2:12" x14ac:dyDescent="0.25">
      <c r="B58" s="65" t="s">
        <v>54</v>
      </c>
      <c r="C58" s="120">
        <v>24455</v>
      </c>
      <c r="E58" s="64" t="s">
        <v>53</v>
      </c>
      <c r="I58" s="119">
        <f>SUM(I56:I57)</f>
        <v>4159905476</v>
      </c>
    </row>
    <row r="59" spans="2:12" x14ac:dyDescent="0.25">
      <c r="B59" s="66" t="s">
        <v>44</v>
      </c>
      <c r="C59" s="121">
        <f>C57-C58</f>
        <v>-16228</v>
      </c>
      <c r="G59" s="6"/>
      <c r="H59" s="6"/>
      <c r="I59" s="63"/>
    </row>
    <row r="61" spans="2:12" x14ac:dyDescent="0.25">
      <c r="B61" s="10" t="s">
        <v>55</v>
      </c>
      <c r="C61" s="11"/>
      <c r="D61" s="11"/>
    </row>
    <row r="62" spans="2:12" x14ac:dyDescent="0.25">
      <c r="B62" t="s">
        <v>56</v>
      </c>
      <c r="C62" s="67">
        <f>C47</f>
        <v>654183.48922195751</v>
      </c>
      <c r="D62" s="67"/>
    </row>
    <row r="63" spans="2:12" x14ac:dyDescent="0.25">
      <c r="B63" t="s">
        <v>44</v>
      </c>
      <c r="C63" s="68">
        <f>C59</f>
        <v>-16228</v>
      </c>
      <c r="D63" s="68"/>
    </row>
    <row r="64" spans="2:12" x14ac:dyDescent="0.25">
      <c r="B64" t="s">
        <v>57</v>
      </c>
      <c r="C64" s="69">
        <f>C62-C63</f>
        <v>670411.48922195751</v>
      </c>
      <c r="D64" s="69"/>
    </row>
    <row r="65" spans="2:17" x14ac:dyDescent="0.25">
      <c r="B65" t="s">
        <v>45</v>
      </c>
      <c r="C65" s="69">
        <f>I58/10000000</f>
        <v>415.99054760000001</v>
      </c>
      <c r="D65" s="69"/>
    </row>
    <row r="66" spans="2:17" x14ac:dyDescent="0.25">
      <c r="B66" s="29" t="s">
        <v>58</v>
      </c>
      <c r="C66" s="70">
        <f>C64/C65</f>
        <v>1611.6026988829528</v>
      </c>
      <c r="D66" s="70"/>
    </row>
    <row r="67" spans="2:17" x14ac:dyDescent="0.25">
      <c r="B67" s="29"/>
      <c r="C67" s="70"/>
      <c r="D67" s="70"/>
    </row>
    <row r="68" spans="2:17" x14ac:dyDescent="0.25">
      <c r="B68" s="58" t="s">
        <v>59</v>
      </c>
      <c r="C68" s="59"/>
      <c r="D68" s="59"/>
      <c r="E68" s="71"/>
      <c r="F68" s="71"/>
    </row>
    <row r="69" spans="2:17" x14ac:dyDescent="0.25">
      <c r="B69" t="s">
        <v>60</v>
      </c>
      <c r="C69" s="72">
        <f>C62/$E$14</f>
        <v>3.915748170825728</v>
      </c>
      <c r="D69" s="72"/>
      <c r="E69" s="71"/>
      <c r="F69" s="71"/>
    </row>
    <row r="70" spans="2:17" x14ac:dyDescent="0.25">
      <c r="B70" t="s">
        <v>61</v>
      </c>
      <c r="C70" s="71">
        <f>C62/$E$16</f>
        <v>15.982645595207053</v>
      </c>
      <c r="D70" s="71"/>
      <c r="E70" s="71"/>
      <c r="F70" s="71"/>
      <c r="G70" s="73"/>
      <c r="H70" s="73"/>
    </row>
    <row r="71" spans="2:17" x14ac:dyDescent="0.25">
      <c r="B71" s="19" t="s">
        <v>62</v>
      </c>
      <c r="C71" s="71">
        <f>C62/$E$18</f>
        <v>18.212782189887108</v>
      </c>
      <c r="D71" s="71"/>
      <c r="E71" s="71"/>
      <c r="F71" s="74"/>
    </row>
    <row r="72" spans="2:17" x14ac:dyDescent="0.25">
      <c r="F72" s="73"/>
    </row>
    <row r="73" spans="2:17" x14ac:dyDescent="0.25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5" spans="2:17" ht="17.25" x14ac:dyDescent="0.4">
      <c r="B75" s="29"/>
      <c r="C75" s="75" t="s">
        <v>58</v>
      </c>
      <c r="D75" s="13"/>
      <c r="E75" s="13"/>
      <c r="F75" s="13"/>
      <c r="G75" s="13"/>
      <c r="H75" s="13"/>
      <c r="I75" s="76"/>
    </row>
    <row r="76" spans="2:17" x14ac:dyDescent="0.25">
      <c r="C76" s="57"/>
      <c r="D76" s="77" t="s">
        <v>63</v>
      </c>
      <c r="E76" s="77"/>
      <c r="F76" s="77"/>
      <c r="G76" s="77"/>
      <c r="H76" s="77"/>
      <c r="I76" s="78"/>
    </row>
    <row r="77" spans="2:17" x14ac:dyDescent="0.25">
      <c r="B77" s="79"/>
      <c r="C77" s="80">
        <f>C66</f>
        <v>1611.6026988829528</v>
      </c>
      <c r="D77" s="81">
        <f t="shared" ref="D77" si="13">E77-0.005</f>
        <v>3.0000000000000002E-2</v>
      </c>
      <c r="E77" s="82">
        <f>F77-0.005</f>
        <v>3.5000000000000003E-2</v>
      </c>
      <c r="F77" s="83">
        <v>0.04</v>
      </c>
      <c r="G77" s="82">
        <f>F77+0.005</f>
        <v>4.4999999999999998E-2</v>
      </c>
      <c r="H77" s="82">
        <f t="shared" ref="H77" si="14">G77+0.005</f>
        <v>4.9999999999999996E-2</v>
      </c>
      <c r="I77" s="84"/>
    </row>
    <row r="78" spans="2:17" x14ac:dyDescent="0.25">
      <c r="C78" s="85">
        <f t="shared" ref="C78" si="15">C79+0.005</f>
        <v>0.11038150000000001</v>
      </c>
      <c r="D78" s="86">
        <f t="dataTable" ref="D78:H82" dt2D="1" dtr="1" r1="C42" r2="H4"/>
        <v>1242.278719863416</v>
      </c>
      <c r="E78" s="86">
        <v>1307.1467762829679</v>
      </c>
      <c r="F78" s="86">
        <v>1381.2314672470461</v>
      </c>
      <c r="G78" s="86">
        <v>1466.6472979011087</v>
      </c>
      <c r="H78" s="86">
        <v>1566.2091551782376</v>
      </c>
      <c r="I78" s="87"/>
    </row>
    <row r="79" spans="2:17" x14ac:dyDescent="0.25">
      <c r="C79" s="85">
        <f>C80+0.005</f>
        <v>0.1053815</v>
      </c>
      <c r="D79" s="86">
        <v>1325.5919929758456</v>
      </c>
      <c r="E79" s="86">
        <v>1400.8287642993143</v>
      </c>
      <c r="F79" s="86">
        <v>1487.5728842341589</v>
      </c>
      <c r="G79" s="86">
        <v>1588.6830136147521</v>
      </c>
      <c r="H79" s="86">
        <v>1708.0501655354699</v>
      </c>
      <c r="I79" s="87"/>
    </row>
    <row r="80" spans="2:17" x14ac:dyDescent="0.25">
      <c r="B80" s="79" t="s">
        <v>64</v>
      </c>
      <c r="C80" s="88">
        <v>0.1003815</v>
      </c>
      <c r="D80" s="86">
        <v>1420.8138638888545</v>
      </c>
      <c r="E80" s="86">
        <v>1508.913092232513</v>
      </c>
      <c r="F80" s="86">
        <v>1611.6027544580163</v>
      </c>
      <c r="G80" s="86">
        <v>1732.8346486970077</v>
      </c>
      <c r="H80" s="86">
        <v>1878.1293227736369</v>
      </c>
      <c r="I80" s="87"/>
    </row>
    <row r="81" spans="3:9" x14ac:dyDescent="0.25">
      <c r="C81" s="85">
        <f>C80-0.005</f>
        <v>9.5381499999999994E-2</v>
      </c>
      <c r="D81" s="86">
        <v>1530.6781355903868</v>
      </c>
      <c r="E81" s="86">
        <v>1634.9793689554663</v>
      </c>
      <c r="F81" s="86">
        <v>1758.113828824899</v>
      </c>
      <c r="G81" s="86">
        <v>1905.6887003274567</v>
      </c>
      <c r="H81" s="86">
        <v>2085.7823011586083</v>
      </c>
      <c r="I81" s="87"/>
    </row>
    <row r="82" spans="3:9" x14ac:dyDescent="0.25">
      <c r="C82" s="89">
        <f>C81-0.005</f>
        <v>9.038149999999999E-2</v>
      </c>
      <c r="D82" s="86">
        <v>1658.8241719004084</v>
      </c>
      <c r="E82" s="86">
        <v>1783.8999658353448</v>
      </c>
      <c r="F82" s="86">
        <v>1933.8014981732542</v>
      </c>
      <c r="G82" s="86">
        <v>2116.7344491151998</v>
      </c>
      <c r="H82" s="86">
        <v>2344.9685778098165</v>
      </c>
      <c r="I82" s="87"/>
    </row>
    <row r="83" spans="3:9" x14ac:dyDescent="0.25">
      <c r="D83" s="90"/>
      <c r="E83" s="90"/>
      <c r="F83" s="90"/>
      <c r="G83" s="90"/>
      <c r="H83" s="90"/>
      <c r="I83" s="91"/>
    </row>
  </sheetData>
  <conditionalFormatting sqref="D78:I82">
    <cfRule type="cellIs" dxfId="1" priority="1" operator="lessThan">
      <formula>$C$7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51DA-338E-4A0B-A097-889E6B282B8A}">
  <dimension ref="B1:K22"/>
  <sheetViews>
    <sheetView tabSelected="1" workbookViewId="0">
      <selection activeCell="F21" sqref="F21"/>
    </sheetView>
  </sheetViews>
  <sheetFormatPr defaultRowHeight="15" x14ac:dyDescent="0.25"/>
  <cols>
    <col min="2" max="2" width="35.42578125" bestFit="1" customWidth="1"/>
    <col min="3" max="3" width="19.42578125" bestFit="1" customWidth="1"/>
    <col min="4" max="5" width="11.7109375" customWidth="1"/>
  </cols>
  <sheetData>
    <row r="1" spans="2:11" ht="15.75" thickBot="1" x14ac:dyDescent="0.3"/>
    <row r="2" spans="2:11" ht="15.75" thickBot="1" x14ac:dyDescent="0.3">
      <c r="B2" s="1" t="s">
        <v>66</v>
      </c>
      <c r="C2" s="2"/>
      <c r="D2" s="2"/>
      <c r="E2" s="2"/>
      <c r="F2" s="2"/>
      <c r="G2" s="2"/>
      <c r="H2" s="2"/>
      <c r="I2" s="2"/>
    </row>
    <row r="3" spans="2:11" x14ac:dyDescent="0.25">
      <c r="B3" s="3" t="s">
        <v>65</v>
      </c>
    </row>
    <row r="4" spans="2:11" x14ac:dyDescent="0.25">
      <c r="B4" s="93" t="s">
        <v>67</v>
      </c>
      <c r="C4" s="94"/>
      <c r="D4" s="94"/>
      <c r="E4" s="95"/>
      <c r="F4" s="96"/>
    </row>
    <row r="5" spans="2:11" x14ac:dyDescent="0.25">
      <c r="E5" s="58"/>
    </row>
    <row r="6" spans="2:11" x14ac:dyDescent="0.25">
      <c r="B6" t="s">
        <v>68</v>
      </c>
      <c r="C6" s="97">
        <f>C10+0.45%</f>
        <v>4.4973699999999991E-2</v>
      </c>
    </row>
    <row r="7" spans="2:11" x14ac:dyDescent="0.25">
      <c r="B7" t="s">
        <v>79</v>
      </c>
      <c r="C7" s="98">
        <v>0.28899999999999998</v>
      </c>
    </row>
    <row r="8" spans="2:11" x14ac:dyDescent="0.25">
      <c r="B8" t="s">
        <v>69</v>
      </c>
      <c r="C8" s="99">
        <f>C6*(1-C7)</f>
        <v>3.1976300699999995E-2</v>
      </c>
      <c r="K8" s="111"/>
    </row>
    <row r="10" spans="2:11" x14ac:dyDescent="0.25">
      <c r="B10" t="s">
        <v>70</v>
      </c>
      <c r="C10" s="97">
        <f>(0.579*4.3%)+(0.298*3%)+(0.031*6.57%)+(0.092*5%)</f>
        <v>4.0473699999999994E-2</v>
      </c>
    </row>
    <row r="11" spans="2:11" x14ac:dyDescent="0.25">
      <c r="B11" t="s">
        <v>71</v>
      </c>
      <c r="C11" s="100">
        <v>0.82699999999999996</v>
      </c>
    </row>
    <row r="12" spans="2:11" x14ac:dyDescent="0.25">
      <c r="B12" t="s">
        <v>72</v>
      </c>
      <c r="C12" s="101">
        <v>7.46E-2</v>
      </c>
    </row>
    <row r="13" spans="2:11" x14ac:dyDescent="0.25">
      <c r="B13" t="s">
        <v>73</v>
      </c>
      <c r="C13" s="102">
        <f>C10+(C11*C12)</f>
        <v>0.10216789999999999</v>
      </c>
    </row>
    <row r="14" spans="2:11" x14ac:dyDescent="0.25">
      <c r="C14" s="103"/>
    </row>
    <row r="15" spans="2:11" x14ac:dyDescent="0.25">
      <c r="B15" s="104" t="s">
        <v>74</v>
      </c>
      <c r="C15" s="92"/>
      <c r="D15" s="92"/>
    </row>
    <row r="16" spans="2:11" x14ac:dyDescent="0.25">
      <c r="B16" s="29"/>
      <c r="C16" s="79"/>
    </row>
    <row r="17" spans="2:4" ht="17.25" x14ac:dyDescent="0.4">
      <c r="C17" s="105" t="s">
        <v>75</v>
      </c>
      <c r="D17" s="105" t="s">
        <v>76</v>
      </c>
    </row>
    <row r="18" spans="2:4" x14ac:dyDescent="0.25">
      <c r="B18" t="s">
        <v>77</v>
      </c>
      <c r="C18" s="106">
        <f>(DCF!I58*DCF!H5)/10000000</f>
        <v>621406.68000487995</v>
      </c>
      <c r="D18" s="107">
        <f>C18/($C$18+$C$19)</f>
        <v>0.97454969042794881</v>
      </c>
    </row>
    <row r="19" spans="2:4" x14ac:dyDescent="0.25">
      <c r="B19" t="s">
        <v>52</v>
      </c>
      <c r="C19" s="106">
        <f>-DCF!C59</f>
        <v>16228</v>
      </c>
      <c r="D19" s="107">
        <f>C19/($C$18+$C$19)</f>
        <v>2.5450309572051199E-2</v>
      </c>
    </row>
    <row r="21" spans="2:4" x14ac:dyDescent="0.25">
      <c r="B21" s="108" t="s">
        <v>78</v>
      </c>
      <c r="C21" s="109"/>
      <c r="D21" s="127">
        <f>(D19*C8)+(D18*C13)</f>
        <v>0.10038150206845763</v>
      </c>
    </row>
    <row r="22" spans="2:4" x14ac:dyDescent="0.25">
      <c r="B22" s="21"/>
      <c r="C22" s="62"/>
    </row>
  </sheetData>
  <conditionalFormatting sqref="B22:C22">
    <cfRule type="expression" dxfId="0" priority="1">
      <formula>#REF!="Industry"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9EDA1-AC80-4F57-A2DD-8D077506BA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Maran</dc:creator>
  <cp:lastModifiedBy>Keerthana Maran</cp:lastModifiedBy>
  <dcterms:created xsi:type="dcterms:W3CDTF">2025-10-30T19:52:36Z</dcterms:created>
  <dcterms:modified xsi:type="dcterms:W3CDTF">2025-10-31T02:11:40Z</dcterms:modified>
</cp:coreProperties>
</file>