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codeName="ThisWorkbook" defaultThemeVersion="124226"/>
  <xr:revisionPtr revIDLastSave="0" documentId="13_ncr:1_{492A3E31-B369-B049-8A28-212F29EF93EE}" xr6:coauthVersionLast="47" xr6:coauthVersionMax="47" xr10:uidLastSave="{00000000-0000-0000-0000-000000000000}"/>
  <bookViews>
    <workbookView xWindow="0" yWindow="760" windowWidth="30240" windowHeight="18880" tabRatio="725" xr2:uid="{00000000-000D-0000-FFFF-FFFF00000000}"/>
  </bookViews>
  <sheets>
    <sheet name="Kauslprgn" sheetId="3" r:id="rId1"/>
    <sheet name="Zeitrhe" sheetId="11" r:id="rId2"/>
    <sheet name="EXPO123" sheetId="24" r:id="rId3"/>
    <sheet name="PrognQual" sheetId="12" r:id="rId4"/>
  </sheets>
  <externalReferences>
    <externalReference r:id="rId5"/>
  </externalReferences>
  <definedNames>
    <definedName name="_sk1">'[1]Analyse K-Abweichungen'!$M$25</definedName>
    <definedName name="_sk2">'[1]Analyse K-Abweichungen'!$N$25</definedName>
    <definedName name="_sk3">'[1]Analyse K-Abweichungen'!$O$25</definedName>
    <definedName name="ABC">#REF!</definedName>
    <definedName name="artikel_xyz">#REF!</definedName>
    <definedName name="ik">'[1]Analyse K-Abweichungen'!$L$25</definedName>
    <definedName name="istmenge_output">'[1]Analyse K-Abweichungen'!$C$3</definedName>
    <definedName name="klassen_xyz">#REF!</definedName>
    <definedName name="lk">'[1]Wagner-Whitin klein'!$B$6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ra_tab">#REF!</definedName>
    <definedName name="pk">'[1]Analyse K-Abweichungen'!$K$25</definedName>
    <definedName name="planmenge_output">'[1]Analyse K-Abweichungen'!$C$2</definedName>
    <definedName name="rk">'[1]Wagner-Whitin klein'!$B$5</definedName>
    <definedName name="solver_adj" localSheetId="2" hidden="1">EXPO123!$C$86:$E$86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EXPO123!$C$86:$E$86</definedName>
    <definedName name="solver_lhs2" localSheetId="2" hidden="1">EXPO123!$C$86:$E$86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1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EXPO123!$L$107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100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Sortierung">#REF!</definedName>
    <definedName name="var_koeff">#REF!</definedName>
    <definedName name="zwer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" i="24" l="1"/>
  <c r="H124" i="24" s="1"/>
  <c r="E134" i="24" s="1"/>
  <c r="C110" i="24"/>
  <c r="F109" i="24"/>
  <c r="J96" i="24" s="1"/>
  <c r="C109" i="24"/>
  <c r="E85" i="24"/>
  <c r="D85" i="24"/>
  <c r="Q83" i="24" s="1"/>
  <c r="C85" i="24"/>
  <c r="Q82" i="24" s="1"/>
  <c r="E59" i="24"/>
  <c r="D59" i="24"/>
  <c r="D57" i="24"/>
  <c r="D56" i="24"/>
  <c r="D32" i="24"/>
  <c r="D30" i="24"/>
  <c r="D18" i="24"/>
  <c r="I17" i="24"/>
  <c r="H17" i="24"/>
  <c r="G17" i="24"/>
  <c r="D17" i="24"/>
  <c r="E17" i="24" s="1"/>
  <c r="I16" i="24"/>
  <c r="H16" i="24"/>
  <c r="G16" i="24"/>
  <c r="D16" i="24"/>
  <c r="E16" i="24" s="1"/>
  <c r="I15" i="24"/>
  <c r="H15" i="24"/>
  <c r="G15" i="24"/>
  <c r="D15" i="24"/>
  <c r="E15" i="24" s="1"/>
  <c r="I14" i="24"/>
  <c r="H14" i="24"/>
  <c r="G14" i="24"/>
  <c r="D14" i="24"/>
  <c r="E14" i="24" s="1"/>
  <c r="I13" i="24"/>
  <c r="H13" i="24"/>
  <c r="G13" i="24"/>
  <c r="D13" i="24"/>
  <c r="E13" i="24" s="1"/>
  <c r="H12" i="24"/>
  <c r="G12" i="24"/>
  <c r="D12" i="24"/>
  <c r="E12" i="24" s="1"/>
  <c r="G11" i="24"/>
  <c r="D11" i="24"/>
  <c r="E11" i="24" s="1"/>
  <c r="D10" i="24"/>
  <c r="F110" i="24" l="1"/>
  <c r="H123" i="24"/>
  <c r="E133" i="24" s="1"/>
  <c r="F60" i="24"/>
  <c r="D33" i="24"/>
  <c r="D34" i="24" s="1"/>
  <c r="D35" i="24" s="1"/>
  <c r="D36" i="24" s="1"/>
  <c r="E36" i="24" s="1"/>
  <c r="I91" i="24"/>
  <c r="I89" i="24"/>
  <c r="I94" i="24"/>
  <c r="I92" i="24"/>
  <c r="I88" i="24"/>
  <c r="F90" i="24"/>
  <c r="F96" i="24"/>
  <c r="F95" i="24"/>
  <c r="F94" i="24"/>
  <c r="F93" i="24"/>
  <c r="F91" i="24"/>
  <c r="F89" i="24"/>
  <c r="I96" i="24"/>
  <c r="I95" i="24"/>
  <c r="I93" i="24"/>
  <c r="I90" i="24"/>
  <c r="F92" i="24"/>
  <c r="E21" i="24"/>
  <c r="D60" i="24"/>
  <c r="E60" i="24" s="1"/>
  <c r="Q84" i="24"/>
  <c r="H125" i="24"/>
  <c r="E135" i="24"/>
  <c r="H126" i="24"/>
  <c r="E136" i="24" s="1"/>
  <c r="G94" i="24" l="1"/>
  <c r="H94" i="24" s="1"/>
  <c r="G95" i="24"/>
  <c r="H95" i="24" s="1"/>
  <c r="G96" i="24"/>
  <c r="H96" i="24" s="1"/>
  <c r="D37" i="24"/>
  <c r="D38" i="24" s="1"/>
  <c r="F61" i="24"/>
  <c r="D61" i="24" s="1"/>
  <c r="G93" i="24"/>
  <c r="H93" i="24" l="1"/>
  <c r="E37" i="24"/>
  <c r="E61" i="24"/>
  <c r="F62" i="24" s="1"/>
  <c r="D62" i="24" s="1"/>
  <c r="D39" i="24"/>
  <c r="E38" i="24"/>
  <c r="I97" i="24" l="1"/>
  <c r="K97" i="24"/>
  <c r="L97" i="24" s="1"/>
  <c r="E62" i="24"/>
  <c r="F63" i="24" s="1"/>
  <c r="E39" i="24"/>
  <c r="D40" i="24"/>
  <c r="J97" i="24" l="1"/>
  <c r="H97" i="24"/>
  <c r="G63" i="24"/>
  <c r="D63" i="24"/>
  <c r="E40" i="24"/>
  <c r="D41" i="24"/>
  <c r="K98" i="24" l="1"/>
  <c r="L98" i="24" s="1"/>
  <c r="I98" i="24"/>
  <c r="E63" i="24"/>
  <c r="F64" i="24" s="1"/>
  <c r="E41" i="24"/>
  <c r="D42" i="24"/>
  <c r="I99" i="24" l="1"/>
  <c r="H99" i="24" s="1"/>
  <c r="H98" i="24"/>
  <c r="J98" i="24"/>
  <c r="K99" i="24" s="1"/>
  <c r="L99" i="24" s="1"/>
  <c r="G64" i="24"/>
  <c r="D64" i="24"/>
  <c r="D43" i="24"/>
  <c r="E42" i="24"/>
  <c r="E46" i="24" s="1"/>
  <c r="J99" i="24" l="1"/>
  <c r="I100" i="24" s="1"/>
  <c r="J100" i="24"/>
  <c r="I101" i="24" s="1"/>
  <c r="H100" i="24"/>
  <c r="K100" i="24"/>
  <c r="L100" i="24" s="1"/>
  <c r="E64" i="24"/>
  <c r="F65" i="24" s="1"/>
  <c r="K101" i="24" l="1"/>
  <c r="L101" i="24" s="1"/>
  <c r="J101" i="24"/>
  <c r="I102" i="24" s="1"/>
  <c r="H101" i="24"/>
  <c r="G65" i="24"/>
  <c r="D65" i="24"/>
  <c r="H102" i="24" l="1"/>
  <c r="J102" i="24"/>
  <c r="K103" i="24" s="1"/>
  <c r="L103" i="24" s="1"/>
  <c r="K102" i="24"/>
  <c r="L102" i="24" s="1"/>
  <c r="E65" i="24"/>
  <c r="F66" i="24" s="1"/>
  <c r="L107" i="24" l="1"/>
  <c r="I103" i="24"/>
  <c r="G66" i="24"/>
  <c r="D66" i="24"/>
  <c r="H103" i="24" l="1"/>
  <c r="J103" i="24"/>
  <c r="I104" i="24" s="1"/>
  <c r="E66" i="24"/>
  <c r="F67" i="24" s="1"/>
  <c r="K104" i="24" l="1"/>
  <c r="J104" i="24"/>
  <c r="H104" i="24"/>
  <c r="G67" i="24"/>
  <c r="D67" i="24"/>
  <c r="E67" i="24" l="1"/>
  <c r="F68" i="24" s="1"/>
  <c r="G68" i="24" l="1"/>
  <c r="D68" i="24"/>
  <c r="E68" i="24" l="1"/>
  <c r="F69" i="24" s="1"/>
  <c r="G69" i="24" l="1"/>
  <c r="G73" i="24" s="1"/>
  <c r="D69" i="24"/>
  <c r="E69" i="24" l="1"/>
  <c r="F70" i="24" s="1"/>
  <c r="D54" i="11" l="1"/>
  <c r="D53" i="11"/>
  <c r="F29" i="11"/>
  <c r="T31" i="11" l="1"/>
  <c r="T30" i="11"/>
  <c r="C86" i="12"/>
  <c r="E86" i="12" s="1"/>
  <c r="C85" i="12"/>
  <c r="E85" i="12" s="1"/>
  <c r="C84" i="12"/>
  <c r="E84" i="12" s="1"/>
  <c r="C83" i="12"/>
  <c r="E83" i="12" s="1"/>
  <c r="C82" i="12"/>
  <c r="E82" i="12" s="1"/>
  <c r="C81" i="12"/>
  <c r="E81" i="12" s="1"/>
  <c r="C80" i="12"/>
  <c r="E80" i="12" s="1"/>
  <c r="E79" i="12"/>
  <c r="D79" i="12"/>
  <c r="E78" i="12"/>
  <c r="D78" i="12"/>
  <c r="E77" i="12"/>
  <c r="H77" i="12" s="1"/>
  <c r="H78" i="12" s="1"/>
  <c r="H79" i="12" s="1"/>
  <c r="H80" i="12" s="1"/>
  <c r="D77" i="12"/>
  <c r="G77" i="12" s="1"/>
  <c r="G78" i="12" s="1"/>
  <c r="G79" i="12" s="1"/>
  <c r="C19" i="11"/>
  <c r="Q108" i="11"/>
  <c r="Q107" i="11"/>
  <c r="C107" i="11"/>
  <c r="O100" i="11"/>
  <c r="O101" i="11"/>
  <c r="O102" i="11"/>
  <c r="O103" i="11"/>
  <c r="O104" i="11"/>
  <c r="O105" i="11"/>
  <c r="P101" i="11" s="1"/>
  <c r="O106" i="11"/>
  <c r="O107" i="11"/>
  <c r="D104" i="11"/>
  <c r="C111" i="11"/>
  <c r="C54" i="11"/>
  <c r="C53" i="11"/>
  <c r="P31" i="11"/>
  <c r="P30" i="11"/>
  <c r="R32" i="11" s="1"/>
  <c r="L8" i="11"/>
  <c r="L5" i="11"/>
  <c r="N5" i="11"/>
  <c r="P5" i="11"/>
  <c r="D82" i="3"/>
  <c r="D83" i="3"/>
  <c r="D84" i="3"/>
  <c r="D85" i="3"/>
  <c r="D86" i="3"/>
  <c r="D81" i="3"/>
  <c r="D72" i="3"/>
  <c r="D71" i="3"/>
  <c r="D70" i="3"/>
  <c r="D69" i="3"/>
  <c r="D68" i="3"/>
  <c r="D67" i="3"/>
  <c r="C14" i="3"/>
  <c r="B14" i="3"/>
  <c r="S23" i="3"/>
  <c r="S21" i="3" a="1"/>
  <c r="S21" i="3" s="1"/>
  <c r="S17" i="3"/>
  <c r="S16" i="3"/>
  <c r="S11" i="3"/>
  <c r="S10" i="3"/>
  <c r="S9" i="3"/>
  <c r="S8" i="3"/>
  <c r="D50" i="12"/>
  <c r="D49" i="12"/>
  <c r="C38" i="12"/>
  <c r="C39" i="12" s="1"/>
  <c r="C27" i="12"/>
  <c r="C28" i="12"/>
  <c r="C29" i="12"/>
  <c r="C30" i="12"/>
  <c r="C31" i="12"/>
  <c r="C32" i="12"/>
  <c r="C26" i="12"/>
  <c r="E23" i="12"/>
  <c r="G23" i="12" s="1"/>
  <c r="D23" i="12"/>
  <c r="F23" i="12" s="1"/>
  <c r="J6" i="12"/>
  <c r="J7" i="12"/>
  <c r="J8" i="12"/>
  <c r="J9" i="12"/>
  <c r="J10" i="12"/>
  <c r="J5" i="12"/>
  <c r="I6" i="12"/>
  <c r="I7" i="12"/>
  <c r="I5" i="12"/>
  <c r="G6" i="12"/>
  <c r="H6" i="12"/>
  <c r="G7" i="12"/>
  <c r="H7" i="12"/>
  <c r="H8" i="12"/>
  <c r="H9" i="12"/>
  <c r="H10" i="12"/>
  <c r="H5" i="12"/>
  <c r="G5" i="12"/>
  <c r="E6" i="12"/>
  <c r="F6" i="12"/>
  <c r="E7" i="12"/>
  <c r="F7" i="12"/>
  <c r="F8" i="12"/>
  <c r="F9" i="12"/>
  <c r="F10" i="12"/>
  <c r="F5" i="12"/>
  <c r="E5" i="12"/>
  <c r="C9" i="12"/>
  <c r="G9" i="12" s="1"/>
  <c r="C10" i="12"/>
  <c r="I10" i="12" s="1"/>
  <c r="C8" i="12"/>
  <c r="I8" i="12" s="1"/>
  <c r="C153" i="11"/>
  <c r="C154" i="11" s="1"/>
  <c r="E154" i="11" s="1"/>
  <c r="D106" i="11"/>
  <c r="C115" i="11"/>
  <c r="C113" i="11"/>
  <c r="C109" i="11"/>
  <c r="D112" i="11"/>
  <c r="D110" i="11"/>
  <c r="D108" i="11"/>
  <c r="C93" i="11"/>
  <c r="D75" i="11" s="1"/>
  <c r="S13" i="3" l="1"/>
  <c r="B63" i="3"/>
  <c r="F69" i="3" s="1"/>
  <c r="H81" i="12"/>
  <c r="H82" i="12" s="1"/>
  <c r="H83" i="12" s="1"/>
  <c r="H84" i="12" s="1"/>
  <c r="H85" i="12" s="1"/>
  <c r="H86" i="12" s="1"/>
  <c r="B77" i="3"/>
  <c r="E77" i="3" s="1"/>
  <c r="H11" i="12"/>
  <c r="H12" i="12" s="1"/>
  <c r="J11" i="12"/>
  <c r="J12" i="12" s="1"/>
  <c r="D38" i="12"/>
  <c r="F38" i="12" s="1"/>
  <c r="E105" i="11"/>
  <c r="P102" i="11"/>
  <c r="P100" i="11"/>
  <c r="P103" i="11"/>
  <c r="F105" i="11"/>
  <c r="F11" i="12"/>
  <c r="F12" i="12" s="1"/>
  <c r="E38" i="12"/>
  <c r="G38" i="12" s="1"/>
  <c r="C56" i="12"/>
  <c r="Q31" i="11"/>
  <c r="R33" i="11"/>
  <c r="B78" i="3"/>
  <c r="F84" i="3" s="1"/>
  <c r="G97" i="3" s="1"/>
  <c r="B64" i="3"/>
  <c r="R35" i="11"/>
  <c r="R31" i="11"/>
  <c r="F79" i="12"/>
  <c r="F77" i="12"/>
  <c r="E87" i="12"/>
  <c r="I77" i="12"/>
  <c r="D80" i="12"/>
  <c r="F80" i="12" s="1"/>
  <c r="D81" i="12"/>
  <c r="F81" i="12" s="1"/>
  <c r="D82" i="12"/>
  <c r="F82" i="12" s="1"/>
  <c r="D83" i="12"/>
  <c r="F83" i="12" s="1"/>
  <c r="D84" i="12"/>
  <c r="F84" i="12" s="1"/>
  <c r="D85" i="12"/>
  <c r="F85" i="12" s="1"/>
  <c r="D86" i="12"/>
  <c r="F86" i="12" s="1"/>
  <c r="Q30" i="11"/>
  <c r="Q34" i="11"/>
  <c r="Q32" i="11"/>
  <c r="R30" i="11"/>
  <c r="R34" i="11"/>
  <c r="D73" i="11"/>
  <c r="Q35" i="11"/>
  <c r="Q33" i="11"/>
  <c r="F154" i="11"/>
  <c r="S14" i="3"/>
  <c r="E39" i="12"/>
  <c r="D39" i="12"/>
  <c r="I9" i="12"/>
  <c r="I11" i="12" s="1"/>
  <c r="I12" i="12" s="1"/>
  <c r="C63" i="12"/>
  <c r="C61" i="12"/>
  <c r="C59" i="12"/>
  <c r="C57" i="12"/>
  <c r="C55" i="12"/>
  <c r="E55" i="12" s="1"/>
  <c r="E10" i="12"/>
  <c r="E9" i="12"/>
  <c r="E8" i="12"/>
  <c r="G10" i="12"/>
  <c r="G8" i="12"/>
  <c r="C54" i="12"/>
  <c r="D54" i="12" s="1"/>
  <c r="F54" i="12" s="1"/>
  <c r="C62" i="12"/>
  <c r="C60" i="12"/>
  <c r="C58" i="12"/>
  <c r="C40" i="12"/>
  <c r="G39" i="12"/>
  <c r="D25" i="12"/>
  <c r="E25" i="12"/>
  <c r="E24" i="12"/>
  <c r="D24" i="12"/>
  <c r="G24" i="12"/>
  <c r="F24" i="12"/>
  <c r="E26" i="12"/>
  <c r="H23" i="12"/>
  <c r="E109" i="11"/>
  <c r="D154" i="11"/>
  <c r="C155" i="11" s="1"/>
  <c r="E111" i="11"/>
  <c r="E107" i="11"/>
  <c r="F107" i="11" s="1"/>
  <c r="D91" i="11"/>
  <c r="D89" i="11"/>
  <c r="D87" i="11"/>
  <c r="D85" i="11"/>
  <c r="D83" i="11"/>
  <c r="D81" i="11"/>
  <c r="D79" i="11"/>
  <c r="D77" i="11"/>
  <c r="D92" i="11"/>
  <c r="D90" i="11"/>
  <c r="D88" i="11"/>
  <c r="D86" i="11"/>
  <c r="D84" i="11"/>
  <c r="D82" i="11"/>
  <c r="D80" i="11"/>
  <c r="D78" i="11"/>
  <c r="D76" i="11"/>
  <c r="D74" i="11"/>
  <c r="F53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F31" i="11"/>
  <c r="D32" i="11"/>
  <c r="D33" i="11"/>
  <c r="D34" i="11"/>
  <c r="D35" i="11"/>
  <c r="D36" i="11"/>
  <c r="D37" i="11"/>
  <c r="D38" i="11"/>
  <c r="D39" i="11"/>
  <c r="D40" i="11"/>
  <c r="D31" i="11"/>
  <c r="C31" i="11"/>
  <c r="C32" i="11"/>
  <c r="C33" i="11"/>
  <c r="C34" i="11"/>
  <c r="C35" i="11"/>
  <c r="C36" i="11"/>
  <c r="C37" i="11"/>
  <c r="C38" i="11"/>
  <c r="C39" i="11"/>
  <c r="C40" i="11"/>
  <c r="G12" i="11"/>
  <c r="H12" i="11" s="1"/>
  <c r="E11" i="11"/>
  <c r="R5" i="11"/>
  <c r="L9" i="11"/>
  <c r="R8" i="11"/>
  <c r="R9" i="11" s="1"/>
  <c r="R10" i="11" s="1"/>
  <c r="P8" i="11"/>
  <c r="P9" i="11" s="1"/>
  <c r="P10" i="11" s="1"/>
  <c r="N8" i="11"/>
  <c r="N9" i="11" s="1"/>
  <c r="C11" i="1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0" i="11"/>
  <c r="G13" i="11"/>
  <c r="H13" i="11" s="1"/>
  <c r="G14" i="11"/>
  <c r="H14" i="11" s="1"/>
  <c r="G15" i="11"/>
  <c r="H15" i="11" s="1"/>
  <c r="G16" i="11"/>
  <c r="H16" i="11" s="1"/>
  <c r="G17" i="11"/>
  <c r="H17" i="11" s="1"/>
  <c r="G18" i="11"/>
  <c r="H18" i="11" s="1"/>
  <c r="G19" i="11"/>
  <c r="E12" i="11"/>
  <c r="F12" i="11" s="1"/>
  <c r="E13" i="11"/>
  <c r="E14" i="11"/>
  <c r="E15" i="11"/>
  <c r="E16" i="11"/>
  <c r="E17" i="11"/>
  <c r="F17" i="11" s="1"/>
  <c r="E18" i="11"/>
  <c r="E19" i="11"/>
  <c r="F16" i="11"/>
  <c r="F13" i="11"/>
  <c r="F14" i="11"/>
  <c r="F15" i="11"/>
  <c r="F18" i="11"/>
  <c r="D33" i="3"/>
  <c r="E33" i="3"/>
  <c r="E34" i="3"/>
  <c r="E35" i="3"/>
  <c r="E36" i="3"/>
  <c r="E37" i="3"/>
  <c r="E38" i="3"/>
  <c r="D34" i="3"/>
  <c r="D35" i="3"/>
  <c r="D36" i="3"/>
  <c r="D37" i="3"/>
  <c r="D38" i="3"/>
  <c r="B3" i="3"/>
  <c r="B4" i="3"/>
  <c r="F39" i="12" l="1"/>
  <c r="H39" i="12" s="1"/>
  <c r="F67" i="3"/>
  <c r="E94" i="3" s="1"/>
  <c r="H38" i="12"/>
  <c r="E54" i="12"/>
  <c r="G54" i="12" s="1"/>
  <c r="F32" i="11"/>
  <c r="F33" i="11" s="1"/>
  <c r="F34" i="11" s="1"/>
  <c r="F35" i="11" s="1"/>
  <c r="F36" i="11" s="1"/>
  <c r="F37" i="11" s="1"/>
  <c r="F38" i="11" s="1"/>
  <c r="F39" i="11" s="1"/>
  <c r="F40" i="11" s="1"/>
  <c r="F41" i="11" s="1"/>
  <c r="G81" i="11"/>
  <c r="D55" i="12"/>
  <c r="F55" i="12" s="1"/>
  <c r="F25" i="12"/>
  <c r="E41" i="11"/>
  <c r="B28" i="3"/>
  <c r="E28" i="3" s="1"/>
  <c r="B29" i="3"/>
  <c r="R36" i="11"/>
  <c r="E103" i="11"/>
  <c r="E101" i="11" s="1"/>
  <c r="F101" i="11" s="1"/>
  <c r="F85" i="3"/>
  <c r="G98" i="3" s="1"/>
  <c r="F86" i="3"/>
  <c r="G99" i="3" s="1"/>
  <c r="F82" i="3"/>
  <c r="G95" i="3" s="1"/>
  <c r="D8" i="3"/>
  <c r="F109" i="11"/>
  <c r="E113" i="11"/>
  <c r="E115" i="11" s="1"/>
  <c r="F115" i="11" s="1"/>
  <c r="I104" i="11" s="1"/>
  <c r="G69" i="3"/>
  <c r="H69" i="3" s="1"/>
  <c r="E96" i="3"/>
  <c r="F87" i="12"/>
  <c r="G80" i="12"/>
  <c r="G81" i="12" s="1"/>
  <c r="G82" i="12" s="1"/>
  <c r="G83" i="12" s="1"/>
  <c r="G84" i="12" s="1"/>
  <c r="G85" i="12" s="1"/>
  <c r="G86" i="12" s="1"/>
  <c r="F81" i="3"/>
  <c r="F83" i="3"/>
  <c r="G96" i="3" s="1"/>
  <c r="D87" i="12"/>
  <c r="I78" i="12"/>
  <c r="I79" i="12"/>
  <c r="Q36" i="11"/>
  <c r="E33" i="11"/>
  <c r="E32" i="11"/>
  <c r="F72" i="3"/>
  <c r="F71" i="3"/>
  <c r="G85" i="3"/>
  <c r="H85" i="3" s="1"/>
  <c r="G86" i="3"/>
  <c r="H86" i="3" s="1"/>
  <c r="F68" i="3"/>
  <c r="G84" i="3"/>
  <c r="H84" i="3" s="1"/>
  <c r="F70" i="3"/>
  <c r="D10" i="3"/>
  <c r="D12" i="3"/>
  <c r="D98" i="3" s="1"/>
  <c r="D9" i="3"/>
  <c r="D95" i="3" s="1"/>
  <c r="D11" i="3"/>
  <c r="D97" i="3" s="1"/>
  <c r="D13" i="3"/>
  <c r="D99" i="3" s="1"/>
  <c r="G11" i="12"/>
  <c r="G12" i="12" s="1"/>
  <c r="E11" i="12"/>
  <c r="E12" i="12" s="1"/>
  <c r="H54" i="12"/>
  <c r="G55" i="12"/>
  <c r="C41" i="12"/>
  <c r="D40" i="12"/>
  <c r="F40" i="12" s="1"/>
  <c r="E40" i="12"/>
  <c r="G40" i="12" s="1"/>
  <c r="E56" i="12"/>
  <c r="D56" i="12"/>
  <c r="G25" i="12"/>
  <c r="G26" i="12" s="1"/>
  <c r="D27" i="12"/>
  <c r="E27" i="12"/>
  <c r="D26" i="12"/>
  <c r="E28" i="12"/>
  <c r="H24" i="12"/>
  <c r="D28" i="12"/>
  <c r="E155" i="11"/>
  <c r="D155" i="11"/>
  <c r="C156" i="11" s="1"/>
  <c r="F155" i="11"/>
  <c r="F111" i="11"/>
  <c r="F103" i="11"/>
  <c r="I102" i="11" s="1"/>
  <c r="G82" i="11"/>
  <c r="G90" i="11" s="1"/>
  <c r="G89" i="11"/>
  <c r="G84" i="11"/>
  <c r="G92" i="11" s="1"/>
  <c r="G83" i="11"/>
  <c r="G91" i="11" s="1"/>
  <c r="G85" i="11"/>
  <c r="G93" i="11" s="1"/>
  <c r="F20" i="11"/>
  <c r="H20" i="11"/>
  <c r="D20" i="11"/>
  <c r="N10" i="11"/>
  <c r="E53" i="11"/>
  <c r="G54" i="11" s="1"/>
  <c r="E54" i="11"/>
  <c r="E40" i="11"/>
  <c r="E38" i="11"/>
  <c r="E36" i="11"/>
  <c r="E34" i="11"/>
  <c r="E39" i="11"/>
  <c r="E37" i="11"/>
  <c r="E35" i="11"/>
  <c r="L10" i="11"/>
  <c r="P11" i="11"/>
  <c r="R11" i="11"/>
  <c r="R12" i="11" s="1"/>
  <c r="R13" i="11" s="1"/>
  <c r="R14" i="11" s="1"/>
  <c r="R15" i="11" s="1"/>
  <c r="R16" i="11" s="1"/>
  <c r="R17" i="11" s="1"/>
  <c r="R18" i="11" s="1"/>
  <c r="R19" i="11" s="1"/>
  <c r="E11" i="3"/>
  <c r="F11" i="3" s="1"/>
  <c r="E12" i="3"/>
  <c r="F12" i="3" s="1"/>
  <c r="G67" i="3" l="1"/>
  <c r="H67" i="3" s="1"/>
  <c r="F33" i="3"/>
  <c r="H55" i="12"/>
  <c r="G82" i="3"/>
  <c r="H82" i="3" s="1"/>
  <c r="G56" i="12"/>
  <c r="H25" i="12"/>
  <c r="F26" i="12"/>
  <c r="H26" i="12" s="1"/>
  <c r="F113" i="11"/>
  <c r="I103" i="11" s="1"/>
  <c r="Q38" i="11"/>
  <c r="I101" i="11"/>
  <c r="I105" i="11" s="1"/>
  <c r="J101" i="11" s="1"/>
  <c r="E9" i="3"/>
  <c r="F9" i="3" s="1"/>
  <c r="E13" i="3"/>
  <c r="F13" i="3" s="1"/>
  <c r="G33" i="3"/>
  <c r="H33" i="3" s="1"/>
  <c r="F94" i="3"/>
  <c r="G68" i="3"/>
  <c r="H68" i="3" s="1"/>
  <c r="H73" i="3" s="1"/>
  <c r="E95" i="3"/>
  <c r="G72" i="3"/>
  <c r="H72" i="3" s="1"/>
  <c r="E99" i="3"/>
  <c r="E10" i="3"/>
  <c r="F10" i="3" s="1"/>
  <c r="F15" i="3" s="1"/>
  <c r="D96" i="3"/>
  <c r="G70" i="3"/>
  <c r="H70" i="3" s="1"/>
  <c r="E97" i="3"/>
  <c r="G83" i="3"/>
  <c r="H83" i="3" s="1"/>
  <c r="G71" i="3"/>
  <c r="H71" i="3" s="1"/>
  <c r="E98" i="3"/>
  <c r="I80" i="12"/>
  <c r="G94" i="3"/>
  <c r="G100" i="3" s="1" a="1"/>
  <c r="G100" i="3" s="1"/>
  <c r="G81" i="3"/>
  <c r="H81" i="3" s="1"/>
  <c r="E8" i="3"/>
  <c r="F8" i="3" s="1"/>
  <c r="D94" i="3"/>
  <c r="D100" i="3" s="1" a="1"/>
  <c r="D100" i="3" s="1"/>
  <c r="I81" i="12"/>
  <c r="I82" i="12"/>
  <c r="N11" i="11"/>
  <c r="N12" i="11" s="1"/>
  <c r="H87" i="3"/>
  <c r="D14" i="3"/>
  <c r="T35" i="3"/>
  <c r="T34" i="3"/>
  <c r="T37" i="3"/>
  <c r="T39" i="3"/>
  <c r="T36" i="3"/>
  <c r="T38" i="3"/>
  <c r="S24" i="3" a="1"/>
  <c r="S24" i="3" s="1"/>
  <c r="S25" i="3" s="1"/>
  <c r="S20" i="3" a="1"/>
  <c r="S20" i="3" s="1"/>
  <c r="S22" i="3" s="1"/>
  <c r="F14" i="3"/>
  <c r="H40" i="12"/>
  <c r="C42" i="12"/>
  <c r="E41" i="12"/>
  <c r="G41" i="12" s="1"/>
  <c r="D41" i="12"/>
  <c r="F41" i="12" s="1"/>
  <c r="F56" i="12"/>
  <c r="H56" i="12" s="1"/>
  <c r="E57" i="12"/>
  <c r="G57" i="12" s="1"/>
  <c r="D57" i="12"/>
  <c r="G27" i="12"/>
  <c r="G28" i="12" s="1"/>
  <c r="D29" i="12"/>
  <c r="E29" i="12"/>
  <c r="E30" i="12"/>
  <c r="D30" i="12"/>
  <c r="F27" i="12"/>
  <c r="D156" i="11"/>
  <c r="C157" i="11" s="1"/>
  <c r="E156" i="11"/>
  <c r="F156" i="11"/>
  <c r="L11" i="11"/>
  <c r="L12" i="11" s="1"/>
  <c r="L13" i="11" s="1"/>
  <c r="L14" i="11" s="1"/>
  <c r="L15" i="11" s="1"/>
  <c r="L16" i="11" s="1"/>
  <c r="L17" i="11" s="1"/>
  <c r="L18" i="11" s="1"/>
  <c r="L19" i="11" s="1"/>
  <c r="G86" i="11"/>
  <c r="F54" i="11"/>
  <c r="E55" i="11" s="1"/>
  <c r="P12" i="11"/>
  <c r="P13" i="11" s="1"/>
  <c r="P14" i="11" s="1"/>
  <c r="P15" i="11" s="1"/>
  <c r="P16" i="11" s="1"/>
  <c r="P17" i="11" s="1"/>
  <c r="P18" i="11" s="1"/>
  <c r="P19" i="11" s="1"/>
  <c r="F35" i="3"/>
  <c r="F96" i="3" s="1"/>
  <c r="F37" i="3"/>
  <c r="F98" i="3" s="1"/>
  <c r="F34" i="3"/>
  <c r="F36" i="3"/>
  <c r="F38" i="3"/>
  <c r="F57" i="12" l="1"/>
  <c r="G38" i="3"/>
  <c r="H38" i="3" s="1"/>
  <c r="F99" i="3"/>
  <c r="G34" i="3"/>
  <c r="H34" i="3" s="1"/>
  <c r="F95" i="3"/>
  <c r="G36" i="3"/>
  <c r="H36" i="3" s="1"/>
  <c r="F97" i="3"/>
  <c r="E100" i="3" a="1"/>
  <c r="E100" i="3" s="1"/>
  <c r="I83" i="12"/>
  <c r="J102" i="11"/>
  <c r="B122" i="11" s="1"/>
  <c r="B121" i="11"/>
  <c r="O12" i="11"/>
  <c r="N13" i="11"/>
  <c r="N14" i="11" s="1"/>
  <c r="N15" i="11" s="1"/>
  <c r="N16" i="11" s="1"/>
  <c r="S26" i="3"/>
  <c r="C43" i="12"/>
  <c r="D42" i="12"/>
  <c r="F42" i="12" s="1"/>
  <c r="E42" i="12"/>
  <c r="G42" i="12" s="1"/>
  <c r="H41" i="12"/>
  <c r="H57" i="12"/>
  <c r="E58" i="12"/>
  <c r="G58" i="12" s="1"/>
  <c r="D58" i="12"/>
  <c r="G29" i="12"/>
  <c r="G30" i="12" s="1"/>
  <c r="E31" i="12"/>
  <c r="D31" i="12"/>
  <c r="F28" i="12"/>
  <c r="H27" i="12"/>
  <c r="E157" i="11"/>
  <c r="D157" i="11"/>
  <c r="C158" i="11" s="1"/>
  <c r="F157" i="11"/>
  <c r="J103" i="11"/>
  <c r="B123" i="11" s="1"/>
  <c r="J104" i="11"/>
  <c r="B124" i="11" s="1"/>
  <c r="G55" i="11"/>
  <c r="F55" i="11"/>
  <c r="E56" i="11" s="1"/>
  <c r="G35" i="3"/>
  <c r="H35" i="3" s="1"/>
  <c r="G37" i="3"/>
  <c r="H37" i="3" s="1"/>
  <c r="F100" i="3" l="1" a="1"/>
  <c r="O13" i="11"/>
  <c r="F58" i="12"/>
  <c r="F100" i="3"/>
  <c r="F101" i="3" s="1"/>
  <c r="O14" i="11"/>
  <c r="E158" i="11"/>
  <c r="G101" i="3"/>
  <c r="D101" i="3"/>
  <c r="I84" i="12"/>
  <c r="I123" i="11"/>
  <c r="H123" i="11"/>
  <c r="I121" i="11"/>
  <c r="H121" i="11"/>
  <c r="I124" i="11"/>
  <c r="H124" i="11"/>
  <c r="I122" i="11"/>
  <c r="H122" i="11"/>
  <c r="B125" i="11"/>
  <c r="H42" i="12"/>
  <c r="D43" i="12"/>
  <c r="F43" i="12" s="1"/>
  <c r="C44" i="12"/>
  <c r="E43" i="12"/>
  <c r="G43" i="12" s="1"/>
  <c r="E59" i="12"/>
  <c r="G59" i="12" s="1"/>
  <c r="D59" i="12"/>
  <c r="F59" i="12" s="1"/>
  <c r="H58" i="12"/>
  <c r="G31" i="12"/>
  <c r="E32" i="12"/>
  <c r="D32" i="12"/>
  <c r="F29" i="12"/>
  <c r="H28" i="12"/>
  <c r="D158" i="11"/>
  <c r="C159" i="11" s="1"/>
  <c r="B126" i="11"/>
  <c r="F158" i="11"/>
  <c r="B127" i="11"/>
  <c r="B128" i="11"/>
  <c r="J105" i="11"/>
  <c r="O15" i="11"/>
  <c r="O16" i="11"/>
  <c r="N17" i="11"/>
  <c r="O17" i="11" s="1"/>
  <c r="F56" i="11"/>
  <c r="E57" i="11" s="1"/>
  <c r="G56" i="11"/>
  <c r="M12" i="11"/>
  <c r="S12" i="11"/>
  <c r="Q12" i="11"/>
  <c r="H39" i="3"/>
  <c r="E101" i="3" l="1"/>
  <c r="F159" i="11"/>
  <c r="I85" i="12"/>
  <c r="I86" i="12"/>
  <c r="I128" i="11"/>
  <c r="H128" i="11"/>
  <c r="I127" i="11"/>
  <c r="H127" i="11"/>
  <c r="I126" i="11"/>
  <c r="H126" i="11"/>
  <c r="I125" i="11"/>
  <c r="H125" i="11"/>
  <c r="J124" i="11" s="1"/>
  <c r="C130" i="11"/>
  <c r="H130" i="11" s="1"/>
  <c r="C129" i="11"/>
  <c r="H129" i="11" s="1"/>
  <c r="G32" i="12"/>
  <c r="D44" i="12"/>
  <c r="F44" i="12" s="1"/>
  <c r="E44" i="12"/>
  <c r="G44" i="12" s="1"/>
  <c r="C45" i="12"/>
  <c r="H43" i="12"/>
  <c r="E60" i="12"/>
  <c r="G60" i="12" s="1"/>
  <c r="D60" i="12"/>
  <c r="F60" i="12" s="1"/>
  <c r="H59" i="12"/>
  <c r="F30" i="12"/>
  <c r="H29" i="12"/>
  <c r="E159" i="11"/>
  <c r="D159" i="11"/>
  <c r="C160" i="11" s="1"/>
  <c r="E124" i="11"/>
  <c r="E122" i="11"/>
  <c r="C132" i="11"/>
  <c r="H132" i="11" s="1"/>
  <c r="C131" i="11"/>
  <c r="H131" i="11" s="1"/>
  <c r="G57" i="11"/>
  <c r="F57" i="11"/>
  <c r="E58" i="11" s="1"/>
  <c r="N18" i="11"/>
  <c r="M13" i="11"/>
  <c r="S13" i="11"/>
  <c r="Q13" i="11"/>
  <c r="J125" i="11" l="1"/>
  <c r="J122" i="11"/>
  <c r="I87" i="12"/>
  <c r="J127" i="11"/>
  <c r="J123" i="11"/>
  <c r="F129" i="11"/>
  <c r="I129" i="11" s="1"/>
  <c r="J121" i="11"/>
  <c r="J126" i="11"/>
  <c r="J128" i="11"/>
  <c r="C46" i="12"/>
  <c r="D45" i="12"/>
  <c r="F45" i="12" s="1"/>
  <c r="E45" i="12"/>
  <c r="G45" i="12" s="1"/>
  <c r="H44" i="12"/>
  <c r="E61" i="12"/>
  <c r="G61" i="12" s="1"/>
  <c r="D61" i="12"/>
  <c r="F61" i="12" s="1"/>
  <c r="H60" i="12"/>
  <c r="F31" i="12"/>
  <c r="H30" i="12"/>
  <c r="D160" i="11"/>
  <c r="C161" i="11" s="1"/>
  <c r="E160" i="11"/>
  <c r="F160" i="11"/>
  <c r="F130" i="11"/>
  <c r="I130" i="11" s="1"/>
  <c r="F132" i="11"/>
  <c r="I132" i="11" s="1"/>
  <c r="F131" i="11"/>
  <c r="I131" i="11" s="1"/>
  <c r="G58" i="11"/>
  <c r="O18" i="11"/>
  <c r="O20" i="11" s="1"/>
  <c r="N19" i="11"/>
  <c r="F58" i="11"/>
  <c r="E59" i="11" s="1"/>
  <c r="M14" i="11"/>
  <c r="S14" i="11"/>
  <c r="Q14" i="11"/>
  <c r="H45" i="12" l="1"/>
  <c r="E46" i="12"/>
  <c r="G46" i="12" s="1"/>
  <c r="C47" i="12"/>
  <c r="D46" i="12"/>
  <c r="F46" i="12" s="1"/>
  <c r="H46" i="12" s="1"/>
  <c r="E62" i="12"/>
  <c r="G62" i="12" s="1"/>
  <c r="D62" i="12"/>
  <c r="F62" i="12" s="1"/>
  <c r="H61" i="12"/>
  <c r="F32" i="12"/>
  <c r="H32" i="12" s="1"/>
  <c r="H31" i="12"/>
  <c r="D161" i="11"/>
  <c r="E161" i="11"/>
  <c r="F161" i="11"/>
  <c r="G59" i="11"/>
  <c r="F59" i="11"/>
  <c r="E60" i="11" s="1"/>
  <c r="M15" i="11"/>
  <c r="S15" i="11"/>
  <c r="Q15" i="11"/>
  <c r="D47" i="12" l="1"/>
  <c r="F47" i="12" s="1"/>
  <c r="E47" i="12"/>
  <c r="G47" i="12" s="1"/>
  <c r="E63" i="12"/>
  <c r="G63" i="12" s="1"/>
  <c r="D63" i="12"/>
  <c r="F63" i="12" s="1"/>
  <c r="H62" i="12"/>
  <c r="F60" i="11"/>
  <c r="G61" i="11" s="1"/>
  <c r="G60" i="11"/>
  <c r="M16" i="11"/>
  <c r="S16" i="11"/>
  <c r="Q16" i="11"/>
  <c r="H63" i="12" l="1"/>
  <c r="H47" i="12"/>
  <c r="M17" i="11"/>
  <c r="M18" i="11"/>
  <c r="S17" i="11"/>
  <c r="S18" i="11"/>
  <c r="Q17" i="11"/>
  <c r="Q18" i="11"/>
  <c r="Q20" i="11" s="1"/>
  <c r="S20" i="11" l="1"/>
  <c r="M20" i="11"/>
</calcChain>
</file>

<file path=xl/sharedStrings.xml><?xml version="1.0" encoding="utf-8"?>
<sst xmlns="http://schemas.openxmlformats.org/spreadsheetml/2006/main" count="380" uniqueCount="170">
  <si>
    <t>Summe</t>
  </si>
  <si>
    <t>Inst. Server</t>
  </si>
  <si>
    <t>Prognose</t>
  </si>
  <si>
    <t>quadr. Prog-Fehler</t>
  </si>
  <si>
    <t>n</t>
  </si>
  <si>
    <t>x</t>
  </si>
  <si>
    <t>y</t>
  </si>
  <si>
    <t>y(x)</t>
  </si>
  <si>
    <t>a</t>
  </si>
  <si>
    <t>b</t>
  </si>
  <si>
    <t>Prognose per lineare Prognosefunktion y(x) = a+bx</t>
  </si>
  <si>
    <t>MSE</t>
  </si>
  <si>
    <t>E</t>
  </si>
  <si>
    <t>SE</t>
  </si>
  <si>
    <t>Thonemann</t>
  </si>
  <si>
    <t>ln(x)</t>
  </si>
  <si>
    <t>ln(y)</t>
  </si>
  <si>
    <t>--&gt;</t>
  </si>
  <si>
    <t>Nachfrage</t>
  </si>
  <si>
    <t>Thonemann, S. 50</t>
  </si>
  <si>
    <t>Gleitende Durchschnitte</t>
  </si>
  <si>
    <t>"Richtiges" T durch Experiment ermitteln (minimiere MSE).</t>
  </si>
  <si>
    <t>t</t>
  </si>
  <si>
    <t>Exponentielle Glättung</t>
  </si>
  <si>
    <t>α</t>
  </si>
  <si>
    <t>beachte: MSE bei wechselndem T immer für die gleichen Perioden berechnen.</t>
  </si>
  <si>
    <t>Regressionsanalyse</t>
  </si>
  <si>
    <t>Doppelte exponentielle Glättung</t>
  </si>
  <si>
    <t>Hilfsspalten</t>
  </si>
  <si>
    <t>β</t>
  </si>
  <si>
    <t>Saison - ohne Trend</t>
  </si>
  <si>
    <t>Nahmias S. 80</t>
  </si>
  <si>
    <t>Montag</t>
  </si>
  <si>
    <t>Dienstag</t>
  </si>
  <si>
    <t>Mittwoch</t>
  </si>
  <si>
    <t>Donnerstag</t>
  </si>
  <si>
    <t>Freitag</t>
  </si>
  <si>
    <t>Mittelwert</t>
  </si>
  <si>
    <t>y/avg(y)</t>
  </si>
  <si>
    <t>MA(4)</t>
  </si>
  <si>
    <t>Cent. MA</t>
  </si>
  <si>
    <t>y/Cent MA</t>
  </si>
  <si>
    <t>ŷ</t>
  </si>
  <si>
    <t>Saisonfaktoren c(i)</t>
  </si>
  <si>
    <t>Prognose: Mittelwert * c(i)</t>
  </si>
  <si>
    <t>y/c(i)</t>
  </si>
  <si>
    <t>Saisonber. Nachfrage</t>
  </si>
  <si>
    <t>ŷ mit MA(6)</t>
  </si>
  <si>
    <t>Prognose mit</t>
  </si>
  <si>
    <t>Regr. Analyse</t>
  </si>
  <si>
    <t>Saisonfaktoren</t>
  </si>
  <si>
    <t>c(i)</t>
  </si>
  <si>
    <t>Holt-Winters (3-fache exp. Glättung)</t>
  </si>
  <si>
    <t>Thonemann, 66</t>
  </si>
  <si>
    <t>a(t)</t>
  </si>
  <si>
    <t>b(t)</t>
  </si>
  <si>
    <t>c(t+4)</t>
  </si>
  <si>
    <t>γ</t>
  </si>
  <si>
    <t>a(init)</t>
  </si>
  <si>
    <t>b(init)</t>
  </si>
  <si>
    <t>Trendfunktion der Nachfrage</t>
  </si>
  <si>
    <t>MAPE</t>
  </si>
  <si>
    <t>Prognosefehler, Thonemann S. 73</t>
  </si>
  <si>
    <t>Tracking Signal</t>
  </si>
  <si>
    <t>Thonemann, S. 76</t>
  </si>
  <si>
    <t>SAE</t>
  </si>
  <si>
    <t>TS</t>
  </si>
  <si>
    <t>Φ=</t>
  </si>
  <si>
    <t>APE</t>
  </si>
  <si>
    <t>AE</t>
  </si>
  <si>
    <t>MAE</t>
  </si>
  <si>
    <t>α=</t>
  </si>
  <si>
    <t>Achsenabschnitt</t>
  </si>
  <si>
    <t>Steigung</t>
  </si>
  <si>
    <t>Mittlerer quadrierter Prognosefehler (MSE)</t>
  </si>
  <si>
    <t>Bildung der Einzelsummen zur Ermittlung von a und b:</t>
  </si>
  <si>
    <t>summe x*x</t>
  </si>
  <si>
    <t>summe y</t>
  </si>
  <si>
    <t>summe x</t>
  </si>
  <si>
    <t>summe x*y</t>
  </si>
  <si>
    <t>avg(x)</t>
  </si>
  <si>
    <t>avg(y)</t>
  </si>
  <si>
    <t>summe((y-avg(y))²)</t>
  </si>
  <si>
    <t>summe ( (y(x) - avg(y) )²)</t>
  </si>
  <si>
    <t>R² über xls-Funktion</t>
  </si>
  <si>
    <t>R² manuell gerechnet</t>
  </si>
  <si>
    <t>Prognose-fehler</t>
  </si>
  <si>
    <t>für Abb.</t>
  </si>
  <si>
    <t>a+b*ln(x)</t>
  </si>
  <si>
    <t>a(ln)</t>
  </si>
  <si>
    <t>Prognose per nicht-lineare Prognosefunktion: Potenzfunktion</t>
  </si>
  <si>
    <t>Prognose per nicht-lineare Prognosefunktion: Logarithmusfunktion</t>
  </si>
  <si>
    <t>y(x)=a+b*ln(x)</t>
  </si>
  <si>
    <t>ln(a)</t>
  </si>
  <si>
    <t>Prognose per nicht-lineare Prognosefunktion: Exponentialfunktion</t>
  </si>
  <si>
    <t>Vergleich der Qualität der Prognosefunktionen</t>
  </si>
  <si>
    <t>linear</t>
  </si>
  <si>
    <t>Potenz</t>
  </si>
  <si>
    <t>Exponential</t>
  </si>
  <si>
    <t>Logari.</t>
  </si>
  <si>
    <t>tq</t>
  </si>
  <si>
    <t>yq</t>
  </si>
  <si>
    <t>MA(6)</t>
  </si>
  <si>
    <t>Regr</t>
  </si>
  <si>
    <t>p9</t>
  </si>
  <si>
    <t>p10</t>
  </si>
  <si>
    <t>p11</t>
  </si>
  <si>
    <t>p12</t>
  </si>
  <si>
    <t>Nahmias S. 81</t>
  </si>
  <si>
    <t>E/AE</t>
  </si>
  <si>
    <t>ŷ(x)</t>
  </si>
  <si>
    <r>
      <t>a=e</t>
    </r>
    <r>
      <rPr>
        <vertAlign val="superscript"/>
        <sz val="10"/>
        <color theme="1"/>
        <rFont val="Frutiger Next LT W1G"/>
        <family val="2"/>
      </rPr>
      <t>ln(a)</t>
    </r>
  </si>
  <si>
    <r>
      <t>y(x) = a*e</t>
    </r>
    <r>
      <rPr>
        <vertAlign val="superscript"/>
        <sz val="10"/>
        <color theme="1"/>
        <rFont val="Frutiger Next LT W1G"/>
        <family val="2"/>
      </rPr>
      <t>bx</t>
    </r>
    <r>
      <rPr>
        <sz val="10"/>
        <color theme="1"/>
        <rFont val="Frutiger Next LT W1G"/>
        <family val="2"/>
      </rPr>
      <t xml:space="preserve">  --&gt; ln(y(x)) = ln(a) + bx</t>
    </r>
  </si>
  <si>
    <t>Transformation</t>
  </si>
  <si>
    <r>
      <t>a=e</t>
    </r>
    <r>
      <rPr>
        <vertAlign val="superscript"/>
        <sz val="8"/>
        <color theme="1"/>
        <rFont val="Frutiger Next LT W1G"/>
        <family val="2"/>
      </rPr>
      <t>ln(a)</t>
    </r>
  </si>
  <si>
    <t>Rang</t>
  </si>
  <si>
    <t>T=2</t>
  </si>
  <si>
    <t>T=3</t>
  </si>
  <si>
    <t>T=4</t>
  </si>
  <si>
    <t>"Richtiges" α durch Experiment ermitteln (minimiere MSE).</t>
  </si>
  <si>
    <r>
      <t xml:space="preserve">a </t>
    </r>
    <r>
      <rPr>
        <vertAlign val="subscript"/>
        <sz val="8"/>
        <color theme="1"/>
        <rFont val="Frutiger Next LT W1G"/>
        <family val="2"/>
      </rPr>
      <t>t</t>
    </r>
  </si>
  <si>
    <r>
      <t xml:space="preserve">b </t>
    </r>
    <r>
      <rPr>
        <vertAlign val="subscript"/>
        <sz val="8"/>
        <color theme="1"/>
        <rFont val="Frutiger Next LT W1G"/>
        <family val="2"/>
      </rPr>
      <t>t</t>
    </r>
  </si>
  <si>
    <t>ŷ(t)</t>
  </si>
  <si>
    <t>ŷ(t) (Regr)</t>
  </si>
  <si>
    <t>ŷ(t) (DES)</t>
  </si>
  <si>
    <t>SUMME</t>
  </si>
  <si>
    <r>
      <t>ŷ</t>
    </r>
    <r>
      <rPr>
        <sz val="9.35"/>
        <color theme="1"/>
        <rFont val="Frutiger Next LT W1G"/>
        <family val="2"/>
      </rPr>
      <t xml:space="preserve"> (MA)</t>
    </r>
  </si>
  <si>
    <r>
      <t>ŷ</t>
    </r>
    <r>
      <rPr>
        <sz val="9.35"/>
        <color theme="1"/>
        <rFont val="Frutiger Next LT W1G"/>
        <family val="2"/>
      </rPr>
      <t xml:space="preserve"> (SES)</t>
    </r>
  </si>
  <si>
    <r>
      <t>ŷ</t>
    </r>
    <r>
      <rPr>
        <sz val="9.35"/>
        <color theme="1"/>
        <rFont val="Frutiger Next LT W1G"/>
        <family val="2"/>
      </rPr>
      <t xml:space="preserve"> (t)(MA3)</t>
    </r>
  </si>
  <si>
    <r>
      <t>ŷ</t>
    </r>
    <r>
      <rPr>
        <sz val="9.35"/>
        <color theme="1"/>
        <rFont val="Frutiger Next LT W1G"/>
        <family val="2"/>
      </rPr>
      <t xml:space="preserve"> (t) SES</t>
    </r>
  </si>
  <si>
    <r>
      <t>ŷ</t>
    </r>
    <r>
      <rPr>
        <sz val="9.35"/>
        <color theme="1"/>
        <rFont val="Frutiger Next LT W1G"/>
        <family val="2"/>
      </rPr>
      <t xml:space="preserve"> (t) Regr.</t>
    </r>
  </si>
  <si>
    <r>
      <t>ŷ</t>
    </r>
    <r>
      <rPr>
        <sz val="9.35"/>
        <color theme="1"/>
        <rFont val="Frutiger Next LT W1G"/>
        <family val="2"/>
      </rPr>
      <t xml:space="preserve"> (tt)(MA3)</t>
    </r>
  </si>
  <si>
    <t>Prognoseverfahren - Demonstration</t>
  </si>
  <si>
    <t>Gleitender Durchschnitt</t>
  </si>
  <si>
    <t>Monat (t)</t>
  </si>
  <si>
    <t>y(t)</t>
  </si>
  <si>
    <t>ŷ(t) mit T=3</t>
  </si>
  <si>
    <t>(ŷ(t)-y(t))^2</t>
  </si>
  <si>
    <t>ŷ(t) mit T=4</t>
  </si>
  <si>
    <t>ŷ(t) mit T=5</t>
  </si>
  <si>
    <t>ŷ(t) mit T=6</t>
  </si>
  <si>
    <t>Einfache exp. Glättung</t>
  </si>
  <si>
    <t>Alpha-Wert</t>
  </si>
  <si>
    <t>Opt. Alpha</t>
  </si>
  <si>
    <t>Doppelte exp. Glättung</t>
  </si>
  <si>
    <t>Beta-Wert</t>
  </si>
  <si>
    <t>Opt. Beta</t>
  </si>
  <si>
    <t>Dreifache exp. Glättung</t>
  </si>
  <si>
    <t>Gamma-Wert</t>
  </si>
  <si>
    <t>Jahr</t>
  </si>
  <si>
    <t>Jahreszeit</t>
  </si>
  <si>
    <t>Trendbereinigter Nachfragefaktor ỹ</t>
  </si>
  <si>
    <t>ĉ(t): nicht-normalisierter Durch-
schnittswert</t>
  </si>
  <si>
    <t>c(t)</t>
  </si>
  <si>
    <t>Initialisierung</t>
  </si>
  <si>
    <t>Frühling</t>
  </si>
  <si>
    <t>Sommer</t>
  </si>
  <si>
    <t>Herbst</t>
  </si>
  <si>
    <t>Winter</t>
  </si>
  <si>
    <t>Zu prognostizieren</t>
  </si>
  <si>
    <t>Mittelwert y</t>
  </si>
  <si>
    <t>Schätzung Steigung b(init)</t>
  </si>
  <si>
    <t>Schätzung Achsenabschnitt a(init)</t>
  </si>
  <si>
    <t>Quartal</t>
  </si>
  <si>
    <t>Mittelwert y(t)</t>
  </si>
  <si>
    <t>Historische Daten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</si>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</sst>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0.000"/>
    <numFmt numFmtId="166" formatCode="0.0000"/>
    <numFmt numFmtId="168" formatCode="_-* #,##0.00\ _D_M_-;\-* #,##0.00\ _D_M_-;_-* &quot;-&quot;??\ _D_M_-;_-@_-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Frutiger Next LT W1G"/>
      <family val="2"/>
    </font>
    <font>
      <b/>
      <sz val="8"/>
      <color theme="1"/>
      <name val="Frutiger Next LT W1G"/>
      <family val="2"/>
    </font>
    <font>
      <sz val="10"/>
      <color theme="1"/>
      <name val="Frutiger Next LT W1G"/>
      <family val="2"/>
    </font>
    <font>
      <vertAlign val="superscript"/>
      <sz val="10"/>
      <color theme="1"/>
      <name val="Frutiger Next LT W1G"/>
      <family val="2"/>
    </font>
    <font>
      <vertAlign val="superscript"/>
      <sz val="8"/>
      <color theme="1"/>
      <name val="Frutiger Next LT W1G"/>
      <family val="2"/>
    </font>
    <font>
      <sz val="11"/>
      <color theme="1"/>
      <name val="Frutiger Next LT W1G"/>
      <family val="2"/>
    </font>
    <font>
      <vertAlign val="subscript"/>
      <sz val="8"/>
      <color theme="1"/>
      <name val="Frutiger Next LT W1G"/>
      <family val="2"/>
    </font>
    <font>
      <sz val="8"/>
      <color theme="0" tint="-0.499984740745262"/>
      <name val="Frutiger Next LT W1G"/>
      <family val="2"/>
    </font>
    <font>
      <b/>
      <sz val="10"/>
      <color theme="1"/>
      <name val="Frutiger Next LT W1G"/>
      <family val="2"/>
    </font>
    <font>
      <sz val="9.35"/>
      <color theme="1"/>
      <name val="Frutiger Next LT W1G"/>
      <family val="2"/>
    </font>
    <font>
      <b/>
      <sz val="11"/>
      <color theme="1"/>
      <name val="Frutiger Next LT W1G"/>
      <family val="2"/>
    </font>
    <font>
      <b/>
      <sz val="16"/>
      <color theme="1"/>
      <name val="Frutiger Next LT W1G"/>
      <family val="2"/>
    </font>
    <font>
      <sz val="11"/>
      <color theme="0"/>
      <name val="Frutiger Next LT W1G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darkGray">
        <bgColor theme="9" tint="0.39997558519241921"/>
      </patternFill>
    </fill>
    <fill>
      <patternFill patternType="darkGray"/>
    </fill>
  </fills>
  <borders count="4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4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vertic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165" fontId="2" fillId="0" borderId="14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5" fontId="2" fillId="0" borderId="10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165" fontId="2" fillId="0" borderId="27" xfId="0" applyNumberFormat="1" applyFont="1" applyBorder="1" applyAlignment="1">
      <alignment horizontal="center" vertical="center"/>
    </xf>
    <xf numFmtId="165" fontId="2" fillId="0" borderId="28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65" fontId="2" fillId="0" borderId="29" xfId="0" applyNumberFormat="1" applyFont="1" applyBorder="1" applyAlignment="1">
      <alignment horizontal="center" vertical="center"/>
    </xf>
    <xf numFmtId="165" fontId="2" fillId="0" borderId="30" xfId="0" applyNumberFormat="1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165" fontId="2" fillId="13" borderId="14" xfId="0" applyNumberFormat="1" applyFont="1" applyFill="1" applyBorder="1" applyAlignment="1">
      <alignment horizontal="center" vertical="center"/>
    </xf>
    <xf numFmtId="165" fontId="2" fillId="13" borderId="19" xfId="0" applyNumberFormat="1" applyFont="1" applyFill="1" applyBorder="1" applyAlignment="1">
      <alignment horizontal="center" vertical="center"/>
    </xf>
    <xf numFmtId="165" fontId="2" fillId="16" borderId="14" xfId="0" applyNumberFormat="1" applyFont="1" applyFill="1" applyBorder="1" applyAlignment="1">
      <alignment horizontal="center" vertical="center"/>
    </xf>
    <xf numFmtId="165" fontId="2" fillId="16" borderId="19" xfId="0" applyNumberFormat="1" applyFont="1" applyFill="1" applyBorder="1" applyAlignment="1">
      <alignment horizontal="center" vertical="center"/>
    </xf>
    <xf numFmtId="165" fontId="2" fillId="12" borderId="14" xfId="0" applyNumberFormat="1" applyFont="1" applyFill="1" applyBorder="1" applyAlignment="1">
      <alignment horizontal="center" vertical="center"/>
    </xf>
    <xf numFmtId="165" fontId="2" fillId="12" borderId="19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165" fontId="2" fillId="6" borderId="19" xfId="0" applyNumberFormat="1" applyFont="1" applyFill="1" applyBorder="1" applyAlignment="1">
      <alignment horizontal="center" vertical="center"/>
    </xf>
    <xf numFmtId="165" fontId="2" fillId="6" borderId="20" xfId="0" applyNumberFormat="1" applyFont="1" applyFill="1" applyBorder="1" applyAlignment="1">
      <alignment horizontal="center" vertical="center"/>
    </xf>
    <xf numFmtId="165" fontId="2" fillId="12" borderId="20" xfId="0" applyNumberFormat="1" applyFont="1" applyFill="1" applyBorder="1" applyAlignment="1">
      <alignment horizontal="center" vertical="center"/>
    </xf>
    <xf numFmtId="165" fontId="2" fillId="16" borderId="20" xfId="0" applyNumberFormat="1" applyFont="1" applyFill="1" applyBorder="1" applyAlignment="1">
      <alignment horizontal="center" vertical="center"/>
    </xf>
    <xf numFmtId="165" fontId="2" fillId="13" borderId="20" xfId="0" applyNumberFormat="1" applyFont="1" applyFill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2" fontId="2" fillId="0" borderId="3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164" fontId="4" fillId="12" borderId="33" xfId="0" applyNumberFormat="1" applyFont="1" applyFill="1" applyBorder="1" applyAlignment="1">
      <alignment horizontal="center" vertical="center"/>
    </xf>
    <xf numFmtId="164" fontId="4" fillId="12" borderId="34" xfId="0" applyNumberFormat="1" applyFont="1" applyFill="1" applyBorder="1" applyAlignment="1">
      <alignment horizontal="center" vertical="center"/>
    </xf>
    <xf numFmtId="164" fontId="10" fillId="12" borderId="32" xfId="0" applyNumberFormat="1" applyFont="1" applyFill="1" applyBorder="1" applyAlignment="1">
      <alignment horizontal="center" vertical="center"/>
    </xf>
    <xf numFmtId="164" fontId="10" fillId="12" borderId="18" xfId="0" applyNumberFormat="1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164" fontId="4" fillId="6" borderId="33" xfId="0" applyNumberFormat="1" applyFont="1" applyFill="1" applyBorder="1" applyAlignment="1">
      <alignment horizontal="center" vertical="center"/>
    </xf>
    <xf numFmtId="164" fontId="4" fillId="6" borderId="34" xfId="0" applyNumberFormat="1" applyFont="1" applyFill="1" applyBorder="1" applyAlignment="1">
      <alignment horizontal="center" vertical="center"/>
    </xf>
    <xf numFmtId="164" fontId="10" fillId="6" borderId="32" xfId="0" applyNumberFormat="1" applyFont="1" applyFill="1" applyBorder="1" applyAlignment="1">
      <alignment horizontal="center" vertical="center"/>
    </xf>
    <xf numFmtId="164" fontId="10" fillId="6" borderId="18" xfId="0" applyNumberFormat="1" applyFont="1" applyFill="1" applyBorder="1" applyAlignment="1">
      <alignment horizontal="center" vertical="center"/>
    </xf>
    <xf numFmtId="0" fontId="4" fillId="16" borderId="33" xfId="0" applyFont="1" applyFill="1" applyBorder="1" applyAlignment="1">
      <alignment horizontal="center" vertical="center"/>
    </xf>
    <xf numFmtId="0" fontId="4" fillId="16" borderId="34" xfId="0" applyFont="1" applyFill="1" applyBorder="1" applyAlignment="1">
      <alignment horizontal="center" vertical="center"/>
    </xf>
    <xf numFmtId="164" fontId="4" fillId="16" borderId="33" xfId="0" applyNumberFormat="1" applyFont="1" applyFill="1" applyBorder="1" applyAlignment="1">
      <alignment horizontal="center" vertical="center"/>
    </xf>
    <xf numFmtId="164" fontId="4" fillId="16" borderId="34" xfId="0" applyNumberFormat="1" applyFont="1" applyFill="1" applyBorder="1" applyAlignment="1">
      <alignment horizontal="center" vertical="center"/>
    </xf>
    <xf numFmtId="164" fontId="10" fillId="16" borderId="32" xfId="0" applyNumberFormat="1" applyFont="1" applyFill="1" applyBorder="1" applyAlignment="1">
      <alignment horizontal="center" vertical="center"/>
    </xf>
    <xf numFmtId="164" fontId="10" fillId="16" borderId="18" xfId="0" applyNumberFormat="1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64" fontId="4" fillId="15" borderId="14" xfId="0" applyNumberFormat="1" applyFont="1" applyFill="1" applyBorder="1" applyAlignment="1">
      <alignment horizontal="center" vertical="center"/>
    </xf>
    <xf numFmtId="164" fontId="10" fillId="15" borderId="3" xfId="0" applyNumberFormat="1" applyFont="1" applyFill="1" applyBorder="1" applyAlignment="1">
      <alignment horizontal="center" vertical="center"/>
    </xf>
    <xf numFmtId="164" fontId="10" fillId="15" borderId="15" xfId="0" applyNumberFormat="1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 wrapText="1"/>
    </xf>
    <xf numFmtId="0" fontId="4" fillId="10" borderId="3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6" borderId="38" xfId="0" applyNumberFormat="1" applyFont="1" applyFill="1" applyBorder="1" applyAlignment="1">
      <alignment horizontal="center" vertical="center"/>
    </xf>
    <xf numFmtId="164" fontId="4" fillId="6" borderId="39" xfId="0" applyNumberFormat="1" applyFont="1" applyFill="1" applyBorder="1" applyAlignment="1">
      <alignment horizontal="center" vertical="center"/>
    </xf>
    <xf numFmtId="164" fontId="4" fillId="12" borderId="38" xfId="0" applyNumberFormat="1" applyFont="1" applyFill="1" applyBorder="1" applyAlignment="1">
      <alignment horizontal="center" vertical="center"/>
    </xf>
    <xf numFmtId="164" fontId="4" fillId="12" borderId="39" xfId="0" applyNumberFormat="1" applyFont="1" applyFill="1" applyBorder="1" applyAlignment="1">
      <alignment horizontal="center" vertical="center"/>
    </xf>
    <xf numFmtId="164" fontId="4" fillId="15" borderId="16" xfId="0" applyNumberFormat="1" applyFont="1" applyFill="1" applyBorder="1" applyAlignment="1">
      <alignment horizontal="center" vertical="center"/>
    </xf>
    <xf numFmtId="164" fontId="4" fillId="15" borderId="19" xfId="0" applyNumberFormat="1" applyFont="1" applyFill="1" applyBorder="1" applyAlignment="1">
      <alignment horizontal="center" vertical="center"/>
    </xf>
    <xf numFmtId="0" fontId="4" fillId="11" borderId="36" xfId="0" applyFont="1" applyFill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/>
    </xf>
    <xf numFmtId="164" fontId="4" fillId="16" borderId="38" xfId="0" applyNumberFormat="1" applyFont="1" applyFill="1" applyBorder="1" applyAlignment="1">
      <alignment horizontal="center" vertical="center"/>
    </xf>
    <xf numFmtId="164" fontId="4" fillId="16" borderId="39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15" borderId="14" xfId="0" applyFont="1" applyFill="1" applyBorder="1" applyAlignment="1">
      <alignment horizontal="center" vertical="center"/>
    </xf>
    <xf numFmtId="1" fontId="7" fillId="6" borderId="14" xfId="0" applyNumberFormat="1" applyFont="1" applyFill="1" applyBorder="1" applyAlignment="1">
      <alignment horizontal="center" vertical="center"/>
    </xf>
    <xf numFmtId="1" fontId="7" fillId="15" borderId="14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" fontId="7" fillId="6" borderId="15" xfId="0" applyNumberFormat="1" applyFont="1" applyFill="1" applyBorder="1" applyAlignment="1">
      <alignment horizontal="center" vertical="center"/>
    </xf>
    <xf numFmtId="0" fontId="7" fillId="15" borderId="15" xfId="0" applyFont="1" applyFill="1" applyBorder="1" applyAlignment="1">
      <alignment horizontal="center" vertical="center"/>
    </xf>
    <xf numFmtId="1" fontId="7" fillId="6" borderId="19" xfId="0" applyNumberFormat="1" applyFont="1" applyFill="1" applyBorder="1" applyAlignment="1">
      <alignment horizontal="center" vertical="center"/>
    </xf>
    <xf numFmtId="1" fontId="7" fillId="15" borderId="1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164" fontId="7" fillId="6" borderId="15" xfId="0" applyNumberFormat="1" applyFont="1" applyFill="1" applyBorder="1" applyAlignment="1">
      <alignment horizontal="center" vertical="center"/>
    </xf>
    <xf numFmtId="164" fontId="7" fillId="15" borderId="1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2" fontId="7" fillId="0" borderId="7" xfId="0" applyNumberFormat="1" applyFont="1" applyBorder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8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4" fontId="7" fillId="0" borderId="14" xfId="0" applyNumberFormat="1" applyFont="1" applyBorder="1" applyAlignment="1">
      <alignment vertical="center"/>
    </xf>
    <xf numFmtId="164" fontId="7" fillId="0" borderId="7" xfId="0" applyNumberFormat="1" applyFont="1" applyBorder="1" applyAlignment="1">
      <alignment vertical="center"/>
    </xf>
    <xf numFmtId="164" fontId="7" fillId="0" borderId="8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7" fillId="0" borderId="0" xfId="0" applyNumberFormat="1" applyFont="1" applyAlignment="1">
      <alignment vertical="center"/>
    </xf>
    <xf numFmtId="0" fontId="7" fillId="0" borderId="9" xfId="0" applyFont="1" applyBorder="1" applyAlignment="1">
      <alignment vertical="center"/>
    </xf>
    <xf numFmtId="164" fontId="7" fillId="0" borderId="15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2" fontId="7" fillId="0" borderId="9" xfId="0" applyNumberFormat="1" applyFont="1" applyBorder="1" applyAlignment="1">
      <alignment vertical="center"/>
    </xf>
    <xf numFmtId="2" fontId="7" fillId="0" borderId="3" xfId="0" applyNumberFormat="1" applyFont="1" applyBorder="1" applyAlignment="1">
      <alignment vertical="center"/>
    </xf>
    <xf numFmtId="2" fontId="7" fillId="0" borderId="10" xfId="0" applyNumberFormat="1" applyFont="1" applyBorder="1" applyAlignment="1">
      <alignment horizontal="right"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left" vertical="center"/>
    </xf>
    <xf numFmtId="0" fontId="7" fillId="4" borderId="11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7" fillId="4" borderId="9" xfId="0" applyFont="1" applyFill="1" applyBorder="1" applyAlignment="1">
      <alignment horizontal="right" vertical="center"/>
    </xf>
    <xf numFmtId="0" fontId="7" fillId="4" borderId="15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3" fillId="17" borderId="3" xfId="0" applyFont="1" applyFill="1" applyBorder="1" applyAlignment="1">
      <alignment horizontal="left" vertical="center"/>
    </xf>
    <xf numFmtId="0" fontId="7" fillId="17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19" borderId="0" xfId="0" applyFont="1" applyFill="1" applyAlignment="1">
      <alignment horizontal="center" vertical="center"/>
    </xf>
    <xf numFmtId="0" fontId="7" fillId="17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21" borderId="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165" fontId="7" fillId="23" borderId="4" xfId="0" applyNumberFormat="1" applyFont="1" applyFill="1" applyBorder="1" applyAlignment="1">
      <alignment horizontal="center" vertical="center" wrapText="1"/>
    </xf>
    <xf numFmtId="165" fontId="7" fillId="8" borderId="4" xfId="0" applyNumberFormat="1" applyFont="1" applyFill="1" applyBorder="1" applyAlignment="1">
      <alignment horizontal="center" vertical="center" wrapText="1"/>
    </xf>
    <xf numFmtId="164" fontId="7" fillId="8" borderId="4" xfId="0" applyNumberFormat="1" applyFont="1" applyFill="1" applyBorder="1" applyAlignment="1">
      <alignment horizontal="center" vertical="center"/>
    </xf>
    <xf numFmtId="165" fontId="7" fillId="24" borderId="4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/>
    </xf>
    <xf numFmtId="0" fontId="7" fillId="24" borderId="4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2" fontId="7" fillId="0" borderId="42" xfId="0" applyNumberFormat="1" applyFont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24" borderId="15" xfId="0" applyFont="1" applyFill="1" applyBorder="1" applyAlignment="1">
      <alignment horizontal="center" vertical="center"/>
    </xf>
    <xf numFmtId="2" fontId="7" fillId="24" borderId="15" xfId="0" applyNumberFormat="1" applyFont="1" applyFill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2" fontId="7" fillId="24" borderId="4" xfId="0" applyNumberFormat="1" applyFont="1" applyFill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24" borderId="44" xfId="0" applyFont="1" applyFill="1" applyBorder="1" applyAlignment="1">
      <alignment horizontal="center" vertical="center"/>
    </xf>
    <xf numFmtId="2" fontId="7" fillId="24" borderId="44" xfId="0" applyNumberFormat="1" applyFont="1" applyFill="1" applyBorder="1" applyAlignment="1">
      <alignment horizontal="center" vertical="center"/>
    </xf>
    <xf numFmtId="166" fontId="7" fillId="0" borderId="44" xfId="0" applyNumberFormat="1" applyFont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164" fontId="7" fillId="0" borderId="42" xfId="0" applyNumberFormat="1" applyFont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35" xfId="0" applyFont="1" applyFill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13" borderId="31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11" borderId="31" xfId="0" applyFont="1" applyFill="1" applyBorder="1" applyAlignment="1">
      <alignment horizontal="center" vertical="center"/>
    </xf>
    <xf numFmtId="0" fontId="10" fillId="11" borderId="3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12" fillId="18" borderId="1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12" fillId="18" borderId="4" xfId="0" applyFont="1" applyFill="1" applyBorder="1" applyAlignment="1">
      <alignment horizontal="center" vertical="center"/>
    </xf>
    <xf numFmtId="0" fontId="12" fillId="18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15" xfId="0" applyFont="1" applyBorder="1" applyAlignment="1">
      <alignment horizontal="center" vertical="center" textRotation="90"/>
    </xf>
    <xf numFmtId="0" fontId="7" fillId="13" borderId="13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4">
    <cellStyle name="Dezimal 2" xfId="3" xr:uid="{00000000-0005-0000-0000-000000000000}"/>
    <cellStyle name="Prozent 2" xfId="2" xr:uid="{00000000-0005-0000-0000-000001000000}"/>
    <cellStyle name="Standard" xfId="0" builtinId="0"/>
    <cellStyle name="Standard 2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Kauslprgn!$D$6</c:f>
              <c:strCache>
                <c:ptCount val="1"/>
                <c:pt idx="0">
                  <c:v>Prognose</c:v>
                </c:pt>
              </c:strCache>
            </c:strRef>
          </c:tx>
          <c:marker>
            <c:symbol val="none"/>
          </c:marker>
          <c:xVal>
            <c:numRef>
              <c:f>Kauslprgn!$B$8:$B$13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Kauslprgn!$D$8:$D$13</c:f>
              <c:numCache>
                <c:formatCode>0.000</c:formatCode>
                <c:ptCount val="6"/>
                <c:pt idx="0">
                  <c:v>4.1191947654981371</c:v>
                </c:pt>
                <c:pt idx="1">
                  <c:v>5.6373101537873724</c:v>
                </c:pt>
                <c:pt idx="2">
                  <c:v>7.1554255420766069</c:v>
                </c:pt>
                <c:pt idx="3">
                  <c:v>7.8560941828254851</c:v>
                </c:pt>
                <c:pt idx="4">
                  <c:v>8.790319037157321</c:v>
                </c:pt>
                <c:pt idx="5">
                  <c:v>10.191656318655077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4-A54A-BEC6-BEF677D17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84672"/>
        <c:axId val="1450285248"/>
      </c:scatterChart>
      <c:scatterChart>
        <c:scatterStyle val="lineMarker"/>
        <c:varyColors val="0"/>
        <c:ser>
          <c:idx val="0"/>
          <c:order val="0"/>
          <c:tx>
            <c:strRef>
              <c:f>Kauslprgn!$C$6</c:f>
              <c:strCache>
                <c:ptCount val="1"/>
                <c:pt idx="0">
                  <c:v>Nachfrage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Kauslprgn!$B$8:$B$13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Kauslprgn!$C$8:$C$13</c:f>
              <c:numCache>
                <c:formatCode>0.00</c:formatCode>
                <c:ptCount val="6"/>
                <c:pt idx="0">
                  <c:v>3.15</c:v>
                </c:pt>
                <c:pt idx="1">
                  <c:v>6.3</c:v>
                </c:pt>
                <c:pt idx="2">
                  <c:v>7.7</c:v>
                </c:pt>
                <c:pt idx="3">
                  <c:v>8.4</c:v>
                </c:pt>
                <c:pt idx="4">
                  <c:v>8.75</c:v>
                </c:pt>
                <c:pt idx="5">
                  <c:v>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B4-A54A-BEC6-BEF677D174C0}"/>
            </c:ext>
          </c:extLst>
        </c:ser>
        <c:ser>
          <c:idx val="2"/>
          <c:order val="2"/>
          <c:tx>
            <c:strRef>
              <c:f>Kauslprgn!$E$6</c:f>
              <c:strCache>
                <c:ptCount val="1"/>
                <c:pt idx="0">
                  <c:v>Prognose-fehler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Kauslprgn!$B$8:$B$13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Kauslprgn!$E$8:$E$13</c:f>
              <c:numCache>
                <c:formatCode>0.000</c:formatCode>
                <c:ptCount val="6"/>
                <c:pt idx="0">
                  <c:v>0.96919476549813721</c:v>
                </c:pt>
                <c:pt idx="1">
                  <c:v>-0.66268984621262739</c:v>
                </c:pt>
                <c:pt idx="2">
                  <c:v>-0.54457445792339332</c:v>
                </c:pt>
                <c:pt idx="3">
                  <c:v>-0.54390581717451525</c:v>
                </c:pt>
                <c:pt idx="4">
                  <c:v>4.0319037157320992E-2</c:v>
                </c:pt>
                <c:pt idx="5">
                  <c:v>0.74165631865507819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B4-A54A-BEC6-BEF677D17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84672"/>
        <c:axId val="1450285248"/>
      </c:scatterChart>
      <c:valAx>
        <c:axId val="145028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450285248"/>
        <c:crosses val="autoZero"/>
        <c:crossBetween val="midCat"/>
      </c:valAx>
      <c:valAx>
        <c:axId val="145028524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5028467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Kauslprgn!$F$32</c:f>
              <c:strCache>
                <c:ptCount val="1"/>
                <c:pt idx="0">
                  <c:v>ŷ(x)</c:v>
                </c:pt>
              </c:strCache>
            </c:strRef>
          </c:tx>
          <c:marker>
            <c:symbol val="none"/>
          </c:marker>
          <c:xVal>
            <c:numRef>
              <c:f>Kauslprgn!$B$33:$B$38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Kauslprgn!$F$33:$F$38</c:f>
              <c:numCache>
                <c:formatCode>0.000</c:formatCode>
                <c:ptCount val="6"/>
                <c:pt idx="0">
                  <c:v>3.168856699610878</c:v>
                </c:pt>
                <c:pt idx="1">
                  <c:v>6.2418785192340174</c:v>
                </c:pt>
                <c:pt idx="2">
                  <c:v>7.7004342401030099</c:v>
                </c:pt>
                <c:pt idx="3">
                  <c:v>8.2202460935575434</c:v>
                </c:pt>
                <c:pt idx="4">
                  <c:v>8.8259362962887682</c:v>
                </c:pt>
                <c:pt idx="5">
                  <c:v>9.604665390068293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67-0D47-83C0-0315D55B9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94432"/>
        <c:axId val="1452795008"/>
      </c:scatterChart>
      <c:scatterChart>
        <c:scatterStyle val="lineMarker"/>
        <c:varyColors val="0"/>
        <c:ser>
          <c:idx val="0"/>
          <c:order val="0"/>
          <c:tx>
            <c:strRef>
              <c:f>Kauslprgn!$C$32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Kauslprgn!$B$33:$B$38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Kauslprgn!$C$33:$C$38</c:f>
              <c:numCache>
                <c:formatCode>0.000</c:formatCode>
                <c:ptCount val="6"/>
                <c:pt idx="0">
                  <c:v>3.15</c:v>
                </c:pt>
                <c:pt idx="1">
                  <c:v>6.3</c:v>
                </c:pt>
                <c:pt idx="2">
                  <c:v>7.7</c:v>
                </c:pt>
                <c:pt idx="3">
                  <c:v>8.4</c:v>
                </c:pt>
                <c:pt idx="4">
                  <c:v>8.75</c:v>
                </c:pt>
                <c:pt idx="5">
                  <c:v>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7-0D47-83C0-0315D55B96AF}"/>
            </c:ext>
          </c:extLst>
        </c:ser>
        <c:ser>
          <c:idx val="2"/>
          <c:order val="2"/>
          <c:tx>
            <c:strRef>
              <c:f>Kauslprgn!$G$32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Kauslprgn!$B$33:$B$38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Kauslprgn!$G$33:$G$38</c:f>
              <c:numCache>
                <c:formatCode>0.000</c:formatCode>
                <c:ptCount val="6"/>
                <c:pt idx="0">
                  <c:v>1.8856699610878103E-2</c:v>
                </c:pt>
                <c:pt idx="1">
                  <c:v>-5.8121480765982447E-2</c:v>
                </c:pt>
                <c:pt idx="2">
                  <c:v>4.3424010300974203E-4</c:v>
                </c:pt>
                <c:pt idx="3">
                  <c:v>-0.17975390644245692</c:v>
                </c:pt>
                <c:pt idx="4">
                  <c:v>7.593629628876819E-2</c:v>
                </c:pt>
                <c:pt idx="5">
                  <c:v>0.15466539006829372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67-0D47-83C0-0315D55B9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94432"/>
        <c:axId val="1452795008"/>
      </c:scatterChart>
      <c:valAx>
        <c:axId val="145279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452795008"/>
        <c:crosses val="autoZero"/>
        <c:crossBetween val="midCat"/>
      </c:valAx>
      <c:valAx>
        <c:axId val="14527950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527944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Ausgangsbasis: Ursprungsdaten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Kauslprgn!$C$6</c:f>
              <c:strCache>
                <c:ptCount val="1"/>
                <c:pt idx="0">
                  <c:v>Nachfrage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Kauslprgn!$B$8:$B$13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Kauslprgn!$C$8:$C$13</c:f>
              <c:numCache>
                <c:formatCode>0.00</c:formatCode>
                <c:ptCount val="6"/>
                <c:pt idx="0">
                  <c:v>3.15</c:v>
                </c:pt>
                <c:pt idx="1">
                  <c:v>6.3</c:v>
                </c:pt>
                <c:pt idx="2">
                  <c:v>7.7</c:v>
                </c:pt>
                <c:pt idx="3">
                  <c:v>8.4</c:v>
                </c:pt>
                <c:pt idx="4">
                  <c:v>8.75</c:v>
                </c:pt>
                <c:pt idx="5">
                  <c:v>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C-234C-BF03-92EACB975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97312"/>
        <c:axId val="1452797888"/>
      </c:scatterChart>
      <c:valAx>
        <c:axId val="1452797312"/>
        <c:scaling>
          <c:orientation val="minMax"/>
          <c:max val="1000"/>
        </c:scaling>
        <c:delete val="0"/>
        <c:axPos val="b"/>
        <c:majorGridlines/>
        <c:numFmt formatCode="General" sourceLinked="1"/>
        <c:majorTickMark val="none"/>
        <c:minorTickMark val="none"/>
        <c:tickLblPos val="low"/>
        <c:crossAx val="1452797888"/>
        <c:crosses val="autoZero"/>
        <c:crossBetween val="midCat"/>
      </c:valAx>
      <c:valAx>
        <c:axId val="1452797888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45279731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1.: Transformation (LN(..)))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Kauslprgn!$E$32</c:f>
              <c:strCache>
                <c:ptCount val="1"/>
                <c:pt idx="0">
                  <c:v>ln(y)</c:v>
                </c:pt>
              </c:strCache>
            </c:strRef>
          </c:tx>
          <c:spPr>
            <a:ln w="28575">
              <a:noFill/>
            </a:ln>
          </c:spPr>
          <c:xVal>
            <c:numRef>
              <c:f>Kauslprgn!$D$33:$D$38</c:f>
              <c:numCache>
                <c:formatCode>0.000</c:formatCode>
                <c:ptCount val="6"/>
                <c:pt idx="0">
                  <c:v>3.5835189384561099</c:v>
                </c:pt>
                <c:pt idx="1">
                  <c:v>5.598421958998375</c:v>
                </c:pt>
                <c:pt idx="2">
                  <c:v>6.2225762680713688</c:v>
                </c:pt>
                <c:pt idx="3">
                  <c:v>6.4167322825123261</c:v>
                </c:pt>
                <c:pt idx="4">
                  <c:v>6.6280413761795334</c:v>
                </c:pt>
                <c:pt idx="5">
                  <c:v>6.879355804460439</c:v>
                </c:pt>
              </c:numCache>
            </c:numRef>
          </c:xVal>
          <c:yVal>
            <c:numRef>
              <c:f>Kauslprgn!$E$33:$E$38</c:f>
              <c:numCache>
                <c:formatCode>0.000</c:formatCode>
                <c:ptCount val="6"/>
                <c:pt idx="0">
                  <c:v>1.1474024528375417</c:v>
                </c:pt>
                <c:pt idx="1">
                  <c:v>1.8405496333974869</c:v>
                </c:pt>
                <c:pt idx="2">
                  <c:v>2.0412203288596382</c:v>
                </c:pt>
                <c:pt idx="3">
                  <c:v>2.1282317058492679</c:v>
                </c:pt>
                <c:pt idx="4">
                  <c:v>2.1690537003695232</c:v>
                </c:pt>
                <c:pt idx="5">
                  <c:v>2.2460147415056513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7-E148-95D5-210A3B0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99616"/>
        <c:axId val="1452800192"/>
      </c:scatterChart>
      <c:valAx>
        <c:axId val="1452799616"/>
        <c:scaling>
          <c:orientation val="minMax"/>
          <c:max val="10"/>
        </c:scaling>
        <c:delete val="0"/>
        <c:axPos val="b"/>
        <c:majorGridlines/>
        <c:numFmt formatCode="0.000" sourceLinked="1"/>
        <c:majorTickMark val="none"/>
        <c:minorTickMark val="none"/>
        <c:tickLblPos val="low"/>
        <c:crossAx val="1452800192"/>
        <c:crosses val="autoZero"/>
        <c:crossBetween val="midCat"/>
      </c:valAx>
      <c:valAx>
        <c:axId val="1452800192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14527996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de-DE" b="0"/>
              <a:t>2:</a:t>
            </a:r>
            <a:r>
              <a:rPr lang="de-DE" b="0" baseline="0"/>
              <a:t> Lineare Regression</a:t>
            </a:r>
            <a:endParaRPr lang="de-DE" b="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Kauslprgn!$T$33</c:f>
              <c:strCache>
                <c:ptCount val="1"/>
                <c:pt idx="0">
                  <c:v>a+b*ln(x)</c:v>
                </c:pt>
              </c:strCache>
            </c:strRef>
          </c:tx>
          <c:marker>
            <c:symbol val="none"/>
          </c:marker>
          <c:xVal>
            <c:numRef>
              <c:f>Kauslprgn!$D$33:$D$38</c:f>
              <c:numCache>
                <c:formatCode>0.000</c:formatCode>
                <c:ptCount val="6"/>
                <c:pt idx="0">
                  <c:v>3.5835189384561099</c:v>
                </c:pt>
                <c:pt idx="1">
                  <c:v>5.598421958998375</c:v>
                </c:pt>
                <c:pt idx="2">
                  <c:v>6.2225762680713688</c:v>
                </c:pt>
                <c:pt idx="3">
                  <c:v>6.4167322825123261</c:v>
                </c:pt>
                <c:pt idx="4">
                  <c:v>6.6280413761795334</c:v>
                </c:pt>
                <c:pt idx="5">
                  <c:v>6.879355804460439</c:v>
                </c:pt>
              </c:numCache>
            </c:numRef>
          </c:xVal>
          <c:yVal>
            <c:numRef>
              <c:f>Kauslprgn!$T$34:$T$39</c:f>
              <c:numCache>
                <c:formatCode>General</c:formatCode>
                <c:ptCount val="6"/>
                <c:pt idx="0">
                  <c:v>1.1533708602514783</c:v>
                </c:pt>
                <c:pt idx="1">
                  <c:v>1.8312811818254995</c:v>
                </c:pt>
                <c:pt idx="2">
                  <c:v>2.041276722088083</c:v>
                </c:pt>
                <c:pt idx="3">
                  <c:v>2.1066001470089395</c:v>
                </c:pt>
                <c:pt idx="4">
                  <c:v>2.1776946930883332</c:v>
                </c:pt>
                <c:pt idx="5">
                  <c:v>2.2622489585567767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9-4840-B63F-C7596FCB0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535296"/>
        <c:axId val="1460535872"/>
      </c:scatterChart>
      <c:valAx>
        <c:axId val="1460535296"/>
        <c:scaling>
          <c:orientation val="minMax"/>
          <c:max val="10"/>
          <c:min val="0"/>
        </c:scaling>
        <c:delete val="0"/>
        <c:axPos val="b"/>
        <c:majorGridlines/>
        <c:numFmt formatCode="0.000" sourceLinked="1"/>
        <c:majorTickMark val="none"/>
        <c:minorTickMark val="none"/>
        <c:tickLblPos val="low"/>
        <c:crossAx val="1460535872"/>
        <c:crosses val="autoZero"/>
        <c:crossBetween val="midCat"/>
      </c:valAx>
      <c:valAx>
        <c:axId val="14605358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053529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de-DE" b="0"/>
              <a:t>3.: Rücktransformation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Kauslprgn!$C$6</c:f>
              <c:strCache>
                <c:ptCount val="1"/>
                <c:pt idx="0">
                  <c:v>Nachfrage</c:v>
                </c:pt>
              </c:strCache>
            </c:strRef>
          </c:tx>
          <c:marker>
            <c:symbol val="none"/>
          </c:marker>
          <c:xVal>
            <c:numRef>
              <c:f>Kauslprgn!$B$33:$B$38</c:f>
              <c:numCache>
                <c:formatCode>General</c:formatCode>
                <c:ptCount val="6"/>
                <c:pt idx="0">
                  <c:v>36</c:v>
                </c:pt>
                <c:pt idx="1">
                  <c:v>270</c:v>
                </c:pt>
                <c:pt idx="2">
                  <c:v>504</c:v>
                </c:pt>
                <c:pt idx="3">
                  <c:v>612</c:v>
                </c:pt>
                <c:pt idx="4">
                  <c:v>756</c:v>
                </c:pt>
                <c:pt idx="5">
                  <c:v>972</c:v>
                </c:pt>
              </c:numCache>
            </c:numRef>
          </c:xVal>
          <c:yVal>
            <c:numRef>
              <c:f>Kauslprgn!$F$33:$F$38</c:f>
              <c:numCache>
                <c:formatCode>0.000</c:formatCode>
                <c:ptCount val="6"/>
                <c:pt idx="0">
                  <c:v>3.168856699610878</c:v>
                </c:pt>
                <c:pt idx="1">
                  <c:v>6.2418785192340174</c:v>
                </c:pt>
                <c:pt idx="2">
                  <c:v>7.7004342401030099</c:v>
                </c:pt>
                <c:pt idx="3">
                  <c:v>8.2202460935575434</c:v>
                </c:pt>
                <c:pt idx="4">
                  <c:v>8.8259362962887682</c:v>
                </c:pt>
                <c:pt idx="5">
                  <c:v>9.604665390068293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1-154A-A189-22F8281B1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537600"/>
        <c:axId val="1460538176"/>
      </c:scatterChart>
      <c:valAx>
        <c:axId val="1460537600"/>
        <c:scaling>
          <c:orientation val="minMax"/>
          <c:max val="1000"/>
          <c:min val="0"/>
        </c:scaling>
        <c:delete val="0"/>
        <c:axPos val="b"/>
        <c:majorGridlines/>
        <c:numFmt formatCode="General" sourceLinked="1"/>
        <c:majorTickMark val="none"/>
        <c:minorTickMark val="none"/>
        <c:tickLblPos val="low"/>
        <c:crossAx val="1460538176"/>
        <c:crosses val="autoZero"/>
        <c:crossBetween val="midCat"/>
      </c:valAx>
      <c:valAx>
        <c:axId val="1460538176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146053760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Zeitrhe!$K$6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3"/>
          </c:marker>
          <c:val>
            <c:numRef>
              <c:f>Zeitrhe!$K$7:$K$18</c:f>
              <c:numCache>
                <c:formatCode>0.0</c:formatCode>
                <c:ptCount val="12"/>
                <c:pt idx="0">
                  <c:v>134.5</c:v>
                </c:pt>
                <c:pt idx="1">
                  <c:v>106.8</c:v>
                </c:pt>
                <c:pt idx="2">
                  <c:v>129.19999999999999</c:v>
                </c:pt>
                <c:pt idx="3">
                  <c:v>153</c:v>
                </c:pt>
                <c:pt idx="4">
                  <c:v>149.1</c:v>
                </c:pt>
                <c:pt idx="5">
                  <c:v>158.30000000000001</c:v>
                </c:pt>
                <c:pt idx="6">
                  <c:v>132.9</c:v>
                </c:pt>
                <c:pt idx="7">
                  <c:v>149.80000000000001</c:v>
                </c:pt>
                <c:pt idx="8">
                  <c:v>140.30000000000001</c:v>
                </c:pt>
                <c:pt idx="9">
                  <c:v>138.30000000000001</c:v>
                </c:pt>
                <c:pt idx="10">
                  <c:v>152.19999999999999</c:v>
                </c:pt>
                <c:pt idx="11">
                  <c:v>128.1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F-6F4A-9E06-6502D264F39C}"/>
            </c:ext>
          </c:extLst>
        </c:ser>
        <c:ser>
          <c:idx val="1"/>
          <c:order val="1"/>
          <c:tx>
            <c:strRef>
              <c:f>Zeitrhe!$L$5</c:f>
              <c:strCache>
                <c:ptCount val="1"/>
                <c:pt idx="0">
                  <c:v>α=0,0</c:v>
                </c:pt>
              </c:strCache>
            </c:strRef>
          </c:tx>
          <c:marker>
            <c:symbol val="none"/>
          </c:marker>
          <c:val>
            <c:numRef>
              <c:f>Zeitrhe!$L$7:$L$19</c:f>
              <c:numCache>
                <c:formatCode>0.0</c:formatCode>
                <c:ptCount val="13"/>
                <c:pt idx="1">
                  <c:v>134.5</c:v>
                </c:pt>
                <c:pt idx="2">
                  <c:v>134.5</c:v>
                </c:pt>
                <c:pt idx="3">
                  <c:v>134.5</c:v>
                </c:pt>
                <c:pt idx="4">
                  <c:v>134.5</c:v>
                </c:pt>
                <c:pt idx="5">
                  <c:v>134.5</c:v>
                </c:pt>
                <c:pt idx="6">
                  <c:v>134.5</c:v>
                </c:pt>
                <c:pt idx="7">
                  <c:v>134.5</c:v>
                </c:pt>
                <c:pt idx="8">
                  <c:v>134.5</c:v>
                </c:pt>
                <c:pt idx="9">
                  <c:v>134.5</c:v>
                </c:pt>
                <c:pt idx="10">
                  <c:v>134.5</c:v>
                </c:pt>
                <c:pt idx="11">
                  <c:v>134.5</c:v>
                </c:pt>
                <c:pt idx="12">
                  <c:v>134.5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F-6F4A-9E06-6502D264F39C}"/>
            </c:ext>
          </c:extLst>
        </c:ser>
        <c:ser>
          <c:idx val="2"/>
          <c:order val="2"/>
          <c:tx>
            <c:strRef>
              <c:f>Zeitrhe!$N$5</c:f>
              <c:strCache>
                <c:ptCount val="1"/>
                <c:pt idx="0">
                  <c:v>α=0,2</c:v>
                </c:pt>
              </c:strCache>
            </c:strRef>
          </c:tx>
          <c:marker>
            <c:symbol val="none"/>
          </c:marker>
          <c:val>
            <c:numRef>
              <c:f>Zeitrhe!$N$7:$N$19</c:f>
              <c:numCache>
                <c:formatCode>0.0</c:formatCode>
                <c:ptCount val="13"/>
                <c:pt idx="1">
                  <c:v>134.5</c:v>
                </c:pt>
                <c:pt idx="2">
                  <c:v>128.96</c:v>
                </c:pt>
                <c:pt idx="3">
                  <c:v>129.00800000000001</c:v>
                </c:pt>
                <c:pt idx="4">
                  <c:v>133.80640000000002</c:v>
                </c:pt>
                <c:pt idx="5">
                  <c:v>136.86512000000002</c:v>
                </c:pt>
                <c:pt idx="6">
                  <c:v>141.15209600000003</c:v>
                </c:pt>
                <c:pt idx="7">
                  <c:v>139.50167680000004</c:v>
                </c:pt>
                <c:pt idx="8">
                  <c:v>141.56134144000004</c:v>
                </c:pt>
                <c:pt idx="9">
                  <c:v>141.30907315200005</c:v>
                </c:pt>
                <c:pt idx="10">
                  <c:v>140.70725852160004</c:v>
                </c:pt>
                <c:pt idx="11">
                  <c:v>143.00580681728002</c:v>
                </c:pt>
                <c:pt idx="12">
                  <c:v>140.02464545382401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3F-6F4A-9E06-6502D264F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922944"/>
        <c:axId val="1460539904"/>
      </c:lineChart>
      <c:catAx>
        <c:axId val="145992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539904"/>
        <c:crosses val="autoZero"/>
        <c:auto val="1"/>
        <c:lblAlgn val="ctr"/>
        <c:lblOffset val="100"/>
        <c:noMultiLvlLbl val="0"/>
      </c:catAx>
      <c:valAx>
        <c:axId val="1460539904"/>
        <c:scaling>
          <c:orientation val="minMax"/>
          <c:min val="1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59922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Zeitrhe!$B$29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3"/>
          </c:marker>
          <c:val>
            <c:numRef>
              <c:f>Zeitrhe!$B$30:$B$41</c:f>
              <c:numCache>
                <c:formatCode>0.00</c:formatCode>
                <c:ptCount val="12"/>
                <c:pt idx="0">
                  <c:v>26.8</c:v>
                </c:pt>
                <c:pt idx="1">
                  <c:v>39.200000000000003</c:v>
                </c:pt>
                <c:pt idx="2">
                  <c:v>72.3</c:v>
                </c:pt>
                <c:pt idx="3">
                  <c:v>71.3</c:v>
                </c:pt>
                <c:pt idx="4">
                  <c:v>83.2</c:v>
                </c:pt>
                <c:pt idx="5">
                  <c:v>92.9</c:v>
                </c:pt>
                <c:pt idx="6">
                  <c:v>121.9</c:v>
                </c:pt>
                <c:pt idx="7">
                  <c:v>112.1</c:v>
                </c:pt>
                <c:pt idx="8">
                  <c:v>115.8</c:v>
                </c:pt>
                <c:pt idx="9">
                  <c:v>154.19999999999999</c:v>
                </c:pt>
                <c:pt idx="10">
                  <c:v>175.2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1-2C4A-9E62-0FE3406A8092}"/>
            </c:ext>
          </c:extLst>
        </c:ser>
        <c:ser>
          <c:idx val="1"/>
          <c:order val="1"/>
          <c:tx>
            <c:strRef>
              <c:f>Zeitrhe!$E$29</c:f>
              <c:strCache>
                <c:ptCount val="1"/>
                <c:pt idx="0">
                  <c:v>ŷ(t) (Regr)</c:v>
                </c:pt>
              </c:strCache>
            </c:strRef>
          </c:tx>
          <c:marker>
            <c:symbol val="none"/>
          </c:marker>
          <c:val>
            <c:numRef>
              <c:f>Zeitrhe!$E$30:$E$41</c:f>
              <c:numCache>
                <c:formatCode>0.00</c:formatCode>
                <c:ptCount val="12"/>
                <c:pt idx="2">
                  <c:v>51.6</c:v>
                </c:pt>
                <c:pt idx="3">
                  <c:v>91.6</c:v>
                </c:pt>
                <c:pt idx="4">
                  <c:v>94.05</c:v>
                </c:pt>
                <c:pt idx="5">
                  <c:v>102.03</c:v>
                </c:pt>
                <c:pt idx="6">
                  <c:v>110.43333333333335</c:v>
                </c:pt>
                <c:pt idx="7">
                  <c:v>130.17142857142858</c:v>
                </c:pt>
                <c:pt idx="8">
                  <c:v>135.55000000000001</c:v>
                </c:pt>
                <c:pt idx="9">
                  <c:v>139.68055555555557</c:v>
                </c:pt>
                <c:pt idx="10">
                  <c:v>157.07999999999998</c:v>
                </c:pt>
                <c:pt idx="11">
                  <c:v>176.05272727272728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1-2C4A-9E62-0FE3406A8092}"/>
            </c:ext>
          </c:extLst>
        </c:ser>
        <c:ser>
          <c:idx val="2"/>
          <c:order val="2"/>
          <c:tx>
            <c:strRef>
              <c:f>Zeitrhe!$F$29</c:f>
              <c:strCache>
                <c:ptCount val="1"/>
                <c:pt idx="0">
                  <c:v>ŷ(t) (ES α=0,2)</c:v>
                </c:pt>
              </c:strCache>
            </c:strRef>
          </c:tx>
          <c:marker>
            <c:symbol val="none"/>
          </c:marker>
          <c:val>
            <c:numRef>
              <c:f>Zeitrhe!$F$30:$F$41</c:f>
              <c:numCache>
                <c:formatCode>0.00</c:formatCode>
                <c:ptCount val="12"/>
                <c:pt idx="1">
                  <c:v>26.8</c:v>
                </c:pt>
                <c:pt idx="2">
                  <c:v>29.28</c:v>
                </c:pt>
                <c:pt idx="3">
                  <c:v>37.884</c:v>
                </c:pt>
                <c:pt idx="4">
                  <c:v>44.5672</c:v>
                </c:pt>
                <c:pt idx="5">
                  <c:v>52.293759999999999</c:v>
                </c:pt>
                <c:pt idx="6">
                  <c:v>60.415008</c:v>
                </c:pt>
                <c:pt idx="7">
                  <c:v>72.712006400000007</c:v>
                </c:pt>
                <c:pt idx="8">
                  <c:v>80.589605120000016</c:v>
                </c:pt>
                <c:pt idx="9">
                  <c:v>87.631684096000015</c:v>
                </c:pt>
                <c:pt idx="10">
                  <c:v>100.94534727680002</c:v>
                </c:pt>
                <c:pt idx="11">
                  <c:v>115.79627782144001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1-2C4A-9E62-0FE3406A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924480"/>
        <c:axId val="1460542784"/>
      </c:lineChart>
      <c:catAx>
        <c:axId val="145992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542784"/>
        <c:crosses val="autoZero"/>
        <c:auto val="1"/>
        <c:lblAlgn val="ctr"/>
        <c:lblOffset val="100"/>
        <c:noMultiLvlLbl val="0"/>
      </c:catAx>
      <c:valAx>
        <c:axId val="146054278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4599244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Zeitrhe!$B$29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3"/>
          </c:marker>
          <c:val>
            <c:numRef>
              <c:f>Zeitrhe!$B$30:$B$41</c:f>
              <c:numCache>
                <c:formatCode>0.00</c:formatCode>
                <c:ptCount val="12"/>
                <c:pt idx="0">
                  <c:v>26.8</c:v>
                </c:pt>
                <c:pt idx="1">
                  <c:v>39.200000000000003</c:v>
                </c:pt>
                <c:pt idx="2">
                  <c:v>72.3</c:v>
                </c:pt>
                <c:pt idx="3">
                  <c:v>71.3</c:v>
                </c:pt>
                <c:pt idx="4">
                  <c:v>83.2</c:v>
                </c:pt>
                <c:pt idx="5">
                  <c:v>92.9</c:v>
                </c:pt>
                <c:pt idx="6">
                  <c:v>121.9</c:v>
                </c:pt>
                <c:pt idx="7">
                  <c:v>112.1</c:v>
                </c:pt>
                <c:pt idx="8">
                  <c:v>115.8</c:v>
                </c:pt>
                <c:pt idx="9">
                  <c:v>154.19999999999999</c:v>
                </c:pt>
                <c:pt idx="10">
                  <c:v>175.2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A-934D-9D4F-1527172482F5}"/>
            </c:ext>
          </c:extLst>
        </c:ser>
        <c:ser>
          <c:idx val="1"/>
          <c:order val="1"/>
          <c:tx>
            <c:strRef>
              <c:f>Zeitrhe!$E$29</c:f>
              <c:strCache>
                <c:ptCount val="1"/>
                <c:pt idx="0">
                  <c:v>ŷ(t) (Regr)</c:v>
                </c:pt>
              </c:strCache>
            </c:strRef>
          </c:tx>
          <c:marker>
            <c:symbol val="none"/>
          </c:marker>
          <c:val>
            <c:numRef>
              <c:f>Zeitrhe!$E$30:$E$41</c:f>
              <c:numCache>
                <c:formatCode>0.00</c:formatCode>
                <c:ptCount val="12"/>
                <c:pt idx="2">
                  <c:v>51.6</c:v>
                </c:pt>
                <c:pt idx="3">
                  <c:v>91.6</c:v>
                </c:pt>
                <c:pt idx="4">
                  <c:v>94.05</c:v>
                </c:pt>
                <c:pt idx="5">
                  <c:v>102.03</c:v>
                </c:pt>
                <c:pt idx="6">
                  <c:v>110.43333333333335</c:v>
                </c:pt>
                <c:pt idx="7">
                  <c:v>130.17142857142858</c:v>
                </c:pt>
                <c:pt idx="8">
                  <c:v>135.55000000000001</c:v>
                </c:pt>
                <c:pt idx="9">
                  <c:v>139.68055555555557</c:v>
                </c:pt>
                <c:pt idx="10">
                  <c:v>157.07999999999998</c:v>
                </c:pt>
                <c:pt idx="11">
                  <c:v>176.05272727272728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A-934D-9D4F-1527172482F5}"/>
            </c:ext>
          </c:extLst>
        </c:ser>
        <c:ser>
          <c:idx val="2"/>
          <c:order val="2"/>
          <c:tx>
            <c:strRef>
              <c:f>Zeitrhe!$G$48</c:f>
              <c:strCache>
                <c:ptCount val="1"/>
                <c:pt idx="0">
                  <c:v>ŷ(t) (DES)</c:v>
                </c:pt>
              </c:strCache>
            </c:strRef>
          </c:tx>
          <c:marker>
            <c:symbol val="none"/>
          </c:marker>
          <c:val>
            <c:numRef>
              <c:f>Zeitrhe!$G$50:$G$61</c:f>
              <c:numCache>
                <c:formatCode>0.00</c:formatCode>
                <c:ptCount val="12"/>
                <c:pt idx="4">
                  <c:v>86.133333333333326</c:v>
                </c:pt>
                <c:pt idx="5">
                  <c:v>100.26266666666666</c:v>
                </c:pt>
                <c:pt idx="6">
                  <c:v>113.21162666666666</c:v>
                </c:pt>
                <c:pt idx="7">
                  <c:v>129.7183296</c:v>
                </c:pt>
                <c:pt idx="8">
                  <c:v>140.25895876266668</c:v>
                </c:pt>
                <c:pt idx="9">
                  <c:v>148.45310374229337</c:v>
                </c:pt>
                <c:pt idx="10">
                  <c:v>162.91829557630297</c:v>
                </c:pt>
                <c:pt idx="11">
                  <c:v>179.18171722045852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A-934D-9D4F-152717248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174848"/>
        <c:axId val="1460274304"/>
      </c:lineChart>
      <c:catAx>
        <c:axId val="146017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274304"/>
        <c:crosses val="autoZero"/>
        <c:auto val="1"/>
        <c:lblAlgn val="ctr"/>
        <c:lblOffset val="100"/>
        <c:noMultiLvlLbl val="0"/>
      </c:catAx>
      <c:valAx>
        <c:axId val="1460274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4601748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423240276783663"/>
          <c:y val="7.124681933842239E-2"/>
          <c:w val="0.72801002147459082"/>
          <c:h val="0.58978742161046649"/>
        </c:manualLayout>
      </c:layout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Zeitrhe!$C$73:$C$92</c:f>
              <c:numCache>
                <c:formatCode>0.0</c:formatCode>
                <c:ptCount val="20"/>
                <c:pt idx="0">
                  <c:v>16.2</c:v>
                </c:pt>
                <c:pt idx="1">
                  <c:v>12.2</c:v>
                </c:pt>
                <c:pt idx="2">
                  <c:v>14.2</c:v>
                </c:pt>
                <c:pt idx="3">
                  <c:v>17.3</c:v>
                </c:pt>
                <c:pt idx="4">
                  <c:v>22.5</c:v>
                </c:pt>
                <c:pt idx="5">
                  <c:v>17.3</c:v>
                </c:pt>
                <c:pt idx="6">
                  <c:v>11.5</c:v>
                </c:pt>
                <c:pt idx="7">
                  <c:v>15</c:v>
                </c:pt>
                <c:pt idx="8">
                  <c:v>17.600000000000001</c:v>
                </c:pt>
                <c:pt idx="9">
                  <c:v>23.5</c:v>
                </c:pt>
                <c:pt idx="10">
                  <c:v>14.6</c:v>
                </c:pt>
                <c:pt idx="11">
                  <c:v>13.1</c:v>
                </c:pt>
                <c:pt idx="12">
                  <c:v>13</c:v>
                </c:pt>
                <c:pt idx="13">
                  <c:v>16.899999999999999</c:v>
                </c:pt>
                <c:pt idx="14">
                  <c:v>21.9</c:v>
                </c:pt>
                <c:pt idx="15">
                  <c:v>16.100000000000001</c:v>
                </c:pt>
                <c:pt idx="16">
                  <c:v>11.8</c:v>
                </c:pt>
                <c:pt idx="17">
                  <c:v>12.9</c:v>
                </c:pt>
                <c:pt idx="18">
                  <c:v>16.600000000000001</c:v>
                </c:pt>
                <c:pt idx="19">
                  <c:v>24.3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0-D643-95B7-589ADC19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75872"/>
        <c:axId val="1460276608"/>
      </c:lineChart>
      <c:catAx>
        <c:axId val="14601758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+mn-lt"/>
                <a:cs typeface="Arial" pitchFamily="34" charset="0"/>
              </a:defRPr>
            </a:pPr>
            <a:endParaRPr lang="de-DE"/>
          </a:p>
        </c:txPr>
        <c:crossAx val="1460276608"/>
        <c:crosses val="autoZero"/>
        <c:auto val="1"/>
        <c:lblAlgn val="ctr"/>
        <c:lblOffset val="100"/>
        <c:noMultiLvlLbl val="0"/>
      </c:catAx>
      <c:valAx>
        <c:axId val="14602766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+mn-lt"/>
                <a:cs typeface="Arial" pitchFamily="34" charset="0"/>
              </a:defRPr>
            </a:pPr>
            <a:endParaRPr lang="de-DE"/>
          </a:p>
        </c:txPr>
        <c:crossAx val="14601758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Zeitrhe!$B$146:$B$161</c:f>
              <c:numCache>
                <c:formatCode>0.0</c:formatCode>
                <c:ptCount val="16"/>
                <c:pt idx="0">
                  <c:v>379.1</c:v>
                </c:pt>
                <c:pt idx="1">
                  <c:v>472.8</c:v>
                </c:pt>
                <c:pt idx="2">
                  <c:v>428.4</c:v>
                </c:pt>
                <c:pt idx="3">
                  <c:v>607.70000000000005</c:v>
                </c:pt>
                <c:pt idx="4">
                  <c:v>413.8</c:v>
                </c:pt>
                <c:pt idx="5">
                  <c:v>512.79999999999995</c:v>
                </c:pt>
                <c:pt idx="6">
                  <c:v>443.1</c:v>
                </c:pt>
                <c:pt idx="7">
                  <c:v>634.70000000000005</c:v>
                </c:pt>
                <c:pt idx="8">
                  <c:v>422.8</c:v>
                </c:pt>
                <c:pt idx="9">
                  <c:v>500.1</c:v>
                </c:pt>
                <c:pt idx="10">
                  <c:v>433</c:v>
                </c:pt>
                <c:pt idx="11">
                  <c:v>666.2</c:v>
                </c:pt>
                <c:pt idx="12">
                  <c:v>459.8</c:v>
                </c:pt>
                <c:pt idx="13">
                  <c:v>523</c:v>
                </c:pt>
                <c:pt idx="14">
                  <c:v>508</c:v>
                </c:pt>
                <c:pt idx="15">
                  <c:v>696.8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0-EF47-8BDC-F008106FB47D}"/>
            </c:ext>
          </c:extLst>
        </c:ser>
        <c:ser>
          <c:idx val="1"/>
          <c:order val="1"/>
          <c:marker>
            <c:symbol val="none"/>
          </c:marker>
          <c:val>
            <c:numRef>
              <c:f>Zeitrhe!$O$146</c:f>
              <c:numCache>
                <c:formatCode>0.0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0-EF47-8BDC-F008106FB47D}"/>
            </c:ext>
          </c:extLst>
        </c:ser>
        <c:ser>
          <c:idx val="2"/>
          <c:order val="2"/>
          <c:marker>
            <c:symbol val="none"/>
          </c:marker>
          <c:val>
            <c:numRef>
              <c:f>Zeitrhe!$O$146:$O$147</c:f>
              <c:numCache>
                <c:formatCode>0.0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0-EF47-8BDC-F008106FB47D}"/>
            </c:ext>
          </c:extLst>
        </c:ser>
        <c:ser>
          <c:idx val="3"/>
          <c:order val="3"/>
          <c:marker>
            <c:symbol val="none"/>
          </c:marker>
          <c:val>
            <c:numRef>
              <c:f>Zeitrhe!$H$146:$H$153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E0-EF47-8BDC-F008106FB47D}"/>
            </c:ext>
          </c:extLst>
        </c:ser>
        <c:ser>
          <c:idx val="4"/>
          <c:order val="4"/>
          <c:spPr>
            <a:ln w="19050"/>
          </c:spPr>
          <c:marker>
            <c:symbol val="none"/>
          </c:marker>
          <c:val>
            <c:numRef>
              <c:f>Zeitrhe!$C$146:$C$161</c:f>
              <c:numCache>
                <c:formatCode>0.00</c:formatCode>
                <c:ptCount val="16"/>
                <c:pt idx="7">
                  <c:v>512.01</c:v>
                </c:pt>
                <c:pt idx="8">
                  <c:v>516.81888729016782</c:v>
                </c:pt>
                <c:pt idx="9">
                  <c:v>516.93935532797286</c:v>
                </c:pt>
                <c:pt idx="10">
                  <c:v>515.10526058239907</c:v>
                </c:pt>
                <c:pt idx="11">
                  <c:v>521.78523783832827</c:v>
                </c:pt>
                <c:pt idx="12">
                  <c:v>531.95117648964685</c:v>
                </c:pt>
                <c:pt idx="13">
                  <c:v>534.24650711847949</c:v>
                </c:pt>
                <c:pt idx="14">
                  <c:v>547.38260766859275</c:v>
                </c:pt>
                <c:pt idx="15">
                  <c:v>553.91290583408681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E0-EF47-8BDC-F008106F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77408"/>
        <c:axId val="1460278336"/>
      </c:lineChart>
      <c:catAx>
        <c:axId val="14601774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e-DE"/>
          </a:p>
        </c:txPr>
        <c:crossAx val="1460278336"/>
        <c:crosses val="autoZero"/>
        <c:auto val="1"/>
        <c:lblAlgn val="ctr"/>
        <c:lblOffset val="100"/>
        <c:noMultiLvlLbl val="0"/>
      </c:catAx>
      <c:valAx>
        <c:axId val="14602783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e-DE"/>
          </a:p>
        </c:txPr>
        <c:crossAx val="146017740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Zeitrhe!$B$146:$B$153</c:f>
              <c:numCache>
                <c:formatCode>0.0</c:formatCode>
                <c:ptCount val="8"/>
                <c:pt idx="0">
                  <c:v>379.1</c:v>
                </c:pt>
                <c:pt idx="1">
                  <c:v>472.8</c:v>
                </c:pt>
                <c:pt idx="2">
                  <c:v>428.4</c:v>
                </c:pt>
                <c:pt idx="3">
                  <c:v>607.70000000000005</c:v>
                </c:pt>
                <c:pt idx="4">
                  <c:v>413.8</c:v>
                </c:pt>
                <c:pt idx="5">
                  <c:v>512.79999999999995</c:v>
                </c:pt>
                <c:pt idx="6">
                  <c:v>443.1</c:v>
                </c:pt>
                <c:pt idx="7">
                  <c:v>634.70000000000005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B-C748-853B-329AC7BFC0E1}"/>
            </c:ext>
          </c:extLst>
        </c:ser>
        <c:ser>
          <c:idx val="1"/>
          <c:order val="1"/>
          <c:marker>
            <c:symbol val="none"/>
          </c:marker>
          <c:val>
            <c:numRef>
              <c:f>Zeitrhe!$O$146</c:f>
              <c:numCache>
                <c:formatCode>0.0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B-C748-853B-329AC7BFC0E1}"/>
            </c:ext>
          </c:extLst>
        </c:ser>
        <c:ser>
          <c:idx val="2"/>
          <c:order val="2"/>
          <c:marker>
            <c:symbol val="none"/>
          </c:marker>
          <c:val>
            <c:numRef>
              <c:f>Zeitrhe!$O$146:$O$147</c:f>
              <c:numCache>
                <c:formatCode>0.0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B-C748-853B-329AC7BFC0E1}"/>
            </c:ext>
          </c:extLst>
        </c:ser>
        <c:ser>
          <c:idx val="3"/>
          <c:order val="3"/>
          <c:marker>
            <c:symbol val="none"/>
          </c:marker>
          <c:val>
            <c:numRef>
              <c:f>Zeitrhe!$H$146:$H$153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B-C748-853B-329AC7BF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178432"/>
        <c:axId val="1460280640"/>
      </c:lineChart>
      <c:catAx>
        <c:axId val="14601784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e-DE"/>
          </a:p>
        </c:txPr>
        <c:crossAx val="1460280640"/>
        <c:crosses val="autoZero"/>
        <c:auto val="1"/>
        <c:lblAlgn val="ctr"/>
        <c:lblOffset val="100"/>
        <c:noMultiLvlLbl val="0"/>
      </c:catAx>
      <c:valAx>
        <c:axId val="14602806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e-DE"/>
          </a:p>
        </c:txPr>
        <c:crossAx val="14601784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Zeitrhe!$H$120</c:f>
              <c:strCache>
                <c:ptCount val="1"/>
                <c:pt idx="0">
                  <c:v>MA(6)</c:v>
                </c:pt>
              </c:strCache>
            </c:strRef>
          </c:tx>
          <c:marker>
            <c:symbol val="none"/>
          </c:marker>
          <c:cat>
            <c:strRef>
              <c:f>Zeitrhe!$G$121:$G$132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p9</c:v>
                </c:pt>
                <c:pt idx="9">
                  <c:v>p10</c:v>
                </c:pt>
                <c:pt idx="10">
                  <c:v>p11</c:v>
                </c:pt>
                <c:pt idx="11">
                  <c:v>p12</c:v>
                </c:pt>
              </c:strCache>
            </c:strRef>
          </c:cat>
          <c:val>
            <c:numRef>
              <c:f>Zeitrhe!$H$121:$H$132</c:f>
              <c:numCache>
                <c:formatCode>0.00</c:formatCode>
                <c:ptCount val="12"/>
                <c:pt idx="0">
                  <c:v>17.910232297971561</c:v>
                </c:pt>
                <c:pt idx="1">
                  <c:v>18.836111331514658</c:v>
                </c:pt>
                <c:pt idx="2">
                  <c:v>18.395995702519109</c:v>
                </c:pt>
                <c:pt idx="3">
                  <c:v>17.588900899308509</c:v>
                </c:pt>
                <c:pt idx="4">
                  <c:v>21.492278757565874</c:v>
                </c:pt>
                <c:pt idx="5">
                  <c:v>21.661528031241858</c:v>
                </c:pt>
                <c:pt idx="6">
                  <c:v>21.226148887522047</c:v>
                </c:pt>
                <c:pt idx="7">
                  <c:v>22.762107046163955</c:v>
                </c:pt>
                <c:pt idx="8">
                  <c:v>11.457785441292703</c:v>
                </c:pt>
                <c:pt idx="9">
                  <c:v>21.789168184680435</c:v>
                </c:pt>
                <c:pt idx="10">
                  <c:v>29.003603050363612</c:v>
                </c:pt>
                <c:pt idx="11">
                  <c:v>19.834082873210811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D-8548-A957-D96F44C9CA7F}"/>
            </c:ext>
          </c:extLst>
        </c:ser>
        <c:ser>
          <c:idx val="1"/>
          <c:order val="1"/>
          <c:tx>
            <c:strRef>
              <c:f>Zeitrhe!$I$120</c:f>
              <c:strCache>
                <c:ptCount val="1"/>
                <c:pt idx="0">
                  <c:v>Regr</c:v>
                </c:pt>
              </c:strCache>
            </c:strRef>
          </c:tx>
          <c:marker>
            <c:symbol val="none"/>
          </c:marker>
          <c:val>
            <c:numRef>
              <c:f>Zeitrhe!$I$121:$I$132</c:f>
              <c:numCache>
                <c:formatCode>0.00</c:formatCode>
                <c:ptCount val="12"/>
                <c:pt idx="0">
                  <c:v>17.910232297971561</c:v>
                </c:pt>
                <c:pt idx="1">
                  <c:v>18.836111331514658</c:v>
                </c:pt>
                <c:pt idx="2">
                  <c:v>18.395995702519109</c:v>
                </c:pt>
                <c:pt idx="3">
                  <c:v>17.588900899308509</c:v>
                </c:pt>
                <c:pt idx="4">
                  <c:v>21.492278757565874</c:v>
                </c:pt>
                <c:pt idx="5">
                  <c:v>21.661528031241858</c:v>
                </c:pt>
                <c:pt idx="6">
                  <c:v>21.226148887522047</c:v>
                </c:pt>
                <c:pt idx="7">
                  <c:v>22.762107046163955</c:v>
                </c:pt>
                <c:pt idx="8">
                  <c:v>12.941055910986162</c:v>
                </c:pt>
                <c:pt idx="9">
                  <c:v>25.363423807396362</c:v>
                </c:pt>
                <c:pt idx="10">
                  <c:v>34.76433125120068</c:v>
                </c:pt>
                <c:pt idx="11">
                  <c:v>24.459471515260315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D-8548-A957-D96F44C9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272576"/>
        <c:axId val="1461036160"/>
      </c:lineChart>
      <c:catAx>
        <c:axId val="146127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1036160"/>
        <c:crosses val="autoZero"/>
        <c:auto val="1"/>
        <c:lblAlgn val="ctr"/>
        <c:lblOffset val="100"/>
        <c:noMultiLvlLbl val="0"/>
      </c:catAx>
      <c:valAx>
        <c:axId val="1461036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1272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EXPO123!$D$121:$D$132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EXPO123!$E$121:$E$132</c:f>
              <c:numCache>
                <c:formatCode>General</c:formatCode>
                <c:ptCount val="12"/>
                <c:pt idx="0">
                  <c:v>442</c:v>
                </c:pt>
                <c:pt idx="1">
                  <c:v>449</c:v>
                </c:pt>
                <c:pt idx="2">
                  <c:v>553</c:v>
                </c:pt>
                <c:pt idx="3">
                  <c:v>520</c:v>
                </c:pt>
                <c:pt idx="4">
                  <c:v>423</c:v>
                </c:pt>
                <c:pt idx="5">
                  <c:v>436</c:v>
                </c:pt>
                <c:pt idx="6">
                  <c:v>542</c:v>
                </c:pt>
                <c:pt idx="7">
                  <c:v>532</c:v>
                </c:pt>
                <c:pt idx="8">
                  <c:v>410</c:v>
                </c:pt>
                <c:pt idx="9">
                  <c:v>443</c:v>
                </c:pt>
                <c:pt idx="10">
                  <c:v>560</c:v>
                </c:pt>
                <c:pt idx="11">
                  <c:v>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9-DB4A-A16D-1532365DE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823488"/>
        <c:axId val="670824064"/>
      </c:scatterChart>
      <c:valAx>
        <c:axId val="67082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0824064"/>
        <c:crosses val="autoZero"/>
        <c:crossBetween val="midCat"/>
      </c:valAx>
      <c:valAx>
        <c:axId val="67082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y(t)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0823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de-DE" sz="1100"/>
              <a:t>Exp. Glättung</a:t>
            </a:r>
            <a:r>
              <a:rPr lang="de-DE" sz="1100" baseline="0"/>
              <a:t> 3. Ordnung</a:t>
            </a:r>
            <a:endParaRPr lang="de-DE" sz="11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EXPO123!$E$87</c:f>
              <c:strCache>
                <c:ptCount val="1"/>
                <c:pt idx="0">
                  <c:v>y(t)</c:v>
                </c:pt>
              </c:strCache>
            </c:strRef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EXPO123!$D$93:$D$103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EXPO123!$E$93:$E$103</c:f>
              <c:numCache>
                <c:formatCode>General</c:formatCode>
                <c:ptCount val="11"/>
                <c:pt idx="0">
                  <c:v>413.8</c:v>
                </c:pt>
                <c:pt idx="1">
                  <c:v>512.79999999999995</c:v>
                </c:pt>
                <c:pt idx="2">
                  <c:v>443.1</c:v>
                </c:pt>
                <c:pt idx="3">
                  <c:v>634.70000000000005</c:v>
                </c:pt>
                <c:pt idx="4" formatCode="0.0">
                  <c:v>422.8</c:v>
                </c:pt>
                <c:pt idx="5" formatCode="0.0">
                  <c:v>500.1</c:v>
                </c:pt>
                <c:pt idx="6" formatCode="0.0">
                  <c:v>433</c:v>
                </c:pt>
                <c:pt idx="7" formatCode="0.0">
                  <c:v>666.2</c:v>
                </c:pt>
                <c:pt idx="8" formatCode="0.0">
                  <c:v>459.8</c:v>
                </c:pt>
                <c:pt idx="9" formatCode="0.0">
                  <c:v>523</c:v>
                </c:pt>
                <c:pt idx="10" formatCode="0.0">
                  <c:v>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2-7646-A515-581F6E606FD8}"/>
            </c:ext>
          </c:extLst>
        </c:ser>
        <c:ser>
          <c:idx val="1"/>
          <c:order val="1"/>
          <c:tx>
            <c:strRef>
              <c:f>EXPO123!$K$87</c:f>
              <c:strCache>
                <c:ptCount val="1"/>
                <c:pt idx="0">
                  <c:v>ŷ(t)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EXPO123!$D$97:$D$104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EXPO123!$K$97:$K$104</c:f>
              <c:numCache>
                <c:formatCode>General</c:formatCode>
                <c:ptCount val="8"/>
                <c:pt idx="0">
                  <c:v>430.99</c:v>
                </c:pt>
                <c:pt idx="1">
                  <c:v>517.45000000000005</c:v>
                </c:pt>
                <c:pt idx="2">
                  <c:v>420.11</c:v>
                </c:pt>
                <c:pt idx="3">
                  <c:v>602.54</c:v>
                </c:pt>
                <c:pt idx="4">
                  <c:v>478.79</c:v>
                </c:pt>
                <c:pt idx="5">
                  <c:v>587.66</c:v>
                </c:pt>
                <c:pt idx="6">
                  <c:v>422.47</c:v>
                </c:pt>
                <c:pt idx="7">
                  <c:v>780.04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62-7646-A515-581F6E606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18432"/>
        <c:axId val="44819008"/>
      </c:scatterChart>
      <c:valAx>
        <c:axId val="44818432"/>
        <c:scaling>
          <c:orientation val="minMax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Frutiger Next LT W1G" pitchFamily="34" charset="0"/>
                  </a:defRPr>
                </a:pPr>
                <a:r>
                  <a:rPr lang="de-DE">
                    <a:latin typeface="Frutiger Next LT W1G" pitchFamily="34" charset="0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utiger Next LT W1G" pitchFamily="34" charset="0"/>
              </a:defRPr>
            </a:pPr>
            <a:endParaRPr lang="de-DE"/>
          </a:p>
        </c:txPr>
        <c:crossAx val="44819008"/>
        <c:crosses val="autoZero"/>
        <c:crossBetween val="midCat"/>
      </c:valAx>
      <c:valAx>
        <c:axId val="44819008"/>
        <c:scaling>
          <c:orientation val="minMax"/>
          <c:min val="3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Frutiger Next LT W1G" pitchFamily="34" charset="0"/>
                  </a:defRPr>
                </a:pPr>
                <a:r>
                  <a:rPr lang="de-DE">
                    <a:latin typeface="Frutiger Next LT W1G" pitchFamily="34" charset="0"/>
                  </a:rPr>
                  <a:t>y(t)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Frutiger Next LT W1G" pitchFamily="34" charset="0"/>
              </a:defRPr>
            </a:pPr>
            <a:endParaRPr lang="de-DE"/>
          </a:p>
        </c:txPr>
        <c:crossAx val="4481843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>
              <a:latin typeface="Frutiger Next LT W1G" pitchFamily="34" charset="0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Gleitende Durchschnitte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EXPO123!$C$6</c:f>
              <c:strCache>
                <c:ptCount val="1"/>
                <c:pt idx="0">
                  <c:v>y(t)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EXPO123!$B$7:$B$17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EXPO123!$C$7:$C$17</c:f>
              <c:numCache>
                <c:formatCode>General</c:formatCode>
                <c:ptCount val="11"/>
                <c:pt idx="0">
                  <c:v>4.42</c:v>
                </c:pt>
                <c:pt idx="1">
                  <c:v>4.62</c:v>
                </c:pt>
                <c:pt idx="2">
                  <c:v>4.29</c:v>
                </c:pt>
                <c:pt idx="3">
                  <c:v>5.15</c:v>
                </c:pt>
                <c:pt idx="4">
                  <c:v>6.36</c:v>
                </c:pt>
                <c:pt idx="5">
                  <c:v>6.28</c:v>
                </c:pt>
                <c:pt idx="6">
                  <c:v>6.59</c:v>
                </c:pt>
                <c:pt idx="7">
                  <c:v>5.97</c:v>
                </c:pt>
                <c:pt idx="8">
                  <c:v>6.23</c:v>
                </c:pt>
                <c:pt idx="9">
                  <c:v>6.67</c:v>
                </c:pt>
                <c:pt idx="10">
                  <c:v>6.65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7-8146-BCDD-BD776EF391EE}"/>
            </c:ext>
          </c:extLst>
        </c:ser>
        <c:ser>
          <c:idx val="1"/>
          <c:order val="1"/>
          <c:tx>
            <c:strRef>
              <c:f>EXPO123!$D$6</c:f>
              <c:strCache>
                <c:ptCount val="1"/>
                <c:pt idx="0">
                  <c:v>ŷ(t) mit T=3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EXPO123!$B$11:$B$17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EXPO123!$D$11:$D$17</c:f>
              <c:numCache>
                <c:formatCode>General</c:formatCode>
                <c:ptCount val="7"/>
                <c:pt idx="0">
                  <c:v>4.6900000000000004</c:v>
                </c:pt>
                <c:pt idx="1">
                  <c:v>5.27</c:v>
                </c:pt>
                <c:pt idx="2">
                  <c:v>5.93</c:v>
                </c:pt>
                <c:pt idx="3">
                  <c:v>6.41</c:v>
                </c:pt>
                <c:pt idx="4">
                  <c:v>6.28</c:v>
                </c:pt>
                <c:pt idx="5">
                  <c:v>6.26</c:v>
                </c:pt>
                <c:pt idx="6">
                  <c:v>6.29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A7-8146-BCDD-BD776EF391EE}"/>
            </c:ext>
          </c:extLst>
        </c:ser>
        <c:ser>
          <c:idx val="2"/>
          <c:order val="2"/>
          <c:tx>
            <c:strRef>
              <c:f>EXPO123!$G$6</c:f>
              <c:strCache>
                <c:ptCount val="1"/>
                <c:pt idx="0">
                  <c:v>ŷ(t) mit T=4</c:v>
                </c:pt>
              </c:strCache>
            </c:strRef>
          </c:tx>
          <c:spPr>
            <a:ln>
              <a:solidFill>
                <a:srgbClr val="7030A0">
                  <a:alpha val="82000"/>
                </a:srgbClr>
              </a:solidFill>
            </a:ln>
          </c:spPr>
          <c:marker>
            <c:symbol val="none"/>
          </c:marker>
          <c:xVal>
            <c:numRef>
              <c:f>EXPO123!$B$11:$B$17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EXPO123!$G$11:$G$17</c:f>
              <c:numCache>
                <c:formatCode>General</c:formatCode>
                <c:ptCount val="7"/>
                <c:pt idx="0">
                  <c:v>4.62</c:v>
                </c:pt>
                <c:pt idx="1">
                  <c:v>5.1100000000000003</c:v>
                </c:pt>
                <c:pt idx="2">
                  <c:v>5.52</c:v>
                </c:pt>
                <c:pt idx="3">
                  <c:v>6.1</c:v>
                </c:pt>
                <c:pt idx="4">
                  <c:v>6.3</c:v>
                </c:pt>
                <c:pt idx="5">
                  <c:v>6.27</c:v>
                </c:pt>
                <c:pt idx="6">
                  <c:v>6.37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A7-8146-BCDD-BD776EF391EE}"/>
            </c:ext>
          </c:extLst>
        </c:ser>
        <c:ser>
          <c:idx val="3"/>
          <c:order val="3"/>
          <c:tx>
            <c:strRef>
              <c:f>EXPO123!$H$6</c:f>
              <c:strCache>
                <c:ptCount val="1"/>
                <c:pt idx="0">
                  <c:v>ŷ(t) mit T=5</c:v>
                </c:pt>
              </c:strCache>
            </c:strRef>
          </c:tx>
          <c:spPr>
            <a:ln>
              <a:solidFill>
                <a:srgbClr val="00B0F0">
                  <a:alpha val="65000"/>
                </a:srgbClr>
              </a:solidFill>
            </a:ln>
          </c:spPr>
          <c:marker>
            <c:symbol val="none"/>
          </c:marker>
          <c:xVal>
            <c:numRef>
              <c:f>EXPO123!$B$11:$B$17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EXPO123!$H$11:$H$17</c:f>
              <c:numCache>
                <c:formatCode>General</c:formatCode>
                <c:ptCount val="7"/>
                <c:pt idx="1">
                  <c:v>4.97</c:v>
                </c:pt>
                <c:pt idx="2">
                  <c:v>5.34</c:v>
                </c:pt>
                <c:pt idx="3">
                  <c:v>5.73</c:v>
                </c:pt>
                <c:pt idx="4">
                  <c:v>6.07</c:v>
                </c:pt>
                <c:pt idx="5">
                  <c:v>6.29</c:v>
                </c:pt>
                <c:pt idx="6">
                  <c:v>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A7-8146-BCDD-BD776EF391EE}"/>
            </c:ext>
          </c:extLst>
        </c:ser>
        <c:ser>
          <c:idx val="4"/>
          <c:order val="4"/>
          <c:tx>
            <c:strRef>
              <c:f>EXPO123!$I$6</c:f>
              <c:strCache>
                <c:ptCount val="1"/>
                <c:pt idx="0">
                  <c:v>ŷ(t) mit T=6</c:v>
                </c:pt>
              </c:strCache>
            </c:strRef>
          </c:tx>
          <c:spPr>
            <a:ln>
              <a:solidFill>
                <a:srgbClr val="92D050">
                  <a:alpha val="75000"/>
                </a:srgbClr>
              </a:solidFill>
            </a:ln>
          </c:spPr>
          <c:marker>
            <c:symbol val="none"/>
          </c:marker>
          <c:xVal>
            <c:numRef>
              <c:f>EXPO123!$B$11:$B$17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EXPO123!$I$11:$I$17</c:f>
              <c:numCache>
                <c:formatCode>General</c:formatCode>
                <c:ptCount val="7"/>
                <c:pt idx="2">
                  <c:v>5.19</c:v>
                </c:pt>
                <c:pt idx="3">
                  <c:v>5.55</c:v>
                </c:pt>
                <c:pt idx="4">
                  <c:v>5.77</c:v>
                </c:pt>
                <c:pt idx="5">
                  <c:v>6.1</c:v>
                </c:pt>
                <c:pt idx="6">
                  <c:v>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A7-8146-BCDD-BD776EF39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1888"/>
        <c:axId val="44822464"/>
      </c:scatterChart>
      <c:valAx>
        <c:axId val="4482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22464"/>
        <c:crosses val="autoZero"/>
        <c:crossBetween val="midCat"/>
      </c:valAx>
      <c:valAx>
        <c:axId val="44822464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21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Exp.</a:t>
            </a:r>
            <a:r>
              <a:rPr lang="de-DE" sz="1200" baseline="0"/>
              <a:t> Glättung 1. Ordnung</a:t>
            </a:r>
            <a:endParaRPr lang="de-DE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EXPO123!$C$31</c:f>
              <c:strCache>
                <c:ptCount val="1"/>
                <c:pt idx="0">
                  <c:v>y(t)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EXPO123!$B$32:$B$42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EXPO123!$C$32:$C$42</c:f>
              <c:numCache>
                <c:formatCode>General</c:formatCode>
                <c:ptCount val="11"/>
                <c:pt idx="0">
                  <c:v>110</c:v>
                </c:pt>
                <c:pt idx="1">
                  <c:v>118</c:v>
                </c:pt>
                <c:pt idx="2">
                  <c:v>137</c:v>
                </c:pt>
                <c:pt idx="3">
                  <c:v>111</c:v>
                </c:pt>
                <c:pt idx="4">
                  <c:v>119</c:v>
                </c:pt>
                <c:pt idx="5">
                  <c:v>129</c:v>
                </c:pt>
                <c:pt idx="6">
                  <c:v>118</c:v>
                </c:pt>
                <c:pt idx="7">
                  <c:v>110</c:v>
                </c:pt>
                <c:pt idx="8">
                  <c:v>115</c:v>
                </c:pt>
                <c:pt idx="9">
                  <c:v>113</c:v>
                </c:pt>
                <c:pt idx="10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D-834C-9B11-A36466826A2D}"/>
            </c:ext>
          </c:extLst>
        </c:ser>
        <c:ser>
          <c:idx val="1"/>
          <c:order val="1"/>
          <c:tx>
            <c:strRef>
              <c:f>EXPO123!$D$31</c:f>
              <c:strCache>
                <c:ptCount val="1"/>
                <c:pt idx="0">
                  <c:v>ŷ(t)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EXPO123!$B$32:$B$42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EXPO123!$D$32:$D$42</c:f>
              <c:numCache>
                <c:formatCode>General</c:formatCode>
                <c:ptCount val="11"/>
                <c:pt idx="0">
                  <c:v>110</c:v>
                </c:pt>
                <c:pt idx="1">
                  <c:v>110</c:v>
                </c:pt>
                <c:pt idx="2">
                  <c:v>116.4</c:v>
                </c:pt>
                <c:pt idx="3">
                  <c:v>132.88</c:v>
                </c:pt>
                <c:pt idx="4">
                  <c:v>115.38</c:v>
                </c:pt>
                <c:pt idx="5">
                  <c:v>118.28</c:v>
                </c:pt>
                <c:pt idx="6">
                  <c:v>126.86</c:v>
                </c:pt>
                <c:pt idx="7">
                  <c:v>119.77</c:v>
                </c:pt>
                <c:pt idx="8">
                  <c:v>111.95</c:v>
                </c:pt>
                <c:pt idx="9">
                  <c:v>114.39</c:v>
                </c:pt>
                <c:pt idx="10">
                  <c:v>113.28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D-834C-9B11-A36466826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5344"/>
        <c:axId val="44825920"/>
      </c:scatterChart>
      <c:valAx>
        <c:axId val="44825344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4825920"/>
        <c:crosses val="autoZero"/>
        <c:crossBetween val="midCat"/>
      </c:valAx>
      <c:valAx>
        <c:axId val="4482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25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Exp.</a:t>
            </a:r>
            <a:r>
              <a:rPr lang="de-DE" sz="1200" baseline="0"/>
              <a:t> Glättung 2. Ordnung</a:t>
            </a:r>
            <a:endParaRPr lang="de-DE" sz="12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EXPO123!$C$58</c:f>
              <c:strCache>
                <c:ptCount val="1"/>
                <c:pt idx="0">
                  <c:v>y(t)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EXPO123!$B$60:$B$69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EXPO123!$C$60:$C$69</c:f>
              <c:numCache>
                <c:formatCode>General</c:formatCode>
                <c:ptCount val="10"/>
                <c:pt idx="0">
                  <c:v>462</c:v>
                </c:pt>
                <c:pt idx="1">
                  <c:v>429</c:v>
                </c:pt>
                <c:pt idx="2">
                  <c:v>515</c:v>
                </c:pt>
                <c:pt idx="3">
                  <c:v>636</c:v>
                </c:pt>
                <c:pt idx="4">
                  <c:v>628</c:v>
                </c:pt>
                <c:pt idx="5">
                  <c:v>659</c:v>
                </c:pt>
                <c:pt idx="6">
                  <c:v>638</c:v>
                </c:pt>
                <c:pt idx="7">
                  <c:v>623</c:v>
                </c:pt>
                <c:pt idx="8">
                  <c:v>689</c:v>
                </c:pt>
                <c:pt idx="9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C-D84A-8CE2-C8661CB90221}"/>
            </c:ext>
          </c:extLst>
        </c:ser>
        <c:ser>
          <c:idx val="1"/>
          <c:order val="1"/>
          <c:tx>
            <c:strRef>
              <c:f>EXPO123!$F$58</c:f>
              <c:strCache>
                <c:ptCount val="1"/>
                <c:pt idx="0">
                  <c:v>ŷ(t)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EXPO123!$B$60:$B$69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EXPO123!$F$60:$F$69</c:f>
              <c:numCache>
                <c:formatCode>General</c:formatCode>
                <c:ptCount val="10"/>
                <c:pt idx="0">
                  <c:v>462</c:v>
                </c:pt>
                <c:pt idx="1">
                  <c:v>482</c:v>
                </c:pt>
                <c:pt idx="2">
                  <c:v>466.21999999999997</c:v>
                </c:pt>
                <c:pt idx="3">
                  <c:v>507.22</c:v>
                </c:pt>
                <c:pt idx="4">
                  <c:v>613.19999999999993</c:v>
                </c:pt>
                <c:pt idx="5">
                  <c:v>671.22</c:v>
                </c:pt>
                <c:pt idx="6">
                  <c:v>714.33</c:v>
                </c:pt>
                <c:pt idx="7">
                  <c:v>711.42000000000007</c:v>
                </c:pt>
                <c:pt idx="8">
                  <c:v>683.18</c:v>
                </c:pt>
                <c:pt idx="9">
                  <c:v>698.66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C-D84A-8CE2-C8661CB90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9552"/>
        <c:axId val="44600128"/>
      </c:scatterChart>
      <c:valAx>
        <c:axId val="44599552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4600128"/>
        <c:crosses val="autoZero"/>
        <c:crossBetween val="midCat"/>
      </c:valAx>
      <c:valAx>
        <c:axId val="4460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99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EXPO123!$D$46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FFC000"/>
            </a:solidFill>
            <a:ln w="19050"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strRef>
              <c:f>EXPO123!$C$29</c:f>
              <c:strCache>
                <c:ptCount val="1"/>
                <c:pt idx="0">
                  <c:v>Einfache exp. Glättung</c:v>
                </c:pt>
              </c:strCache>
            </c:strRef>
          </c:cat>
          <c:val>
            <c:numRef>
              <c:f>EXPO123!$E$46</c:f>
              <c:numCache>
                <c:formatCode>General</c:formatCode>
                <c:ptCount val="1"/>
                <c:pt idx="0">
                  <c:v>49.42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F-3145-A1AD-6A98E8E7D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0621184"/>
        <c:axId val="44603008"/>
      </c:barChart>
      <c:catAx>
        <c:axId val="143062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603008"/>
        <c:crosses val="autoZero"/>
        <c:auto val="1"/>
        <c:lblAlgn val="ctr"/>
        <c:lblOffset val="100"/>
        <c:noMultiLvlLbl val="0"/>
      </c:catAx>
      <c:valAx>
        <c:axId val="4460300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0621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EXPO123!$D$46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FFC000"/>
            </a:solidFill>
            <a:ln w="19050"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strRef>
              <c:f>EXPO123!$C$55</c:f>
              <c:strCache>
                <c:ptCount val="1"/>
                <c:pt idx="0">
                  <c:v>Doppelte exp. Glättung</c:v>
                </c:pt>
              </c:strCache>
            </c:strRef>
          </c:cat>
          <c:val>
            <c:numRef>
              <c:f>EXPO123!$G$73</c:f>
              <c:numCache>
                <c:formatCode>General</c:formatCode>
                <c:ptCount val="1"/>
                <c:pt idx="0">
                  <c:v>428079.45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7-6C4B-80C2-4C7A03C37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0761472"/>
        <c:axId val="1490305024"/>
      </c:barChart>
      <c:catAx>
        <c:axId val="1430761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0305024"/>
        <c:crosses val="autoZero"/>
        <c:auto val="1"/>
        <c:lblAlgn val="ctr"/>
        <c:lblOffset val="100"/>
        <c:noMultiLvlLbl val="0"/>
      </c:catAx>
      <c:valAx>
        <c:axId val="1490305024"/>
        <c:scaling>
          <c:orientation val="minMax"/>
          <c:max val="50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076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EXPO123!$D$46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FFC000"/>
            </a:solidFill>
            <a:ln w="19050">
              <a:solidFill>
                <a:schemeClr val="tx1">
                  <a:lumMod val="75000"/>
                  <a:lumOff val="25000"/>
                </a:schemeClr>
              </a:solidFill>
            </a:ln>
          </c:spPr>
          <c:invertIfNegative val="0"/>
          <c:cat>
            <c:strRef>
              <c:f>EXPO123!$B$83</c:f>
              <c:strCache>
                <c:ptCount val="1"/>
                <c:pt idx="0">
                  <c:v>Dreifache exp. Glättung</c:v>
                </c:pt>
              </c:strCache>
            </c:strRef>
          </c:cat>
          <c:val>
            <c:numRef>
              <c:f>EXPO123!$L$107</c:f>
              <c:numCache>
                <c:formatCode>General</c:formatCode>
                <c:ptCount val="1"/>
                <c:pt idx="0">
                  <c:v>2055.4703625000002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5E4F-90C9-0A81D6475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0761984"/>
        <c:axId val="1490307328"/>
      </c:barChart>
      <c:catAx>
        <c:axId val="1430761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0307328"/>
        <c:crosses val="autoZero"/>
        <c:auto val="1"/>
        <c:lblAlgn val="ctr"/>
        <c:lblOffset val="100"/>
        <c:noMultiLvlLbl val="0"/>
      </c:catAx>
      <c:valAx>
        <c:axId val="1490307328"/>
        <c:scaling>
          <c:orientation val="minMax"/>
          <c:max val="2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0761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PrognQual!$B$21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PrognQual!$B$23:$B$32</c:f>
              <c:numCache>
                <c:formatCode>0.0</c:formatCode>
                <c:ptCount val="10"/>
                <c:pt idx="0">
                  <c:v>10.9</c:v>
                </c:pt>
                <c:pt idx="1">
                  <c:v>11.5</c:v>
                </c:pt>
                <c:pt idx="2">
                  <c:v>14.2</c:v>
                </c:pt>
                <c:pt idx="3">
                  <c:v>10</c:v>
                </c:pt>
                <c:pt idx="4">
                  <c:v>12</c:v>
                </c:pt>
                <c:pt idx="5">
                  <c:v>14.8</c:v>
                </c:pt>
                <c:pt idx="6">
                  <c:v>23.5</c:v>
                </c:pt>
                <c:pt idx="7">
                  <c:v>22.3</c:v>
                </c:pt>
                <c:pt idx="8">
                  <c:v>27.6</c:v>
                </c:pt>
                <c:pt idx="9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1-9048-AFE2-A3A35BA08EB7}"/>
            </c:ext>
          </c:extLst>
        </c:ser>
        <c:ser>
          <c:idx val="1"/>
          <c:order val="1"/>
          <c:tx>
            <c:strRef>
              <c:f>PrognQual!$C$21</c:f>
              <c:strCache>
                <c:ptCount val="1"/>
                <c:pt idx="0">
                  <c:v>ŷ (t)(MA3)</c:v>
                </c:pt>
              </c:strCache>
            </c:strRef>
          </c:tx>
          <c:marker>
            <c:symbol val="none"/>
          </c:marker>
          <c:val>
            <c:numRef>
              <c:f>PrognQual!$C$23:$C$32</c:f>
              <c:numCache>
                <c:formatCode>0.0</c:formatCode>
                <c:ptCount val="10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  <c:pt idx="3">
                  <c:v>12.199999999999998</c:v>
                </c:pt>
                <c:pt idx="4">
                  <c:v>11.9</c:v>
                </c:pt>
                <c:pt idx="5">
                  <c:v>12.066666666666668</c:v>
                </c:pt>
                <c:pt idx="6">
                  <c:v>12.266666666666666</c:v>
                </c:pt>
                <c:pt idx="7">
                  <c:v>16.766666666666666</c:v>
                </c:pt>
                <c:pt idx="8">
                  <c:v>20.2</c:v>
                </c:pt>
                <c:pt idx="9">
                  <c:v>24.466666666666669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1-9048-AFE2-A3A35BA0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637824"/>
        <c:axId val="1461038464"/>
      </c:lineChart>
      <c:catAx>
        <c:axId val="145863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038464"/>
        <c:crosses val="autoZero"/>
        <c:auto val="1"/>
        <c:lblAlgn val="ctr"/>
        <c:lblOffset val="100"/>
        <c:noMultiLvlLbl val="0"/>
      </c:catAx>
      <c:valAx>
        <c:axId val="14610384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586378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PrognQual!$H$21</c:f>
              <c:strCache>
                <c:ptCount val="1"/>
                <c:pt idx="0">
                  <c:v>TS</c:v>
                </c:pt>
              </c:strCache>
            </c:strRef>
          </c:tx>
          <c:marker>
            <c:symbol val="none"/>
          </c:marker>
          <c:val>
            <c:numRef>
              <c:f>PrognQual!$H$23:$H$32</c:f>
              <c:numCache>
                <c:formatCode>0.00</c:formatCode>
                <c:ptCount val="10"/>
                <c:pt idx="0">
                  <c:v>7.6923076923076886E-2</c:v>
                </c:pt>
                <c:pt idx="1">
                  <c:v>7.6923076923076872E-2</c:v>
                </c:pt>
                <c:pt idx="2">
                  <c:v>-0.24550898203592814</c:v>
                </c:pt>
                <c:pt idx="3">
                  <c:v>2.0104301971656E-2</c:v>
                </c:pt>
                <c:pt idx="4">
                  <c:v>9.2342971129233484E-3</c:v>
                </c:pt>
                <c:pt idx="5">
                  <c:v>-0.23751956192499077</c:v>
                </c:pt>
                <c:pt idx="6">
                  <c:v>-0.63973886297423377</c:v>
                </c:pt>
                <c:pt idx="7">
                  <c:v>-0.72044941014951025</c:v>
                </c:pt>
                <c:pt idx="8">
                  <c:v>-0.7902690708637562</c:v>
                </c:pt>
                <c:pt idx="9">
                  <c:v>-0.82016710384813996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1-3A46-A478-8901C3E80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275136"/>
        <c:axId val="1461040192"/>
      </c:lineChart>
      <c:catAx>
        <c:axId val="146127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040192"/>
        <c:crosses val="autoZero"/>
        <c:auto val="1"/>
        <c:lblAlgn val="ctr"/>
        <c:lblOffset val="100"/>
        <c:noMultiLvlLbl val="0"/>
      </c:catAx>
      <c:valAx>
        <c:axId val="14610401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12751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PrognQual!$B$21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PrognQual!$B$23:$B$32</c:f>
              <c:numCache>
                <c:formatCode>0.0</c:formatCode>
                <c:ptCount val="10"/>
                <c:pt idx="0">
                  <c:v>10.9</c:v>
                </c:pt>
                <c:pt idx="1">
                  <c:v>11.5</c:v>
                </c:pt>
                <c:pt idx="2">
                  <c:v>14.2</c:v>
                </c:pt>
                <c:pt idx="3">
                  <c:v>10</c:v>
                </c:pt>
                <c:pt idx="4">
                  <c:v>12</c:v>
                </c:pt>
                <c:pt idx="5">
                  <c:v>14.8</c:v>
                </c:pt>
                <c:pt idx="6">
                  <c:v>23.5</c:v>
                </c:pt>
                <c:pt idx="7">
                  <c:v>22.3</c:v>
                </c:pt>
                <c:pt idx="8">
                  <c:v>27.6</c:v>
                </c:pt>
                <c:pt idx="9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3-7C49-A179-F581F55E7E1A}"/>
            </c:ext>
          </c:extLst>
        </c:ser>
        <c:ser>
          <c:idx val="1"/>
          <c:order val="1"/>
          <c:tx>
            <c:strRef>
              <c:f>PrognQual!$C$36</c:f>
              <c:strCache>
                <c:ptCount val="1"/>
                <c:pt idx="0">
                  <c:v>ŷ (t) SES</c:v>
                </c:pt>
              </c:strCache>
            </c:strRef>
          </c:tx>
          <c:marker>
            <c:symbol val="none"/>
          </c:marker>
          <c:val>
            <c:numRef>
              <c:f>PrognQual!$C$38:$C$47</c:f>
              <c:numCache>
                <c:formatCode>0.0</c:formatCode>
                <c:ptCount val="10"/>
                <c:pt idx="0">
                  <c:v>10.9</c:v>
                </c:pt>
                <c:pt idx="1">
                  <c:v>10.9</c:v>
                </c:pt>
                <c:pt idx="2">
                  <c:v>11.2</c:v>
                </c:pt>
                <c:pt idx="3">
                  <c:v>12.7</c:v>
                </c:pt>
                <c:pt idx="4">
                  <c:v>11.35</c:v>
                </c:pt>
                <c:pt idx="5">
                  <c:v>11.675000000000001</c:v>
                </c:pt>
                <c:pt idx="6">
                  <c:v>13.237500000000001</c:v>
                </c:pt>
                <c:pt idx="7">
                  <c:v>18.368749999999999</c:v>
                </c:pt>
                <c:pt idx="8">
                  <c:v>20.334375000000001</c:v>
                </c:pt>
                <c:pt idx="9">
                  <c:v>23.967187500000001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3-7C49-A179-F581F55E7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11424"/>
        <c:axId val="1461042496"/>
      </c:lineChart>
      <c:catAx>
        <c:axId val="146071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1042496"/>
        <c:crosses val="autoZero"/>
        <c:auto val="1"/>
        <c:lblAlgn val="ctr"/>
        <c:lblOffset val="100"/>
        <c:noMultiLvlLbl val="0"/>
      </c:catAx>
      <c:valAx>
        <c:axId val="14610424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60711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PrognQual!$H$21</c:f>
              <c:strCache>
                <c:ptCount val="1"/>
                <c:pt idx="0">
                  <c:v>TS</c:v>
                </c:pt>
              </c:strCache>
            </c:strRef>
          </c:tx>
          <c:marker>
            <c:symbol val="none"/>
          </c:marker>
          <c:val>
            <c:numRef>
              <c:f>PrognQual!$H$38:$H$47</c:f>
              <c:numCache>
                <c:formatCode>0.00</c:formatCode>
                <c:ptCount val="10"/>
                <c:pt idx="0">
                  <c:v>0</c:v>
                </c:pt>
                <c:pt idx="1">
                  <c:v>-8.4745762711864361E-2</c:v>
                </c:pt>
                <c:pt idx="2">
                  <c:v>-0.37772087067861715</c:v>
                </c:pt>
                <c:pt idx="3">
                  <c:v>-4.3646944713870109E-2</c:v>
                </c:pt>
                <c:pt idx="4">
                  <c:v>-0.10189929643193169</c:v>
                </c:pt>
                <c:pt idx="5">
                  <c:v>-0.3223819146987224</c:v>
                </c:pt>
                <c:pt idx="6">
                  <c:v>-0.6425683643251755</c:v>
                </c:pt>
                <c:pt idx="7">
                  <c:v>-0.70241778090118967</c:v>
                </c:pt>
                <c:pt idx="8">
                  <c:v>-0.77855964543661893</c:v>
                </c:pt>
                <c:pt idx="9">
                  <c:v>-0.81438625994113534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E-5E4A-A7A0-3175963ED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11936"/>
        <c:axId val="1460855360"/>
      </c:lineChart>
      <c:catAx>
        <c:axId val="146071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855360"/>
        <c:crosses val="autoZero"/>
        <c:auto val="1"/>
        <c:lblAlgn val="ctr"/>
        <c:lblOffset val="100"/>
        <c:noMultiLvlLbl val="0"/>
      </c:catAx>
      <c:valAx>
        <c:axId val="1460855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07119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PrognQual!$B$21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PrognQual!$B$23:$B$32</c:f>
              <c:numCache>
                <c:formatCode>0.0</c:formatCode>
                <c:ptCount val="10"/>
                <c:pt idx="0">
                  <c:v>10.9</c:v>
                </c:pt>
                <c:pt idx="1">
                  <c:v>11.5</c:v>
                </c:pt>
                <c:pt idx="2">
                  <c:v>14.2</c:v>
                </c:pt>
                <c:pt idx="3">
                  <c:v>10</c:v>
                </c:pt>
                <c:pt idx="4">
                  <c:v>12</c:v>
                </c:pt>
                <c:pt idx="5">
                  <c:v>14.8</c:v>
                </c:pt>
                <c:pt idx="6">
                  <c:v>23.5</c:v>
                </c:pt>
                <c:pt idx="7">
                  <c:v>22.3</c:v>
                </c:pt>
                <c:pt idx="8">
                  <c:v>27.6</c:v>
                </c:pt>
                <c:pt idx="9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F-0043-A772-EA0ADBB07112}"/>
            </c:ext>
          </c:extLst>
        </c:ser>
        <c:ser>
          <c:idx val="1"/>
          <c:order val="1"/>
          <c:tx>
            <c:strRef>
              <c:f>PrognQual!$C$52</c:f>
              <c:strCache>
                <c:ptCount val="1"/>
                <c:pt idx="0">
                  <c:v>ŷ (t) Regr.</c:v>
                </c:pt>
              </c:strCache>
            </c:strRef>
          </c:tx>
          <c:marker>
            <c:symbol val="none"/>
          </c:marker>
          <c:val>
            <c:numRef>
              <c:f>PrognQual!$C$54:$C$63</c:f>
              <c:numCache>
                <c:formatCode>0.0</c:formatCode>
                <c:ptCount val="10"/>
                <c:pt idx="0">
                  <c:v>7.7927272727272747</c:v>
                </c:pt>
                <c:pt idx="1">
                  <c:v>9.9654545454545485</c:v>
                </c:pt>
                <c:pt idx="2">
                  <c:v>12.13818181818182</c:v>
                </c:pt>
                <c:pt idx="3">
                  <c:v>14.310909090909092</c:v>
                </c:pt>
                <c:pt idx="4">
                  <c:v>16.483636363636364</c:v>
                </c:pt>
                <c:pt idx="5">
                  <c:v>18.656363636363636</c:v>
                </c:pt>
                <c:pt idx="6">
                  <c:v>20.829090909090908</c:v>
                </c:pt>
                <c:pt idx="7">
                  <c:v>23.00181818181818</c:v>
                </c:pt>
                <c:pt idx="8">
                  <c:v>25.174545454545452</c:v>
                </c:pt>
                <c:pt idx="9">
                  <c:v>27.347272727272724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F-0043-A772-EA0ADBB07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12448"/>
        <c:axId val="1460857088"/>
      </c:lineChart>
      <c:catAx>
        <c:axId val="146071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857088"/>
        <c:crosses val="autoZero"/>
        <c:auto val="1"/>
        <c:lblAlgn val="ctr"/>
        <c:lblOffset val="100"/>
        <c:noMultiLvlLbl val="0"/>
      </c:catAx>
      <c:valAx>
        <c:axId val="14608570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607124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PrognQual!$H$21</c:f>
              <c:strCache>
                <c:ptCount val="1"/>
                <c:pt idx="0">
                  <c:v>TS</c:v>
                </c:pt>
              </c:strCache>
            </c:strRef>
          </c:tx>
          <c:marker>
            <c:symbol val="none"/>
          </c:marker>
          <c:val>
            <c:numRef>
              <c:f>PrognQual!$H$54:$H$63</c:f>
              <c:numCache>
                <c:formatCode>0.00</c:formatCode>
                <c:ptCount val="10"/>
                <c:pt idx="0">
                  <c:v>-0.30146410301640486</c:v>
                </c:pt>
                <c:pt idx="1">
                  <c:v>-0.40061552950673524</c:v>
                </c:pt>
                <c:pt idx="2">
                  <c:v>-0.50541901999694672</c:v>
                </c:pt>
                <c:pt idx="3">
                  <c:v>-7.0553747888781826E-2</c:v>
                </c:pt>
                <c:pt idx="4">
                  <c:v>0.19737948898336272</c:v>
                </c:pt>
                <c:pt idx="5">
                  <c:v>0.35229659676458047</c:v>
                </c:pt>
                <c:pt idx="6">
                  <c:v>0.17741037246945268</c:v>
                </c:pt>
                <c:pt idx="7">
                  <c:v>0.20733948712285882</c:v>
                </c:pt>
                <c:pt idx="8">
                  <c:v>5.9336466485892768E-2</c:v>
                </c:pt>
                <c:pt idx="9">
                  <c:v>-2.5625870646223629E-2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9-1245-B46C-F89433560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275648"/>
        <c:axId val="1460858816"/>
      </c:lineChart>
      <c:catAx>
        <c:axId val="146127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858816"/>
        <c:crosses val="autoZero"/>
        <c:auto val="1"/>
        <c:lblAlgn val="ctr"/>
        <c:lblOffset val="100"/>
        <c:noMultiLvlLbl val="0"/>
      </c:catAx>
      <c:valAx>
        <c:axId val="14608588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12756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PrognQual!$B$75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PrognQual!$B$76:$B$86</c:f>
              <c:numCache>
                <c:formatCode>0.0</c:formatCode>
                <c:ptCount val="11"/>
                <c:pt idx="1">
                  <c:v>10.9</c:v>
                </c:pt>
                <c:pt idx="2">
                  <c:v>11.5</c:v>
                </c:pt>
                <c:pt idx="3">
                  <c:v>14.2</c:v>
                </c:pt>
                <c:pt idx="4">
                  <c:v>10</c:v>
                </c:pt>
                <c:pt idx="5">
                  <c:v>12</c:v>
                </c:pt>
                <c:pt idx="6">
                  <c:v>14.8</c:v>
                </c:pt>
                <c:pt idx="7">
                  <c:v>23.5</c:v>
                </c:pt>
                <c:pt idx="8">
                  <c:v>22.3</c:v>
                </c:pt>
                <c:pt idx="9">
                  <c:v>27.6</c:v>
                </c:pt>
                <c:pt idx="10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D-D64A-A8D9-D50935F79340}"/>
            </c:ext>
          </c:extLst>
        </c:ser>
        <c:ser>
          <c:idx val="1"/>
          <c:order val="1"/>
          <c:tx>
            <c:strRef>
              <c:f>PrognQual!$C$75</c:f>
              <c:strCache>
                <c:ptCount val="1"/>
                <c:pt idx="0">
                  <c:v>ŷ (tt)(MA3)</c:v>
                </c:pt>
              </c:strCache>
            </c:strRef>
          </c:tx>
          <c:marker>
            <c:symbol val="none"/>
          </c:marker>
          <c:val>
            <c:numRef>
              <c:f>PrognQual!$C$76:$C$86</c:f>
              <c:numCache>
                <c:formatCode>0.0</c:formatCode>
                <c:ptCount val="11"/>
                <c:pt idx="1">
                  <c:v>11.5</c:v>
                </c:pt>
                <c:pt idx="2">
                  <c:v>11.5</c:v>
                </c:pt>
                <c:pt idx="3">
                  <c:v>11.5</c:v>
                </c:pt>
                <c:pt idx="4">
                  <c:v>12.199999999999998</c:v>
                </c:pt>
                <c:pt idx="5">
                  <c:v>11.9</c:v>
                </c:pt>
                <c:pt idx="6">
                  <c:v>12.066666666666668</c:v>
                </c:pt>
                <c:pt idx="7">
                  <c:v>12.266666666666666</c:v>
                </c:pt>
                <c:pt idx="8">
                  <c:v>16.766666666666666</c:v>
                </c:pt>
                <c:pt idx="9">
                  <c:v>20.2</c:v>
                </c:pt>
                <c:pt idx="10">
                  <c:v>24.466666666666669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D-D64A-A8D9-D50935F79340}"/>
            </c:ext>
          </c:extLst>
        </c:ser>
        <c:ser>
          <c:idx val="2"/>
          <c:order val="2"/>
          <c:tx>
            <c:strRef>
              <c:f>PrognQual!$F$75</c:f>
              <c:strCache>
                <c:ptCount val="1"/>
                <c:pt idx="0">
                  <c:v>E/AE</c:v>
                </c:pt>
              </c:strCache>
            </c:strRef>
          </c:tx>
          <c:marker>
            <c:symbol val="none"/>
          </c:marker>
          <c:val>
            <c:numRef>
              <c:f>PrognQual!$F$76:$F$86</c:f>
              <c:numCache>
                <c:formatCode>General</c:formatCode>
                <c:ptCount val="11"/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BD-D64A-A8D9-D50935F79340}"/>
            </c:ext>
          </c:extLst>
        </c:ser>
        <c:ser>
          <c:idx val="3"/>
          <c:order val="3"/>
          <c:tx>
            <c:strRef>
              <c:f>PrognQual!$I$75</c:f>
              <c:strCache>
                <c:ptCount val="1"/>
                <c:pt idx="0">
                  <c:v>TS</c:v>
                </c:pt>
              </c:strCache>
            </c:strRef>
          </c:tx>
          <c:marker>
            <c:symbol val="none"/>
          </c:marker>
          <c:val>
            <c:numRef>
              <c:f>PrognQual!$I$76:$I$86</c:f>
              <c:numCache>
                <c:formatCode>0.00</c:formatCode>
                <c:ptCount val="11"/>
                <c:pt idx="1">
                  <c:v>0.42857142857142844</c:v>
                </c:pt>
                <c:pt idx="2">
                  <c:v>0.42857142857142844</c:v>
                </c:pt>
                <c:pt idx="3">
                  <c:v>-0.83606557377049173</c:v>
                </c:pt>
                <c:pt idx="4">
                  <c:v>0.24832214765100633</c:v>
                </c:pt>
                <c:pt idx="5">
                  <c:v>0.18471337579617814</c:v>
                </c:pt>
                <c:pt idx="6">
                  <c:v>-0.68704430734716793</c:v>
                </c:pt>
                <c:pt idx="7">
                  <c:v>-0.95559799474814999</c:v>
                </c:pt>
                <c:pt idx="8">
                  <c:v>-0.97593894183088259</c:v>
                </c:pt>
                <c:pt idx="9">
                  <c:v>-0.98918751332183619</c:v>
                </c:pt>
                <c:pt idx="10">
                  <c:v>-0.99348549413344234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BD-D64A-A8D9-D50935F79340}"/>
            </c:ext>
          </c:extLst>
        </c:ser>
        <c:ser>
          <c:idx val="4"/>
          <c:order val="4"/>
          <c:tx>
            <c:strRef>
              <c:f>PrognQual!$D$75</c:f>
              <c:strCache>
                <c:ptCount val="1"/>
                <c:pt idx="0">
                  <c:v>E</c:v>
                </c:pt>
              </c:strCache>
            </c:strRef>
          </c:tx>
          <c:marker>
            <c:symbol val="none"/>
          </c:marker>
          <c:val>
            <c:numRef>
              <c:f>PrognQual!$D$76:$D$86</c:f>
              <c:numCache>
                <c:formatCode>0.0</c:formatCode>
                <c:ptCount val="11"/>
                <c:pt idx="1">
                  <c:v>0.59999999999999964</c:v>
                </c:pt>
                <c:pt idx="2">
                  <c:v>0</c:v>
                </c:pt>
                <c:pt idx="3">
                  <c:v>-2.6999999999999993</c:v>
                </c:pt>
                <c:pt idx="4">
                  <c:v>2.1999999999999975</c:v>
                </c:pt>
                <c:pt idx="5">
                  <c:v>-9.9999999999999645E-2</c:v>
                </c:pt>
                <c:pt idx="6">
                  <c:v>-2.7333333333333325</c:v>
                </c:pt>
                <c:pt idx="7">
                  <c:v>-11.233333333333334</c:v>
                </c:pt>
                <c:pt idx="8">
                  <c:v>-5.533333333333335</c:v>
                </c:pt>
                <c:pt idx="9">
                  <c:v>-7.4000000000000021</c:v>
                </c:pt>
                <c:pt idx="10">
                  <c:v>-4.43333333333333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BD-D64A-A8D9-D50935F79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12960"/>
        <c:axId val="1460860544"/>
      </c:lineChart>
      <c:catAx>
        <c:axId val="146071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0860544"/>
        <c:crosses val="autoZero"/>
        <c:auto val="1"/>
        <c:lblAlgn val="ctr"/>
        <c:lblOffset val="100"/>
        <c:noMultiLvlLbl val="0"/>
      </c:catAx>
      <c:valAx>
        <c:axId val="146086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071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Scroll" dx="16" fmlaLink="$E$30" horiz="1" inc="5" max="100" page="10" val="80"/>
</file>

<file path=xl/ctrlProps/ctrlProp2.xml><?xml version="1.0" encoding="utf-8"?>
<formControlPr xmlns="http://schemas.microsoft.com/office/spreadsheetml/2009/9/main" objectType="Scroll" dx="16" fmlaLink="$E$57" horiz="1" inc="5" max="100" page="10" val="50"/>
</file>

<file path=xl/ctrlProps/ctrlProp3.xml><?xml version="1.0" encoding="utf-8"?>
<formControlPr xmlns="http://schemas.microsoft.com/office/spreadsheetml/2009/9/main" objectType="Scroll" dx="16" fmlaLink="$E$56" horiz="1" inc="5" max="100" page="10" val="45"/>
</file>

<file path=xl/ctrlProps/ctrlProp4.xml><?xml version="1.0" encoding="utf-8"?>
<formControlPr xmlns="http://schemas.microsoft.com/office/spreadsheetml/2009/9/main" objectType="Scroll" dx="16" fmlaLink="$C$86" horiz="1" inc="5" max="100" page="10" val="100"/>
</file>

<file path=xl/ctrlProps/ctrlProp5.xml><?xml version="1.0" encoding="utf-8"?>
<formControlPr xmlns="http://schemas.microsoft.com/office/spreadsheetml/2009/9/main" objectType="Scroll" dx="16" fmlaLink="$D$86" horiz="1" inc="5" max="100" page="10" val="95"/>
</file>

<file path=xl/ctrlProps/ctrlProp6.xml><?xml version="1.0" encoding="utf-8"?>
<formControlPr xmlns="http://schemas.microsoft.com/office/spreadsheetml/2009/9/main" objectType="Scroll" dx="16" fmlaLink="$E$86" horiz="1" inc="5" max="100" page="10" val="7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182090</xdr:colOff>
      <xdr:row>1</xdr:row>
      <xdr:rowOff>82923</xdr:rowOff>
    </xdr:from>
    <xdr:to>
      <xdr:col>14</xdr:col>
      <xdr:colOff>618318</xdr:colOff>
      <xdr:row>15</xdr:row>
      <xdr:rowOff>101974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424536</xdr:colOff>
      <xdr:row>25</xdr:row>
      <xdr:rowOff>114301</xdr:rowOff>
    </xdr:from>
    <xdr:to>
      <xdr:col>18</xdr:col>
      <xdr:colOff>174165</xdr:colOff>
      <xdr:row>40</xdr:row>
      <xdr:rowOff>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78042</xdr:colOff>
      <xdr:row>42</xdr:row>
      <xdr:rowOff>113499</xdr:rowOff>
    </xdr:from>
    <xdr:to>
      <xdr:col>4</xdr:col>
      <xdr:colOff>326573</xdr:colOff>
      <xdr:row>57</xdr:row>
      <xdr:rowOff>121346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449036</xdr:colOff>
      <xdr:row>42</xdr:row>
      <xdr:rowOff>122464</xdr:rowOff>
    </xdr:from>
    <xdr:to>
      <xdr:col>10</xdr:col>
      <xdr:colOff>3602</xdr:colOff>
      <xdr:row>57</xdr:row>
      <xdr:rowOff>130311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136071</xdr:colOff>
      <xdr:row>42</xdr:row>
      <xdr:rowOff>136071</xdr:rowOff>
    </xdr:from>
    <xdr:to>
      <xdr:col>16</xdr:col>
      <xdr:colOff>85245</xdr:colOff>
      <xdr:row>57</xdr:row>
      <xdr:rowOff>143918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231321</xdr:colOff>
      <xdr:row>42</xdr:row>
      <xdr:rowOff>136071</xdr:rowOff>
    </xdr:from>
    <xdr:to>
      <xdr:col>19</xdr:col>
      <xdr:colOff>207709</xdr:colOff>
      <xdr:row>57</xdr:row>
      <xdr:rowOff>143918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16</xdr:row>
          <xdr:rowOff>101600</xdr:rowOff>
        </xdr:from>
        <xdr:to>
          <xdr:col>4</xdr:col>
          <xdr:colOff>25400</xdr:colOff>
          <xdr:row>23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139700</xdr:colOff>
          <xdr:row>16</xdr:row>
          <xdr:rowOff>127000</xdr:rowOff>
        </xdr:from>
        <xdr:to>
          <xdr:col>7</xdr:col>
          <xdr:colOff>139700</xdr:colOff>
          <xdr:row>22</xdr:row>
          <xdr:rowOff>139700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9050">
                  <a:solidFill>
                    <a:srgbClr val="000066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DDDDD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67234</xdr:colOff>
      <xdr:row>3</xdr:row>
      <xdr:rowOff>134471</xdr:rowOff>
    </xdr:from>
    <xdr:to>
      <xdr:col>23</xdr:col>
      <xdr:colOff>723338</xdr:colOff>
      <xdr:row>16</xdr:row>
      <xdr:rowOff>169770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425824</xdr:colOff>
      <xdr:row>26</xdr:row>
      <xdr:rowOff>67235</xdr:rowOff>
    </xdr:from>
    <xdr:to>
      <xdr:col>13</xdr:col>
      <xdr:colOff>56030</xdr:colOff>
      <xdr:row>41</xdr:row>
      <xdr:rowOff>44823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45</xdr:row>
      <xdr:rowOff>76200</xdr:rowOff>
    </xdr:from>
    <xdr:to>
      <xdr:col>14</xdr:col>
      <xdr:colOff>163606</xdr:colOff>
      <xdr:row>61</xdr:row>
      <xdr:rowOff>53788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495300</xdr:colOff>
      <xdr:row>70</xdr:row>
      <xdr:rowOff>9524</xdr:rowOff>
    </xdr:from>
    <xdr:to>
      <xdr:col>8</xdr:col>
      <xdr:colOff>171450</xdr:colOff>
      <xdr:row>78</xdr:row>
      <xdr:rowOff>114299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295276</xdr:colOff>
      <xdr:row>138</xdr:row>
      <xdr:rowOff>76200</xdr:rowOff>
    </xdr:from>
    <xdr:to>
      <xdr:col>19</xdr:col>
      <xdr:colOff>219076</xdr:colOff>
      <xdr:row>161</xdr:row>
      <xdr:rowOff>19050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145</xdr:row>
      <xdr:rowOff>47625</xdr:rowOff>
    </xdr:from>
    <xdr:to>
      <xdr:col>11</xdr:col>
      <xdr:colOff>295275</xdr:colOff>
      <xdr:row>162</xdr:row>
      <xdr:rowOff>19050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76200</xdr:colOff>
      <xdr:row>108</xdr:row>
      <xdr:rowOff>123825</xdr:rowOff>
    </xdr:from>
    <xdr:to>
      <xdr:col>18</xdr:col>
      <xdr:colOff>266700</xdr:colOff>
      <xdr:row>127</xdr:row>
      <xdr:rowOff>123825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596348</xdr:colOff>
      <xdr:row>118</xdr:row>
      <xdr:rowOff>132522</xdr:rowOff>
    </xdr:from>
    <xdr:to>
      <xdr:col>14</xdr:col>
      <xdr:colOff>289892</xdr:colOff>
      <xdr:row>132</xdr:row>
      <xdr:rowOff>183874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695739</xdr:colOff>
      <xdr:row>86</xdr:row>
      <xdr:rowOff>16565</xdr:rowOff>
    </xdr:from>
    <xdr:to>
      <xdr:col>20</xdr:col>
      <xdr:colOff>737152</xdr:colOff>
      <xdr:row>104</xdr:row>
      <xdr:rowOff>828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314738</xdr:colOff>
      <xdr:row>4</xdr:row>
      <xdr:rowOff>173107</xdr:rowOff>
    </xdr:from>
    <xdr:to>
      <xdr:col>15</xdr:col>
      <xdr:colOff>124239</xdr:colOff>
      <xdr:row>19</xdr:row>
      <xdr:rowOff>58807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1121865</xdr:colOff>
      <xdr:row>30</xdr:row>
      <xdr:rowOff>95393</xdr:rowOff>
    </xdr:from>
    <xdr:to>
      <xdr:col>11</xdr:col>
      <xdr:colOff>653469</xdr:colOff>
      <xdr:row>44</xdr:row>
      <xdr:rowOff>171593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25400</xdr:rowOff>
        </xdr:from>
        <xdr:to>
          <xdr:col>7</xdr:col>
          <xdr:colOff>50800</xdr:colOff>
          <xdr:row>30</xdr:row>
          <xdr:rowOff>25400</xdr:rowOff>
        </xdr:to>
        <xdr:sp macro="" textlink="">
          <xdr:nvSpPr>
            <xdr:cNvPr id="16385" name="Scroll Bar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6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436122</xdr:colOff>
      <xdr:row>57</xdr:row>
      <xdr:rowOff>31417</xdr:rowOff>
    </xdr:from>
    <xdr:to>
      <xdr:col>13</xdr:col>
      <xdr:colOff>13709</xdr:colOff>
      <xdr:row>71</xdr:row>
      <xdr:rowOff>107617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25400</xdr:rowOff>
        </xdr:from>
        <xdr:to>
          <xdr:col>11</xdr:col>
          <xdr:colOff>292100</xdr:colOff>
          <xdr:row>56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6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863600</xdr:colOff>
          <xdr:row>55</xdr:row>
          <xdr:rowOff>25400</xdr:rowOff>
        </xdr:from>
        <xdr:to>
          <xdr:col>9</xdr:col>
          <xdr:colOff>203200</xdr:colOff>
          <xdr:row>56</xdr:row>
          <xdr:rowOff>0</xdr:rowOff>
        </xdr:to>
        <xdr:sp macro="" textlink="">
          <xdr:nvSpPr>
            <xdr:cNvPr id="16387" name="Scroll Bar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6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778565</xdr:colOff>
      <xdr:row>30</xdr:row>
      <xdr:rowOff>98562</xdr:rowOff>
    </xdr:from>
    <xdr:to>
      <xdr:col>14</xdr:col>
      <xdr:colOff>712305</xdr:colOff>
      <xdr:row>44</xdr:row>
      <xdr:rowOff>174762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207065</xdr:colOff>
      <xdr:row>57</xdr:row>
      <xdr:rowOff>33130</xdr:rowOff>
    </xdr:from>
    <xdr:to>
      <xdr:col>16</xdr:col>
      <xdr:colOff>289892</xdr:colOff>
      <xdr:row>71</xdr:row>
      <xdr:rowOff>109330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81</xdr:row>
          <xdr:rowOff>12700</xdr:rowOff>
        </xdr:from>
        <xdr:to>
          <xdr:col>15</xdr:col>
          <xdr:colOff>355600</xdr:colOff>
          <xdr:row>81</xdr:row>
          <xdr:rowOff>177800</xdr:rowOff>
        </xdr:to>
        <xdr:sp macro="" textlink="">
          <xdr:nvSpPr>
            <xdr:cNvPr id="16388" name="Scroll Bar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6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50800</xdr:colOff>
          <xdr:row>82</xdr:row>
          <xdr:rowOff>25400</xdr:rowOff>
        </xdr:from>
        <xdr:to>
          <xdr:col>15</xdr:col>
          <xdr:colOff>368300</xdr:colOff>
          <xdr:row>83</xdr:row>
          <xdr:rowOff>0</xdr:rowOff>
        </xdr:to>
        <xdr:sp macro="" textlink="">
          <xdr:nvSpPr>
            <xdr:cNvPr id="16389" name="Scroll Bar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6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83</xdr:row>
          <xdr:rowOff>38100</xdr:rowOff>
        </xdr:from>
        <xdr:to>
          <xdr:col>15</xdr:col>
          <xdr:colOff>368300</xdr:colOff>
          <xdr:row>84</xdr:row>
          <xdr:rowOff>25400</xdr:rowOff>
        </xdr:to>
        <xdr:sp macro="" textlink="">
          <xdr:nvSpPr>
            <xdr:cNvPr id="16390" name="Scroll Bar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6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21</xdr:col>
      <xdr:colOff>212449</xdr:colOff>
      <xdr:row>86</xdr:row>
      <xdr:rowOff>15737</xdr:rowOff>
    </xdr:from>
    <xdr:to>
      <xdr:col>24</xdr:col>
      <xdr:colOff>295276</xdr:colOff>
      <xdr:row>104</xdr:row>
      <xdr:rowOff>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168088</xdr:colOff>
      <xdr:row>20</xdr:row>
      <xdr:rowOff>1</xdr:rowOff>
    </xdr:from>
    <xdr:to>
      <xdr:col>12</xdr:col>
      <xdr:colOff>228265</xdr:colOff>
      <xdr:row>32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392205</xdr:colOff>
      <xdr:row>19</xdr:row>
      <xdr:rowOff>188971</xdr:rowOff>
    </xdr:from>
    <xdr:to>
      <xdr:col>16</xdr:col>
      <xdr:colOff>116205</xdr:colOff>
      <xdr:row>32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257736</xdr:colOff>
      <xdr:row>34</xdr:row>
      <xdr:rowOff>23939</xdr:rowOff>
    </xdr:from>
    <xdr:to>
      <xdr:col>12</xdr:col>
      <xdr:colOff>317913</xdr:colOff>
      <xdr:row>46</xdr:row>
      <xdr:rowOff>23939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437030</xdr:colOff>
      <xdr:row>34</xdr:row>
      <xdr:rowOff>22410</xdr:rowOff>
    </xdr:from>
    <xdr:to>
      <xdr:col>16</xdr:col>
      <xdr:colOff>161030</xdr:colOff>
      <xdr:row>46</xdr:row>
      <xdr:rowOff>22410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224118</xdr:colOff>
      <xdr:row>51</xdr:row>
      <xdr:rowOff>1530</xdr:rowOff>
    </xdr:from>
    <xdr:to>
      <xdr:col>12</xdr:col>
      <xdr:colOff>284295</xdr:colOff>
      <xdr:row>63</xdr:row>
      <xdr:rowOff>1530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425823</xdr:colOff>
      <xdr:row>50</xdr:row>
      <xdr:rowOff>179294</xdr:rowOff>
    </xdr:from>
    <xdr:to>
      <xdr:col>16</xdr:col>
      <xdr:colOff>149823</xdr:colOff>
      <xdr:row>62</xdr:row>
      <xdr:rowOff>179294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369794</xdr:colOff>
      <xdr:row>71</xdr:row>
      <xdr:rowOff>11204</xdr:rowOff>
    </xdr:from>
    <xdr:to>
      <xdr:col>15</xdr:col>
      <xdr:colOff>537883</xdr:colOff>
      <xdr:row>101</xdr:row>
      <xdr:rowOff>168087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en_Otto/10%20Lehre/50%20VWA/Regensburg/50%20Aufbaustud%20Ctlg/30%20Bereichscontrolling/WS%202006/40%20Produktionscontrolling/Produktionscontrol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mplanung"/>
      <sheetName val="Programmplanung Solver"/>
      <sheetName val="Analyse K-Abweichungen"/>
      <sheetName val="Andler"/>
      <sheetName val="Wagner-Whitin klein"/>
      <sheetName val="Wagner-Whitin groß"/>
      <sheetName val="Stückkostenverfahren"/>
    </sheetNames>
    <sheetDataSet>
      <sheetData sheetId="0" refreshError="1"/>
      <sheetData sheetId="1" refreshError="1"/>
      <sheetData sheetId="2">
        <row r="2">
          <cell r="C2">
            <v>12000</v>
          </cell>
        </row>
        <row r="3">
          <cell r="C3">
            <v>12005</v>
          </cell>
        </row>
        <row r="25">
          <cell r="K25">
            <v>6480138</v>
          </cell>
          <cell r="L25">
            <v>6365255.0850000009</v>
          </cell>
          <cell r="M25">
            <v>6485305.085</v>
          </cell>
          <cell r="N25">
            <v>6495966.2288762219</v>
          </cell>
          <cell r="O25">
            <v>6482838.0575000001</v>
          </cell>
        </row>
      </sheetData>
      <sheetData sheetId="3" refreshError="1"/>
      <sheetData sheetId="4">
        <row r="5">
          <cell r="B5">
            <v>120</v>
          </cell>
        </row>
        <row r="6">
          <cell r="B6">
            <v>0.9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101"/>
  <sheetViews>
    <sheetView showGridLines="0" tabSelected="1" zoomScale="145" zoomScaleNormal="145" workbookViewId="0">
      <selection activeCell="F32" sqref="F32"/>
    </sheetView>
  </sheetViews>
  <sheetFormatPr baseColWidth="10" defaultColWidth="11.5" defaultRowHeight="11"/>
  <cols>
    <col min="1" max="1" width="5" style="3" customWidth="1"/>
    <col min="2" max="2" width="9.1640625" style="3" customWidth="1"/>
    <col min="3" max="3" width="8.5" style="3" customWidth="1"/>
    <col min="4" max="4" width="7.5" style="3" customWidth="1"/>
    <col min="5" max="5" width="9.83203125" style="3" customWidth="1"/>
    <col min="6" max="6" width="7.5" style="3" customWidth="1"/>
    <col min="7" max="7" width="8.33203125" style="3" customWidth="1"/>
    <col min="8" max="8" width="5.83203125" style="3" customWidth="1"/>
    <col min="9" max="16" width="4.33203125" style="3" customWidth="1"/>
    <col min="17" max="16384" width="11.5" style="3"/>
  </cols>
  <sheetData>
    <row r="1" spans="1:19">
      <c r="A1" s="3" t="s">
        <v>14</v>
      </c>
    </row>
    <row r="2" spans="1:19">
      <c r="A2" s="6" t="s">
        <v>10</v>
      </c>
    </row>
    <row r="3" spans="1:19">
      <c r="A3" s="5" t="s">
        <v>8</v>
      </c>
      <c r="B3" s="19">
        <f>INTERCEPT(C8:C13,B8:B13)</f>
        <v>3.8856385519151777</v>
      </c>
    </row>
    <row r="4" spans="1:19">
      <c r="A4" s="5" t="s">
        <v>9</v>
      </c>
      <c r="B4" s="19">
        <f>SLOPE(C8:C13,B8:B13)</f>
        <v>6.4876725995266461E-3</v>
      </c>
    </row>
    <row r="5" spans="1:19">
      <c r="B5" s="20"/>
    </row>
    <row r="6" spans="1:19" s="7" customFormat="1" ht="24">
      <c r="A6" s="21"/>
      <c r="B6" s="21" t="s">
        <v>1</v>
      </c>
      <c r="C6" s="21" t="s">
        <v>18</v>
      </c>
      <c r="D6" s="21" t="s">
        <v>2</v>
      </c>
      <c r="E6" s="21" t="s">
        <v>86</v>
      </c>
      <c r="F6" s="22" t="s">
        <v>3</v>
      </c>
      <c r="Q6" s="3" t="s">
        <v>75</v>
      </c>
    </row>
    <row r="7" spans="1:19" s="7" customFormat="1" ht="12">
      <c r="A7" s="22" t="s">
        <v>4</v>
      </c>
      <c r="B7" s="22" t="s">
        <v>5</v>
      </c>
      <c r="C7" s="22" t="s">
        <v>6</v>
      </c>
      <c r="D7" s="22" t="s">
        <v>110</v>
      </c>
      <c r="E7" s="22" t="s">
        <v>12</v>
      </c>
      <c r="F7" s="22" t="s">
        <v>13</v>
      </c>
    </row>
    <row r="8" spans="1:19">
      <c r="A8" s="9">
        <v>1</v>
      </c>
      <c r="B8" s="9">
        <v>36</v>
      </c>
      <c r="C8" s="10">
        <v>3.15</v>
      </c>
      <c r="D8" s="23">
        <f>$B$3+$B$4*B8</f>
        <v>4.1191947654981371</v>
      </c>
      <c r="E8" s="23">
        <f>D8-C8</f>
        <v>0.96919476549813721</v>
      </c>
      <c r="F8" s="24">
        <f>E8*E8</f>
        <v>0.93933849346898923</v>
      </c>
      <c r="Q8" s="3" t="s">
        <v>76</v>
      </c>
      <c r="S8" s="3">
        <f>SUMPRODUCT(B8:B13,B8:B13)</f>
        <v>2219076</v>
      </c>
    </row>
    <row r="9" spans="1:19">
      <c r="A9" s="9">
        <v>2</v>
      </c>
      <c r="B9" s="9">
        <v>270</v>
      </c>
      <c r="C9" s="10">
        <v>6.3</v>
      </c>
      <c r="D9" s="23">
        <f t="shared" ref="D9:D13" si="0">$B$3+$B$4*B9</f>
        <v>5.6373101537873724</v>
      </c>
      <c r="E9" s="23">
        <f t="shared" ref="E9:E13" si="1">D9-C9</f>
        <v>-0.66268984621262739</v>
      </c>
      <c r="F9" s="24">
        <f t="shared" ref="F9:F13" si="2">E9*E9</f>
        <v>0.43915783227331573</v>
      </c>
      <c r="Q9" s="3" t="s">
        <v>77</v>
      </c>
      <c r="S9" s="25">
        <f>SUM(C8:C13)</f>
        <v>43.75</v>
      </c>
    </row>
    <row r="10" spans="1:19">
      <c r="A10" s="9">
        <v>3</v>
      </c>
      <c r="B10" s="9">
        <v>504</v>
      </c>
      <c r="C10" s="10">
        <v>7.7</v>
      </c>
      <c r="D10" s="23">
        <f t="shared" si="0"/>
        <v>7.1554255420766069</v>
      </c>
      <c r="E10" s="23">
        <f t="shared" si="1"/>
        <v>-0.54457445792339332</v>
      </c>
      <c r="F10" s="24">
        <f t="shared" si="2"/>
        <v>0.2965613402225577</v>
      </c>
      <c r="Q10" s="3" t="s">
        <v>78</v>
      </c>
      <c r="S10" s="3">
        <f>SUM(B8:B13)</f>
        <v>3150</v>
      </c>
    </row>
    <row r="11" spans="1:19">
      <c r="A11" s="9">
        <v>4</v>
      </c>
      <c r="B11" s="9">
        <v>612</v>
      </c>
      <c r="C11" s="10">
        <v>8.4</v>
      </c>
      <c r="D11" s="23">
        <f t="shared" si="0"/>
        <v>7.8560941828254851</v>
      </c>
      <c r="E11" s="23">
        <f t="shared" si="1"/>
        <v>-0.54390581717451525</v>
      </c>
      <c r="F11" s="24">
        <f t="shared" si="2"/>
        <v>0.2958335379562772</v>
      </c>
      <c r="Q11" s="3" t="s">
        <v>79</v>
      </c>
      <c r="S11" s="3">
        <f>SUMPRODUCT(B8:B13,C8:C13)</f>
        <v>26636.400000000001</v>
      </c>
    </row>
    <row r="12" spans="1:19">
      <c r="A12" s="9">
        <v>5</v>
      </c>
      <c r="B12" s="9">
        <v>756</v>
      </c>
      <c r="C12" s="10">
        <v>8.75</v>
      </c>
      <c r="D12" s="23">
        <f t="shared" si="0"/>
        <v>8.790319037157321</v>
      </c>
      <c r="E12" s="23">
        <f t="shared" si="1"/>
        <v>4.0319037157320992E-2</v>
      </c>
      <c r="F12" s="24">
        <f t="shared" si="2"/>
        <v>1.6256247572934309E-3</v>
      </c>
    </row>
    <row r="13" spans="1:19" ht="12" thickBot="1">
      <c r="A13" s="11">
        <v>6</v>
      </c>
      <c r="B13" s="11">
        <v>972</v>
      </c>
      <c r="C13" s="12">
        <v>9.4499999999999993</v>
      </c>
      <c r="D13" s="53">
        <f t="shared" si="0"/>
        <v>10.191656318655077</v>
      </c>
      <c r="E13" s="53">
        <f t="shared" si="1"/>
        <v>0.74165631865507819</v>
      </c>
      <c r="F13" s="54">
        <f t="shared" si="2"/>
        <v>0.55005409500100289</v>
      </c>
      <c r="Q13" s="3" t="s">
        <v>8</v>
      </c>
      <c r="S13" s="3">
        <f>(S8*S9-S10*S11)/(6*S8-S10*S10)</f>
        <v>3.8856385519151782</v>
      </c>
    </row>
    <row r="14" spans="1:19" ht="13" thickTop="1" thickBot="1">
      <c r="A14" s="11" t="s">
        <v>0</v>
      </c>
      <c r="B14" s="62">
        <f>SUM(B8:B13)</f>
        <v>3150</v>
      </c>
      <c r="C14" s="12">
        <f>SUM(C8:C13)</f>
        <v>43.75</v>
      </c>
      <c r="D14" s="12">
        <f>SUM(D8:D13)</f>
        <v>43.75</v>
      </c>
      <c r="E14" s="54"/>
      <c r="F14" s="54">
        <f>SUM(F8:F13)</f>
        <v>2.522570923679436</v>
      </c>
      <c r="Q14" s="3" t="s">
        <v>9</v>
      </c>
      <c r="S14" s="3">
        <f>(6*S11-S9*S10)/(6*S8-S10*S10)</f>
        <v>6.4876725995266513E-3</v>
      </c>
    </row>
    <row r="15" spans="1:19" ht="12" thickTop="1">
      <c r="A15" s="2"/>
      <c r="B15" s="1"/>
      <c r="C15" s="2" t="s">
        <v>74</v>
      </c>
      <c r="D15" s="27"/>
      <c r="E15" s="27"/>
      <c r="F15" s="26">
        <f>SUM(F8:F13)/COUNT(F8:F13)</f>
        <v>0.420428487279906</v>
      </c>
    </row>
    <row r="16" spans="1:19">
      <c r="Q16" s="3" t="s">
        <v>80</v>
      </c>
      <c r="S16" s="28">
        <f>AVERAGE(B8:B13)</f>
        <v>525</v>
      </c>
    </row>
    <row r="17" spans="1:20">
      <c r="Q17" s="3" t="s">
        <v>81</v>
      </c>
      <c r="S17" s="28">
        <f>AVERAGE(C8:C13)</f>
        <v>7.291666666666667</v>
      </c>
    </row>
    <row r="20" spans="1:20">
      <c r="Q20" s="3" t="s">
        <v>83</v>
      </c>
      <c r="S20" s="29">
        <f t="array" ref="S20">SUM(POWER(D8:D13-AVERAGE(C8:C13),2))</f>
        <v>23.794512409653901</v>
      </c>
    </row>
    <row r="21" spans="1:20">
      <c r="Q21" s="3" t="s">
        <v>82</v>
      </c>
      <c r="S21" s="3">
        <f t="array" ref="S21">SUM(POWER(C8:C13-AVERAGE(C8:C13),2))</f>
        <v>26.317083333333336</v>
      </c>
    </row>
    <row r="22" spans="1:20">
      <c r="Q22" s="3" t="s">
        <v>85</v>
      </c>
      <c r="S22" s="3">
        <f>S20/S21</f>
        <v>0.9041470176718126</v>
      </c>
    </row>
    <row r="23" spans="1:20">
      <c r="Q23" s="3" t="s">
        <v>84</v>
      </c>
      <c r="S23" s="3">
        <f>RSQ(C8:C13,B8:B13)</f>
        <v>0.9041470176718126</v>
      </c>
    </row>
    <row r="24" spans="1:20">
      <c r="S24" s="3">
        <f t="array" ref="S24">SUM(POWER(C8:C13-D8:D13,2))</f>
        <v>2.522570923679436</v>
      </c>
    </row>
    <row r="25" spans="1:20">
      <c r="S25" s="3">
        <f>S24/S21</f>
        <v>9.5852982328187425E-2</v>
      </c>
    </row>
    <row r="26" spans="1:20">
      <c r="S26" s="29">
        <f>S23+S25</f>
        <v>1</v>
      </c>
    </row>
    <row r="27" spans="1:20">
      <c r="A27" s="6" t="s">
        <v>90</v>
      </c>
    </row>
    <row r="28" spans="1:20" ht="12">
      <c r="A28" s="5" t="s">
        <v>89</v>
      </c>
      <c r="B28" s="30">
        <f>INTERCEPT(E33:E38,D33:D38)</f>
        <v>-5.2297328821753197E-2</v>
      </c>
      <c r="C28" s="31" t="s">
        <v>17</v>
      </c>
      <c r="D28" s="5" t="s">
        <v>114</v>
      </c>
      <c r="E28" s="30">
        <f>EXP(B28)</f>
        <v>0.94904664596773414</v>
      </c>
    </row>
    <row r="29" spans="1:20">
      <c r="A29" s="5" t="s">
        <v>9</v>
      </c>
      <c r="B29" s="30">
        <f>SLOPE(E33:E38,D33:D38)</f>
        <v>0.33644811420828441</v>
      </c>
    </row>
    <row r="30" spans="1:20" ht="12" thickBot="1">
      <c r="A30" s="4"/>
      <c r="B30" s="20"/>
    </row>
    <row r="31" spans="1:20" ht="36">
      <c r="A31" s="49"/>
      <c r="B31" s="22" t="s">
        <v>1</v>
      </c>
      <c r="C31" s="21" t="s">
        <v>18</v>
      </c>
      <c r="D31" s="301" t="s">
        <v>113</v>
      </c>
      <c r="E31" s="302"/>
      <c r="F31" s="55" t="s">
        <v>2</v>
      </c>
      <c r="G31" s="21" t="s">
        <v>86</v>
      </c>
      <c r="H31" s="22" t="s">
        <v>3</v>
      </c>
    </row>
    <row r="32" spans="1:20" s="8" customFormat="1" ht="12">
      <c r="A32" s="22" t="s">
        <v>4</v>
      </c>
      <c r="B32" s="22" t="s">
        <v>5</v>
      </c>
      <c r="C32" s="55" t="s">
        <v>6</v>
      </c>
      <c r="D32" s="58" t="s">
        <v>15</v>
      </c>
      <c r="E32" s="59" t="s">
        <v>16</v>
      </c>
      <c r="F32" s="50" t="s">
        <v>110</v>
      </c>
      <c r="G32" s="21" t="s">
        <v>12</v>
      </c>
      <c r="H32" s="22" t="s">
        <v>13</v>
      </c>
      <c r="T32" s="3" t="s">
        <v>87</v>
      </c>
    </row>
    <row r="33" spans="1:20">
      <c r="A33" s="14">
        <v>1</v>
      </c>
      <c r="B33" s="14">
        <v>36</v>
      </c>
      <c r="C33" s="56">
        <v>3.15</v>
      </c>
      <c r="D33" s="60">
        <f>LN(B33)</f>
        <v>3.5835189384561099</v>
      </c>
      <c r="E33" s="61">
        <f>LN(C33)</f>
        <v>1.1474024528375417</v>
      </c>
      <c r="F33" s="51">
        <f>$E$28*POWER(B33,$B$29)</f>
        <v>3.168856699610878</v>
      </c>
      <c r="G33" s="23">
        <f t="shared" ref="G33:G38" si="3">F33-C33</f>
        <v>1.8856699610878103E-2</v>
      </c>
      <c r="H33" s="24">
        <f>G33*G33</f>
        <v>3.5557512021489041E-4</v>
      </c>
      <c r="S33" s="8"/>
      <c r="T33" s="8" t="s">
        <v>88</v>
      </c>
    </row>
    <row r="34" spans="1:20">
      <c r="A34" s="14">
        <v>2</v>
      </c>
      <c r="B34" s="14">
        <v>270</v>
      </c>
      <c r="C34" s="56">
        <v>6.3</v>
      </c>
      <c r="D34" s="60">
        <f t="shared" ref="D34:E38" si="4">LN(B34)</f>
        <v>5.598421958998375</v>
      </c>
      <c r="E34" s="61">
        <f t="shared" si="4"/>
        <v>1.8405496333974869</v>
      </c>
      <c r="F34" s="51">
        <f t="shared" ref="F34:F38" si="5">$E$28*POWER(B34,$B$29)</f>
        <v>6.2418785192340174</v>
      </c>
      <c r="G34" s="23">
        <f t="shared" si="3"/>
        <v>-5.8121480765982447E-2</v>
      </c>
      <c r="H34" s="24">
        <f t="shared" ref="H34:H38" si="6">G34*G34</f>
        <v>3.3781065264304674E-3</v>
      </c>
      <c r="S34" s="8"/>
      <c r="T34" s="3">
        <f t="shared" ref="T34:T39" si="7">$B$28+$B$29*D33</f>
        <v>1.1533708602514783</v>
      </c>
    </row>
    <row r="35" spans="1:20">
      <c r="A35" s="14">
        <v>3</v>
      </c>
      <c r="B35" s="14">
        <v>504</v>
      </c>
      <c r="C35" s="56">
        <v>7.7</v>
      </c>
      <c r="D35" s="60">
        <f t="shared" si="4"/>
        <v>6.2225762680713688</v>
      </c>
      <c r="E35" s="61">
        <f t="shared" si="4"/>
        <v>2.0412203288596382</v>
      </c>
      <c r="F35" s="51">
        <f t="shared" si="5"/>
        <v>7.7004342401030099</v>
      </c>
      <c r="G35" s="23">
        <f t="shared" si="3"/>
        <v>4.3424010300974203E-4</v>
      </c>
      <c r="H35" s="24">
        <f t="shared" si="6"/>
        <v>1.8856446706191138E-7</v>
      </c>
      <c r="S35" s="8"/>
      <c r="T35" s="3">
        <f t="shared" si="7"/>
        <v>1.8312811818254995</v>
      </c>
    </row>
    <row r="36" spans="1:20">
      <c r="A36" s="14">
        <v>4</v>
      </c>
      <c r="B36" s="14">
        <v>612</v>
      </c>
      <c r="C36" s="56">
        <v>8.4</v>
      </c>
      <c r="D36" s="60">
        <f t="shared" si="4"/>
        <v>6.4167322825123261</v>
      </c>
      <c r="E36" s="61">
        <f t="shared" si="4"/>
        <v>2.1282317058492679</v>
      </c>
      <c r="F36" s="51">
        <f t="shared" si="5"/>
        <v>8.2202460935575434</v>
      </c>
      <c r="G36" s="23">
        <f t="shared" si="3"/>
        <v>-0.17975390644245692</v>
      </c>
      <c r="H36" s="24">
        <f t="shared" si="6"/>
        <v>3.231146688132356E-2</v>
      </c>
      <c r="S36" s="8"/>
      <c r="T36" s="3">
        <f t="shared" si="7"/>
        <v>2.041276722088083</v>
      </c>
    </row>
    <row r="37" spans="1:20">
      <c r="A37" s="14">
        <v>5</v>
      </c>
      <c r="B37" s="14">
        <v>756</v>
      </c>
      <c r="C37" s="56">
        <v>8.75</v>
      </c>
      <c r="D37" s="60">
        <f t="shared" si="4"/>
        <v>6.6280413761795334</v>
      </c>
      <c r="E37" s="61">
        <f t="shared" si="4"/>
        <v>2.1690537003695232</v>
      </c>
      <c r="F37" s="51">
        <f t="shared" si="5"/>
        <v>8.8259362962887682</v>
      </c>
      <c r="G37" s="23">
        <f t="shared" si="3"/>
        <v>7.593629628876819E-2</v>
      </c>
      <c r="H37" s="24">
        <f t="shared" si="6"/>
        <v>5.7663210940555893E-3</v>
      </c>
      <c r="S37" s="8"/>
      <c r="T37" s="3">
        <f t="shared" si="7"/>
        <v>2.1066001470089395</v>
      </c>
    </row>
    <row r="38" spans="1:20" ht="12" thickBot="1">
      <c r="A38" s="15">
        <v>6</v>
      </c>
      <c r="B38" s="15">
        <v>972</v>
      </c>
      <c r="C38" s="57">
        <v>9.4499999999999993</v>
      </c>
      <c r="D38" s="63">
        <f t="shared" si="4"/>
        <v>6.879355804460439</v>
      </c>
      <c r="E38" s="64">
        <f t="shared" si="4"/>
        <v>2.2460147415056513</v>
      </c>
      <c r="F38" s="52">
        <f t="shared" si="5"/>
        <v>9.604665390068293</v>
      </c>
      <c r="G38" s="53">
        <f t="shared" si="3"/>
        <v>0.15466539006829372</v>
      </c>
      <c r="H38" s="54">
        <f t="shared" si="6"/>
        <v>2.392138288497745E-2</v>
      </c>
      <c r="S38" s="8"/>
      <c r="T38" s="3">
        <f t="shared" si="7"/>
        <v>2.1776946930883332</v>
      </c>
    </row>
    <row r="39" spans="1:20" ht="12" thickTop="1">
      <c r="C39" s="28"/>
      <c r="D39" s="28"/>
      <c r="E39" s="28"/>
      <c r="F39" s="28"/>
      <c r="G39" s="17" t="s">
        <v>11</v>
      </c>
      <c r="H39" s="26">
        <f>SUM(H33:H38)/COUNT(H33:H38)</f>
        <v>1.0955506845244836E-2</v>
      </c>
      <c r="T39" s="3">
        <f t="shared" si="7"/>
        <v>2.2622489585567767</v>
      </c>
    </row>
    <row r="40" spans="1:20">
      <c r="C40" s="28"/>
      <c r="D40" s="28"/>
      <c r="E40" s="28"/>
      <c r="F40" s="28"/>
    </row>
    <row r="61" spans="1:4">
      <c r="A61" s="6" t="s">
        <v>91</v>
      </c>
    </row>
    <row r="62" spans="1:4">
      <c r="A62" s="3" t="s">
        <v>92</v>
      </c>
    </row>
    <row r="63" spans="1:4" ht="13">
      <c r="A63" s="3" t="s">
        <v>8</v>
      </c>
      <c r="B63" s="3">
        <f>INTERCEPT(C67:C72,D67:D72)</f>
        <v>-3.7926172812228733</v>
      </c>
      <c r="C63" s="31"/>
      <c r="D63" s="44"/>
    </row>
    <row r="64" spans="1:4">
      <c r="A64" s="3" t="s">
        <v>9</v>
      </c>
      <c r="B64" s="3">
        <f>SLOPE(C67:C72,D67:D72)</f>
        <v>1.8824865946987908</v>
      </c>
    </row>
    <row r="65" spans="1:9">
      <c r="A65" s="7"/>
      <c r="B65" s="7"/>
      <c r="C65" s="7"/>
      <c r="D65" s="7"/>
      <c r="G65" s="7"/>
      <c r="H65" s="7"/>
    </row>
    <row r="66" spans="1:9" ht="12">
      <c r="A66" s="7" t="s">
        <v>4</v>
      </c>
      <c r="B66" s="32" t="s">
        <v>5</v>
      </c>
      <c r="C66" s="33" t="s">
        <v>6</v>
      </c>
      <c r="D66" s="32" t="s">
        <v>15</v>
      </c>
      <c r="E66" s="34"/>
      <c r="F66" s="35" t="s">
        <v>7</v>
      </c>
      <c r="G66" s="32" t="s">
        <v>12</v>
      </c>
      <c r="H66" s="33" t="s">
        <v>13</v>
      </c>
      <c r="I66" s="8"/>
    </row>
    <row r="67" spans="1:9">
      <c r="A67" s="3">
        <v>1</v>
      </c>
      <c r="B67" s="36">
        <v>36</v>
      </c>
      <c r="C67" s="37">
        <v>3.15</v>
      </c>
      <c r="D67" s="38">
        <f>LN(B67)</f>
        <v>3.5835189384561099</v>
      </c>
      <c r="E67" s="37"/>
      <c r="F67" s="45">
        <f>$B$63+$B$64*D67</f>
        <v>2.9533090822699943</v>
      </c>
      <c r="G67" s="38">
        <f t="shared" ref="G67:G72" si="8">F67-C67</f>
        <v>-0.19669091773000558</v>
      </c>
      <c r="H67" s="37">
        <f>G67*G67</f>
        <v>3.8687317117471823E-2</v>
      </c>
    </row>
    <row r="68" spans="1:9">
      <c r="A68" s="3">
        <v>2</v>
      </c>
      <c r="B68" s="36">
        <v>270</v>
      </c>
      <c r="C68" s="37">
        <v>6.3</v>
      </c>
      <c r="D68" s="38">
        <f t="shared" ref="D68:D72" si="9">LN(B68)</f>
        <v>5.598421958998375</v>
      </c>
      <c r="E68" s="37"/>
      <c r="F68" s="39">
        <f t="shared" ref="F68:F72" si="10">$B$63+$B$64*D68</f>
        <v>6.7463370080589113</v>
      </c>
      <c r="G68" s="38">
        <f t="shared" si="8"/>
        <v>0.44633700805891152</v>
      </c>
      <c r="H68" s="37">
        <f t="shared" ref="H68:H72" si="11">G68*G68</f>
        <v>0.19921672476298086</v>
      </c>
    </row>
    <row r="69" spans="1:9">
      <c r="A69" s="3">
        <v>3</v>
      </c>
      <c r="B69" s="36">
        <v>504</v>
      </c>
      <c r="C69" s="37">
        <v>7.7</v>
      </c>
      <c r="D69" s="38">
        <f t="shared" si="9"/>
        <v>6.2225762680713688</v>
      </c>
      <c r="E69" s="37"/>
      <c r="F69" s="39">
        <f t="shared" si="10"/>
        <v>7.9212991279123068</v>
      </c>
      <c r="G69" s="38">
        <f t="shared" si="8"/>
        <v>0.22129912791230666</v>
      </c>
      <c r="H69" s="37">
        <f t="shared" si="11"/>
        <v>4.8973304014747462E-2</v>
      </c>
    </row>
    <row r="70" spans="1:9">
      <c r="A70" s="3">
        <v>4</v>
      </c>
      <c r="B70" s="36">
        <v>612</v>
      </c>
      <c r="C70" s="37">
        <v>8.4</v>
      </c>
      <c r="D70" s="38">
        <f t="shared" si="9"/>
        <v>6.4167322825123261</v>
      </c>
      <c r="E70" s="37"/>
      <c r="F70" s="39">
        <f t="shared" si="10"/>
        <v>8.2867952223775561</v>
      </c>
      <c r="G70" s="38">
        <f t="shared" si="8"/>
        <v>-0.1132047776224443</v>
      </c>
      <c r="H70" s="37">
        <f t="shared" si="11"/>
        <v>1.2815321676547064E-2</v>
      </c>
    </row>
    <row r="71" spans="1:9">
      <c r="A71" s="3">
        <v>5</v>
      </c>
      <c r="B71" s="36">
        <v>756</v>
      </c>
      <c r="C71" s="37">
        <v>8.75</v>
      </c>
      <c r="D71" s="38">
        <f t="shared" si="9"/>
        <v>6.6280413761795334</v>
      </c>
      <c r="E71" s="37"/>
      <c r="F71" s="39">
        <f t="shared" si="10"/>
        <v>8.6845817585440237</v>
      </c>
      <c r="G71" s="38">
        <f t="shared" si="8"/>
        <v>-6.54182414559763E-2</v>
      </c>
      <c r="H71" s="37">
        <f t="shared" si="11"/>
        <v>4.279546315192416E-3</v>
      </c>
    </row>
    <row r="72" spans="1:9">
      <c r="A72" s="3">
        <v>6</v>
      </c>
      <c r="B72" s="40">
        <v>972</v>
      </c>
      <c r="C72" s="41">
        <v>9.4499999999999993</v>
      </c>
      <c r="D72" s="42">
        <f t="shared" si="9"/>
        <v>6.879355804460439</v>
      </c>
      <c r="E72" s="41"/>
      <c r="F72" s="43">
        <f t="shared" si="10"/>
        <v>9.1576778008372202</v>
      </c>
      <c r="G72" s="42">
        <f t="shared" si="8"/>
        <v>-0.29232219916277913</v>
      </c>
      <c r="H72" s="41">
        <f t="shared" si="11"/>
        <v>8.5452268123363512E-2</v>
      </c>
    </row>
    <row r="73" spans="1:9">
      <c r="A73" s="3" t="s">
        <v>11</v>
      </c>
      <c r="C73" s="28"/>
      <c r="D73" s="28"/>
      <c r="E73" s="28"/>
      <c r="F73" s="28"/>
      <c r="G73" s="28"/>
      <c r="H73" s="28">
        <f>SUM(H67:H72)/COUNT(H67:H72)</f>
        <v>6.4904080335050518E-2</v>
      </c>
    </row>
    <row r="75" spans="1:9">
      <c r="A75" s="6" t="s">
        <v>94</v>
      </c>
    </row>
    <row r="76" spans="1:9" ht="15">
      <c r="A76" s="44" t="s">
        <v>112</v>
      </c>
    </row>
    <row r="77" spans="1:9" ht="15">
      <c r="A77" s="3" t="s">
        <v>93</v>
      </c>
      <c r="B77" s="3">
        <f>INTERCEPT(D81:D86,B81:B86)</f>
        <v>1.3558590763613299</v>
      </c>
      <c r="C77" s="31"/>
      <c r="D77" s="44" t="s">
        <v>111</v>
      </c>
      <c r="E77" s="3">
        <f>EXP(B77)</f>
        <v>3.8800928212877182</v>
      </c>
    </row>
    <row r="78" spans="1:9">
      <c r="A78" s="3" t="s">
        <v>9</v>
      </c>
      <c r="B78" s="3">
        <f>SLOPE(D81:D86,B81:B86)</f>
        <v>1.0912120967146441E-3</v>
      </c>
    </row>
    <row r="79" spans="1:9">
      <c r="A79" s="7"/>
      <c r="B79" s="7"/>
      <c r="C79" s="7"/>
      <c r="D79" s="7"/>
      <c r="G79" s="7"/>
      <c r="H79" s="7"/>
    </row>
    <row r="80" spans="1:9" ht="12">
      <c r="A80" s="7" t="s">
        <v>4</v>
      </c>
      <c r="B80" s="32" t="s">
        <v>5</v>
      </c>
      <c r="C80" s="33" t="s">
        <v>6</v>
      </c>
      <c r="D80" s="32" t="s">
        <v>16</v>
      </c>
      <c r="E80" s="34"/>
      <c r="F80" s="35" t="s">
        <v>7</v>
      </c>
      <c r="G80" s="32" t="s">
        <v>12</v>
      </c>
      <c r="H80" s="33" t="s">
        <v>13</v>
      </c>
    </row>
    <row r="81" spans="1:8">
      <c r="A81" s="3">
        <v>1</v>
      </c>
      <c r="B81" s="36">
        <v>36</v>
      </c>
      <c r="C81" s="37">
        <v>3.15</v>
      </c>
      <c r="D81" s="46">
        <f>LN(C81)</f>
        <v>1.1474024528375417</v>
      </c>
      <c r="E81" s="47"/>
      <c r="F81" s="45">
        <f>$E$77*EXP($B$78*B81)</f>
        <v>4.0355504523816048</v>
      </c>
      <c r="G81" s="38">
        <f>F81-C81</f>
        <v>0.8855504523816049</v>
      </c>
      <c r="H81" s="37">
        <f>G81*G81</f>
        <v>0.78419960371326514</v>
      </c>
    </row>
    <row r="82" spans="1:8">
      <c r="A82" s="3">
        <v>2</v>
      </c>
      <c r="B82" s="36">
        <v>270</v>
      </c>
      <c r="C82" s="37">
        <v>6.3</v>
      </c>
      <c r="D82" s="38">
        <f t="shared" ref="D82:D86" si="12">LN(C82)</f>
        <v>1.8405496333974869</v>
      </c>
      <c r="E82" s="37"/>
      <c r="F82" s="45">
        <f t="shared" ref="F82:F86" si="13">$E$77*EXP($B$78*B82)</f>
        <v>5.2095128185332591</v>
      </c>
      <c r="G82" s="38">
        <f t="shared" ref="G82:G86" si="14">F82-C82</f>
        <v>-1.0904871814667407</v>
      </c>
      <c r="H82" s="37">
        <f t="shared" ref="H82:H86" si="15">G82*G82</f>
        <v>1.1891622929432764</v>
      </c>
    </row>
    <row r="83" spans="1:8">
      <c r="A83" s="3">
        <v>3</v>
      </c>
      <c r="B83" s="36">
        <v>504</v>
      </c>
      <c r="C83" s="37">
        <v>7.7</v>
      </c>
      <c r="D83" s="38">
        <f t="shared" si="12"/>
        <v>2.0412203288596382</v>
      </c>
      <c r="E83" s="37"/>
      <c r="F83" s="45">
        <f t="shared" si="13"/>
        <v>6.7249868702412288</v>
      </c>
      <c r="G83" s="38">
        <f t="shared" si="14"/>
        <v>-0.97501312975877141</v>
      </c>
      <c r="H83" s="37">
        <f t="shared" si="15"/>
        <v>0.95065060320199479</v>
      </c>
    </row>
    <row r="84" spans="1:8">
      <c r="A84" s="3">
        <v>4</v>
      </c>
      <c r="B84" s="36">
        <v>612</v>
      </c>
      <c r="C84" s="37">
        <v>8.4</v>
      </c>
      <c r="D84" s="38">
        <f t="shared" si="12"/>
        <v>2.1282317058492679</v>
      </c>
      <c r="E84" s="37"/>
      <c r="F84" s="45">
        <f t="shared" si="13"/>
        <v>7.5661237303810402</v>
      </c>
      <c r="G84" s="38">
        <f t="shared" si="14"/>
        <v>-0.83387626961896011</v>
      </c>
      <c r="H84" s="37">
        <f t="shared" si="15"/>
        <v>0.69534963303363262</v>
      </c>
    </row>
    <row r="85" spans="1:8">
      <c r="A85" s="3">
        <v>5</v>
      </c>
      <c r="B85" s="36">
        <v>756</v>
      </c>
      <c r="C85" s="37">
        <v>8.75</v>
      </c>
      <c r="D85" s="38">
        <f t="shared" si="12"/>
        <v>2.1690537003695232</v>
      </c>
      <c r="E85" s="37"/>
      <c r="F85" s="45">
        <f t="shared" si="13"/>
        <v>8.8535226686496458</v>
      </c>
      <c r="G85" s="38">
        <f t="shared" si="14"/>
        <v>0.10352266864964577</v>
      </c>
      <c r="H85" s="37">
        <f t="shared" si="15"/>
        <v>1.0716942924344349E-2</v>
      </c>
    </row>
    <row r="86" spans="1:8">
      <c r="A86" s="3">
        <v>6</v>
      </c>
      <c r="B86" s="40">
        <v>972</v>
      </c>
      <c r="C86" s="41">
        <v>9.4499999999999993</v>
      </c>
      <c r="D86" s="42">
        <f t="shared" si="12"/>
        <v>2.2460147415056513</v>
      </c>
      <c r="E86" s="41"/>
      <c r="F86" s="45">
        <f t="shared" si="13"/>
        <v>11.206760747651376</v>
      </c>
      <c r="G86" s="42">
        <f t="shared" si="14"/>
        <v>1.7567607476513771</v>
      </c>
      <c r="H86" s="41">
        <f t="shared" si="15"/>
        <v>3.0862083244886254</v>
      </c>
    </row>
    <row r="87" spans="1:8">
      <c r="A87" s="3" t="s">
        <v>11</v>
      </c>
      <c r="C87" s="28"/>
      <c r="D87" s="28"/>
      <c r="E87" s="28"/>
      <c r="F87" s="28"/>
      <c r="G87" s="28"/>
      <c r="H87" s="28">
        <f>SUM(H81:H86)/COUNT(H81:H86)</f>
        <v>1.1193812333841897</v>
      </c>
    </row>
    <row r="91" spans="1:8">
      <c r="A91" s="6" t="s">
        <v>95</v>
      </c>
    </row>
    <row r="92" spans="1:8">
      <c r="A92" s="4"/>
      <c r="B92" s="4"/>
      <c r="C92" s="4"/>
      <c r="D92" s="65" t="s">
        <v>96</v>
      </c>
      <c r="E92" s="67" t="s">
        <v>99</v>
      </c>
      <c r="F92" s="69" t="s">
        <v>97</v>
      </c>
      <c r="G92" s="71" t="s">
        <v>98</v>
      </c>
    </row>
    <row r="93" spans="1:8" ht="12">
      <c r="A93" s="22" t="s">
        <v>4</v>
      </c>
      <c r="B93" s="21" t="s">
        <v>5</v>
      </c>
      <c r="C93" s="22" t="s">
        <v>6</v>
      </c>
      <c r="D93" s="66" t="s">
        <v>110</v>
      </c>
      <c r="E93" s="68" t="s">
        <v>110</v>
      </c>
      <c r="F93" s="70" t="s">
        <v>110</v>
      </c>
      <c r="G93" s="72" t="s">
        <v>110</v>
      </c>
    </row>
    <row r="94" spans="1:8">
      <c r="A94" s="14">
        <v>1</v>
      </c>
      <c r="B94" s="9">
        <v>36</v>
      </c>
      <c r="C94" s="24">
        <v>3.15</v>
      </c>
      <c r="D94" s="79">
        <f t="shared" ref="D94:D99" si="16">D8</f>
        <v>4.1191947654981371</v>
      </c>
      <c r="E94" s="77">
        <f>F67</f>
        <v>2.9533090822699943</v>
      </c>
      <c r="F94" s="75">
        <f>F33</f>
        <v>3.168856699610878</v>
      </c>
      <c r="G94" s="73">
        <f>F81</f>
        <v>4.0355504523816048</v>
      </c>
    </row>
    <row r="95" spans="1:8">
      <c r="A95" s="14">
        <v>2</v>
      </c>
      <c r="B95" s="9">
        <v>270</v>
      </c>
      <c r="C95" s="24">
        <v>6.3</v>
      </c>
      <c r="D95" s="79">
        <f t="shared" si="16"/>
        <v>5.6373101537873724</v>
      </c>
      <c r="E95" s="77">
        <f t="shared" ref="E95:E99" si="17">F68</f>
        <v>6.7463370080589113</v>
      </c>
      <c r="F95" s="75">
        <f t="shared" ref="F95:F99" si="18">F34</f>
        <v>6.2418785192340174</v>
      </c>
      <c r="G95" s="73">
        <f t="shared" ref="G95:G99" si="19">F82</f>
        <v>5.2095128185332591</v>
      </c>
    </row>
    <row r="96" spans="1:8">
      <c r="A96" s="14">
        <v>3</v>
      </c>
      <c r="B96" s="9">
        <v>504</v>
      </c>
      <c r="C96" s="24">
        <v>7.7</v>
      </c>
      <c r="D96" s="79">
        <f t="shared" si="16"/>
        <v>7.1554255420766069</v>
      </c>
      <c r="E96" s="77">
        <f t="shared" si="17"/>
        <v>7.9212991279123068</v>
      </c>
      <c r="F96" s="75">
        <f t="shared" si="18"/>
        <v>7.7004342401030099</v>
      </c>
      <c r="G96" s="73">
        <f t="shared" si="19"/>
        <v>6.7249868702412288</v>
      </c>
    </row>
    <row r="97" spans="1:7">
      <c r="A97" s="14">
        <v>4</v>
      </c>
      <c r="B97" s="9">
        <v>612</v>
      </c>
      <c r="C97" s="24">
        <v>8.4</v>
      </c>
      <c r="D97" s="79">
        <f t="shared" si="16"/>
        <v>7.8560941828254851</v>
      </c>
      <c r="E97" s="77">
        <f t="shared" si="17"/>
        <v>8.2867952223775561</v>
      </c>
      <c r="F97" s="75">
        <f t="shared" si="18"/>
        <v>8.2202460935575434</v>
      </c>
      <c r="G97" s="73">
        <f t="shared" si="19"/>
        <v>7.5661237303810402</v>
      </c>
    </row>
    <row r="98" spans="1:7">
      <c r="A98" s="14">
        <v>5</v>
      </c>
      <c r="B98" s="9">
        <v>756</v>
      </c>
      <c r="C98" s="24">
        <v>8.75</v>
      </c>
      <c r="D98" s="79">
        <f t="shared" si="16"/>
        <v>8.790319037157321</v>
      </c>
      <c r="E98" s="77">
        <f t="shared" si="17"/>
        <v>8.6845817585440237</v>
      </c>
      <c r="F98" s="75">
        <f t="shared" si="18"/>
        <v>8.8259362962887682</v>
      </c>
      <c r="G98" s="73">
        <f t="shared" si="19"/>
        <v>8.8535226686496458</v>
      </c>
    </row>
    <row r="99" spans="1:7" ht="12" thickBot="1">
      <c r="A99" s="15">
        <v>6</v>
      </c>
      <c r="B99" s="11">
        <v>972</v>
      </c>
      <c r="C99" s="54">
        <v>9.4499999999999993</v>
      </c>
      <c r="D99" s="80">
        <f t="shared" si="16"/>
        <v>10.191656318655077</v>
      </c>
      <c r="E99" s="78">
        <f t="shared" si="17"/>
        <v>9.1576778008372202</v>
      </c>
      <c r="F99" s="76">
        <f t="shared" si="18"/>
        <v>9.604665390068293</v>
      </c>
      <c r="G99" s="74">
        <f t="shared" si="19"/>
        <v>11.206760747651376</v>
      </c>
    </row>
    <row r="100" spans="1:7" ht="13" thickTop="1" thickBot="1">
      <c r="A100" s="4"/>
      <c r="B100" s="4"/>
      <c r="C100" s="18" t="s">
        <v>11</v>
      </c>
      <c r="D100" s="81">
        <f t="array" ref="D100">SUM(POWER($C$94:$C$99-D94:D99,2))/6</f>
        <v>0.420428487279906</v>
      </c>
      <c r="E100" s="82">
        <f t="array" ref="E100">SUM(POWER($C$94:$C$99-E94:E99,2))/6</f>
        <v>6.4904080335050518E-2</v>
      </c>
      <c r="F100" s="83">
        <f t="array" ref="F100">SUM(POWER($C$94:$C$99-F94:F99,2))/6</f>
        <v>1.0955506845244836E-2</v>
      </c>
      <c r="G100" s="84">
        <f t="array" ref="G100">SUM(POWER($C$94:$C$99-G94:G99,2))/6</f>
        <v>1.1193812333841897</v>
      </c>
    </row>
    <row r="101" spans="1:7" ht="12" thickTop="1">
      <c r="A101" s="4"/>
      <c r="B101" s="4"/>
      <c r="C101" s="17" t="s">
        <v>115</v>
      </c>
      <c r="D101" s="17">
        <f>RANK(D100,$D$100:$G$100,1)</f>
        <v>3</v>
      </c>
      <c r="E101" s="17">
        <f t="shared" ref="E101:G101" si="20">RANK(E100,$D$100:$G$100,1)</f>
        <v>2</v>
      </c>
      <c r="F101" s="17">
        <f t="shared" si="20"/>
        <v>1</v>
      </c>
      <c r="G101" s="17">
        <f t="shared" si="20"/>
        <v>4</v>
      </c>
    </row>
  </sheetData>
  <mergeCells count="1">
    <mergeCell ref="D31:E31"/>
  </mergeCells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63500</xdr:colOff>
                <xdr:row>16</xdr:row>
                <xdr:rowOff>101600</xdr:rowOff>
              </from>
              <to>
                <xdr:col>4</xdr:col>
                <xdr:colOff>25400</xdr:colOff>
                <xdr:row>23</xdr:row>
                <xdr:rowOff>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7" r:id="rId6">
          <objectPr defaultSize="0" autoPict="0" r:id="rId7">
            <anchor moveWithCells="1" sizeWithCells="1">
              <from>
                <xdr:col>4</xdr:col>
                <xdr:colOff>139700</xdr:colOff>
                <xdr:row>16</xdr:row>
                <xdr:rowOff>127000</xdr:rowOff>
              </from>
              <to>
                <xdr:col>7</xdr:col>
                <xdr:colOff>139700</xdr:colOff>
                <xdr:row>22</xdr:row>
                <xdr:rowOff>139700</xdr:rowOff>
              </to>
            </anchor>
          </objectPr>
        </oleObject>
      </mc:Choice>
      <mc:Fallback>
        <oleObject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165"/>
  <sheetViews>
    <sheetView showGridLines="0" zoomScale="145" zoomScaleNormal="145" workbookViewId="0">
      <selection activeCell="A141" sqref="A141:F161"/>
    </sheetView>
  </sheetViews>
  <sheetFormatPr baseColWidth="10" defaultColWidth="11.5" defaultRowHeight="11"/>
  <cols>
    <col min="1" max="1" width="4.1640625" style="3" customWidth="1"/>
    <col min="2" max="2" width="9.5" style="86" customWidth="1"/>
    <col min="3" max="3" width="8.6640625" style="3" customWidth="1"/>
    <col min="4" max="4" width="8" style="3" customWidth="1"/>
    <col min="5" max="5" width="11.33203125" style="3" customWidth="1"/>
    <col min="6" max="6" width="12.83203125" style="3" customWidth="1"/>
    <col min="7" max="7" width="10.5" style="3" customWidth="1"/>
    <col min="8" max="8" width="6.5" style="3" customWidth="1"/>
    <col min="9" max="9" width="4.83203125" style="3" customWidth="1"/>
    <col min="10" max="10" width="5.1640625" style="3" customWidth="1"/>
    <col min="11" max="12" width="5.5" style="3" customWidth="1"/>
    <col min="13" max="13" width="6.1640625" style="3" customWidth="1"/>
    <col min="14" max="14" width="6.33203125" style="3" customWidth="1"/>
    <col min="15" max="15" width="6.83203125" style="3" customWidth="1"/>
    <col min="16" max="17" width="7.5" style="3" customWidth="1"/>
    <col min="18" max="19" width="6.5" style="3" customWidth="1"/>
    <col min="20" max="16384" width="11.5" style="3"/>
  </cols>
  <sheetData>
    <row r="1" spans="1:19">
      <c r="A1" s="3" t="s">
        <v>19</v>
      </c>
    </row>
    <row r="3" spans="1:19">
      <c r="A3" s="6" t="s">
        <v>20</v>
      </c>
      <c r="J3" s="6" t="s">
        <v>23</v>
      </c>
    </row>
    <row r="4" spans="1:19">
      <c r="J4" s="3" t="s">
        <v>24</v>
      </c>
      <c r="L4" s="87">
        <v>0</v>
      </c>
      <c r="N4" s="88">
        <v>0.2</v>
      </c>
      <c r="P4" s="88">
        <v>0.3</v>
      </c>
      <c r="R4" s="87">
        <v>1</v>
      </c>
    </row>
    <row r="5" spans="1:19" s="8" customFormat="1" ht="13">
      <c r="A5" s="112"/>
      <c r="B5" s="113"/>
      <c r="C5" s="307" t="s">
        <v>116</v>
      </c>
      <c r="D5" s="308"/>
      <c r="E5" s="309" t="s">
        <v>117</v>
      </c>
      <c r="F5" s="310"/>
      <c r="G5" s="311" t="s">
        <v>118</v>
      </c>
      <c r="H5" s="312"/>
      <c r="J5" s="112"/>
      <c r="K5" s="113"/>
      <c r="L5" s="315" t="str">
        <f>"α="&amp;TEXT(L4,"0,0")</f>
        <v>α=0,0</v>
      </c>
      <c r="M5" s="316"/>
      <c r="N5" s="307" t="str">
        <f>"α="&amp;TEXT(N4,"0,0")</f>
        <v>α=0,2</v>
      </c>
      <c r="O5" s="308"/>
      <c r="P5" s="309" t="str">
        <f>"α="&amp;TEXT(P4,"0,0")</f>
        <v>α=0,3</v>
      </c>
      <c r="Q5" s="310"/>
      <c r="R5" s="311" t="str">
        <f>"α="&amp;TEXT(R4,"0,0")</f>
        <v>α=1,0</v>
      </c>
      <c r="S5" s="312"/>
    </row>
    <row r="6" spans="1:19" s="8" customFormat="1" ht="14">
      <c r="A6" s="114" t="s">
        <v>22</v>
      </c>
      <c r="B6" s="115" t="s">
        <v>6</v>
      </c>
      <c r="C6" s="144" t="s">
        <v>122</v>
      </c>
      <c r="D6" s="145" t="s">
        <v>13</v>
      </c>
      <c r="E6" s="146" t="s">
        <v>122</v>
      </c>
      <c r="F6" s="147" t="s">
        <v>13</v>
      </c>
      <c r="G6" s="148" t="s">
        <v>122</v>
      </c>
      <c r="H6" s="149" t="s">
        <v>13</v>
      </c>
      <c r="J6" s="114" t="s">
        <v>22</v>
      </c>
      <c r="K6" s="115" t="s">
        <v>6</v>
      </c>
      <c r="L6" s="158" t="s">
        <v>122</v>
      </c>
      <c r="M6" s="159" t="s">
        <v>13</v>
      </c>
      <c r="N6" s="144" t="s">
        <v>122</v>
      </c>
      <c r="O6" s="145" t="s">
        <v>13</v>
      </c>
      <c r="P6" s="146" t="s">
        <v>122</v>
      </c>
      <c r="Q6" s="147" t="s">
        <v>13</v>
      </c>
      <c r="R6" s="148" t="s">
        <v>122</v>
      </c>
      <c r="S6" s="149" t="s">
        <v>13</v>
      </c>
    </row>
    <row r="7" spans="1:19" s="8" customFormat="1" ht="13">
      <c r="A7" s="116">
        <v>0</v>
      </c>
      <c r="B7" s="117"/>
      <c r="C7" s="126"/>
      <c r="D7" s="127"/>
      <c r="E7" s="120"/>
      <c r="F7" s="121"/>
      <c r="G7" s="138"/>
      <c r="H7" s="139"/>
      <c r="J7" s="116">
        <v>0</v>
      </c>
      <c r="K7" s="117">
        <v>134.5</v>
      </c>
      <c r="L7" s="132"/>
      <c r="M7" s="133"/>
      <c r="N7" s="126"/>
      <c r="O7" s="127"/>
      <c r="P7" s="120"/>
      <c r="Q7" s="121"/>
      <c r="R7" s="138"/>
      <c r="S7" s="139"/>
    </row>
    <row r="8" spans="1:19" ht="14">
      <c r="A8" s="116">
        <v>1</v>
      </c>
      <c r="B8" s="117">
        <v>106.8</v>
      </c>
      <c r="C8" s="128"/>
      <c r="D8" s="129"/>
      <c r="E8" s="122"/>
      <c r="F8" s="123"/>
      <c r="G8" s="140"/>
      <c r="H8" s="141"/>
      <c r="I8" s="89"/>
      <c r="J8" s="116">
        <v>1</v>
      </c>
      <c r="K8" s="117">
        <v>106.8</v>
      </c>
      <c r="L8" s="134">
        <f>K7</f>
        <v>134.5</v>
      </c>
      <c r="M8" s="135"/>
      <c r="N8" s="128">
        <f>K7</f>
        <v>134.5</v>
      </c>
      <c r="O8" s="129"/>
      <c r="P8" s="122">
        <f>K7</f>
        <v>134.5</v>
      </c>
      <c r="Q8" s="123"/>
      <c r="R8" s="140">
        <f>K7</f>
        <v>134.5</v>
      </c>
      <c r="S8" s="141"/>
    </row>
    <row r="9" spans="1:19" ht="14">
      <c r="A9" s="116">
        <v>2</v>
      </c>
      <c r="B9" s="117">
        <v>129.19999999999999</v>
      </c>
      <c r="C9" s="128"/>
      <c r="D9" s="129"/>
      <c r="E9" s="122"/>
      <c r="F9" s="123"/>
      <c r="G9" s="140"/>
      <c r="H9" s="141"/>
      <c r="I9" s="89"/>
      <c r="J9" s="116">
        <v>2</v>
      </c>
      <c r="K9" s="117">
        <v>129.19999999999999</v>
      </c>
      <c r="L9" s="134">
        <f t="shared" ref="L9:L19" si="0">L$4*K8+(1-L$4)*L8</f>
        <v>134.5</v>
      </c>
      <c r="M9" s="135"/>
      <c r="N9" s="128">
        <f t="shared" ref="N9:N19" si="1">N$4*K8+(1-N$4)*N8</f>
        <v>128.96</v>
      </c>
      <c r="O9" s="129"/>
      <c r="P9" s="122">
        <f t="shared" ref="P9:P19" si="2">P$4*K8+(1-P$4)*P8</f>
        <v>126.19</v>
      </c>
      <c r="Q9" s="123"/>
      <c r="R9" s="140">
        <f t="shared" ref="R9:R19" si="3">R$4*K8+(1-R$4)*R8</f>
        <v>106.8</v>
      </c>
      <c r="S9" s="141"/>
    </row>
    <row r="10" spans="1:19" ht="14">
      <c r="A10" s="116">
        <v>3</v>
      </c>
      <c r="B10" s="117">
        <v>153</v>
      </c>
      <c r="C10" s="128">
        <f>SUM(B8:B9)/2</f>
        <v>118</v>
      </c>
      <c r="D10" s="129"/>
      <c r="E10" s="122"/>
      <c r="F10" s="123"/>
      <c r="G10" s="140"/>
      <c r="H10" s="141"/>
      <c r="I10" s="90"/>
      <c r="J10" s="116">
        <v>3</v>
      </c>
      <c r="K10" s="117">
        <v>153</v>
      </c>
      <c r="L10" s="134">
        <f t="shared" si="0"/>
        <v>134.5</v>
      </c>
      <c r="M10" s="135"/>
      <c r="N10" s="128">
        <f t="shared" si="1"/>
        <v>129.00800000000001</v>
      </c>
      <c r="O10" s="129"/>
      <c r="P10" s="122">
        <f t="shared" si="2"/>
        <v>127.09299999999999</v>
      </c>
      <c r="Q10" s="123"/>
      <c r="R10" s="140">
        <f t="shared" si="3"/>
        <v>129.19999999999999</v>
      </c>
      <c r="S10" s="141"/>
    </row>
    <row r="11" spans="1:19" ht="14">
      <c r="A11" s="116">
        <v>4</v>
      </c>
      <c r="B11" s="117">
        <v>149.1</v>
      </c>
      <c r="C11" s="128">
        <f t="shared" ref="C11:C18" si="4">SUM(B9:B10)/2</f>
        <v>141.1</v>
      </c>
      <c r="D11" s="129"/>
      <c r="E11" s="122">
        <f>SUM(B8:B10)/3</f>
        <v>129.66666666666666</v>
      </c>
      <c r="F11" s="123"/>
      <c r="G11" s="140"/>
      <c r="H11" s="141"/>
      <c r="I11" s="90"/>
      <c r="J11" s="116">
        <v>4</v>
      </c>
      <c r="K11" s="117">
        <v>149.1</v>
      </c>
      <c r="L11" s="134">
        <f t="shared" si="0"/>
        <v>134.5</v>
      </c>
      <c r="M11" s="135"/>
      <c r="N11" s="128">
        <f t="shared" si="1"/>
        <v>133.80640000000002</v>
      </c>
      <c r="O11" s="129"/>
      <c r="P11" s="122">
        <f t="shared" si="2"/>
        <v>134.86509999999998</v>
      </c>
      <c r="Q11" s="123"/>
      <c r="R11" s="140">
        <f t="shared" si="3"/>
        <v>153</v>
      </c>
      <c r="S11" s="141"/>
    </row>
    <row r="12" spans="1:19" s="92" customFormat="1" ht="14">
      <c r="A12" s="118">
        <v>5</v>
      </c>
      <c r="B12" s="119">
        <v>158.30000000000001</v>
      </c>
      <c r="C12" s="128">
        <f t="shared" si="4"/>
        <v>151.05000000000001</v>
      </c>
      <c r="D12" s="129">
        <f t="shared" ref="D12:F18" si="5">POWER(C12-$B12,2)</f>
        <v>52.5625</v>
      </c>
      <c r="E12" s="122">
        <f t="shared" ref="E12:E19" si="6">SUM(B9:B11)/3</f>
        <v>143.76666666666665</v>
      </c>
      <c r="F12" s="123">
        <f t="shared" si="5"/>
        <v>211.21777777777854</v>
      </c>
      <c r="G12" s="140">
        <f t="shared" ref="G12:G19" si="7">SUM(B8:B11)/4</f>
        <v>134.52500000000001</v>
      </c>
      <c r="H12" s="141">
        <f>POWER(G12-$B12,2)</f>
        <v>565.25062500000024</v>
      </c>
      <c r="I12" s="91"/>
      <c r="J12" s="118">
        <v>5</v>
      </c>
      <c r="K12" s="119">
        <v>158.30000000000001</v>
      </c>
      <c r="L12" s="134">
        <f t="shared" si="0"/>
        <v>134.5</v>
      </c>
      <c r="M12" s="135">
        <f t="shared" ref="M12:M18" si="8">POWER(L12-$K12,2)</f>
        <v>566.44000000000051</v>
      </c>
      <c r="N12" s="128">
        <f t="shared" si="1"/>
        <v>136.86512000000002</v>
      </c>
      <c r="O12" s="129">
        <f t="shared" ref="O12:O18" si="9">POWER(N12-$K12,2)</f>
        <v>459.45408061439969</v>
      </c>
      <c r="P12" s="122">
        <f t="shared" si="2"/>
        <v>139.13556999999997</v>
      </c>
      <c r="Q12" s="123">
        <f t="shared" ref="Q12:Q18" si="10">POWER(P12-$K12,2)</f>
        <v>367.27537722490149</v>
      </c>
      <c r="R12" s="140">
        <f t="shared" si="3"/>
        <v>149.1</v>
      </c>
      <c r="S12" s="141">
        <f t="shared" ref="S12:S18" si="11">POWER(R12-$K12,2)</f>
        <v>84.640000000000313</v>
      </c>
    </row>
    <row r="13" spans="1:19" ht="14">
      <c r="A13" s="116">
        <v>6</v>
      </c>
      <c r="B13" s="117">
        <v>132.9</v>
      </c>
      <c r="C13" s="128">
        <f t="shared" si="4"/>
        <v>153.69999999999999</v>
      </c>
      <c r="D13" s="129">
        <f t="shared" si="5"/>
        <v>432.6399999999993</v>
      </c>
      <c r="E13" s="122">
        <f t="shared" si="6"/>
        <v>153.46666666666667</v>
      </c>
      <c r="F13" s="123">
        <f t="shared" si="5"/>
        <v>422.98777777777764</v>
      </c>
      <c r="G13" s="140">
        <f t="shared" si="7"/>
        <v>147.39999999999998</v>
      </c>
      <c r="H13" s="141">
        <f t="shared" ref="H13:H18" si="12">POWER(G13-$B13,2)</f>
        <v>210.24999999999918</v>
      </c>
      <c r="I13" s="90"/>
      <c r="J13" s="116">
        <v>6</v>
      </c>
      <c r="K13" s="117">
        <v>132.9</v>
      </c>
      <c r="L13" s="134">
        <f t="shared" si="0"/>
        <v>134.5</v>
      </c>
      <c r="M13" s="135">
        <f t="shared" si="8"/>
        <v>2.5599999999999818</v>
      </c>
      <c r="N13" s="128">
        <f t="shared" si="1"/>
        <v>141.15209600000003</v>
      </c>
      <c r="O13" s="129">
        <f t="shared" si="9"/>
        <v>68.097088393216382</v>
      </c>
      <c r="P13" s="122">
        <f t="shared" si="2"/>
        <v>144.88489899999999</v>
      </c>
      <c r="Q13" s="123">
        <f t="shared" si="10"/>
        <v>143.63780404020062</v>
      </c>
      <c r="R13" s="140">
        <f t="shared" si="3"/>
        <v>158.30000000000001</v>
      </c>
      <c r="S13" s="141">
        <f t="shared" si="11"/>
        <v>645.16000000000031</v>
      </c>
    </row>
    <row r="14" spans="1:19" ht="14">
      <c r="A14" s="116">
        <v>7</v>
      </c>
      <c r="B14" s="117">
        <v>149.80000000000001</v>
      </c>
      <c r="C14" s="128">
        <f t="shared" si="4"/>
        <v>145.60000000000002</v>
      </c>
      <c r="D14" s="129">
        <f t="shared" si="5"/>
        <v>17.639999999999905</v>
      </c>
      <c r="E14" s="122">
        <f t="shared" si="6"/>
        <v>146.76666666666665</v>
      </c>
      <c r="F14" s="123">
        <f t="shared" si="5"/>
        <v>9.2011111111112722</v>
      </c>
      <c r="G14" s="140">
        <f t="shared" si="7"/>
        <v>148.32500000000002</v>
      </c>
      <c r="H14" s="141">
        <f t="shared" si="12"/>
        <v>2.1756249999999833</v>
      </c>
      <c r="I14" s="90"/>
      <c r="J14" s="116">
        <v>7</v>
      </c>
      <c r="K14" s="117">
        <v>149.80000000000001</v>
      </c>
      <c r="L14" s="134">
        <f t="shared" si="0"/>
        <v>134.5</v>
      </c>
      <c r="M14" s="135">
        <f t="shared" si="8"/>
        <v>234.09000000000034</v>
      </c>
      <c r="N14" s="128">
        <f t="shared" si="1"/>
        <v>139.50167680000004</v>
      </c>
      <c r="O14" s="129">
        <f t="shared" si="9"/>
        <v>106.05546073165763</v>
      </c>
      <c r="P14" s="122">
        <f t="shared" si="2"/>
        <v>141.28942929999999</v>
      </c>
      <c r="Q14" s="123">
        <f t="shared" si="10"/>
        <v>72.429813639698779</v>
      </c>
      <c r="R14" s="140">
        <f t="shared" si="3"/>
        <v>132.9</v>
      </c>
      <c r="S14" s="141">
        <f t="shared" si="11"/>
        <v>285.61000000000018</v>
      </c>
    </row>
    <row r="15" spans="1:19" ht="14">
      <c r="A15" s="116">
        <v>8</v>
      </c>
      <c r="B15" s="117">
        <v>140.30000000000001</v>
      </c>
      <c r="C15" s="128">
        <f t="shared" si="4"/>
        <v>141.35000000000002</v>
      </c>
      <c r="D15" s="129">
        <f t="shared" si="5"/>
        <v>1.1025000000000238</v>
      </c>
      <c r="E15" s="122">
        <f t="shared" si="6"/>
        <v>147.00000000000003</v>
      </c>
      <c r="F15" s="123">
        <f t="shared" si="5"/>
        <v>44.890000000000228</v>
      </c>
      <c r="G15" s="140">
        <f t="shared" si="7"/>
        <v>147.52499999999998</v>
      </c>
      <c r="H15" s="141">
        <f t="shared" si="12"/>
        <v>52.200624999999505</v>
      </c>
      <c r="I15" s="90"/>
      <c r="J15" s="116">
        <v>8</v>
      </c>
      <c r="K15" s="117">
        <v>140.30000000000001</v>
      </c>
      <c r="L15" s="134">
        <f t="shared" si="0"/>
        <v>134.5</v>
      </c>
      <c r="M15" s="135">
        <f t="shared" si="8"/>
        <v>33.640000000000128</v>
      </c>
      <c r="N15" s="128">
        <f t="shared" si="1"/>
        <v>141.56134144000004</v>
      </c>
      <c r="O15" s="129">
        <f t="shared" si="9"/>
        <v>1.5909822282613337</v>
      </c>
      <c r="P15" s="122">
        <f t="shared" si="2"/>
        <v>143.84260050999998</v>
      </c>
      <c r="Q15" s="123">
        <f t="shared" si="10"/>
        <v>12.550018373452057</v>
      </c>
      <c r="R15" s="140">
        <f t="shared" si="3"/>
        <v>149.80000000000001</v>
      </c>
      <c r="S15" s="141">
        <f t="shared" si="11"/>
        <v>90.25</v>
      </c>
    </row>
    <row r="16" spans="1:19" ht="14">
      <c r="A16" s="116">
        <v>9</v>
      </c>
      <c r="B16" s="117">
        <v>138.30000000000001</v>
      </c>
      <c r="C16" s="128">
        <f t="shared" si="4"/>
        <v>145.05000000000001</v>
      </c>
      <c r="D16" s="129">
        <f t="shared" si="5"/>
        <v>45.5625</v>
      </c>
      <c r="E16" s="122">
        <f t="shared" si="6"/>
        <v>141.00000000000003</v>
      </c>
      <c r="F16" s="123">
        <f t="shared" si="5"/>
        <v>7.2900000000000924</v>
      </c>
      <c r="G16" s="140">
        <f t="shared" si="7"/>
        <v>145.32500000000002</v>
      </c>
      <c r="H16" s="141">
        <f t="shared" si="12"/>
        <v>49.350625000000079</v>
      </c>
      <c r="I16" s="90"/>
      <c r="J16" s="116">
        <v>9</v>
      </c>
      <c r="K16" s="117">
        <v>138.30000000000001</v>
      </c>
      <c r="L16" s="134">
        <f t="shared" si="0"/>
        <v>134.5</v>
      </c>
      <c r="M16" s="135">
        <f t="shared" si="8"/>
        <v>14.440000000000087</v>
      </c>
      <c r="N16" s="128">
        <f t="shared" si="1"/>
        <v>141.30907315200005</v>
      </c>
      <c r="O16" s="129">
        <f t="shared" si="9"/>
        <v>9.054521234087467</v>
      </c>
      <c r="P16" s="122">
        <f t="shared" si="2"/>
        <v>142.77982035700001</v>
      </c>
      <c r="Q16" s="123">
        <f t="shared" si="10"/>
        <v>20.068790430991555</v>
      </c>
      <c r="R16" s="140">
        <f t="shared" si="3"/>
        <v>140.30000000000001</v>
      </c>
      <c r="S16" s="141">
        <f t="shared" si="11"/>
        <v>4</v>
      </c>
    </row>
    <row r="17" spans="1:22" ht="14">
      <c r="A17" s="116">
        <v>10</v>
      </c>
      <c r="B17" s="117">
        <v>152.19999999999999</v>
      </c>
      <c r="C17" s="128">
        <f t="shared" si="4"/>
        <v>139.30000000000001</v>
      </c>
      <c r="D17" s="129">
        <f t="shared" si="5"/>
        <v>166.4099999999994</v>
      </c>
      <c r="E17" s="122">
        <f t="shared" si="6"/>
        <v>142.80000000000001</v>
      </c>
      <c r="F17" s="123">
        <f t="shared" si="5"/>
        <v>88.359999999999573</v>
      </c>
      <c r="G17" s="140">
        <f t="shared" si="7"/>
        <v>140.32500000000002</v>
      </c>
      <c r="H17" s="141">
        <f t="shared" si="12"/>
        <v>141.01562499999932</v>
      </c>
      <c r="I17" s="90"/>
      <c r="J17" s="116">
        <v>10</v>
      </c>
      <c r="K17" s="117">
        <v>152.19999999999999</v>
      </c>
      <c r="L17" s="134">
        <f t="shared" si="0"/>
        <v>134.5</v>
      </c>
      <c r="M17" s="135">
        <f t="shared" si="8"/>
        <v>313.28999999999962</v>
      </c>
      <c r="N17" s="128">
        <f t="shared" si="1"/>
        <v>140.70725852160004</v>
      </c>
      <c r="O17" s="129">
        <f t="shared" si="9"/>
        <v>132.08310668933467</v>
      </c>
      <c r="P17" s="122">
        <f t="shared" si="2"/>
        <v>141.4358742499</v>
      </c>
      <c r="Q17" s="123">
        <f t="shared" si="10"/>
        <v>115.86640316396573</v>
      </c>
      <c r="R17" s="140">
        <f t="shared" si="3"/>
        <v>138.30000000000001</v>
      </c>
      <c r="S17" s="141">
        <f t="shared" si="11"/>
        <v>193.20999999999935</v>
      </c>
    </row>
    <row r="18" spans="1:22" ht="14">
      <c r="A18" s="116">
        <v>11</v>
      </c>
      <c r="B18" s="117">
        <v>128.1</v>
      </c>
      <c r="C18" s="128">
        <f t="shared" si="4"/>
        <v>145.25</v>
      </c>
      <c r="D18" s="129">
        <f t="shared" si="5"/>
        <v>294.12250000000017</v>
      </c>
      <c r="E18" s="122">
        <f t="shared" si="6"/>
        <v>143.6</v>
      </c>
      <c r="F18" s="123">
        <f t="shared" si="5"/>
        <v>240.25</v>
      </c>
      <c r="G18" s="140">
        <f t="shared" si="7"/>
        <v>145.15</v>
      </c>
      <c r="H18" s="141">
        <f t="shared" si="12"/>
        <v>290.70250000000038</v>
      </c>
      <c r="I18" s="90"/>
      <c r="J18" s="116">
        <v>11</v>
      </c>
      <c r="K18" s="117">
        <v>128.1</v>
      </c>
      <c r="L18" s="134">
        <f t="shared" si="0"/>
        <v>134.5</v>
      </c>
      <c r="M18" s="135">
        <f t="shared" si="8"/>
        <v>40.960000000000072</v>
      </c>
      <c r="N18" s="128">
        <f t="shared" si="1"/>
        <v>143.00580681728002</v>
      </c>
      <c r="O18" s="129">
        <f t="shared" si="9"/>
        <v>222.18307687407162</v>
      </c>
      <c r="P18" s="122">
        <f t="shared" si="2"/>
        <v>144.66511197492997</v>
      </c>
      <c r="Q18" s="123">
        <f t="shared" si="10"/>
        <v>274.40293474196852</v>
      </c>
      <c r="R18" s="140">
        <f t="shared" si="3"/>
        <v>152.19999999999999</v>
      </c>
      <c r="S18" s="141">
        <f t="shared" si="11"/>
        <v>580.80999999999972</v>
      </c>
    </row>
    <row r="19" spans="1:22" ht="14" thickBot="1">
      <c r="A19" s="150">
        <v>12</v>
      </c>
      <c r="B19" s="151"/>
      <c r="C19" s="152">
        <f>SUM(B17:B18)/2</f>
        <v>140.14999999999998</v>
      </c>
      <c r="D19" s="153"/>
      <c r="E19" s="154">
        <f t="shared" si="6"/>
        <v>139.53333333333333</v>
      </c>
      <c r="F19" s="155"/>
      <c r="G19" s="156">
        <f t="shared" si="7"/>
        <v>139.72499999999999</v>
      </c>
      <c r="H19" s="157"/>
      <c r="J19" s="150">
        <v>12</v>
      </c>
      <c r="K19" s="151"/>
      <c r="L19" s="160">
        <f t="shared" si="0"/>
        <v>134.5</v>
      </c>
      <c r="M19" s="161"/>
      <c r="N19" s="152">
        <f t="shared" si="1"/>
        <v>140.02464545382401</v>
      </c>
      <c r="O19" s="153"/>
      <c r="P19" s="154">
        <f t="shared" si="2"/>
        <v>139.69557838245098</v>
      </c>
      <c r="Q19" s="155"/>
      <c r="R19" s="156">
        <f t="shared" si="3"/>
        <v>128.1</v>
      </c>
      <c r="S19" s="157"/>
    </row>
    <row r="20" spans="1:22" ht="14" thickTop="1">
      <c r="A20" s="313" t="s">
        <v>11</v>
      </c>
      <c r="B20" s="314"/>
      <c r="C20" s="130"/>
      <c r="D20" s="131">
        <f>AVERAGE(D8:D19)</f>
        <v>144.29142857142841</v>
      </c>
      <c r="E20" s="124"/>
      <c r="F20" s="125">
        <f>AVERAGE(F8:F19)</f>
        <v>146.3138095238096</v>
      </c>
      <c r="G20" s="142"/>
      <c r="H20" s="143">
        <f>AVERAGE(H8:H19)</f>
        <v>187.27794642857125</v>
      </c>
      <c r="J20" s="313" t="s">
        <v>11</v>
      </c>
      <c r="K20" s="314"/>
      <c r="L20" s="136"/>
      <c r="M20" s="137">
        <f>AVERAGE(M7:M18)</f>
        <v>172.20285714285723</v>
      </c>
      <c r="N20" s="130"/>
      <c r="O20" s="131">
        <f>AVERAGE(O7:O18)</f>
        <v>142.64547382357554</v>
      </c>
      <c r="P20" s="124"/>
      <c r="Q20" s="125">
        <f>AVERAGE(Q7:Q18)</f>
        <v>143.74730594502554</v>
      </c>
      <c r="R20" s="142"/>
      <c r="S20" s="143">
        <f>AVERAGE(S7:S18)</f>
        <v>269.09714285714284</v>
      </c>
    </row>
    <row r="21" spans="1:22">
      <c r="H21" s="86"/>
    </row>
    <row r="22" spans="1:22">
      <c r="A22" s="3" t="s">
        <v>21</v>
      </c>
      <c r="J22" s="3" t="s">
        <v>119</v>
      </c>
      <c r="M22" s="86"/>
    </row>
    <row r="23" spans="1:22">
      <c r="A23" s="3" t="s">
        <v>25</v>
      </c>
    </row>
    <row r="27" spans="1:22">
      <c r="A27" s="6" t="s">
        <v>26</v>
      </c>
    </row>
    <row r="28" spans="1:22" s="8" customFormat="1">
      <c r="F28" s="8">
        <v>0.2</v>
      </c>
    </row>
    <row r="29" spans="1:22" s="8" customFormat="1">
      <c r="A29" s="5" t="s">
        <v>22</v>
      </c>
      <c r="B29" s="162" t="s">
        <v>6</v>
      </c>
      <c r="C29" s="5" t="s">
        <v>8</v>
      </c>
      <c r="D29" s="5" t="s">
        <v>9</v>
      </c>
      <c r="E29" s="5" t="s">
        <v>123</v>
      </c>
      <c r="F29" s="5" t="str">
        <f>"ŷ(t) (ES α="&amp;TEXT(F28,"0,0")&amp;")"</f>
        <v>ŷ(t) (ES α=0,2)</v>
      </c>
      <c r="O29" s="95"/>
    </row>
    <row r="30" spans="1:22">
      <c r="A30" s="16">
        <v>1</v>
      </c>
      <c r="B30" s="163">
        <v>26.8</v>
      </c>
      <c r="C30" s="163"/>
      <c r="D30" s="163"/>
      <c r="E30" s="163"/>
      <c r="F30" s="163"/>
      <c r="O30" s="3" t="s">
        <v>100</v>
      </c>
      <c r="P30" s="3">
        <f>AVERAGE(A30:A35)</f>
        <v>3.5</v>
      </c>
      <c r="Q30" s="3">
        <f>(A30-$P$30)*(B30-$P$31)</f>
        <v>93.708333333333371</v>
      </c>
      <c r="R30" s="3">
        <f>POWER(A30-$P$30,2)</f>
        <v>6.25</v>
      </c>
      <c r="S30" s="3" t="s">
        <v>8</v>
      </c>
      <c r="T30" s="3">
        <f>INTERCEPT(B30:B40,A30:A40)</f>
        <v>17.565454545454557</v>
      </c>
    </row>
    <row r="31" spans="1:22">
      <c r="A31" s="14">
        <v>2</v>
      </c>
      <c r="B31" s="164">
        <v>39.200000000000003</v>
      </c>
      <c r="C31" s="164">
        <f ca="1">INTERCEPT($B$30:OFFSET($B$30,$A30,0),$A$30:OFFSET($A$30,$A30,0))</f>
        <v>14.399999999999999</v>
      </c>
      <c r="D31" s="164">
        <f ca="1">SLOPE($B$30:OFFSET($B$30,$A30,0),$A$30:OFFSET($A$30,$A30,0))</f>
        <v>12.400000000000002</v>
      </c>
      <c r="E31" s="164"/>
      <c r="F31" s="164">
        <f>B30</f>
        <v>26.8</v>
      </c>
      <c r="O31" s="3" t="s">
        <v>101</v>
      </c>
      <c r="P31" s="25">
        <f>AVERAGE(B30:B35)</f>
        <v>64.283333333333346</v>
      </c>
      <c r="Q31" s="3">
        <f t="shared" ref="Q31:Q35" si="13">(A31-$P$30)*(B31-$P$31)</f>
        <v>37.625000000000014</v>
      </c>
      <c r="R31" s="3">
        <f t="shared" ref="R31:R35" si="14">POWER(A31-$P$30,2)</f>
        <v>2.25</v>
      </c>
      <c r="S31" s="3" t="s">
        <v>9</v>
      </c>
      <c r="T31" s="3">
        <f>SLOPE(B30:B40,A30:A40)</f>
        <v>13.207272727272725</v>
      </c>
      <c r="V31" s="25"/>
    </row>
    <row r="32" spans="1:22">
      <c r="A32" s="14">
        <v>3</v>
      </c>
      <c r="B32" s="164">
        <v>72.3</v>
      </c>
      <c r="C32" s="164">
        <f ca="1">INTERCEPT($B$30:OFFSET($B$30,$A31,0),$A$30:OFFSET($A$30,$A31,0))</f>
        <v>0.60000000000000142</v>
      </c>
      <c r="D32" s="164">
        <f ca="1">SLOPE($B$30:OFFSET($B$30,$A31,0),$A$30:OFFSET($A$30,$A31,0))</f>
        <v>22.75</v>
      </c>
      <c r="E32" s="164">
        <f ca="1">C31+D31*A32</f>
        <v>51.6</v>
      </c>
      <c r="F32" s="164">
        <f>$F$28*B31+(1-$F$28)*F31</f>
        <v>29.28</v>
      </c>
      <c r="Q32" s="3">
        <f t="shared" si="13"/>
        <v>-4.0083333333333258</v>
      </c>
      <c r="R32" s="3">
        <f t="shared" si="14"/>
        <v>0.25</v>
      </c>
      <c r="V32" s="25"/>
    </row>
    <row r="33" spans="1:22">
      <c r="A33" s="14">
        <v>4</v>
      </c>
      <c r="B33" s="164">
        <v>71.3</v>
      </c>
      <c r="C33" s="164">
        <f ca="1">INTERCEPT($B$30:OFFSET($B$30,$A32,0),$A$30:OFFSET($A$30,$A32,0))</f>
        <v>10.750000000000014</v>
      </c>
      <c r="D33" s="164">
        <f ca="1">SLOPE($B$30:OFFSET($B$30,$A32,0),$A$30:OFFSET($A$30,$A32,0))</f>
        <v>16.659999999999997</v>
      </c>
      <c r="E33" s="164">
        <f ca="1">C32+D32*A33</f>
        <v>91.6</v>
      </c>
      <c r="F33" s="164">
        <f t="shared" ref="F33:F41" si="15">$F$28*B32+(1-$F$28)*F32</f>
        <v>37.884</v>
      </c>
      <c r="Q33" s="3">
        <f t="shared" si="13"/>
        <v>3.5083333333333258</v>
      </c>
      <c r="R33" s="3">
        <f t="shared" si="14"/>
        <v>0.25</v>
      </c>
      <c r="V33" s="25"/>
    </row>
    <row r="34" spans="1:22">
      <c r="A34" s="165">
        <v>5</v>
      </c>
      <c r="B34" s="164">
        <v>83.2</v>
      </c>
      <c r="C34" s="164">
        <f ca="1">INTERCEPT($B$30:OFFSET($B$30,$A33,0),$A$30:OFFSET($A$30,$A33,0))</f>
        <v>15.090000000000003</v>
      </c>
      <c r="D34" s="164">
        <f ca="1">SLOPE($B$30:OFFSET($B$30,$A33,0),$A$30:OFFSET($A$30,$A33,0))</f>
        <v>14.489999999999998</v>
      </c>
      <c r="E34" s="164">
        <f t="shared" ref="E34:E40" ca="1" si="16">C33+D33*A34</f>
        <v>94.05</v>
      </c>
      <c r="F34" s="164">
        <f t="shared" si="15"/>
        <v>44.5672</v>
      </c>
      <c r="Q34" s="3">
        <f t="shared" si="13"/>
        <v>28.374999999999986</v>
      </c>
      <c r="R34" s="3">
        <f t="shared" si="14"/>
        <v>2.25</v>
      </c>
      <c r="V34" s="25"/>
    </row>
    <row r="35" spans="1:22">
      <c r="A35" s="14">
        <v>6</v>
      </c>
      <c r="B35" s="164">
        <v>92.9</v>
      </c>
      <c r="C35" s="164">
        <f ca="1">INTERCEPT($B$30:OFFSET($B$30,$A34,0),$A$30:OFFSET($A$30,$A34,0))</f>
        <v>18.13333333333334</v>
      </c>
      <c r="D35" s="164">
        <f ca="1">SLOPE($B$30:OFFSET($B$30,$A34,0),$A$30:OFFSET($A$30,$A34,0))</f>
        <v>13.185714285714287</v>
      </c>
      <c r="E35" s="164">
        <f t="shared" ca="1" si="16"/>
        <v>102.03</v>
      </c>
      <c r="F35" s="164">
        <f t="shared" si="15"/>
        <v>52.293759999999999</v>
      </c>
      <c r="P35" s="25"/>
      <c r="Q35" s="3">
        <f t="shared" si="13"/>
        <v>71.541666666666657</v>
      </c>
      <c r="R35" s="3">
        <f t="shared" si="14"/>
        <v>6.25</v>
      </c>
      <c r="V35" s="25"/>
    </row>
    <row r="36" spans="1:22">
      <c r="A36" s="14">
        <v>7</v>
      </c>
      <c r="B36" s="164">
        <v>121.9</v>
      </c>
      <c r="C36" s="164">
        <f ca="1">INTERCEPT($B$30:OFFSET($B$30,$A35,0),$A$30:OFFSET($A$30,$A35,0))</f>
        <v>14.857142857142861</v>
      </c>
      <c r="D36" s="164">
        <f ca="1">SLOPE($B$30:OFFSET($B$30,$A35,0),$A$30:OFFSET($A$30,$A35,0))</f>
        <v>14.414285714285715</v>
      </c>
      <c r="E36" s="164">
        <f t="shared" ca="1" si="16"/>
        <v>110.43333333333335</v>
      </c>
      <c r="F36" s="164">
        <f t="shared" si="15"/>
        <v>60.415008</v>
      </c>
      <c r="P36" s="25"/>
      <c r="Q36" s="3">
        <f>SUM(Q30:Q35)</f>
        <v>230.75000000000003</v>
      </c>
      <c r="R36" s="3">
        <f>SUM(R30:R35)</f>
        <v>17.5</v>
      </c>
      <c r="V36" s="25"/>
    </row>
    <row r="37" spans="1:22">
      <c r="A37" s="14">
        <v>8</v>
      </c>
      <c r="B37" s="164">
        <v>112.1</v>
      </c>
      <c r="C37" s="164">
        <f ca="1">INTERCEPT($B$30:OFFSET($B$30,$A36,0),$A$30:OFFSET($A$30,$A36,0))</f>
        <v>19.375000000000007</v>
      </c>
      <c r="D37" s="164">
        <f ca="1">SLOPE($B$30:OFFSET($B$30,$A36,0),$A$30:OFFSET($A$30,$A36,0))</f>
        <v>12.908333333333333</v>
      </c>
      <c r="E37" s="164">
        <f t="shared" ca="1" si="16"/>
        <v>130.17142857142858</v>
      </c>
      <c r="F37" s="164">
        <f t="shared" si="15"/>
        <v>72.712006400000007</v>
      </c>
      <c r="V37" s="25"/>
    </row>
    <row r="38" spans="1:22">
      <c r="A38" s="14">
        <v>9</v>
      </c>
      <c r="B38" s="164">
        <v>115.8</v>
      </c>
      <c r="C38" s="164">
        <f ca="1">INTERCEPT($B$30:OFFSET($B$30,$A37,0),$A$30:OFFSET($A$30,$A37,0))</f>
        <v>23.763888888888893</v>
      </c>
      <c r="D38" s="164">
        <f ca="1">SLOPE($B$30:OFFSET($B$30,$A37,0),$A$30:OFFSET($A$30,$A37,0))</f>
        <v>11.591666666666667</v>
      </c>
      <c r="E38" s="164">
        <f t="shared" ca="1" si="16"/>
        <v>135.55000000000001</v>
      </c>
      <c r="F38" s="164">
        <f t="shared" si="15"/>
        <v>80.589605120000016</v>
      </c>
      <c r="P38" s="25"/>
      <c r="Q38" s="3">
        <f>Q36/R36</f>
        <v>13.185714285714287</v>
      </c>
      <c r="V38" s="25"/>
    </row>
    <row r="39" spans="1:22">
      <c r="A39" s="14">
        <v>10</v>
      </c>
      <c r="B39" s="164">
        <v>154.19999999999999</v>
      </c>
      <c r="C39" s="164">
        <f ca="1">INTERCEPT($B$30:OFFSET($B$30,$A38,0),$A$30:OFFSET($A$30,$A38,0))</f>
        <v>20.86</v>
      </c>
      <c r="D39" s="164">
        <f ca="1">SLOPE($B$30:OFFSET($B$30,$A38,0),$A$30:OFFSET($A$30,$A38,0))</f>
        <v>12.383636363636363</v>
      </c>
      <c r="E39" s="164">
        <f t="shared" ca="1" si="16"/>
        <v>139.68055555555557</v>
      </c>
      <c r="F39" s="164">
        <f t="shared" si="15"/>
        <v>87.631684096000015</v>
      </c>
      <c r="V39" s="25"/>
    </row>
    <row r="40" spans="1:22">
      <c r="A40" s="14">
        <v>11</v>
      </c>
      <c r="B40" s="164">
        <v>175.2</v>
      </c>
      <c r="C40" s="164">
        <f ca="1">INTERCEPT($B$30:OFFSET($B$30,$A39,0),$A$30:OFFSET($A$30,$A39,0))</f>
        <v>17.565454545454557</v>
      </c>
      <c r="D40" s="164">
        <f ca="1">SLOPE($B$30:OFFSET($B$30,$A39,0),$A$30:OFFSET($A$30,$A39,0))</f>
        <v>13.207272727272725</v>
      </c>
      <c r="E40" s="164">
        <f t="shared" ca="1" si="16"/>
        <v>157.07999999999998</v>
      </c>
      <c r="F40" s="164">
        <f t="shared" si="15"/>
        <v>100.94534727680002</v>
      </c>
      <c r="V40" s="25"/>
    </row>
    <row r="41" spans="1:22">
      <c r="A41" s="17">
        <v>12</v>
      </c>
      <c r="B41" s="166"/>
      <c r="C41" s="166"/>
      <c r="D41" s="166"/>
      <c r="E41" s="166">
        <f ca="1">C40+D40*A41</f>
        <v>176.05272727272728</v>
      </c>
      <c r="F41" s="166">
        <f t="shared" si="15"/>
        <v>115.79627782144001</v>
      </c>
      <c r="V41" s="25"/>
    </row>
    <row r="42" spans="1:22">
      <c r="B42" s="25"/>
      <c r="C42" s="25"/>
      <c r="D42" s="25"/>
      <c r="E42" s="25"/>
    </row>
    <row r="43" spans="1:22">
      <c r="B43" s="25"/>
      <c r="C43" s="25"/>
      <c r="D43" s="25"/>
      <c r="E43" s="25"/>
    </row>
    <row r="44" spans="1:22">
      <c r="A44" s="6" t="s">
        <v>27</v>
      </c>
    </row>
    <row r="45" spans="1:22">
      <c r="A45" s="170" t="s">
        <v>24</v>
      </c>
      <c r="B45" s="5">
        <v>0.2</v>
      </c>
    </row>
    <row r="46" spans="1:22">
      <c r="A46" s="170" t="s">
        <v>29</v>
      </c>
      <c r="B46" s="5">
        <v>0.2</v>
      </c>
      <c r="C46" s="8"/>
      <c r="D46" s="8"/>
      <c r="E46" s="8"/>
      <c r="F46" s="8"/>
    </row>
    <row r="47" spans="1:22">
      <c r="A47" s="6"/>
      <c r="B47" s="8"/>
      <c r="C47" s="8"/>
      <c r="D47" s="8"/>
      <c r="E47" s="8"/>
      <c r="F47" s="8"/>
    </row>
    <row r="48" spans="1:22" ht="12.75" customHeight="1">
      <c r="A48" s="303" t="s">
        <v>22</v>
      </c>
      <c r="B48" s="305" t="s">
        <v>18</v>
      </c>
      <c r="C48" s="299" t="s">
        <v>28</v>
      </c>
      <c r="D48" s="300"/>
      <c r="E48" s="303" t="s">
        <v>120</v>
      </c>
      <c r="F48" s="303" t="s">
        <v>121</v>
      </c>
      <c r="G48" s="303" t="s">
        <v>124</v>
      </c>
    </row>
    <row r="49" spans="1:7">
      <c r="A49" s="304"/>
      <c r="B49" s="306"/>
      <c r="C49" s="171" t="s">
        <v>8</v>
      </c>
      <c r="D49" s="172" t="s">
        <v>9</v>
      </c>
      <c r="E49" s="304"/>
      <c r="F49" s="304"/>
      <c r="G49" s="304"/>
    </row>
    <row r="50" spans="1:7">
      <c r="A50" s="16">
        <v>1</v>
      </c>
      <c r="B50" s="163">
        <v>26.8</v>
      </c>
      <c r="C50" s="173"/>
      <c r="D50" s="174"/>
      <c r="E50" s="16"/>
      <c r="F50" s="167"/>
      <c r="G50" s="163"/>
    </row>
    <row r="51" spans="1:7">
      <c r="A51" s="14">
        <v>2</v>
      </c>
      <c r="B51" s="164">
        <v>39.200000000000003</v>
      </c>
      <c r="C51" s="175"/>
      <c r="D51" s="176"/>
      <c r="E51" s="14"/>
      <c r="F51" s="168"/>
      <c r="G51" s="164"/>
    </row>
    <row r="52" spans="1:7">
      <c r="A52" s="14">
        <v>3</v>
      </c>
      <c r="B52" s="164">
        <v>72.3</v>
      </c>
      <c r="C52" s="175"/>
      <c r="D52" s="176"/>
      <c r="E52" s="14"/>
      <c r="F52" s="168"/>
      <c r="G52" s="164"/>
    </row>
    <row r="53" spans="1:7">
      <c r="A53" s="14">
        <v>4</v>
      </c>
      <c r="B53" s="164">
        <v>71.3</v>
      </c>
      <c r="C53" s="175">
        <f>B53</f>
        <v>71.3</v>
      </c>
      <c r="D53" s="176">
        <f>(B53-B50)/3</f>
        <v>14.833333333333334</v>
      </c>
      <c r="E53" s="164">
        <f>C53</f>
        <v>71.3</v>
      </c>
      <c r="F53" s="168">
        <f>D53</f>
        <v>14.833333333333334</v>
      </c>
      <c r="G53" s="164"/>
    </row>
    <row r="54" spans="1:7">
      <c r="A54" s="165">
        <v>5</v>
      </c>
      <c r="B54" s="164">
        <v>83.2</v>
      </c>
      <c r="C54" s="175">
        <f ca="1">INTERCEPT($B$30:OFFSET($B$30,$A53,0),$A$30:OFFSET($A$30,$A53,0))</f>
        <v>15.090000000000003</v>
      </c>
      <c r="D54" s="176">
        <f ca="1">SLOPE($B$30:OFFSET($B$30,$A53,0),$A$30:OFFSET($A$30,$A53,0))</f>
        <v>14.489999999999998</v>
      </c>
      <c r="E54" s="164">
        <f>$B$45*B54+(1-$B$45)*(C53+D53)</f>
        <v>85.546666666666667</v>
      </c>
      <c r="F54" s="168">
        <f t="shared" ref="F54:F60" si="17">$B$46*(E54-E53)+(1-$B$46)*F53</f>
        <v>14.716000000000001</v>
      </c>
      <c r="G54" s="164">
        <f>E53+F53</f>
        <v>86.133333333333326</v>
      </c>
    </row>
    <row r="55" spans="1:7">
      <c r="A55" s="14">
        <v>6</v>
      </c>
      <c r="B55" s="164">
        <v>92.9</v>
      </c>
      <c r="C55" s="175">
        <f ca="1">INTERCEPT($B$30:OFFSET($B$30,$A54,0),$A$30:OFFSET($A$30,$A54,0))</f>
        <v>18.13333333333334</v>
      </c>
      <c r="D55" s="176">
        <f ca="1">SLOPE($B$30:OFFSET($B$30,$A54,0),$A$30:OFFSET($A$30,$A54,0))</f>
        <v>13.185714285714287</v>
      </c>
      <c r="E55" s="164">
        <f t="shared" ref="E55:E60" si="18">$B$45*B55+(1-$B$45)*(E54+F54)</f>
        <v>98.79013333333333</v>
      </c>
      <c r="F55" s="168">
        <f t="shared" si="17"/>
        <v>14.421493333333334</v>
      </c>
      <c r="G55" s="164">
        <f>E54+F54</f>
        <v>100.26266666666666</v>
      </c>
    </row>
    <row r="56" spans="1:7">
      <c r="A56" s="14">
        <v>7</v>
      </c>
      <c r="B56" s="164">
        <v>121.9</v>
      </c>
      <c r="C56" s="175">
        <f ca="1">INTERCEPT($B$30:OFFSET($B$30,$A55,0),$A$30:OFFSET($A$30,$A55,0))</f>
        <v>14.857142857142861</v>
      </c>
      <c r="D56" s="176">
        <f ca="1">SLOPE($B$30:OFFSET($B$30,$A55,0),$A$30:OFFSET($A$30,$A55,0))</f>
        <v>14.414285714285715</v>
      </c>
      <c r="E56" s="164">
        <f t="shared" si="18"/>
        <v>114.94930133333332</v>
      </c>
      <c r="F56" s="168">
        <f t="shared" si="17"/>
        <v>14.769028266666666</v>
      </c>
      <c r="G56" s="164">
        <f t="shared" ref="G56:G61" si="19">E55+F55</f>
        <v>113.21162666666666</v>
      </c>
    </row>
    <row r="57" spans="1:7">
      <c r="A57" s="14">
        <v>8</v>
      </c>
      <c r="B57" s="164">
        <v>112.1</v>
      </c>
      <c r="C57" s="175">
        <f ca="1">INTERCEPT($B$30:OFFSET($B$30,$A56,0),$A$30:OFFSET($A$30,$A56,0))</f>
        <v>19.375000000000007</v>
      </c>
      <c r="D57" s="176">
        <f ca="1">SLOPE($B$30:OFFSET($B$30,$A56,0),$A$30:OFFSET($A$30,$A56,0))</f>
        <v>12.908333333333333</v>
      </c>
      <c r="E57" s="164">
        <f t="shared" si="18"/>
        <v>126.19466368000001</v>
      </c>
      <c r="F57" s="168">
        <f t="shared" si="17"/>
        <v>14.06429508266667</v>
      </c>
      <c r="G57" s="164">
        <f t="shared" si="19"/>
        <v>129.7183296</v>
      </c>
    </row>
    <row r="58" spans="1:7">
      <c r="A58" s="14">
        <v>9</v>
      </c>
      <c r="B58" s="164">
        <v>115.8</v>
      </c>
      <c r="C58" s="175">
        <f ca="1">INTERCEPT($B$30:OFFSET($B$30,$A57,0),$A$30:OFFSET($A$30,$A57,0))</f>
        <v>23.763888888888893</v>
      </c>
      <c r="D58" s="176">
        <f ca="1">SLOPE($B$30:OFFSET($B$30,$A57,0),$A$30:OFFSET($A$30,$A57,0))</f>
        <v>11.591666666666667</v>
      </c>
      <c r="E58" s="164">
        <f t="shared" si="18"/>
        <v>135.36716701013336</v>
      </c>
      <c r="F58" s="168">
        <f t="shared" si="17"/>
        <v>13.085936732160008</v>
      </c>
      <c r="G58" s="164">
        <f t="shared" si="19"/>
        <v>140.25895876266668</v>
      </c>
    </row>
    <row r="59" spans="1:7">
      <c r="A59" s="14">
        <v>10</v>
      </c>
      <c r="B59" s="164">
        <v>154.19999999999999</v>
      </c>
      <c r="C59" s="175">
        <f ca="1">INTERCEPT($B$30:OFFSET($B$30,$A58,0),$A$30:OFFSET($A$30,$A58,0))</f>
        <v>20.86</v>
      </c>
      <c r="D59" s="176">
        <f ca="1">SLOPE($B$30:OFFSET($B$30,$A58,0),$A$30:OFFSET($A$30,$A58,0))</f>
        <v>12.383636363636363</v>
      </c>
      <c r="E59" s="164">
        <f t="shared" si="18"/>
        <v>149.60248299383468</v>
      </c>
      <c r="F59" s="168">
        <f t="shared" si="17"/>
        <v>13.315812582468272</v>
      </c>
      <c r="G59" s="164">
        <f t="shared" si="19"/>
        <v>148.45310374229337</v>
      </c>
    </row>
    <row r="60" spans="1:7">
      <c r="A60" s="14">
        <v>11</v>
      </c>
      <c r="B60" s="164">
        <v>175.2</v>
      </c>
      <c r="C60" s="175">
        <f ca="1">INTERCEPT($B$30:OFFSET($B$30,$A59,0),$A$30:OFFSET($A$30,$A59,0))</f>
        <v>17.565454545454557</v>
      </c>
      <c r="D60" s="176">
        <f ca="1">SLOPE($B$30:OFFSET($B$30,$A59,0),$A$30:OFFSET($A$30,$A59,0))</f>
        <v>13.207272727272725</v>
      </c>
      <c r="E60" s="164">
        <f t="shared" si="18"/>
        <v>165.37463646104237</v>
      </c>
      <c r="F60" s="168">
        <f t="shared" si="17"/>
        <v>13.807080759416156</v>
      </c>
      <c r="G60" s="164">
        <f t="shared" si="19"/>
        <v>162.91829557630297</v>
      </c>
    </row>
    <row r="61" spans="1:7">
      <c r="A61" s="17">
        <v>12</v>
      </c>
      <c r="B61" s="166"/>
      <c r="C61" s="177"/>
      <c r="D61" s="178"/>
      <c r="E61" s="166"/>
      <c r="F61" s="169"/>
      <c r="G61" s="166">
        <f t="shared" si="19"/>
        <v>179.18171722045852</v>
      </c>
    </row>
    <row r="69" spans="1:14">
      <c r="A69" s="6" t="s">
        <v>30</v>
      </c>
    </row>
    <row r="70" spans="1:14">
      <c r="A70" s="3" t="s">
        <v>31</v>
      </c>
    </row>
    <row r="72" spans="1:14" s="8" customFormat="1">
      <c r="B72" s="94"/>
      <c r="C72" s="93" t="s">
        <v>6</v>
      </c>
      <c r="D72" s="93" t="s">
        <v>38</v>
      </c>
      <c r="J72" s="99"/>
    </row>
    <row r="73" spans="1:14">
      <c r="B73" s="86" t="s">
        <v>32</v>
      </c>
      <c r="C73" s="86">
        <v>16.2</v>
      </c>
      <c r="D73" s="3">
        <f>C73/$C$93</f>
        <v>0.98630136986301364</v>
      </c>
      <c r="J73" s="86"/>
    </row>
    <row r="74" spans="1:14">
      <c r="B74" s="86" t="s">
        <v>33</v>
      </c>
      <c r="C74" s="86">
        <v>12.2</v>
      </c>
      <c r="D74" s="3">
        <f t="shared" ref="D74:D92" si="20">C74/$C$93</f>
        <v>0.74277016742770163</v>
      </c>
      <c r="J74" s="86"/>
      <c r="K74" s="28"/>
      <c r="L74" s="28"/>
      <c r="M74" s="28"/>
      <c r="N74" s="28"/>
    </row>
    <row r="75" spans="1:14">
      <c r="B75" s="86" t="s">
        <v>34</v>
      </c>
      <c r="C75" s="86">
        <v>14.2</v>
      </c>
      <c r="D75" s="3">
        <f>C75/$C$93</f>
        <v>0.86453576864535764</v>
      </c>
      <c r="J75" s="86"/>
      <c r="K75" s="28"/>
      <c r="L75" s="28"/>
      <c r="M75" s="28"/>
      <c r="N75" s="28"/>
    </row>
    <row r="76" spans="1:14">
      <c r="B76" s="86" t="s">
        <v>35</v>
      </c>
      <c r="C76" s="86">
        <v>17.3</v>
      </c>
      <c r="D76" s="3">
        <f t="shared" si="20"/>
        <v>1.0532724505327244</v>
      </c>
      <c r="J76" s="86"/>
      <c r="K76" s="28"/>
      <c r="L76" s="28"/>
      <c r="M76" s="28"/>
      <c r="N76" s="28"/>
    </row>
    <row r="77" spans="1:14">
      <c r="B77" s="86" t="s">
        <v>36</v>
      </c>
      <c r="C77" s="86">
        <v>22.5</v>
      </c>
      <c r="D77" s="3">
        <f t="shared" si="20"/>
        <v>1.3698630136986301</v>
      </c>
      <c r="J77" s="86"/>
      <c r="K77" s="28"/>
      <c r="L77" s="28"/>
      <c r="M77" s="28"/>
      <c r="N77" s="28"/>
    </row>
    <row r="78" spans="1:14">
      <c r="B78" s="86" t="s">
        <v>32</v>
      </c>
      <c r="C78" s="86">
        <v>17.3</v>
      </c>
      <c r="D78" s="3">
        <f t="shared" si="20"/>
        <v>1.0532724505327244</v>
      </c>
      <c r="E78" s="86"/>
      <c r="J78" s="86"/>
      <c r="K78" s="28"/>
      <c r="L78" s="28"/>
      <c r="M78" s="28"/>
      <c r="N78" s="28"/>
    </row>
    <row r="79" spans="1:14">
      <c r="B79" s="86" t="s">
        <v>33</v>
      </c>
      <c r="C79" s="86">
        <v>11.5</v>
      </c>
      <c r="D79" s="3">
        <f t="shared" si="20"/>
        <v>0.70015220700152203</v>
      </c>
    </row>
    <row r="80" spans="1:14">
      <c r="B80" s="86" t="s">
        <v>34</v>
      </c>
      <c r="C80" s="86">
        <v>15</v>
      </c>
      <c r="D80" s="3">
        <f t="shared" si="20"/>
        <v>0.91324200913242004</v>
      </c>
      <c r="F80" s="100" t="s">
        <v>43</v>
      </c>
      <c r="G80" s="93"/>
    </row>
    <row r="81" spans="2:8">
      <c r="B81" s="86" t="s">
        <v>35</v>
      </c>
      <c r="C81" s="86">
        <v>17.600000000000001</v>
      </c>
      <c r="D81" s="3">
        <f t="shared" si="20"/>
        <v>1.0715372907153728</v>
      </c>
      <c r="F81" s="3" t="s">
        <v>32</v>
      </c>
      <c r="G81" s="28">
        <f>(D73+D78+D83+D88)/4</f>
        <v>0.97716894977168944</v>
      </c>
    </row>
    <row r="82" spans="2:8">
      <c r="B82" s="86" t="s">
        <v>36</v>
      </c>
      <c r="C82" s="86">
        <v>23.5</v>
      </c>
      <c r="D82" s="3">
        <f t="shared" si="20"/>
        <v>1.4307458143074581</v>
      </c>
      <c r="F82" s="3" t="s">
        <v>33</v>
      </c>
      <c r="G82" s="28">
        <f>(D74+D79+D84+D89)/4</f>
        <v>0.73972602739726023</v>
      </c>
    </row>
    <row r="83" spans="2:8">
      <c r="B83" s="86" t="s">
        <v>32</v>
      </c>
      <c r="C83" s="86">
        <v>14.6</v>
      </c>
      <c r="D83" s="3">
        <f t="shared" si="20"/>
        <v>0.88888888888888884</v>
      </c>
      <c r="F83" s="3" t="s">
        <v>34</v>
      </c>
      <c r="G83" s="28">
        <f>(D75+D80+D85+D90)/4</f>
        <v>0.83866057838660568</v>
      </c>
    </row>
    <row r="84" spans="2:8">
      <c r="B84" s="86" t="s">
        <v>33</v>
      </c>
      <c r="C84" s="86">
        <v>13.1</v>
      </c>
      <c r="D84" s="3">
        <f t="shared" si="20"/>
        <v>0.79756468797564684</v>
      </c>
      <c r="F84" s="3" t="s">
        <v>35</v>
      </c>
      <c r="G84" s="28">
        <f>(D76+D81+D86+D91)/4</f>
        <v>1.0410958904109591</v>
      </c>
    </row>
    <row r="85" spans="2:8">
      <c r="B85" s="86" t="s">
        <v>34</v>
      </c>
      <c r="C85" s="86">
        <v>13</v>
      </c>
      <c r="D85" s="3">
        <f t="shared" si="20"/>
        <v>0.79147640791476404</v>
      </c>
      <c r="F85" s="3" t="s">
        <v>36</v>
      </c>
      <c r="G85" s="28">
        <f>(D77+D82+D87+D92)/4</f>
        <v>1.4033485540334854</v>
      </c>
    </row>
    <row r="86" spans="2:8">
      <c r="B86" s="86" t="s">
        <v>35</v>
      </c>
      <c r="C86" s="86">
        <v>16.899999999999999</v>
      </c>
      <c r="D86" s="3">
        <f t="shared" si="20"/>
        <v>1.0289193302891932</v>
      </c>
      <c r="F86" s="101" t="s">
        <v>0</v>
      </c>
      <c r="G86" s="101">
        <f>SUM(G81:G85)</f>
        <v>5</v>
      </c>
    </row>
    <row r="87" spans="2:8">
      <c r="B87" s="86" t="s">
        <v>36</v>
      </c>
      <c r="C87" s="86">
        <v>21.9</v>
      </c>
      <c r="D87" s="3">
        <f t="shared" si="20"/>
        <v>1.3333333333333333</v>
      </c>
    </row>
    <row r="88" spans="2:8">
      <c r="B88" s="86" t="s">
        <v>32</v>
      </c>
      <c r="C88" s="86">
        <v>16.100000000000001</v>
      </c>
      <c r="D88" s="3">
        <f t="shared" si="20"/>
        <v>0.98021308980213095</v>
      </c>
      <c r="F88" s="13" t="s">
        <v>44</v>
      </c>
      <c r="G88" s="13"/>
      <c r="H88" s="13"/>
    </row>
    <row r="89" spans="2:8">
      <c r="B89" s="86" t="s">
        <v>33</v>
      </c>
      <c r="C89" s="86">
        <v>11.8</v>
      </c>
      <c r="D89" s="3">
        <f t="shared" si="20"/>
        <v>0.71841704718417043</v>
      </c>
      <c r="F89" s="3" t="s">
        <v>32</v>
      </c>
      <c r="G89" s="86">
        <f>$C$93*G81</f>
        <v>16.05</v>
      </c>
    </row>
    <row r="90" spans="2:8">
      <c r="B90" s="86" t="s">
        <v>34</v>
      </c>
      <c r="C90" s="86">
        <v>12.9</v>
      </c>
      <c r="D90" s="3">
        <f t="shared" si="20"/>
        <v>0.78538812785388123</v>
      </c>
      <c r="F90" s="3" t="s">
        <v>33</v>
      </c>
      <c r="G90" s="86">
        <f>$C$93*G82</f>
        <v>12.15</v>
      </c>
    </row>
    <row r="91" spans="2:8">
      <c r="B91" s="86" t="s">
        <v>35</v>
      </c>
      <c r="C91" s="86">
        <v>16.600000000000001</v>
      </c>
      <c r="D91" s="3">
        <f t="shared" si="20"/>
        <v>1.0106544901065448</v>
      </c>
      <c r="F91" s="3" t="s">
        <v>34</v>
      </c>
      <c r="G91" s="86">
        <f>$C$93*G83</f>
        <v>13.774999999999999</v>
      </c>
    </row>
    <row r="92" spans="2:8">
      <c r="B92" s="86" t="s">
        <v>36</v>
      </c>
      <c r="C92" s="86">
        <v>24.3</v>
      </c>
      <c r="D92" s="3">
        <f t="shared" si="20"/>
        <v>1.4794520547945205</v>
      </c>
      <c r="F92" s="3" t="s">
        <v>35</v>
      </c>
      <c r="G92" s="86">
        <f>$C$93*G84</f>
        <v>17.100000000000005</v>
      </c>
    </row>
    <row r="93" spans="2:8">
      <c r="B93" s="101" t="s">
        <v>37</v>
      </c>
      <c r="C93" s="102">
        <f>AVERAGE(C73:C92)</f>
        <v>16.425000000000001</v>
      </c>
      <c r="D93" s="13"/>
      <c r="F93" s="97" t="s">
        <v>36</v>
      </c>
      <c r="G93" s="103">
        <f>$C$93*G85</f>
        <v>23.049999999999997</v>
      </c>
      <c r="H93" s="97"/>
    </row>
    <row r="98" spans="1:17">
      <c r="A98" s="6" t="s">
        <v>30</v>
      </c>
    </row>
    <row r="99" spans="1:17">
      <c r="A99" s="3" t="s">
        <v>108</v>
      </c>
      <c r="O99" s="3" t="s">
        <v>38</v>
      </c>
    </row>
    <row r="100" spans="1:17" s="8" customFormat="1">
      <c r="A100" s="93"/>
      <c r="B100" s="94" t="s">
        <v>6</v>
      </c>
      <c r="C100" s="93" t="s">
        <v>39</v>
      </c>
      <c r="D100" s="93" t="s">
        <v>40</v>
      </c>
      <c r="E100" s="93" t="s">
        <v>40</v>
      </c>
      <c r="F100" s="93" t="s">
        <v>41</v>
      </c>
      <c r="H100" s="100" t="s">
        <v>50</v>
      </c>
      <c r="I100" s="93"/>
      <c r="J100" s="93" t="s">
        <v>51</v>
      </c>
      <c r="L100" s="8">
        <v>1</v>
      </c>
      <c r="M100" s="8">
        <v>1</v>
      </c>
      <c r="N100" s="8">
        <v>10</v>
      </c>
      <c r="O100" s="8">
        <f t="shared" ref="O100:O107" si="21">N100/AVERAGE($N$100:$N$107)</f>
        <v>0.5</v>
      </c>
      <c r="P100" s="8">
        <f>(O100+O104)/2</f>
        <v>0.55000000000000004</v>
      </c>
    </row>
    <row r="101" spans="1:17">
      <c r="A101" s="3">
        <v>1</v>
      </c>
      <c r="B101" s="86">
        <v>10</v>
      </c>
      <c r="D101" s="25"/>
      <c r="E101" s="28">
        <f>E103</f>
        <v>18.8125</v>
      </c>
      <c r="F101" s="28">
        <f>B101/E101</f>
        <v>0.53156146179401997</v>
      </c>
      <c r="H101" s="3">
        <v>1</v>
      </c>
      <c r="I101" s="28">
        <f>(F101+F109)/2</f>
        <v>0.56578073089700998</v>
      </c>
      <c r="J101" s="28">
        <f>I101*(4/$I$105)</f>
        <v>0.55834005018084321</v>
      </c>
      <c r="L101" s="3">
        <v>2</v>
      </c>
      <c r="M101" s="3">
        <v>2</v>
      </c>
      <c r="N101" s="3">
        <v>20</v>
      </c>
      <c r="O101" s="8">
        <f t="shared" si="21"/>
        <v>1</v>
      </c>
      <c r="P101" s="8">
        <f t="shared" ref="P101:P103" si="22">(O101+O105)/2</f>
        <v>1.075</v>
      </c>
    </row>
    <row r="102" spans="1:17">
      <c r="D102" s="25"/>
      <c r="E102" s="28"/>
      <c r="F102" s="28"/>
      <c r="H102" s="3">
        <v>2</v>
      </c>
      <c r="I102" s="28">
        <f>(F103+F111)/2</f>
        <v>1.075940160018872</v>
      </c>
      <c r="J102" s="28">
        <f>I102*(4/$I$105)</f>
        <v>1.061790283992325</v>
      </c>
      <c r="L102" s="3">
        <v>3</v>
      </c>
      <c r="M102" s="3">
        <v>3</v>
      </c>
      <c r="N102" s="3">
        <v>26</v>
      </c>
      <c r="O102" s="8">
        <f t="shared" si="21"/>
        <v>1.3</v>
      </c>
      <c r="P102" s="8">
        <f t="shared" si="22"/>
        <v>1.4</v>
      </c>
    </row>
    <row r="103" spans="1:17">
      <c r="A103" s="3">
        <v>2</v>
      </c>
      <c r="B103" s="86">
        <v>20</v>
      </c>
      <c r="D103" s="25"/>
      <c r="E103" s="28">
        <f>AVERAGE(E105,E107)</f>
        <v>18.8125</v>
      </c>
      <c r="F103" s="28">
        <f>B103/E103</f>
        <v>1.0631229235880399</v>
      </c>
      <c r="H103" s="3">
        <v>3</v>
      </c>
      <c r="I103" s="28">
        <f>(F105+F113)/2</f>
        <v>1.4321859853774748</v>
      </c>
      <c r="J103" s="28">
        <f t="shared" ref="J103:J104" si="23">I103*(4/$I$105)</f>
        <v>1.4133510585914963</v>
      </c>
      <c r="L103" s="3">
        <v>4</v>
      </c>
      <c r="M103" s="3">
        <v>4</v>
      </c>
      <c r="N103" s="3">
        <v>17</v>
      </c>
      <c r="O103" s="8">
        <f t="shared" si="21"/>
        <v>0.85</v>
      </c>
      <c r="P103" s="8">
        <f t="shared" si="22"/>
        <v>0.97500000000000009</v>
      </c>
    </row>
    <row r="104" spans="1:17">
      <c r="D104" s="25">
        <f>AVERAGE(B101:B108)</f>
        <v>18.25</v>
      </c>
      <c r="E104" s="28"/>
      <c r="F104" s="28"/>
      <c r="H104" s="3">
        <v>4</v>
      </c>
      <c r="I104" s="28">
        <f>(F107+F115)/2</f>
        <v>0.97939885173927721</v>
      </c>
      <c r="J104" s="28">
        <f t="shared" si="23"/>
        <v>0.96651860723533545</v>
      </c>
      <c r="L104" s="3">
        <v>5</v>
      </c>
      <c r="M104" s="8">
        <v>1</v>
      </c>
      <c r="N104" s="3">
        <v>12</v>
      </c>
      <c r="O104" s="8">
        <f t="shared" si="21"/>
        <v>0.6</v>
      </c>
    </row>
    <row r="105" spans="1:17">
      <c r="A105" s="3">
        <v>3</v>
      </c>
      <c r="B105" s="86">
        <v>26</v>
      </c>
      <c r="D105" s="25"/>
      <c r="E105" s="28">
        <f>(D104+D106)/2</f>
        <v>18.5</v>
      </c>
      <c r="F105" s="28">
        <f>B105/E105</f>
        <v>1.4054054054054055</v>
      </c>
      <c r="H105" s="13" t="s">
        <v>0</v>
      </c>
      <c r="I105" s="102">
        <f>SUM(I101:I104)</f>
        <v>4.0533057280326341</v>
      </c>
      <c r="J105" s="102">
        <f>SUM(J101:J104)</f>
        <v>4</v>
      </c>
      <c r="L105" s="3">
        <v>6</v>
      </c>
      <c r="M105" s="3">
        <v>2</v>
      </c>
      <c r="N105" s="3">
        <v>23</v>
      </c>
      <c r="O105" s="8">
        <f t="shared" si="21"/>
        <v>1.1499999999999999</v>
      </c>
    </row>
    <row r="106" spans="1:17">
      <c r="D106" s="25">
        <f>AVERAGE(B103:B110)</f>
        <v>18.75</v>
      </c>
      <c r="E106" s="28"/>
      <c r="F106" s="28"/>
      <c r="L106" s="3">
        <v>7</v>
      </c>
      <c r="M106" s="3">
        <v>3</v>
      </c>
      <c r="N106" s="3">
        <v>30</v>
      </c>
      <c r="O106" s="8">
        <f t="shared" si="21"/>
        <v>1.5</v>
      </c>
    </row>
    <row r="107" spans="1:17">
      <c r="A107" s="3">
        <v>4</v>
      </c>
      <c r="B107" s="86">
        <v>17</v>
      </c>
      <c r="C107" s="25">
        <f>AVERAGE(B101:B107)</f>
        <v>18.25</v>
      </c>
      <c r="D107" s="25"/>
      <c r="E107" s="28">
        <f>(D106+D108)/2</f>
        <v>19.125</v>
      </c>
      <c r="F107" s="28">
        <f>B107/E107</f>
        <v>0.88888888888888884</v>
      </c>
      <c r="L107" s="3">
        <v>8</v>
      </c>
      <c r="M107" s="3">
        <v>4</v>
      </c>
      <c r="N107" s="3">
        <v>22</v>
      </c>
      <c r="O107" s="8">
        <f t="shared" si="21"/>
        <v>1.1000000000000001</v>
      </c>
      <c r="Q107" s="3">
        <f>INTERCEPT(N100:N107,A121:A128)</f>
        <v>13.571428571428571</v>
      </c>
    </row>
    <row r="108" spans="1:17">
      <c r="D108" s="25">
        <f>AVERAGE(B105:B112)</f>
        <v>19.5</v>
      </c>
      <c r="E108" s="28"/>
      <c r="F108" s="28"/>
      <c r="Q108" s="3">
        <f>SLOPE(N100:N107,L100:L107)</f>
        <v>1.4285714285714286</v>
      </c>
    </row>
    <row r="109" spans="1:17">
      <c r="A109" s="3">
        <v>5</v>
      </c>
      <c r="B109" s="86">
        <v>12</v>
      </c>
      <c r="C109" s="25">
        <f>AVERAGE(B103:B109)</f>
        <v>18.75</v>
      </c>
      <c r="D109" s="25"/>
      <c r="E109" s="28">
        <f>(D108+D110)/2</f>
        <v>20</v>
      </c>
      <c r="F109" s="28">
        <f>B109/E109</f>
        <v>0.6</v>
      </c>
    </row>
    <row r="110" spans="1:17">
      <c r="C110" s="25"/>
      <c r="D110" s="25">
        <f>AVERAGE(B107:B114)</f>
        <v>20.5</v>
      </c>
      <c r="E110" s="28"/>
      <c r="F110" s="28"/>
    </row>
    <row r="111" spans="1:17">
      <c r="A111" s="3">
        <v>6</v>
      </c>
      <c r="B111" s="86">
        <v>23</v>
      </c>
      <c r="C111" s="25">
        <f>AVERAGE(B105:B111)</f>
        <v>19.5</v>
      </c>
      <c r="D111" s="25"/>
      <c r="E111" s="28">
        <f>(D110+D112)/2</f>
        <v>21.125</v>
      </c>
      <c r="F111" s="28">
        <f>B111/E111</f>
        <v>1.0887573964497042</v>
      </c>
    </row>
    <row r="112" spans="1:17">
      <c r="C112" s="25"/>
      <c r="D112" s="25">
        <f>AVERAGE(B109:B116)</f>
        <v>21.75</v>
      </c>
      <c r="E112" s="28"/>
      <c r="F112" s="28"/>
    </row>
    <row r="113" spans="1:10">
      <c r="A113" s="3">
        <v>7</v>
      </c>
      <c r="B113" s="86">
        <v>30</v>
      </c>
      <c r="C113" s="25">
        <f>AVERAGE(B107:B113)</f>
        <v>20.5</v>
      </c>
      <c r="D113" s="25"/>
      <c r="E113" s="28">
        <f>AVERAGE(E109,E111)</f>
        <v>20.5625</v>
      </c>
      <c r="F113" s="28">
        <f>B113/E113</f>
        <v>1.4589665653495441</v>
      </c>
    </row>
    <row r="114" spans="1:10">
      <c r="C114" s="25"/>
      <c r="D114" s="25"/>
      <c r="E114" s="28"/>
      <c r="F114" s="28"/>
    </row>
    <row r="115" spans="1:10">
      <c r="A115" s="97">
        <v>8</v>
      </c>
      <c r="B115" s="103">
        <v>22</v>
      </c>
      <c r="C115" s="98">
        <f>AVERAGE(B109:B115)</f>
        <v>21.75</v>
      </c>
      <c r="D115" s="98"/>
      <c r="E115" s="48">
        <f>E113</f>
        <v>20.5625</v>
      </c>
      <c r="F115" s="48">
        <f>B115/E115</f>
        <v>1.0699088145896656</v>
      </c>
    </row>
    <row r="119" spans="1:10" s="108" customFormat="1" ht="24">
      <c r="A119" s="104"/>
      <c r="B119" s="105" t="s">
        <v>46</v>
      </c>
      <c r="C119" s="106" t="s">
        <v>2</v>
      </c>
      <c r="D119" s="104"/>
      <c r="E119" s="107" t="s">
        <v>48</v>
      </c>
      <c r="F119" s="96"/>
      <c r="G119" s="3"/>
    </row>
    <row r="120" spans="1:10" s="8" customFormat="1">
      <c r="A120" s="109"/>
      <c r="B120" s="109" t="s">
        <v>45</v>
      </c>
      <c r="C120" s="109" t="s">
        <v>47</v>
      </c>
      <c r="D120" s="109"/>
      <c r="E120" s="110" t="s">
        <v>49</v>
      </c>
      <c r="F120" s="109" t="s">
        <v>42</v>
      </c>
      <c r="H120" s="8" t="s">
        <v>102</v>
      </c>
      <c r="I120" s="8" t="s">
        <v>103</v>
      </c>
    </row>
    <row r="121" spans="1:10">
      <c r="A121" s="3">
        <v>1</v>
      </c>
      <c r="B121" s="25">
        <f>B101/$J$101</f>
        <v>17.910232297971561</v>
      </c>
      <c r="C121" s="8"/>
      <c r="E121" s="3" t="s">
        <v>8</v>
      </c>
      <c r="G121" s="3">
        <v>1</v>
      </c>
      <c r="H121" s="25">
        <f>B121</f>
        <v>17.910232297971561</v>
      </c>
      <c r="I121" s="25">
        <f>B121</f>
        <v>17.910232297971561</v>
      </c>
      <c r="J121" s="3">
        <f>TREND($H$121:$H$128,$G$121:$H$128)</f>
        <v>17.910232297971561</v>
      </c>
    </row>
    <row r="122" spans="1:10">
      <c r="A122" s="3">
        <v>2</v>
      </c>
      <c r="B122" s="25">
        <f>B103/$J$102</f>
        <v>18.836111331514658</v>
      </c>
      <c r="C122" s="8"/>
      <c r="E122" s="3">
        <f>INTERCEPT(B121:B128,A121:A128)</f>
        <v>16.790593983771874</v>
      </c>
      <c r="G122" s="3">
        <v>2</v>
      </c>
      <c r="H122" s="25">
        <f t="shared" ref="H122:H128" si="24">B122</f>
        <v>18.836111331514658</v>
      </c>
      <c r="I122" s="25">
        <f t="shared" ref="I122:I128" si="25">B122</f>
        <v>18.836111331514658</v>
      </c>
      <c r="J122" s="3">
        <f t="shared" ref="J122:J128" si="26">TREND($H$121:$H$128,$G$121:$H$128)</f>
        <v>17.910232297971561</v>
      </c>
    </row>
    <row r="123" spans="1:10">
      <c r="A123" s="3">
        <v>3</v>
      </c>
      <c r="B123" s="25">
        <f>B105/$J$103</f>
        <v>18.395995702519109</v>
      </c>
      <c r="C123" s="8"/>
      <c r="E123" s="3" t="s">
        <v>9</v>
      </c>
      <c r="G123" s="3">
        <v>3</v>
      </c>
      <c r="H123" s="25">
        <f t="shared" si="24"/>
        <v>18.395995702519109</v>
      </c>
      <c r="I123" s="25">
        <f t="shared" si="25"/>
        <v>18.395995702519109</v>
      </c>
      <c r="J123" s="3">
        <f t="shared" si="26"/>
        <v>17.910232297971561</v>
      </c>
    </row>
    <row r="124" spans="1:10">
      <c r="A124" s="3">
        <v>4</v>
      </c>
      <c r="B124" s="25">
        <f>B107/$J$104</f>
        <v>17.588900899308509</v>
      </c>
      <c r="C124" s="8"/>
      <c r="E124" s="3">
        <f>SLOPE(B121:B128,A121:A128)</f>
        <v>0.70968197454534898</v>
      </c>
      <c r="G124" s="3">
        <v>4</v>
      </c>
      <c r="H124" s="25">
        <f t="shared" si="24"/>
        <v>17.588900899308509</v>
      </c>
      <c r="I124" s="25">
        <f t="shared" si="25"/>
        <v>17.588900899308509</v>
      </c>
      <c r="J124" s="3">
        <f t="shared" si="26"/>
        <v>17.910232297971561</v>
      </c>
    </row>
    <row r="125" spans="1:10">
      <c r="A125" s="3">
        <v>5</v>
      </c>
      <c r="B125" s="25">
        <f>B109/$J$101</f>
        <v>21.492278757565874</v>
      </c>
      <c r="C125" s="8"/>
      <c r="G125" s="3">
        <v>5</v>
      </c>
      <c r="H125" s="25">
        <f t="shared" si="24"/>
        <v>21.492278757565874</v>
      </c>
      <c r="I125" s="25">
        <f t="shared" si="25"/>
        <v>21.492278757565874</v>
      </c>
      <c r="J125" s="3">
        <f t="shared" si="26"/>
        <v>17.910232297971561</v>
      </c>
    </row>
    <row r="126" spans="1:10">
      <c r="A126" s="3">
        <v>6</v>
      </c>
      <c r="B126" s="25">
        <f>B111/$J$102</f>
        <v>21.661528031241858</v>
      </c>
      <c r="C126" s="8"/>
      <c r="G126" s="3">
        <v>6</v>
      </c>
      <c r="H126" s="25">
        <f t="shared" si="24"/>
        <v>21.661528031241858</v>
      </c>
      <c r="I126" s="25">
        <f t="shared" si="25"/>
        <v>21.661528031241858</v>
      </c>
      <c r="J126" s="3">
        <f t="shared" si="26"/>
        <v>17.910232297971561</v>
      </c>
    </row>
    <row r="127" spans="1:10">
      <c r="A127" s="3">
        <v>7</v>
      </c>
      <c r="B127" s="25">
        <f>B113/$J$103</f>
        <v>21.226148887522047</v>
      </c>
      <c r="C127" s="8"/>
      <c r="G127" s="3">
        <v>7</v>
      </c>
      <c r="H127" s="25">
        <f t="shared" si="24"/>
        <v>21.226148887522047</v>
      </c>
      <c r="I127" s="25">
        <f t="shared" si="25"/>
        <v>21.226148887522047</v>
      </c>
      <c r="J127" s="3">
        <f t="shared" si="26"/>
        <v>17.910232297971561</v>
      </c>
    </row>
    <row r="128" spans="1:10">
      <c r="A128" s="97">
        <v>8</v>
      </c>
      <c r="B128" s="98">
        <f>B115/$J$104</f>
        <v>22.762107046163955</v>
      </c>
      <c r="C128" s="109"/>
      <c r="D128" s="97"/>
      <c r="E128" s="97"/>
      <c r="F128" s="97"/>
      <c r="G128" s="97">
        <v>8</v>
      </c>
      <c r="H128" s="98">
        <f t="shared" si="24"/>
        <v>22.762107046163955</v>
      </c>
      <c r="I128" s="98">
        <f t="shared" si="25"/>
        <v>22.762107046163955</v>
      </c>
      <c r="J128" s="3">
        <f t="shared" si="26"/>
        <v>17.910232297971561</v>
      </c>
    </row>
    <row r="129" spans="1:9">
      <c r="A129" s="3">
        <v>9</v>
      </c>
      <c r="B129" s="3"/>
      <c r="C129" s="95">
        <f>AVERAGE($B$123:$B$128)*J101</f>
        <v>11.457785441292703</v>
      </c>
      <c r="F129" s="25">
        <f>($E$122+$E$124*A129)*J101</f>
        <v>12.941055910986162</v>
      </c>
      <c r="G129" s="95" t="s">
        <v>104</v>
      </c>
      <c r="H129" s="25">
        <f>C129</f>
        <v>11.457785441292703</v>
      </c>
      <c r="I129" s="25">
        <f>F129</f>
        <v>12.941055910986162</v>
      </c>
    </row>
    <row r="130" spans="1:9">
      <c r="A130" s="3">
        <v>10</v>
      </c>
      <c r="B130" s="3"/>
      <c r="C130" s="95">
        <f>AVERAGE($B$123:$B$128)*J102</f>
        <v>21.789168184680435</v>
      </c>
      <c r="E130" s="25"/>
      <c r="F130" s="25">
        <f t="shared" ref="F130:F132" si="27">($E$122+$E$124*A130)*J102</f>
        <v>25.363423807396362</v>
      </c>
      <c r="G130" s="95" t="s">
        <v>105</v>
      </c>
      <c r="H130" s="25">
        <f t="shared" ref="H130:H132" si="28">C130</f>
        <v>21.789168184680435</v>
      </c>
      <c r="I130" s="25">
        <f t="shared" ref="I130:I132" si="29">F130</f>
        <v>25.363423807396362</v>
      </c>
    </row>
    <row r="131" spans="1:9">
      <c r="A131" s="3">
        <v>11</v>
      </c>
      <c r="B131" s="3"/>
      <c r="C131" s="95">
        <f>AVERAGE($B$123:$B$128)*J103</f>
        <v>29.003603050363612</v>
      </c>
      <c r="E131" s="25"/>
      <c r="F131" s="25">
        <f t="shared" si="27"/>
        <v>34.76433125120068</v>
      </c>
      <c r="G131" s="95" t="s">
        <v>106</v>
      </c>
      <c r="H131" s="25">
        <f t="shared" si="28"/>
        <v>29.003603050363612</v>
      </c>
      <c r="I131" s="25">
        <f t="shared" si="29"/>
        <v>34.76433125120068</v>
      </c>
    </row>
    <row r="132" spans="1:9">
      <c r="A132" s="97">
        <v>12</v>
      </c>
      <c r="B132" s="97"/>
      <c r="C132" s="111">
        <f>AVERAGE($B$123:$B$128)*J104</f>
        <v>19.834082873210811</v>
      </c>
      <c r="D132" s="97"/>
      <c r="E132" s="98"/>
      <c r="F132" s="98">
        <f t="shared" si="27"/>
        <v>24.459471515260315</v>
      </c>
      <c r="G132" s="95" t="s">
        <v>107</v>
      </c>
      <c r="H132" s="25">
        <f t="shared" si="28"/>
        <v>19.834082873210811</v>
      </c>
      <c r="I132" s="25">
        <f t="shared" si="29"/>
        <v>24.459471515260315</v>
      </c>
    </row>
    <row r="133" spans="1:9">
      <c r="B133" s="3"/>
      <c r="E133" s="25"/>
      <c r="F133" s="25"/>
      <c r="G133" s="25"/>
    </row>
    <row r="138" spans="1:9">
      <c r="A138" s="6" t="s">
        <v>52</v>
      </c>
    </row>
    <row r="139" spans="1:9">
      <c r="A139" s="3" t="s">
        <v>53</v>
      </c>
    </row>
    <row r="141" spans="1:9">
      <c r="A141" s="170" t="s">
        <v>24</v>
      </c>
      <c r="B141" s="162">
        <v>0.2</v>
      </c>
      <c r="E141" s="298" t="s">
        <v>60</v>
      </c>
      <c r="F141" s="298"/>
    </row>
    <row r="142" spans="1:9">
      <c r="A142" s="170" t="s">
        <v>29</v>
      </c>
      <c r="B142" s="162">
        <v>0.2</v>
      </c>
      <c r="E142" s="5" t="s">
        <v>58</v>
      </c>
      <c r="F142" s="5">
        <v>453.81</v>
      </c>
    </row>
    <row r="143" spans="1:9">
      <c r="A143" s="170" t="s">
        <v>57</v>
      </c>
      <c r="B143" s="162">
        <v>0.3</v>
      </c>
      <c r="E143" s="5" t="s">
        <v>59</v>
      </c>
      <c r="F143" s="5">
        <v>7.2750000000000004</v>
      </c>
    </row>
    <row r="145" spans="1:15" s="8" customFormat="1">
      <c r="A145" s="5" t="s">
        <v>22</v>
      </c>
      <c r="B145" s="162" t="s">
        <v>6</v>
      </c>
      <c r="C145" s="162" t="s">
        <v>54</v>
      </c>
      <c r="D145" s="5" t="s">
        <v>55</v>
      </c>
      <c r="E145" s="5" t="s">
        <v>56</v>
      </c>
      <c r="F145" s="5" t="s">
        <v>122</v>
      </c>
    </row>
    <row r="146" spans="1:15" s="8" customFormat="1">
      <c r="A146" s="14">
        <v>1</v>
      </c>
      <c r="B146" s="85">
        <v>379.1</v>
      </c>
      <c r="C146" s="163"/>
      <c r="D146" s="24"/>
      <c r="E146" s="14"/>
      <c r="F146" s="14"/>
      <c r="O146" s="99"/>
    </row>
    <row r="147" spans="1:15" s="8" customFormat="1">
      <c r="A147" s="14">
        <v>2</v>
      </c>
      <c r="B147" s="85">
        <v>472.8</v>
      </c>
      <c r="C147" s="164"/>
      <c r="D147" s="24"/>
      <c r="E147" s="14"/>
      <c r="F147" s="14"/>
      <c r="O147" s="99"/>
    </row>
    <row r="148" spans="1:15" s="8" customFormat="1">
      <c r="A148" s="14">
        <v>3</v>
      </c>
      <c r="B148" s="85">
        <v>428.4</v>
      </c>
      <c r="C148" s="164"/>
      <c r="D148" s="24"/>
      <c r="E148" s="14"/>
      <c r="F148" s="14"/>
    </row>
    <row r="149" spans="1:15" s="8" customFormat="1">
      <c r="A149" s="14">
        <v>4</v>
      </c>
      <c r="B149" s="85">
        <v>607.70000000000005</v>
      </c>
      <c r="C149" s="164"/>
      <c r="D149" s="24"/>
      <c r="E149" s="14"/>
      <c r="F149" s="14"/>
    </row>
    <row r="150" spans="1:15" s="8" customFormat="1">
      <c r="A150" s="14">
        <v>5</v>
      </c>
      <c r="B150" s="85">
        <v>413.8</v>
      </c>
      <c r="C150" s="164"/>
      <c r="D150" s="24"/>
      <c r="E150" s="24">
        <v>0.83399999999999996</v>
      </c>
      <c r="F150" s="14"/>
    </row>
    <row r="151" spans="1:15" s="8" customFormat="1">
      <c r="A151" s="14">
        <v>6</v>
      </c>
      <c r="B151" s="85">
        <v>512.79999999999995</v>
      </c>
      <c r="C151" s="164"/>
      <c r="D151" s="24"/>
      <c r="E151" s="24">
        <v>1.02</v>
      </c>
      <c r="F151" s="14"/>
    </row>
    <row r="152" spans="1:15" s="8" customFormat="1">
      <c r="A152" s="14">
        <v>7</v>
      </c>
      <c r="B152" s="85">
        <v>443.1</v>
      </c>
      <c r="C152" s="164"/>
      <c r="D152" s="24"/>
      <c r="E152" s="24">
        <v>0.89100000000000001</v>
      </c>
      <c r="F152" s="14"/>
    </row>
    <row r="153" spans="1:15">
      <c r="A153" s="17">
        <v>8</v>
      </c>
      <c r="B153" s="179">
        <v>634.70000000000005</v>
      </c>
      <c r="C153" s="166">
        <f>$F$142+$F$143*A153</f>
        <v>512.01</v>
      </c>
      <c r="D153" s="26">
        <v>7.2750000000000004</v>
      </c>
      <c r="E153" s="26">
        <v>1.2509999999999999</v>
      </c>
      <c r="F153" s="166"/>
      <c r="H153" s="8"/>
    </row>
    <row r="154" spans="1:15">
      <c r="A154" s="14">
        <v>9</v>
      </c>
      <c r="B154" s="85">
        <v>422.8</v>
      </c>
      <c r="C154" s="164">
        <f>$B$141*(B154/E150)+(1-$B$141)*(C153+D153)</f>
        <v>516.81888729016782</v>
      </c>
      <c r="D154" s="24">
        <f>$B$142*(C154-C153)+(1-$B$142)*D153</f>
        <v>6.7817774580335666</v>
      </c>
      <c r="E154" s="24">
        <f>$B$143*(B154/C154)+(1-$B$143)*E150</f>
        <v>0.82922446709921749</v>
      </c>
      <c r="F154" s="164">
        <f>(C153+D153)*E150</f>
        <v>433.08368999999993</v>
      </c>
    </row>
    <row r="155" spans="1:15">
      <c r="A155" s="14">
        <v>10</v>
      </c>
      <c r="B155" s="85">
        <v>500.1</v>
      </c>
      <c r="C155" s="164">
        <f t="shared" ref="C155:C161" si="30">$B$141*(B155/E151)+(1-$B$141)*(C154+D154)</f>
        <v>516.93935532797286</v>
      </c>
      <c r="D155" s="24">
        <f t="shared" ref="D155:D161" si="31">$B$142*(C155-C154)+(1-$B$142)*D154</f>
        <v>5.4495155739878616</v>
      </c>
      <c r="E155" s="24">
        <f t="shared" ref="E155:E161" si="32">$B$143*(B155/C155)+(1-$B$143)*E151</f>
        <v>1.0042274676007463</v>
      </c>
      <c r="F155" s="164">
        <f t="shared" ref="F155:F161" si="33">(C154+D154)*E151</f>
        <v>534.07267804316552</v>
      </c>
    </row>
    <row r="156" spans="1:15">
      <c r="A156" s="14">
        <v>11</v>
      </c>
      <c r="B156" s="85">
        <v>433</v>
      </c>
      <c r="C156" s="164">
        <f t="shared" si="30"/>
        <v>515.10526058239907</v>
      </c>
      <c r="D156" s="24">
        <f t="shared" si="31"/>
        <v>3.992793510075531</v>
      </c>
      <c r="E156" s="24">
        <f t="shared" si="32"/>
        <v>0.87588146646984288</v>
      </c>
      <c r="F156" s="164">
        <f t="shared" si="33"/>
        <v>465.44848397364694</v>
      </c>
    </row>
    <row r="157" spans="1:15">
      <c r="A157" s="14">
        <v>12</v>
      </c>
      <c r="B157" s="85">
        <v>666.2</v>
      </c>
      <c r="C157" s="164">
        <f t="shared" si="30"/>
        <v>521.78523783832827</v>
      </c>
      <c r="D157" s="24">
        <f t="shared" si="31"/>
        <v>4.5302302592462658</v>
      </c>
      <c r="E157" s="24">
        <f t="shared" si="32"/>
        <v>1.2587311505706591</v>
      </c>
      <c r="F157" s="164">
        <f t="shared" si="33"/>
        <v>649.39166566968572</v>
      </c>
    </row>
    <row r="158" spans="1:15">
      <c r="A158" s="14">
        <v>13</v>
      </c>
      <c r="B158" s="85">
        <v>459.8</v>
      </c>
      <c r="C158" s="164">
        <f t="shared" si="30"/>
        <v>531.95117648964685</v>
      </c>
      <c r="D158" s="24">
        <f t="shared" si="31"/>
        <v>5.6573719376607299</v>
      </c>
      <c r="E158" s="24">
        <f>$B$143*(B158/C158)+(1-$B$143)*E154</f>
        <v>0.83976663900074033</v>
      </c>
      <c r="F158" s="164">
        <f t="shared" si="33"/>
        <v>436.43366355928646</v>
      </c>
    </row>
    <row r="159" spans="1:15">
      <c r="A159" s="14">
        <v>14</v>
      </c>
      <c r="B159" s="85">
        <v>523</v>
      </c>
      <c r="C159" s="164">
        <f t="shared" si="30"/>
        <v>534.24650711847949</v>
      </c>
      <c r="D159" s="24">
        <f t="shared" si="31"/>
        <v>4.9849636758951101</v>
      </c>
      <c r="E159" s="24">
        <f t="shared" si="32"/>
        <v>0.99664388020905204</v>
      </c>
      <c r="F159" s="164">
        <f>(C158+D158)*E155</f>
        <v>539.88127114766826</v>
      </c>
    </row>
    <row r="160" spans="1:15">
      <c r="A160" s="14">
        <v>15</v>
      </c>
      <c r="B160" s="85">
        <v>508</v>
      </c>
      <c r="C160" s="164">
        <f t="shared" si="30"/>
        <v>547.38260766859275</v>
      </c>
      <c r="D160" s="24">
        <f t="shared" si="31"/>
        <v>6.6151910507387424</v>
      </c>
      <c r="E160" s="24">
        <f t="shared" si="32"/>
        <v>0.89153288750975079</v>
      </c>
      <c r="F160" s="164">
        <f t="shared" si="33"/>
        <v>472.30285140606702</v>
      </c>
    </row>
    <row r="161" spans="1:6">
      <c r="A161" s="17">
        <v>16</v>
      </c>
      <c r="B161" s="179">
        <v>696.8</v>
      </c>
      <c r="C161" s="166">
        <f t="shared" si="30"/>
        <v>553.91290583408681</v>
      </c>
      <c r="D161" s="26">
        <f t="shared" si="31"/>
        <v>6.5982124736898058</v>
      </c>
      <c r="E161" s="26">
        <f t="shared" si="32"/>
        <v>1.2584996542801905</v>
      </c>
      <c r="F161" s="166">
        <f t="shared" si="33"/>
        <v>697.33428659559661</v>
      </c>
    </row>
    <row r="163" spans="1:6">
      <c r="C163" s="86"/>
    </row>
    <row r="164" spans="1:6">
      <c r="C164" s="86"/>
    </row>
    <row r="165" spans="1:6">
      <c r="C165" s="86"/>
    </row>
  </sheetData>
  <mergeCells count="16">
    <mergeCell ref="R5:S5"/>
    <mergeCell ref="P5:Q5"/>
    <mergeCell ref="N5:O5"/>
    <mergeCell ref="L5:M5"/>
    <mergeCell ref="J20:K20"/>
    <mergeCell ref="G48:G49"/>
    <mergeCell ref="C5:D5"/>
    <mergeCell ref="E5:F5"/>
    <mergeCell ref="G5:H5"/>
    <mergeCell ref="A20:B20"/>
    <mergeCell ref="E141:F141"/>
    <mergeCell ref="C48:D48"/>
    <mergeCell ref="A48:A49"/>
    <mergeCell ref="B48:B49"/>
    <mergeCell ref="E48:E49"/>
    <mergeCell ref="F48:F4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6"/>
  <sheetViews>
    <sheetView showGridLines="0" zoomScaleNormal="100" workbookViewId="0">
      <selection activeCell="F29" sqref="F29"/>
    </sheetView>
  </sheetViews>
  <sheetFormatPr baseColWidth="10" defaultColWidth="11.5" defaultRowHeight="14"/>
  <cols>
    <col min="1" max="1" width="3.6640625" style="195" customWidth="1"/>
    <col min="2" max="2" width="10.33203125" style="195" customWidth="1"/>
    <col min="3" max="3" width="10.5" style="195" customWidth="1"/>
    <col min="4" max="4" width="14" style="195" customWidth="1"/>
    <col min="5" max="5" width="20.33203125" style="195" customWidth="1"/>
    <col min="6" max="6" width="16.83203125" style="195" customWidth="1"/>
    <col min="7" max="7" width="20.1640625" style="195" customWidth="1"/>
    <col min="8" max="9" width="13.1640625" style="195" customWidth="1"/>
    <col min="10" max="10" width="11.33203125" style="195" bestFit="1" customWidth="1"/>
    <col min="11" max="11" width="12.1640625" style="195" customWidth="1"/>
    <col min="12" max="12" width="13.6640625" style="195" customWidth="1"/>
    <col min="13" max="16384" width="11.5" style="195"/>
  </cols>
  <sheetData>
    <row r="1" spans="1:9" s="258" customFormat="1" ht="21">
      <c r="A1" s="257" t="s">
        <v>132</v>
      </c>
    </row>
    <row r="5" spans="1:9" ht="15">
      <c r="B5" s="322" t="s">
        <v>133</v>
      </c>
      <c r="C5" s="322"/>
      <c r="D5" s="322"/>
    </row>
    <row r="6" spans="1:9">
      <c r="B6" s="259" t="s">
        <v>134</v>
      </c>
      <c r="C6" s="259" t="s">
        <v>135</v>
      </c>
      <c r="D6" s="259" t="s">
        <v>136</v>
      </c>
      <c r="E6" s="259" t="s">
        <v>137</v>
      </c>
      <c r="G6" s="259" t="s">
        <v>138</v>
      </c>
      <c r="H6" s="259" t="s">
        <v>139</v>
      </c>
      <c r="I6" s="259" t="s">
        <v>140</v>
      </c>
    </row>
    <row r="7" spans="1:9">
      <c r="B7" s="205">
        <v>1</v>
      </c>
      <c r="C7" s="205">
        <v>4.42</v>
      </c>
      <c r="D7" s="205"/>
      <c r="E7" s="205"/>
      <c r="G7" s="205"/>
      <c r="H7" s="205"/>
      <c r="I7" s="205"/>
    </row>
    <row r="8" spans="1:9">
      <c r="B8" s="205">
        <v>2</v>
      </c>
      <c r="C8" s="205">
        <v>4.62</v>
      </c>
      <c r="D8" s="205"/>
      <c r="E8" s="205"/>
      <c r="G8" s="205"/>
      <c r="H8" s="205"/>
      <c r="I8" s="205"/>
    </row>
    <row r="9" spans="1:9">
      <c r="B9" s="205">
        <v>3</v>
      </c>
      <c r="C9" s="205">
        <v>4.29</v>
      </c>
      <c r="D9" s="205"/>
      <c r="E9" s="205"/>
      <c r="G9" s="205"/>
      <c r="H9" s="205"/>
      <c r="I9" s="205"/>
    </row>
    <row r="10" spans="1:9">
      <c r="B10" s="205">
        <v>4</v>
      </c>
      <c r="C10" s="205">
        <v>5.15</v>
      </c>
      <c r="D10" s="205">
        <f>ROUND(AVERAGE(C7:C9),2)</f>
        <v>4.4400000000000004</v>
      </c>
      <c r="E10" s="205"/>
      <c r="G10" s="205"/>
      <c r="H10" s="205"/>
      <c r="I10" s="205"/>
    </row>
    <row r="11" spans="1:9">
      <c r="B11" s="205">
        <v>5</v>
      </c>
      <c r="C11" s="205">
        <v>6.36</v>
      </c>
      <c r="D11" s="205">
        <f t="shared" ref="D11:D15" si="0">ROUND(AVERAGE(C8:C10),2)</f>
        <v>4.6900000000000004</v>
      </c>
      <c r="E11" s="205">
        <f>ROUND((D11-C11)^2,2)</f>
        <v>2.79</v>
      </c>
      <c r="G11" s="205">
        <f t="shared" ref="G11:G17" si="1">ROUND(AVERAGE(C7:C10),2)</f>
        <v>4.62</v>
      </c>
      <c r="H11" s="205"/>
      <c r="I11" s="205"/>
    </row>
    <row r="12" spans="1:9">
      <c r="B12" s="205">
        <v>6</v>
      </c>
      <c r="C12" s="205">
        <v>6.28</v>
      </c>
      <c r="D12" s="205">
        <f>ROUND(AVERAGE(C9:C11),2)</f>
        <v>5.27</v>
      </c>
      <c r="E12" s="205">
        <f t="shared" ref="E12:E17" si="2">ROUND((D12-C12)^2,2)</f>
        <v>1.02</v>
      </c>
      <c r="G12" s="205">
        <f t="shared" si="1"/>
        <v>5.1100000000000003</v>
      </c>
      <c r="H12" s="205">
        <f t="shared" ref="H12:H17" si="3">ROUND(AVERAGE(C7:C11),2)</f>
        <v>4.97</v>
      </c>
      <c r="I12" s="205"/>
    </row>
    <row r="13" spans="1:9">
      <c r="B13" s="205">
        <v>7</v>
      </c>
      <c r="C13" s="205">
        <v>6.59</v>
      </c>
      <c r="D13" s="205">
        <f>ROUND(AVERAGE(C10:C12),2)</f>
        <v>5.93</v>
      </c>
      <c r="E13" s="205">
        <f t="shared" si="2"/>
        <v>0.44</v>
      </c>
      <c r="G13" s="205">
        <f t="shared" si="1"/>
        <v>5.52</v>
      </c>
      <c r="H13" s="205">
        <f t="shared" si="3"/>
        <v>5.34</v>
      </c>
      <c r="I13" s="205">
        <f>ROUND(AVERAGE(C7:C12),2)</f>
        <v>5.19</v>
      </c>
    </row>
    <row r="14" spans="1:9">
      <c r="B14" s="205">
        <v>8</v>
      </c>
      <c r="C14" s="205">
        <v>5.97</v>
      </c>
      <c r="D14" s="205">
        <f>ROUND(AVERAGE(C11:C13),2)</f>
        <v>6.41</v>
      </c>
      <c r="E14" s="205">
        <f t="shared" si="2"/>
        <v>0.19</v>
      </c>
      <c r="G14" s="205">
        <f t="shared" si="1"/>
        <v>6.1</v>
      </c>
      <c r="H14" s="205">
        <f t="shared" si="3"/>
        <v>5.73</v>
      </c>
      <c r="I14" s="205">
        <f>ROUND(AVERAGE(C8:C13),2)</f>
        <v>5.55</v>
      </c>
    </row>
    <row r="15" spans="1:9">
      <c r="B15" s="205">
        <v>9</v>
      </c>
      <c r="C15" s="205">
        <v>6.23</v>
      </c>
      <c r="D15" s="205">
        <f t="shared" si="0"/>
        <v>6.28</v>
      </c>
      <c r="E15" s="205">
        <f t="shared" si="2"/>
        <v>0</v>
      </c>
      <c r="G15" s="205">
        <f t="shared" si="1"/>
        <v>6.3</v>
      </c>
      <c r="H15" s="205">
        <f t="shared" si="3"/>
        <v>6.07</v>
      </c>
      <c r="I15" s="205">
        <f>ROUND(AVERAGE(C9:C14),2)</f>
        <v>5.77</v>
      </c>
    </row>
    <row r="16" spans="1:9">
      <c r="B16" s="205">
        <v>10</v>
      </c>
      <c r="C16" s="205">
        <v>6.67</v>
      </c>
      <c r="D16" s="205">
        <f>ROUND(AVERAGE(C13:C15),2)</f>
        <v>6.26</v>
      </c>
      <c r="E16" s="205">
        <f t="shared" si="2"/>
        <v>0.17</v>
      </c>
      <c r="G16" s="205">
        <f t="shared" si="1"/>
        <v>6.27</v>
      </c>
      <c r="H16" s="205">
        <f t="shared" si="3"/>
        <v>6.29</v>
      </c>
      <c r="I16" s="205">
        <f>ROUND(AVERAGE(C10:C15),2)</f>
        <v>6.1</v>
      </c>
    </row>
    <row r="17" spans="2:9">
      <c r="B17" s="205">
        <v>11</v>
      </c>
      <c r="C17" s="205">
        <v>6.65</v>
      </c>
      <c r="D17" s="205">
        <f>ROUND(AVERAGE(C14:C16),2)</f>
        <v>6.29</v>
      </c>
      <c r="E17" s="205">
        <f t="shared" si="2"/>
        <v>0.13</v>
      </c>
      <c r="G17" s="205">
        <f t="shared" si="1"/>
        <v>6.37</v>
      </c>
      <c r="H17" s="205">
        <f t="shared" si="3"/>
        <v>6.35</v>
      </c>
      <c r="I17" s="205">
        <f>ROUND(AVERAGE(C11:C16),2)</f>
        <v>6.35</v>
      </c>
    </row>
    <row r="18" spans="2:9">
      <c r="B18" s="205">
        <v>12</v>
      </c>
      <c r="C18" s="205"/>
      <c r="D18" s="205">
        <f>ROUND(AVERAGE(C15:C17),2)</f>
        <v>6.52</v>
      </c>
      <c r="E18" s="205"/>
      <c r="G18" s="205"/>
      <c r="H18" s="205"/>
      <c r="I18" s="205"/>
    </row>
    <row r="21" spans="2:9">
      <c r="D21" s="259" t="s">
        <v>11</v>
      </c>
      <c r="E21" s="205">
        <f>ROUND(SUM(E11:E17)/7,2)</f>
        <v>0.68</v>
      </c>
    </row>
    <row r="22" spans="2:9" s="260" customFormat="1" ht="15"/>
    <row r="23" spans="2:9" s="260" customFormat="1" ht="15"/>
    <row r="24" spans="2:9" s="260" customFormat="1" ht="15"/>
    <row r="25" spans="2:9" s="260" customFormat="1" ht="15"/>
    <row r="27" spans="2:9" s="261" customFormat="1" ht="4.5" customHeight="1"/>
    <row r="29" spans="2:9" ht="15">
      <c r="C29" s="322" t="s">
        <v>141</v>
      </c>
      <c r="D29" s="322"/>
      <c r="G29" s="262" t="s">
        <v>142</v>
      </c>
    </row>
    <row r="30" spans="2:9" ht="15">
      <c r="C30" s="263" t="s">
        <v>24</v>
      </c>
      <c r="D30" s="205">
        <f>E30/100</f>
        <v>0.8</v>
      </c>
      <c r="E30" s="264">
        <v>80</v>
      </c>
    </row>
    <row r="31" spans="2:9">
      <c r="B31" s="259" t="s">
        <v>134</v>
      </c>
      <c r="C31" s="259" t="s">
        <v>135</v>
      </c>
      <c r="D31" s="259" t="s">
        <v>122</v>
      </c>
      <c r="E31" s="259" t="s">
        <v>137</v>
      </c>
    </row>
    <row r="32" spans="2:9">
      <c r="B32" s="205">
        <v>1</v>
      </c>
      <c r="C32" s="205">
        <v>110</v>
      </c>
      <c r="D32" s="265">
        <f>C32</f>
        <v>110</v>
      </c>
      <c r="E32" s="205"/>
    </row>
    <row r="33" spans="2:7">
      <c r="B33" s="205">
        <v>2</v>
      </c>
      <c r="C33" s="205">
        <v>118</v>
      </c>
      <c r="D33" s="265">
        <f>ROUND(D32+$D$30*(C32-D32),2)</f>
        <v>110</v>
      </c>
      <c r="E33" s="205"/>
      <c r="G33" s="253" t="s">
        <v>143</v>
      </c>
    </row>
    <row r="34" spans="2:7">
      <c r="B34" s="205">
        <v>3</v>
      </c>
      <c r="C34" s="205">
        <v>137</v>
      </c>
      <c r="D34" s="265">
        <f t="shared" ref="D34:D43" si="4">ROUND(D33+$D$30*(C33-D33),2)</f>
        <v>116.4</v>
      </c>
      <c r="E34" s="205"/>
      <c r="G34" s="205">
        <v>0.25030097400000001</v>
      </c>
    </row>
    <row r="35" spans="2:7">
      <c r="B35" s="205">
        <v>4</v>
      </c>
      <c r="C35" s="205">
        <v>111</v>
      </c>
      <c r="D35" s="265">
        <f t="shared" si="4"/>
        <v>132.88</v>
      </c>
      <c r="E35" s="205"/>
    </row>
    <row r="36" spans="2:7">
      <c r="B36" s="205">
        <v>5</v>
      </c>
      <c r="C36" s="205">
        <v>119</v>
      </c>
      <c r="D36" s="265">
        <f t="shared" si="4"/>
        <v>115.38</v>
      </c>
      <c r="E36" s="205">
        <f t="shared" ref="E36:E42" si="5">ROUND((D36-C36)^2,2)</f>
        <v>13.1</v>
      </c>
    </row>
    <row r="37" spans="2:7">
      <c r="B37" s="205">
        <v>6</v>
      </c>
      <c r="C37" s="205">
        <v>129</v>
      </c>
      <c r="D37" s="265">
        <f t="shared" si="4"/>
        <v>118.28</v>
      </c>
      <c r="E37" s="205">
        <f t="shared" si="5"/>
        <v>114.92</v>
      </c>
    </row>
    <row r="38" spans="2:7">
      <c r="B38" s="205">
        <v>7</v>
      </c>
      <c r="C38" s="205">
        <v>118</v>
      </c>
      <c r="D38" s="265">
        <f t="shared" si="4"/>
        <v>126.86</v>
      </c>
      <c r="E38" s="205">
        <f t="shared" si="5"/>
        <v>78.5</v>
      </c>
    </row>
    <row r="39" spans="2:7">
      <c r="B39" s="205">
        <v>8</v>
      </c>
      <c r="C39" s="205">
        <v>110</v>
      </c>
      <c r="D39" s="265">
        <f t="shared" si="4"/>
        <v>119.77</v>
      </c>
      <c r="E39" s="205">
        <f t="shared" si="5"/>
        <v>95.45</v>
      </c>
    </row>
    <row r="40" spans="2:7">
      <c r="B40" s="205">
        <v>9</v>
      </c>
      <c r="C40" s="205">
        <v>115</v>
      </c>
      <c r="D40" s="265">
        <f t="shared" si="4"/>
        <v>111.95</v>
      </c>
      <c r="E40" s="205">
        <f t="shared" si="5"/>
        <v>9.3000000000000007</v>
      </c>
    </row>
    <row r="41" spans="2:7">
      <c r="B41" s="205">
        <v>10</v>
      </c>
      <c r="C41" s="205">
        <v>113</v>
      </c>
      <c r="D41" s="265">
        <f t="shared" si="4"/>
        <v>114.39</v>
      </c>
      <c r="E41" s="205">
        <f t="shared" si="5"/>
        <v>1.93</v>
      </c>
    </row>
    <row r="42" spans="2:7">
      <c r="B42" s="205">
        <v>11</v>
      </c>
      <c r="C42" s="205">
        <v>119</v>
      </c>
      <c r="D42" s="265">
        <f t="shared" si="4"/>
        <v>113.28</v>
      </c>
      <c r="E42" s="205">
        <f t="shared" si="5"/>
        <v>32.72</v>
      </c>
    </row>
    <row r="43" spans="2:7">
      <c r="B43" s="205">
        <v>12</v>
      </c>
      <c r="C43" s="205"/>
      <c r="D43" s="265">
        <f t="shared" si="4"/>
        <v>117.86</v>
      </c>
      <c r="E43" s="205"/>
    </row>
    <row r="46" spans="2:7">
      <c r="D46" s="259" t="s">
        <v>11</v>
      </c>
      <c r="E46" s="205">
        <f>ROUND(SUM(E36:E42)/7,2)</f>
        <v>49.42</v>
      </c>
    </row>
    <row r="47" spans="2:7" s="260" customFormat="1" ht="15"/>
    <row r="48" spans="2:7" s="260" customFormat="1" ht="15"/>
    <row r="49" spans="2:11" s="260" customFormat="1" ht="15"/>
    <row r="50" spans="2:11" s="260" customFormat="1" ht="15"/>
    <row r="52" spans="2:11" s="261" customFormat="1" ht="4.5" customHeight="1"/>
    <row r="55" spans="2:11" ht="15">
      <c r="C55" s="322" t="s">
        <v>144</v>
      </c>
      <c r="D55" s="322"/>
      <c r="E55" s="89"/>
      <c r="I55" s="262" t="s">
        <v>142</v>
      </c>
      <c r="K55" s="266" t="s">
        <v>145</v>
      </c>
    </row>
    <row r="56" spans="2:11" ht="15">
      <c r="C56" s="263" t="s">
        <v>24</v>
      </c>
      <c r="D56" s="205">
        <f>E56/100</f>
        <v>0.45</v>
      </c>
      <c r="E56" s="264">
        <v>45</v>
      </c>
      <c r="F56" s="89"/>
      <c r="G56" s="89"/>
    </row>
    <row r="57" spans="2:11" ht="15">
      <c r="C57" s="263" t="s">
        <v>29</v>
      </c>
      <c r="D57" s="205">
        <f>E57/100</f>
        <v>0.5</v>
      </c>
      <c r="E57" s="264">
        <v>50</v>
      </c>
      <c r="F57" s="89"/>
      <c r="G57" s="89"/>
    </row>
    <row r="58" spans="2:11">
      <c r="B58" s="259" t="s">
        <v>134</v>
      </c>
      <c r="C58" s="259" t="s">
        <v>135</v>
      </c>
      <c r="D58" s="259" t="s">
        <v>54</v>
      </c>
      <c r="E58" s="259" t="s">
        <v>55</v>
      </c>
      <c r="F58" s="259" t="s">
        <v>122</v>
      </c>
      <c r="G58" s="259" t="s">
        <v>137</v>
      </c>
    </row>
    <row r="59" spans="2:11">
      <c r="B59" s="205">
        <v>1</v>
      </c>
      <c r="C59" s="205">
        <v>442</v>
      </c>
      <c r="D59" s="205">
        <f>C59</f>
        <v>442</v>
      </c>
      <c r="E59" s="205">
        <f>C60-C59</f>
        <v>20</v>
      </c>
      <c r="F59" s="265"/>
      <c r="G59" s="205"/>
    </row>
    <row r="60" spans="2:11">
      <c r="B60" s="205">
        <v>2</v>
      </c>
      <c r="C60" s="205">
        <v>462</v>
      </c>
      <c r="D60" s="205">
        <f>ROUND($D$56*C60+(1-$D$56)*F60,2)</f>
        <v>462</v>
      </c>
      <c r="E60" s="205">
        <f t="shared" ref="E60:E69" si="6">ROUND($D$57*(D60-D59)+(1-$D$57)*E59,2)</f>
        <v>20</v>
      </c>
      <c r="F60" s="265">
        <f>D59+E59</f>
        <v>462</v>
      </c>
      <c r="G60" s="205"/>
      <c r="I60" s="267" t="s">
        <v>143</v>
      </c>
    </row>
    <row r="61" spans="2:11">
      <c r="B61" s="205">
        <v>3</v>
      </c>
      <c r="C61" s="205">
        <v>429</v>
      </c>
      <c r="D61" s="205">
        <f t="shared" ref="D61:D69" si="7">ROUND($D$56*C61+(1-$D$56)*F61,2)</f>
        <v>458.15</v>
      </c>
      <c r="E61" s="205">
        <f t="shared" si="6"/>
        <v>8.07</v>
      </c>
      <c r="F61" s="265">
        <f t="shared" ref="F61:F62" si="8">D60+E60</f>
        <v>482</v>
      </c>
      <c r="G61" s="205"/>
      <c r="I61" s="205">
        <v>1.4018625958831341E-2</v>
      </c>
    </row>
    <row r="62" spans="2:11">
      <c r="B62" s="205">
        <v>4</v>
      </c>
      <c r="C62" s="205">
        <v>515</v>
      </c>
      <c r="D62" s="205">
        <f t="shared" si="7"/>
        <v>488.17</v>
      </c>
      <c r="E62" s="205">
        <f t="shared" si="6"/>
        <v>19.05</v>
      </c>
      <c r="F62" s="265">
        <f t="shared" si="8"/>
        <v>466.21999999999997</v>
      </c>
      <c r="G62" s="205"/>
      <c r="I62" s="267" t="s">
        <v>146</v>
      </c>
    </row>
    <row r="63" spans="2:11">
      <c r="B63" s="205">
        <v>5</v>
      </c>
      <c r="C63" s="205">
        <v>636</v>
      </c>
      <c r="D63" s="205">
        <f t="shared" si="7"/>
        <v>565.16999999999996</v>
      </c>
      <c r="E63" s="205">
        <f t="shared" si="6"/>
        <v>48.03</v>
      </c>
      <c r="F63" s="265">
        <f>D62+E62</f>
        <v>507.22</v>
      </c>
      <c r="G63" s="205">
        <f t="shared" ref="G63:G69" si="9">ROUND((F63-C11)^2,2)</f>
        <v>250860.74</v>
      </c>
      <c r="I63" s="205">
        <v>0.18678165515269229</v>
      </c>
    </row>
    <row r="64" spans="2:11">
      <c r="B64" s="205">
        <v>6</v>
      </c>
      <c r="C64" s="205">
        <v>628</v>
      </c>
      <c r="D64" s="205">
        <f t="shared" si="7"/>
        <v>619.86</v>
      </c>
      <c r="E64" s="205">
        <f t="shared" si="6"/>
        <v>51.36</v>
      </c>
      <c r="F64" s="265">
        <f t="shared" ref="F64:F70" si="10">D63+E63</f>
        <v>613.19999999999993</v>
      </c>
      <c r="G64" s="205">
        <f t="shared" si="9"/>
        <v>368351.89</v>
      </c>
    </row>
    <row r="65" spans="2:7">
      <c r="B65" s="205">
        <v>7</v>
      </c>
      <c r="C65" s="205">
        <v>659</v>
      </c>
      <c r="D65" s="205">
        <f t="shared" si="7"/>
        <v>665.72</v>
      </c>
      <c r="E65" s="205">
        <f t="shared" si="6"/>
        <v>48.61</v>
      </c>
      <c r="F65" s="265">
        <f t="shared" si="10"/>
        <v>671.22</v>
      </c>
      <c r="G65" s="205">
        <f t="shared" si="9"/>
        <v>441733.04</v>
      </c>
    </row>
    <row r="66" spans="2:7">
      <c r="B66" s="205">
        <v>8</v>
      </c>
      <c r="C66" s="205">
        <v>638</v>
      </c>
      <c r="D66" s="205">
        <f t="shared" si="7"/>
        <v>679.98</v>
      </c>
      <c r="E66" s="205">
        <f t="shared" si="6"/>
        <v>31.44</v>
      </c>
      <c r="F66" s="265">
        <f t="shared" si="10"/>
        <v>714.33</v>
      </c>
      <c r="G66" s="205">
        <f t="shared" si="9"/>
        <v>501773.89</v>
      </c>
    </row>
    <row r="67" spans="2:7">
      <c r="B67" s="205">
        <v>9</v>
      </c>
      <c r="C67" s="205">
        <v>623</v>
      </c>
      <c r="D67" s="205">
        <f t="shared" si="7"/>
        <v>671.63</v>
      </c>
      <c r="E67" s="205">
        <f t="shared" si="6"/>
        <v>11.55</v>
      </c>
      <c r="F67" s="265">
        <f t="shared" si="10"/>
        <v>711.42000000000007</v>
      </c>
      <c r="G67" s="205">
        <f t="shared" si="9"/>
        <v>497292.94</v>
      </c>
    </row>
    <row r="68" spans="2:7">
      <c r="B68" s="205">
        <v>10</v>
      </c>
      <c r="C68" s="205">
        <v>689</v>
      </c>
      <c r="D68" s="205">
        <f t="shared" si="7"/>
        <v>685.8</v>
      </c>
      <c r="E68" s="205">
        <f t="shared" si="6"/>
        <v>12.86</v>
      </c>
      <c r="F68" s="265">
        <f t="shared" si="10"/>
        <v>683.18</v>
      </c>
      <c r="G68" s="205">
        <f t="shared" si="9"/>
        <v>457665.78</v>
      </c>
    </row>
    <row r="69" spans="2:7">
      <c r="B69" s="205">
        <v>11</v>
      </c>
      <c r="C69" s="205">
        <v>710</v>
      </c>
      <c r="D69" s="205">
        <f t="shared" si="7"/>
        <v>703.76</v>
      </c>
      <c r="E69" s="205">
        <f t="shared" si="6"/>
        <v>15.41</v>
      </c>
      <c r="F69" s="265">
        <f t="shared" si="10"/>
        <v>698.66</v>
      </c>
      <c r="G69" s="205">
        <f t="shared" si="9"/>
        <v>478877.84</v>
      </c>
    </row>
    <row r="70" spans="2:7">
      <c r="B70" s="205">
        <v>12</v>
      </c>
      <c r="C70" s="205"/>
      <c r="D70" s="205"/>
      <c r="E70" s="205"/>
      <c r="F70" s="265">
        <f t="shared" si="10"/>
        <v>719.17</v>
      </c>
      <c r="G70" s="205"/>
    </row>
    <row r="73" spans="2:7">
      <c r="F73" s="259" t="s">
        <v>11</v>
      </c>
      <c r="G73" s="205">
        <f>ROUND(SUM(G63:G69)/7,2)</f>
        <v>428079.45</v>
      </c>
    </row>
    <row r="76" spans="2:7" s="261" customFormat="1" ht="4.5" customHeight="1"/>
    <row r="82" spans="1:17">
      <c r="N82" s="262" t="s">
        <v>142</v>
      </c>
      <c r="Q82" s="205">
        <f>C85</f>
        <v>1</v>
      </c>
    </row>
    <row r="83" spans="1:17" ht="15">
      <c r="B83" s="319" t="s">
        <v>147</v>
      </c>
      <c r="C83" s="320"/>
      <c r="D83" s="320"/>
      <c r="E83" s="320"/>
      <c r="F83" s="320"/>
      <c r="G83" s="320"/>
      <c r="H83" s="320"/>
      <c r="I83" s="320"/>
      <c r="J83" s="320"/>
      <c r="K83" s="320"/>
      <c r="L83" s="323"/>
      <c r="N83" s="266" t="s">
        <v>145</v>
      </c>
      <c r="Q83" s="205">
        <f>D85</f>
        <v>0.95</v>
      </c>
    </row>
    <row r="84" spans="1:17" ht="15">
      <c r="C84" s="268" t="s">
        <v>24</v>
      </c>
      <c r="D84" s="268" t="s">
        <v>29</v>
      </c>
      <c r="E84" s="268" t="s">
        <v>57</v>
      </c>
      <c r="N84" s="269" t="s">
        <v>148</v>
      </c>
      <c r="Q84" s="205">
        <f>E85</f>
        <v>0.7</v>
      </c>
    </row>
    <row r="85" spans="1:17">
      <c r="C85" s="205">
        <f>C86/100</f>
        <v>1</v>
      </c>
      <c r="D85" s="205">
        <f t="shared" ref="D85:E85" si="11">D86/100</f>
        <v>0.95</v>
      </c>
      <c r="E85" s="205">
        <f t="shared" si="11"/>
        <v>0.7</v>
      </c>
    </row>
    <row r="86" spans="1:17">
      <c r="C86" s="264">
        <v>100</v>
      </c>
      <c r="D86" s="264">
        <v>95</v>
      </c>
      <c r="E86" s="264">
        <v>70</v>
      </c>
    </row>
    <row r="87" spans="1:17" ht="51.75" customHeight="1">
      <c r="B87" s="259" t="s">
        <v>149</v>
      </c>
      <c r="C87" s="259" t="s">
        <v>150</v>
      </c>
      <c r="D87" s="259" t="s">
        <v>22</v>
      </c>
      <c r="E87" s="259" t="s">
        <v>135</v>
      </c>
      <c r="F87" s="270" t="s">
        <v>151</v>
      </c>
      <c r="G87" s="270" t="s">
        <v>152</v>
      </c>
      <c r="H87" s="271" t="s">
        <v>153</v>
      </c>
      <c r="I87" s="272" t="s">
        <v>54</v>
      </c>
      <c r="J87" s="259" t="s">
        <v>55</v>
      </c>
      <c r="K87" s="259" t="s">
        <v>122</v>
      </c>
      <c r="L87" s="259" t="s">
        <v>137</v>
      </c>
    </row>
    <row r="88" spans="1:17">
      <c r="B88" s="205"/>
      <c r="C88" s="205"/>
      <c r="D88" s="205">
        <v>0</v>
      </c>
      <c r="E88" s="205"/>
      <c r="F88" s="273"/>
      <c r="G88" s="273"/>
      <c r="H88" s="274"/>
      <c r="I88" s="275">
        <f t="shared" ref="I88:I95" si="12">$F$110+$F$109*D88</f>
        <v>453.83</v>
      </c>
      <c r="J88" s="205"/>
      <c r="K88" s="265"/>
      <c r="L88" s="205"/>
    </row>
    <row r="89" spans="1:17">
      <c r="A89" s="324" t="s">
        <v>154</v>
      </c>
      <c r="B89" s="205">
        <v>2010</v>
      </c>
      <c r="C89" s="205" t="s">
        <v>155</v>
      </c>
      <c r="D89" s="205">
        <v>1</v>
      </c>
      <c r="E89" s="205">
        <v>379.1</v>
      </c>
      <c r="F89" s="276">
        <f t="shared" ref="F89:F96" si="13">ROUND(E89/($F$110+D89*$F$109),2)</f>
        <v>0.82</v>
      </c>
      <c r="G89" s="276"/>
      <c r="H89" s="205"/>
      <c r="I89" s="275">
        <f t="shared" si="12"/>
        <v>461.09999999999997</v>
      </c>
      <c r="J89" s="205"/>
      <c r="K89" s="265"/>
      <c r="L89" s="205"/>
    </row>
    <row r="90" spans="1:17">
      <c r="A90" s="325"/>
      <c r="B90" s="205">
        <v>2010</v>
      </c>
      <c r="C90" s="205" t="s">
        <v>156</v>
      </c>
      <c r="D90" s="205">
        <v>2</v>
      </c>
      <c r="E90" s="205">
        <v>472.8</v>
      </c>
      <c r="F90" s="276">
        <f t="shared" si="13"/>
        <v>1.01</v>
      </c>
      <c r="G90" s="276"/>
      <c r="H90" s="205"/>
      <c r="I90" s="275">
        <f t="shared" si="12"/>
        <v>468.37</v>
      </c>
      <c r="J90" s="205"/>
      <c r="K90" s="265"/>
      <c r="L90" s="205"/>
    </row>
    <row r="91" spans="1:17">
      <c r="A91" s="325"/>
      <c r="B91" s="205">
        <v>2010</v>
      </c>
      <c r="C91" s="205" t="s">
        <v>157</v>
      </c>
      <c r="D91" s="205">
        <v>3</v>
      </c>
      <c r="E91" s="205">
        <v>428.4</v>
      </c>
      <c r="F91" s="276">
        <f t="shared" si="13"/>
        <v>0.9</v>
      </c>
      <c r="G91" s="276"/>
      <c r="H91" s="205"/>
      <c r="I91" s="275">
        <f t="shared" si="12"/>
        <v>475.64</v>
      </c>
      <c r="J91" s="205"/>
      <c r="K91" s="265"/>
      <c r="L91" s="205"/>
    </row>
    <row r="92" spans="1:17" ht="15" thickBot="1">
      <c r="A92" s="325"/>
      <c r="B92" s="277">
        <v>2010</v>
      </c>
      <c r="C92" s="277" t="s">
        <v>158</v>
      </c>
      <c r="D92" s="277">
        <v>4</v>
      </c>
      <c r="E92" s="277">
        <v>607.70000000000005</v>
      </c>
      <c r="F92" s="278">
        <f t="shared" si="13"/>
        <v>1.26</v>
      </c>
      <c r="G92" s="278"/>
      <c r="H92" s="277"/>
      <c r="I92" s="279">
        <f t="shared" si="12"/>
        <v>482.90999999999997</v>
      </c>
      <c r="J92" s="277"/>
      <c r="K92" s="280"/>
      <c r="L92" s="277"/>
    </row>
    <row r="93" spans="1:17">
      <c r="A93" s="325"/>
      <c r="B93" s="190">
        <v>2011</v>
      </c>
      <c r="C93" s="190" t="s">
        <v>155</v>
      </c>
      <c r="D93" s="190">
        <v>5</v>
      </c>
      <c r="E93" s="190">
        <v>413.8</v>
      </c>
      <c r="F93" s="281">
        <f t="shared" si="13"/>
        <v>0.84</v>
      </c>
      <c r="G93" s="282">
        <f>AVERAGE(F93,F89)</f>
        <v>0.83</v>
      </c>
      <c r="H93" s="283">
        <f>ROUND(G93/AVERAGE($G$93:$G$96),2)</f>
        <v>0.83</v>
      </c>
      <c r="I93" s="284">
        <f t="shared" si="12"/>
        <v>490.17999999999995</v>
      </c>
      <c r="J93" s="190"/>
      <c r="K93" s="285"/>
      <c r="L93" s="190"/>
    </row>
    <row r="94" spans="1:17">
      <c r="A94" s="325"/>
      <c r="B94" s="205">
        <v>2011</v>
      </c>
      <c r="C94" s="205" t="s">
        <v>156</v>
      </c>
      <c r="D94" s="205">
        <v>6</v>
      </c>
      <c r="E94" s="205">
        <v>512.79999999999995</v>
      </c>
      <c r="F94" s="276">
        <f t="shared" si="13"/>
        <v>1.03</v>
      </c>
      <c r="G94" s="286">
        <f t="shared" ref="G94:G95" si="14">AVERAGE(F94,F90)</f>
        <v>1.02</v>
      </c>
      <c r="H94" s="287">
        <f>ROUND(G94/AVERAGE($G$93:$G$96),2)</f>
        <v>1.02</v>
      </c>
      <c r="I94" s="275">
        <f t="shared" si="12"/>
        <v>497.45</v>
      </c>
      <c r="J94" s="205"/>
      <c r="K94" s="265"/>
      <c r="L94" s="205"/>
    </row>
    <row r="95" spans="1:17">
      <c r="A95" s="325"/>
      <c r="B95" s="205">
        <v>2011</v>
      </c>
      <c r="C95" s="205" t="s">
        <v>157</v>
      </c>
      <c r="D95" s="205">
        <v>7</v>
      </c>
      <c r="E95" s="205">
        <v>443.1</v>
      </c>
      <c r="F95" s="276">
        <f t="shared" si="13"/>
        <v>0.88</v>
      </c>
      <c r="G95" s="286">
        <f t="shared" si="14"/>
        <v>0.89</v>
      </c>
      <c r="H95" s="287">
        <f t="shared" ref="H95:H96" si="15">ROUND(G95/AVERAGE($G$93:$G$96),2)</f>
        <v>0.89</v>
      </c>
      <c r="I95" s="275">
        <f t="shared" si="12"/>
        <v>504.71999999999997</v>
      </c>
      <c r="J95" s="205"/>
      <c r="K95" s="265"/>
      <c r="L95" s="205"/>
    </row>
    <row r="96" spans="1:17" ht="15" thickBot="1">
      <c r="A96" s="326"/>
      <c r="B96" s="288">
        <v>2011</v>
      </c>
      <c r="C96" s="288" t="s">
        <v>158</v>
      </c>
      <c r="D96" s="288">
        <v>8</v>
      </c>
      <c r="E96" s="288">
        <v>634.70000000000005</v>
      </c>
      <c r="F96" s="289">
        <f t="shared" si="13"/>
        <v>1.24</v>
      </c>
      <c r="G96" s="290">
        <f>AVERAGE(F96,F92)</f>
        <v>1.25</v>
      </c>
      <c r="H96" s="291">
        <f t="shared" si="15"/>
        <v>1.25</v>
      </c>
      <c r="I96" s="288">
        <f>F110+F109*D96</f>
        <v>511.99</v>
      </c>
      <c r="J96" s="288">
        <f>F109</f>
        <v>7.27</v>
      </c>
      <c r="K96" s="292"/>
      <c r="L96" s="288"/>
    </row>
    <row r="97" spans="1:12">
      <c r="A97" s="325" t="s">
        <v>159</v>
      </c>
      <c r="B97" s="190">
        <v>2012</v>
      </c>
      <c r="C97" s="190" t="s">
        <v>155</v>
      </c>
      <c r="D97" s="190">
        <v>9</v>
      </c>
      <c r="E97" s="215">
        <v>422.8</v>
      </c>
      <c r="F97" s="281"/>
      <c r="G97" s="281"/>
      <c r="H97" s="190">
        <f>ROUND($E$85*(E97/I97)+(1-$E$85)*H93,2)</f>
        <v>0.83</v>
      </c>
      <c r="I97" s="190">
        <f>ROUND((E97/H93)*$C$85+(1-$C$85)*(I96+J96),2)</f>
        <v>509.4</v>
      </c>
      <c r="J97" s="190">
        <f>ROUND($D$85*(I97-I96)+(1-$D$85)*J96,2)</f>
        <v>-2.1</v>
      </c>
      <c r="K97" s="285">
        <f>ROUND((I96+J96)*H93,2)</f>
        <v>430.99</v>
      </c>
      <c r="L97" s="190">
        <f>(K97-E97)^2</f>
        <v>67.076099999999968</v>
      </c>
    </row>
    <row r="98" spans="1:12">
      <c r="A98" s="325"/>
      <c r="B98" s="205">
        <v>2012</v>
      </c>
      <c r="C98" s="205" t="s">
        <v>156</v>
      </c>
      <c r="D98" s="205">
        <v>10</v>
      </c>
      <c r="E98" s="243">
        <v>500.1</v>
      </c>
      <c r="F98" s="276"/>
      <c r="G98" s="276"/>
      <c r="H98" s="205">
        <f t="shared" ref="H98:H104" si="16">ROUND($E$85*(E98/I98)+(1-$E$85)*H94,2)</f>
        <v>1.02</v>
      </c>
      <c r="I98" s="205">
        <f t="shared" ref="I98:I104" si="17">ROUND((E98/H94)*$C$85+(1-$C$85)*(I97+J97),2)</f>
        <v>490.29</v>
      </c>
      <c r="J98" s="205">
        <f t="shared" ref="J98:J104" si="18">ROUND($D$85*(I98-I97)+(1-$D$85)*J97,2)</f>
        <v>-18.260000000000002</v>
      </c>
      <c r="K98" s="265">
        <f t="shared" ref="K98:K104" si="19">ROUND((I97+J97)*H94,2)</f>
        <v>517.45000000000005</v>
      </c>
      <c r="L98" s="205">
        <f t="shared" ref="L98:L103" si="20">(K98-E98)^2</f>
        <v>301.02250000000078</v>
      </c>
    </row>
    <row r="99" spans="1:12">
      <c r="A99" s="325"/>
      <c r="B99" s="205">
        <v>2012</v>
      </c>
      <c r="C99" s="205" t="s">
        <v>157</v>
      </c>
      <c r="D99" s="205">
        <v>11</v>
      </c>
      <c r="E99" s="243">
        <v>433</v>
      </c>
      <c r="F99" s="276"/>
      <c r="G99" s="276"/>
      <c r="H99" s="205">
        <f t="shared" si="16"/>
        <v>0.89</v>
      </c>
      <c r="I99" s="205">
        <f t="shared" si="17"/>
        <v>486.52</v>
      </c>
      <c r="J99" s="205">
        <f t="shared" si="18"/>
        <v>-4.49</v>
      </c>
      <c r="K99" s="265">
        <f t="shared" si="19"/>
        <v>420.11</v>
      </c>
      <c r="L99" s="205">
        <f t="shared" si="20"/>
        <v>166.15209999999965</v>
      </c>
    </row>
    <row r="100" spans="1:12" ht="15" thickBot="1">
      <c r="A100" s="325"/>
      <c r="B100" s="277">
        <v>2012</v>
      </c>
      <c r="C100" s="277" t="s">
        <v>158</v>
      </c>
      <c r="D100" s="277">
        <v>12</v>
      </c>
      <c r="E100" s="293">
        <v>666.2</v>
      </c>
      <c r="F100" s="278"/>
      <c r="G100" s="278"/>
      <c r="H100" s="277">
        <f t="shared" si="16"/>
        <v>1.25</v>
      </c>
      <c r="I100" s="277">
        <f t="shared" si="17"/>
        <v>532.96</v>
      </c>
      <c r="J100" s="277">
        <f t="shared" si="18"/>
        <v>43.89</v>
      </c>
      <c r="K100" s="280">
        <f t="shared" si="19"/>
        <v>602.54</v>
      </c>
      <c r="L100" s="277">
        <f t="shared" si="20"/>
        <v>4052.5956000000106</v>
      </c>
    </row>
    <row r="101" spans="1:12">
      <c r="A101" s="325"/>
      <c r="B101" s="190">
        <v>2013</v>
      </c>
      <c r="C101" s="190" t="s">
        <v>155</v>
      </c>
      <c r="D101" s="190">
        <v>13</v>
      </c>
      <c r="E101" s="215">
        <v>459.8</v>
      </c>
      <c r="F101" s="281"/>
      <c r="G101" s="281"/>
      <c r="H101" s="190">
        <f t="shared" si="16"/>
        <v>0.83</v>
      </c>
      <c r="I101" s="190">
        <f t="shared" si="17"/>
        <v>553.98</v>
      </c>
      <c r="J101" s="190">
        <f t="shared" si="18"/>
        <v>22.16</v>
      </c>
      <c r="K101" s="285">
        <f t="shared" si="19"/>
        <v>478.79</v>
      </c>
      <c r="L101" s="190">
        <f t="shared" si="20"/>
        <v>360.62010000000032</v>
      </c>
    </row>
    <row r="102" spans="1:12">
      <c r="A102" s="325"/>
      <c r="B102" s="205">
        <v>2013</v>
      </c>
      <c r="C102" s="205" t="s">
        <v>156</v>
      </c>
      <c r="D102" s="205">
        <v>14</v>
      </c>
      <c r="E102" s="243">
        <v>523</v>
      </c>
      <c r="F102" s="276"/>
      <c r="G102" s="276"/>
      <c r="H102" s="205">
        <f t="shared" si="16"/>
        <v>1.02</v>
      </c>
      <c r="I102" s="205">
        <f t="shared" si="17"/>
        <v>512.75</v>
      </c>
      <c r="J102" s="205">
        <f t="shared" si="18"/>
        <v>-38.06</v>
      </c>
      <c r="K102" s="265">
        <f t="shared" si="19"/>
        <v>587.66</v>
      </c>
      <c r="L102" s="205">
        <f t="shared" si="20"/>
        <v>4180.9155999999957</v>
      </c>
    </row>
    <row r="103" spans="1:12">
      <c r="A103" s="325"/>
      <c r="B103" s="205">
        <v>2013</v>
      </c>
      <c r="C103" s="205" t="s">
        <v>157</v>
      </c>
      <c r="D103" s="205">
        <v>15</v>
      </c>
      <c r="E103" s="243">
        <v>508</v>
      </c>
      <c r="F103" s="276"/>
      <c r="G103" s="276"/>
      <c r="H103" s="205">
        <f t="shared" si="16"/>
        <v>0.89</v>
      </c>
      <c r="I103" s="205">
        <f t="shared" si="17"/>
        <v>570.79</v>
      </c>
      <c r="J103" s="205">
        <f t="shared" si="18"/>
        <v>53.24</v>
      </c>
      <c r="K103" s="265">
        <f t="shared" si="19"/>
        <v>422.47</v>
      </c>
      <c r="L103" s="205">
        <f t="shared" si="20"/>
        <v>7315.3808999999956</v>
      </c>
    </row>
    <row r="104" spans="1:12">
      <c r="A104" s="327"/>
      <c r="B104" s="205">
        <v>2013</v>
      </c>
      <c r="C104" s="205" t="s">
        <v>158</v>
      </c>
      <c r="D104" s="205">
        <v>16</v>
      </c>
      <c r="E104" s="243"/>
      <c r="F104" s="276"/>
      <c r="G104" s="276"/>
      <c r="H104" s="205" t="e">
        <f t="shared" si="16"/>
        <v>#DIV/0!</v>
      </c>
      <c r="I104" s="205">
        <f t="shared" si="17"/>
        <v>0</v>
      </c>
      <c r="J104" s="205">
        <f t="shared" si="18"/>
        <v>-539.59</v>
      </c>
      <c r="K104" s="265">
        <f t="shared" si="19"/>
        <v>780.04</v>
      </c>
      <c r="L104" s="205"/>
    </row>
    <row r="107" spans="1:12">
      <c r="K107" s="259" t="s">
        <v>11</v>
      </c>
      <c r="L107" s="205">
        <f>SUM(L97:L104)/8</f>
        <v>2055.4703625000002</v>
      </c>
    </row>
    <row r="108" spans="1:12">
      <c r="B108" s="317" t="s">
        <v>160</v>
      </c>
      <c r="C108" s="318"/>
    </row>
    <row r="109" spans="1:12" ht="31.5" customHeight="1">
      <c r="B109" s="205">
        <v>2010</v>
      </c>
      <c r="C109" s="205">
        <f>AVERAGE(E89:E92)</f>
        <v>472.00000000000006</v>
      </c>
      <c r="E109" s="294" t="s">
        <v>161</v>
      </c>
      <c r="F109" s="205">
        <f>ROUND((C110-C109)/4,2)</f>
        <v>7.27</v>
      </c>
    </row>
    <row r="110" spans="1:12" ht="48" customHeight="1">
      <c r="B110" s="205">
        <v>2011</v>
      </c>
      <c r="C110" s="205">
        <f>AVERAGE(E93:E96)</f>
        <v>501.09999999999997</v>
      </c>
      <c r="E110" s="294" t="s">
        <v>162</v>
      </c>
      <c r="F110" s="205">
        <f>ROUND(C109-F109*(4+1)/2,2)</f>
        <v>453.83</v>
      </c>
      <c r="G110" s="260"/>
      <c r="H110" s="260"/>
      <c r="I110" s="260"/>
      <c r="J110" s="260"/>
      <c r="K110" s="260"/>
    </row>
    <row r="111" spans="1:12" ht="15">
      <c r="G111" s="260"/>
      <c r="H111" s="260"/>
      <c r="I111" s="260"/>
      <c r="J111" s="260"/>
      <c r="K111" s="260"/>
    </row>
    <row r="112" spans="1:12" ht="15">
      <c r="G112" s="260"/>
      <c r="H112" s="260"/>
      <c r="I112" s="260"/>
      <c r="J112" s="260"/>
      <c r="K112" s="260"/>
    </row>
    <row r="113" spans="1:11" ht="15">
      <c r="G113" s="260"/>
      <c r="H113" s="260"/>
      <c r="I113" s="260"/>
      <c r="J113" s="260"/>
      <c r="K113" s="260"/>
    </row>
    <row r="114" spans="1:11" ht="15">
      <c r="G114" s="260"/>
      <c r="H114" s="260"/>
      <c r="I114" s="260"/>
      <c r="J114" s="260"/>
      <c r="K114" s="260"/>
    </row>
    <row r="115" spans="1:11" s="261" customFormat="1" ht="4.5" customHeight="1"/>
    <row r="116" spans="1:11" ht="15">
      <c r="G116" s="260"/>
      <c r="H116" s="260"/>
      <c r="I116" s="260"/>
      <c r="J116" s="260"/>
      <c r="K116" s="260"/>
    </row>
    <row r="118" spans="1:11" ht="15">
      <c r="B118" s="319" t="s">
        <v>50</v>
      </c>
      <c r="C118" s="320"/>
      <c r="D118" s="320"/>
      <c r="E118" s="320"/>
    </row>
    <row r="120" spans="1:11">
      <c r="B120" s="259" t="s">
        <v>149</v>
      </c>
      <c r="C120" s="259" t="s">
        <v>163</v>
      </c>
      <c r="D120" s="259" t="s">
        <v>22</v>
      </c>
      <c r="E120" s="259" t="s">
        <v>135</v>
      </c>
      <c r="G120" s="259" t="s">
        <v>164</v>
      </c>
      <c r="H120" s="205">
        <f>ROUND(AVERAGE(E121:E132),2)</f>
        <v>488.25</v>
      </c>
    </row>
    <row r="121" spans="1:11">
      <c r="A121" s="321" t="s">
        <v>165</v>
      </c>
      <c r="B121" s="295">
        <v>2010</v>
      </c>
      <c r="C121" s="205" t="s">
        <v>166</v>
      </c>
      <c r="D121" s="205">
        <v>1</v>
      </c>
      <c r="E121" s="205">
        <v>442</v>
      </c>
    </row>
    <row r="122" spans="1:11">
      <c r="A122" s="321"/>
      <c r="B122" s="295">
        <v>2010</v>
      </c>
      <c r="C122" s="205" t="s">
        <v>167</v>
      </c>
      <c r="D122" s="205">
        <v>2</v>
      </c>
      <c r="E122" s="205">
        <v>449</v>
      </c>
      <c r="G122" s="259" t="s">
        <v>163</v>
      </c>
      <c r="H122" s="259" t="s">
        <v>153</v>
      </c>
    </row>
    <row r="123" spans="1:11">
      <c r="A123" s="321"/>
      <c r="B123" s="295">
        <v>2010</v>
      </c>
      <c r="C123" s="205" t="s">
        <v>168</v>
      </c>
      <c r="D123" s="205">
        <v>3</v>
      </c>
      <c r="E123" s="205">
        <v>553</v>
      </c>
      <c r="G123" s="205" t="s">
        <v>166</v>
      </c>
      <c r="H123" s="205">
        <f>ROUND(AVERAGE(E121,E125,E129)/$H$120,2)</f>
        <v>0.87</v>
      </c>
    </row>
    <row r="124" spans="1:11" ht="15" thickBot="1">
      <c r="A124" s="321"/>
      <c r="B124" s="296">
        <v>2010</v>
      </c>
      <c r="C124" s="288" t="s">
        <v>169</v>
      </c>
      <c r="D124" s="288">
        <v>4</v>
      </c>
      <c r="E124" s="288">
        <v>520</v>
      </c>
      <c r="G124" s="205" t="s">
        <v>167</v>
      </c>
      <c r="H124" s="205">
        <f>ROUND(AVERAGE(E122,E126,E130)/$H$120,2)</f>
        <v>0.91</v>
      </c>
    </row>
    <row r="125" spans="1:11">
      <c r="A125" s="321"/>
      <c r="B125" s="297">
        <v>2011</v>
      </c>
      <c r="C125" s="190" t="s">
        <v>166</v>
      </c>
      <c r="D125" s="190">
        <v>5</v>
      </c>
      <c r="E125" s="190">
        <v>423</v>
      </c>
      <c r="G125" s="205" t="s">
        <v>168</v>
      </c>
      <c r="H125" s="205">
        <f>ROUND(AVERAGE(E123,E127,E131)/$H$120,2)</f>
        <v>1.1299999999999999</v>
      </c>
    </row>
    <row r="126" spans="1:11">
      <c r="A126" s="321"/>
      <c r="B126" s="295">
        <v>2011</v>
      </c>
      <c r="C126" s="205" t="s">
        <v>167</v>
      </c>
      <c r="D126" s="205">
        <v>6</v>
      </c>
      <c r="E126" s="205">
        <v>436</v>
      </c>
      <c r="G126" s="205" t="s">
        <v>169</v>
      </c>
      <c r="H126" s="205">
        <f>ROUND(AVERAGE(E124,E128,E132)/$H$120,2)</f>
        <v>1.0900000000000001</v>
      </c>
    </row>
    <row r="127" spans="1:11">
      <c r="A127" s="321"/>
      <c r="B127" s="295">
        <v>2011</v>
      </c>
      <c r="C127" s="205" t="s">
        <v>168</v>
      </c>
      <c r="D127" s="205">
        <v>7</v>
      </c>
      <c r="E127" s="205">
        <v>542</v>
      </c>
    </row>
    <row r="128" spans="1:11" ht="15" thickBot="1">
      <c r="A128" s="321"/>
      <c r="B128" s="296">
        <v>2011</v>
      </c>
      <c r="C128" s="288" t="s">
        <v>169</v>
      </c>
      <c r="D128" s="288">
        <v>8</v>
      </c>
      <c r="E128" s="288">
        <v>532</v>
      </c>
    </row>
    <row r="129" spans="1:5">
      <c r="A129" s="321"/>
      <c r="B129" s="297">
        <v>2012</v>
      </c>
      <c r="C129" s="190" t="s">
        <v>166</v>
      </c>
      <c r="D129" s="190">
        <v>9</v>
      </c>
      <c r="E129" s="190">
        <v>410</v>
      </c>
    </row>
    <row r="130" spans="1:5">
      <c r="A130" s="321"/>
      <c r="B130" s="295">
        <v>2012</v>
      </c>
      <c r="C130" s="205" t="s">
        <v>167</v>
      </c>
      <c r="D130" s="205">
        <v>10</v>
      </c>
      <c r="E130" s="205">
        <v>443</v>
      </c>
    </row>
    <row r="131" spans="1:5">
      <c r="A131" s="321"/>
      <c r="B131" s="295">
        <v>2012</v>
      </c>
      <c r="C131" s="205" t="s">
        <v>168</v>
      </c>
      <c r="D131" s="205">
        <v>11</v>
      </c>
      <c r="E131" s="205">
        <v>560</v>
      </c>
    </row>
    <row r="132" spans="1:5" ht="15" thickBot="1">
      <c r="A132" s="321"/>
      <c r="B132" s="288">
        <v>2012</v>
      </c>
      <c r="C132" s="288" t="s">
        <v>169</v>
      </c>
      <c r="D132" s="288">
        <v>12</v>
      </c>
      <c r="E132" s="288">
        <v>549</v>
      </c>
    </row>
    <row r="133" spans="1:5">
      <c r="A133" s="321" t="s">
        <v>2</v>
      </c>
      <c r="B133" s="190">
        <v>2013</v>
      </c>
      <c r="C133" s="190" t="s">
        <v>166</v>
      </c>
      <c r="D133" s="190">
        <v>13</v>
      </c>
      <c r="E133" s="190">
        <f>ROUND($H$120*H123,2)</f>
        <v>424.78</v>
      </c>
    </row>
    <row r="134" spans="1:5">
      <c r="A134" s="321"/>
      <c r="B134" s="205">
        <v>2013</v>
      </c>
      <c r="C134" s="205" t="s">
        <v>167</v>
      </c>
      <c r="D134" s="205">
        <v>14</v>
      </c>
      <c r="E134" s="190">
        <f t="shared" ref="E134:E136" si="21">ROUND($H$120*H124,2)</f>
        <v>444.31</v>
      </c>
    </row>
    <row r="135" spans="1:5">
      <c r="A135" s="321"/>
      <c r="B135" s="205">
        <v>2013</v>
      </c>
      <c r="C135" s="205" t="s">
        <v>168</v>
      </c>
      <c r="D135" s="205">
        <v>15</v>
      </c>
      <c r="E135" s="190">
        <f t="shared" si="21"/>
        <v>551.72</v>
      </c>
    </row>
    <row r="136" spans="1:5">
      <c r="A136" s="321"/>
      <c r="B136" s="205">
        <v>2013</v>
      </c>
      <c r="C136" s="205" t="s">
        <v>169</v>
      </c>
      <c r="D136" s="205">
        <v>16</v>
      </c>
      <c r="E136" s="190">
        <f t="shared" si="21"/>
        <v>532.19000000000005</v>
      </c>
    </row>
  </sheetData>
  <mergeCells count="10">
    <mergeCell ref="B108:C108"/>
    <mergeCell ref="B118:E118"/>
    <mergeCell ref="A121:A132"/>
    <mergeCell ref="A133:A136"/>
    <mergeCell ref="B5:D5"/>
    <mergeCell ref="C29:D29"/>
    <mergeCell ref="C55:D55"/>
    <mergeCell ref="B83:L83"/>
    <mergeCell ref="A89:A96"/>
    <mergeCell ref="A97:A104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Scroll Bar 1">
              <controlPr defaultSize="0" autoPict="0">
                <anchor moveWithCells="1">
                  <from>
                    <xdr:col>6</xdr:col>
                    <xdr:colOff>0</xdr:colOff>
                    <xdr:row>29</xdr:row>
                    <xdr:rowOff>25400</xdr:rowOff>
                  </from>
                  <to>
                    <xdr:col>7</xdr:col>
                    <xdr:colOff>50800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Scroll Bar 2">
              <controlPr defaultSize="0" autoPict="0">
                <anchor moveWithCells="1">
                  <from>
                    <xdr:col>10</xdr:col>
                    <xdr:colOff>0</xdr:colOff>
                    <xdr:row>55</xdr:row>
                    <xdr:rowOff>25400</xdr:rowOff>
                  </from>
                  <to>
                    <xdr:col>11</xdr:col>
                    <xdr:colOff>292100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Scroll Bar 3">
              <controlPr defaultSize="0" autoPict="0">
                <anchor moveWithCells="1">
                  <from>
                    <xdr:col>7</xdr:col>
                    <xdr:colOff>863600</xdr:colOff>
                    <xdr:row>55</xdr:row>
                    <xdr:rowOff>25400</xdr:rowOff>
                  </from>
                  <to>
                    <xdr:col>9</xdr:col>
                    <xdr:colOff>203200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Scroll Bar 4">
              <controlPr defaultSize="0" autoPict="0">
                <anchor moveWithCells="1">
                  <from>
                    <xdr:col>14</xdr:col>
                    <xdr:colOff>25400</xdr:colOff>
                    <xdr:row>81</xdr:row>
                    <xdr:rowOff>12700</xdr:rowOff>
                  </from>
                  <to>
                    <xdr:col>15</xdr:col>
                    <xdr:colOff>355600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Scroll Bar 5">
              <controlPr defaultSize="0" autoPict="0">
                <anchor moveWithCells="1">
                  <from>
                    <xdr:col>14</xdr:col>
                    <xdr:colOff>50800</xdr:colOff>
                    <xdr:row>82</xdr:row>
                    <xdr:rowOff>25400</xdr:rowOff>
                  </from>
                  <to>
                    <xdr:col>15</xdr:col>
                    <xdr:colOff>368300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Scroll Bar 6">
              <controlPr defaultSize="0" autoPict="0">
                <anchor moveWithCells="1">
                  <from>
                    <xdr:col>14</xdr:col>
                    <xdr:colOff>38100</xdr:colOff>
                    <xdr:row>83</xdr:row>
                    <xdr:rowOff>38100</xdr:rowOff>
                  </from>
                  <to>
                    <xdr:col>15</xdr:col>
                    <xdr:colOff>368300</xdr:colOff>
                    <xdr:row>84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87"/>
  <sheetViews>
    <sheetView showGridLines="0" zoomScale="85" zoomScaleNormal="85" workbookViewId="0">
      <selection activeCell="W38" sqref="W38"/>
    </sheetView>
  </sheetViews>
  <sheetFormatPr baseColWidth="10" defaultColWidth="11.5" defaultRowHeight="14"/>
  <cols>
    <col min="1" max="1" width="3" style="89" customWidth="1"/>
    <col min="2" max="2" width="8.83203125" style="89" customWidth="1"/>
    <col min="3" max="3" width="12.5" style="89" customWidth="1"/>
    <col min="4" max="4" width="13.1640625" style="89" bestFit="1" customWidth="1"/>
    <col min="5" max="10" width="8.83203125" style="89" customWidth="1"/>
    <col min="11" max="16384" width="11.5" style="89"/>
  </cols>
  <sheetData>
    <row r="1" spans="1:10">
      <c r="A1" s="89" t="s">
        <v>62</v>
      </c>
    </row>
    <row r="3" spans="1:10">
      <c r="A3" s="340" t="s">
        <v>22</v>
      </c>
      <c r="B3" s="338" t="s">
        <v>6</v>
      </c>
      <c r="C3" s="336" t="s">
        <v>126</v>
      </c>
      <c r="D3" s="328" t="s">
        <v>127</v>
      </c>
      <c r="E3" s="330" t="s">
        <v>69</v>
      </c>
      <c r="F3" s="331"/>
      <c r="G3" s="330" t="s">
        <v>13</v>
      </c>
      <c r="H3" s="331"/>
      <c r="I3" s="330" t="s">
        <v>68</v>
      </c>
      <c r="J3" s="331"/>
    </row>
    <row r="4" spans="1:10" s="182" customFormat="1">
      <c r="A4" s="341"/>
      <c r="B4" s="339"/>
      <c r="C4" s="337"/>
      <c r="D4" s="329"/>
      <c r="E4" s="180" t="s">
        <v>126</v>
      </c>
      <c r="F4" s="181" t="s">
        <v>127</v>
      </c>
      <c r="G4" s="180" t="s">
        <v>126</v>
      </c>
      <c r="H4" s="181" t="s">
        <v>127</v>
      </c>
      <c r="I4" s="180" t="s">
        <v>126</v>
      </c>
      <c r="J4" s="181" t="s">
        <v>127</v>
      </c>
    </row>
    <row r="5" spans="1:10">
      <c r="A5" s="183">
        <v>1</v>
      </c>
      <c r="B5" s="184">
        <v>283</v>
      </c>
      <c r="C5" s="185">
        <v>299</v>
      </c>
      <c r="D5" s="186">
        <v>285</v>
      </c>
      <c r="E5" s="187">
        <f t="shared" ref="E5:F10" si="0">ABS($B5-C5)</f>
        <v>16</v>
      </c>
      <c r="F5" s="188">
        <f t="shared" si="0"/>
        <v>2</v>
      </c>
      <c r="G5" s="187">
        <f t="shared" ref="G5:H10" si="1">POWER($B5-C5,2)</f>
        <v>256</v>
      </c>
      <c r="H5" s="188">
        <f t="shared" si="1"/>
        <v>4</v>
      </c>
      <c r="I5" s="187">
        <f t="shared" ref="I5:I10" si="2">ABS(C5-B5)/B5</f>
        <v>5.6537102473498232E-2</v>
      </c>
      <c r="J5" s="188">
        <f t="shared" ref="J5:J10" si="3">ABS(B5-D5)/B5</f>
        <v>7.0671378091872791E-3</v>
      </c>
    </row>
    <row r="6" spans="1:10">
      <c r="A6" s="183">
        <v>2</v>
      </c>
      <c r="B6" s="184">
        <v>244</v>
      </c>
      <c r="C6" s="185">
        <v>292</v>
      </c>
      <c r="D6" s="186">
        <v>285</v>
      </c>
      <c r="E6" s="187">
        <f t="shared" si="0"/>
        <v>48</v>
      </c>
      <c r="F6" s="188">
        <f t="shared" si="0"/>
        <v>41</v>
      </c>
      <c r="G6" s="187">
        <f t="shared" si="1"/>
        <v>2304</v>
      </c>
      <c r="H6" s="188">
        <f t="shared" si="1"/>
        <v>1681</v>
      </c>
      <c r="I6" s="187">
        <f t="shared" si="2"/>
        <v>0.19672131147540983</v>
      </c>
      <c r="J6" s="188">
        <f t="shared" si="3"/>
        <v>0.16803278688524589</v>
      </c>
    </row>
    <row r="7" spans="1:10">
      <c r="A7" s="183">
        <v>3</v>
      </c>
      <c r="B7" s="184">
        <v>266</v>
      </c>
      <c r="C7" s="185">
        <v>278</v>
      </c>
      <c r="D7" s="186">
        <v>281</v>
      </c>
      <c r="E7" s="187">
        <f t="shared" si="0"/>
        <v>12</v>
      </c>
      <c r="F7" s="188">
        <f t="shared" si="0"/>
        <v>15</v>
      </c>
      <c r="G7" s="187">
        <f t="shared" si="1"/>
        <v>144</v>
      </c>
      <c r="H7" s="188">
        <f t="shared" si="1"/>
        <v>225</v>
      </c>
      <c r="I7" s="187">
        <f t="shared" si="2"/>
        <v>4.5112781954887216E-2</v>
      </c>
      <c r="J7" s="188">
        <f t="shared" si="3"/>
        <v>5.6390977443609019E-2</v>
      </c>
    </row>
    <row r="8" spans="1:10">
      <c r="A8" s="183">
        <v>4</v>
      </c>
      <c r="B8" s="184">
        <v>278</v>
      </c>
      <c r="C8" s="187">
        <f>AVERAGE(B5:B7)</f>
        <v>264.33333333333331</v>
      </c>
      <c r="D8" s="186">
        <v>280</v>
      </c>
      <c r="E8" s="187">
        <f t="shared" si="0"/>
        <v>13.666666666666686</v>
      </c>
      <c r="F8" s="188">
        <f t="shared" si="0"/>
        <v>2</v>
      </c>
      <c r="G8" s="187">
        <f t="shared" si="1"/>
        <v>186.77777777777828</v>
      </c>
      <c r="H8" s="188">
        <f t="shared" si="1"/>
        <v>4</v>
      </c>
      <c r="I8" s="187">
        <f t="shared" si="2"/>
        <v>4.9160671462829805E-2</v>
      </c>
      <c r="J8" s="188">
        <f t="shared" si="3"/>
        <v>7.1942446043165471E-3</v>
      </c>
    </row>
    <row r="9" spans="1:10">
      <c r="A9" s="183">
        <v>5</v>
      </c>
      <c r="B9" s="184">
        <v>257</v>
      </c>
      <c r="C9" s="187">
        <f t="shared" ref="C9:C10" si="4">AVERAGE(B6:B8)</f>
        <v>262.66666666666669</v>
      </c>
      <c r="D9" s="186">
        <v>280</v>
      </c>
      <c r="E9" s="187">
        <f t="shared" si="0"/>
        <v>5.6666666666666856</v>
      </c>
      <c r="F9" s="188">
        <f t="shared" si="0"/>
        <v>23</v>
      </c>
      <c r="G9" s="187">
        <f t="shared" si="1"/>
        <v>32.111111111111327</v>
      </c>
      <c r="H9" s="188">
        <f t="shared" si="1"/>
        <v>529</v>
      </c>
      <c r="I9" s="187">
        <f t="shared" si="2"/>
        <v>2.2049286640726404E-2</v>
      </c>
      <c r="J9" s="188">
        <f t="shared" si="3"/>
        <v>8.9494163424124515E-2</v>
      </c>
    </row>
    <row r="10" spans="1:10" ht="15" thickBot="1">
      <c r="A10" s="189">
        <v>6</v>
      </c>
      <c r="B10" s="190">
        <v>228</v>
      </c>
      <c r="C10" s="191">
        <f t="shared" si="4"/>
        <v>267</v>
      </c>
      <c r="D10" s="192">
        <v>278</v>
      </c>
      <c r="E10" s="193">
        <f t="shared" si="0"/>
        <v>39</v>
      </c>
      <c r="F10" s="194">
        <f t="shared" si="0"/>
        <v>50</v>
      </c>
      <c r="G10" s="193">
        <f t="shared" si="1"/>
        <v>1521</v>
      </c>
      <c r="H10" s="194">
        <f t="shared" si="1"/>
        <v>2500</v>
      </c>
      <c r="I10" s="193">
        <f t="shared" si="2"/>
        <v>0.17105263157894737</v>
      </c>
      <c r="J10" s="194">
        <f t="shared" si="3"/>
        <v>0.21929824561403508</v>
      </c>
    </row>
    <row r="11" spans="1:10" ht="16" thickTop="1" thickBot="1">
      <c r="B11" s="195"/>
      <c r="C11" s="195"/>
      <c r="D11" s="196" t="s">
        <v>125</v>
      </c>
      <c r="E11" s="193">
        <f>SUM(E5:E10)</f>
        <v>134.33333333333337</v>
      </c>
      <c r="F11" s="194">
        <f t="shared" ref="F11:J11" si="5">SUM(F5:F10)</f>
        <v>133</v>
      </c>
      <c r="G11" s="193">
        <f>SUM(G5:G10)</f>
        <v>4443.8888888888896</v>
      </c>
      <c r="H11" s="194">
        <f t="shared" si="5"/>
        <v>4943</v>
      </c>
      <c r="I11" s="193">
        <f t="shared" si="5"/>
        <v>0.54063378558629893</v>
      </c>
      <c r="J11" s="194">
        <f t="shared" si="5"/>
        <v>0.54747755578051838</v>
      </c>
    </row>
    <row r="12" spans="1:10" ht="15" thickTop="1">
      <c r="B12" s="195"/>
      <c r="C12" s="195"/>
      <c r="D12" s="197" t="s">
        <v>37</v>
      </c>
      <c r="E12" s="198">
        <f t="shared" ref="E12:J12" si="6">E11/6</f>
        <v>22.388888888888896</v>
      </c>
      <c r="F12" s="199">
        <f t="shared" si="6"/>
        <v>22.166666666666668</v>
      </c>
      <c r="G12" s="198">
        <f t="shared" si="6"/>
        <v>740.64814814814827</v>
      </c>
      <c r="H12" s="199">
        <f t="shared" si="6"/>
        <v>823.83333333333337</v>
      </c>
      <c r="I12" s="198">
        <f t="shared" si="6"/>
        <v>9.0105630931049827E-2</v>
      </c>
      <c r="J12" s="199">
        <f t="shared" si="6"/>
        <v>9.1246259296753063E-2</v>
      </c>
    </row>
    <row r="13" spans="1:10" ht="15">
      <c r="E13" s="332" t="s">
        <v>70</v>
      </c>
      <c r="F13" s="333"/>
      <c r="G13" s="332" t="s">
        <v>11</v>
      </c>
      <c r="H13" s="333"/>
      <c r="I13" s="332" t="s">
        <v>61</v>
      </c>
      <c r="J13" s="333"/>
    </row>
    <row r="17" spans="1:8" ht="15">
      <c r="A17" s="200" t="s">
        <v>63</v>
      </c>
    </row>
    <row r="18" spans="1:8">
      <c r="A18" s="89" t="s">
        <v>64</v>
      </c>
    </row>
    <row r="19" spans="1:8">
      <c r="C19" s="201"/>
      <c r="D19" s="202"/>
    </row>
    <row r="20" spans="1:8" ht="15">
      <c r="B20" s="256" t="s">
        <v>67</v>
      </c>
      <c r="C20" s="204">
        <v>0.1</v>
      </c>
      <c r="D20" s="202"/>
    </row>
    <row r="21" spans="1:8" s="182" customFormat="1">
      <c r="A21" s="252"/>
      <c r="B21" s="253" t="s">
        <v>6</v>
      </c>
      <c r="C21" s="253" t="s">
        <v>128</v>
      </c>
      <c r="D21" s="252" t="s">
        <v>12</v>
      </c>
      <c r="E21" s="254" t="s">
        <v>69</v>
      </c>
      <c r="F21" s="252" t="s">
        <v>13</v>
      </c>
      <c r="G21" s="255" t="s">
        <v>65</v>
      </c>
      <c r="H21" s="254" t="s">
        <v>66</v>
      </c>
    </row>
    <row r="22" spans="1:8" s="182" customFormat="1">
      <c r="A22" s="183"/>
      <c r="B22" s="184"/>
      <c r="C22" s="184"/>
      <c r="D22" s="183"/>
      <c r="E22" s="207"/>
      <c r="F22" s="208">
        <v>0</v>
      </c>
      <c r="G22" s="209">
        <v>0.8</v>
      </c>
      <c r="H22" s="210"/>
    </row>
    <row r="23" spans="1:8">
      <c r="A23" s="183">
        <v>1</v>
      </c>
      <c r="B23" s="211">
        <v>10.9</v>
      </c>
      <c r="C23" s="211">
        <v>11.5</v>
      </c>
      <c r="D23" s="212">
        <f>C23-B23</f>
        <v>0.59999999999999964</v>
      </c>
      <c r="E23" s="214">
        <f t="shared" ref="E23:E32" si="7">ABS(C23-B23)</f>
        <v>0.59999999999999964</v>
      </c>
      <c r="F23" s="208">
        <f t="shared" ref="F23:F32" si="8">$C$20*D23+(1-$C$20)*F22</f>
        <v>5.999999999999997E-2</v>
      </c>
      <c r="G23" s="209">
        <f t="shared" ref="G23:G32" si="9">$C$20*E23+(1-$C$20)*G22</f>
        <v>0.78</v>
      </c>
      <c r="H23" s="210">
        <f t="shared" ref="H23:H32" si="10">F23/G23</f>
        <v>7.6923076923076886E-2</v>
      </c>
    </row>
    <row r="24" spans="1:8">
      <c r="A24" s="183">
        <v>2</v>
      </c>
      <c r="B24" s="211">
        <v>11.5</v>
      </c>
      <c r="C24" s="211">
        <v>11.5</v>
      </c>
      <c r="D24" s="212">
        <f t="shared" ref="D24:D32" si="11">C24-B24</f>
        <v>0</v>
      </c>
      <c r="E24" s="214">
        <f t="shared" si="7"/>
        <v>0</v>
      </c>
      <c r="F24" s="208">
        <f t="shared" si="8"/>
        <v>5.3999999999999972E-2</v>
      </c>
      <c r="G24" s="209">
        <f t="shared" si="9"/>
        <v>0.70200000000000007</v>
      </c>
      <c r="H24" s="210">
        <f t="shared" si="10"/>
        <v>7.6923076923076872E-2</v>
      </c>
    </row>
    <row r="25" spans="1:8">
      <c r="A25" s="183">
        <v>3</v>
      </c>
      <c r="B25" s="211">
        <v>14.2</v>
      </c>
      <c r="C25" s="211">
        <v>11.5</v>
      </c>
      <c r="D25" s="212">
        <f t="shared" si="11"/>
        <v>-2.6999999999999993</v>
      </c>
      <c r="E25" s="214">
        <f t="shared" si="7"/>
        <v>2.6999999999999993</v>
      </c>
      <c r="F25" s="208">
        <f t="shared" si="8"/>
        <v>-0.22139999999999999</v>
      </c>
      <c r="G25" s="209">
        <f t="shared" si="9"/>
        <v>0.90179999999999993</v>
      </c>
      <c r="H25" s="210">
        <f t="shared" si="10"/>
        <v>-0.24550898203592814</v>
      </c>
    </row>
    <row r="26" spans="1:8">
      <c r="A26" s="183">
        <v>4</v>
      </c>
      <c r="B26" s="211">
        <v>10</v>
      </c>
      <c r="C26" s="211">
        <f>AVERAGE(B23:B25)</f>
        <v>12.199999999999998</v>
      </c>
      <c r="D26" s="212">
        <f t="shared" si="11"/>
        <v>2.1999999999999975</v>
      </c>
      <c r="E26" s="214">
        <f t="shared" si="7"/>
        <v>2.1999999999999975</v>
      </c>
      <c r="F26" s="208">
        <f t="shared" si="8"/>
        <v>2.0739999999999759E-2</v>
      </c>
      <c r="G26" s="209">
        <f t="shared" si="9"/>
        <v>1.0316199999999998</v>
      </c>
      <c r="H26" s="210">
        <f t="shared" si="10"/>
        <v>2.0104301971656E-2</v>
      </c>
    </row>
    <row r="27" spans="1:8">
      <c r="A27" s="183">
        <v>5</v>
      </c>
      <c r="B27" s="211">
        <v>12</v>
      </c>
      <c r="C27" s="211">
        <f t="shared" ref="C27:C32" si="12">AVERAGE(B24:B26)</f>
        <v>11.9</v>
      </c>
      <c r="D27" s="212">
        <f t="shared" si="11"/>
        <v>-9.9999999999999645E-2</v>
      </c>
      <c r="E27" s="214">
        <f t="shared" si="7"/>
        <v>9.9999999999999645E-2</v>
      </c>
      <c r="F27" s="208">
        <f t="shared" si="8"/>
        <v>8.6659999999998179E-3</v>
      </c>
      <c r="G27" s="209">
        <f t="shared" si="9"/>
        <v>0.93845799999999979</v>
      </c>
      <c r="H27" s="210">
        <f t="shared" si="10"/>
        <v>9.2342971129233484E-3</v>
      </c>
    </row>
    <row r="28" spans="1:8">
      <c r="A28" s="183">
        <v>6</v>
      </c>
      <c r="B28" s="211">
        <v>14.8</v>
      </c>
      <c r="C28" s="211">
        <f t="shared" si="12"/>
        <v>12.066666666666668</v>
      </c>
      <c r="D28" s="212">
        <f t="shared" si="11"/>
        <v>-2.7333333333333325</v>
      </c>
      <c r="E28" s="214">
        <f t="shared" si="7"/>
        <v>2.7333333333333325</v>
      </c>
      <c r="F28" s="208">
        <f t="shared" si="8"/>
        <v>-0.26553393333333342</v>
      </c>
      <c r="G28" s="209">
        <f t="shared" si="9"/>
        <v>1.117945533333333</v>
      </c>
      <c r="H28" s="210">
        <f t="shared" si="10"/>
        <v>-0.23751956192499077</v>
      </c>
    </row>
    <row r="29" spans="1:8">
      <c r="A29" s="183">
        <v>7</v>
      </c>
      <c r="B29" s="211">
        <v>23.5</v>
      </c>
      <c r="C29" s="211">
        <f t="shared" si="12"/>
        <v>12.266666666666666</v>
      </c>
      <c r="D29" s="212">
        <f t="shared" si="11"/>
        <v>-11.233333333333334</v>
      </c>
      <c r="E29" s="214">
        <f t="shared" si="7"/>
        <v>11.233333333333334</v>
      </c>
      <c r="F29" s="208">
        <f t="shared" si="8"/>
        <v>-1.3623138733333335</v>
      </c>
      <c r="G29" s="209">
        <f t="shared" si="9"/>
        <v>2.1294843133333332</v>
      </c>
      <c r="H29" s="210">
        <f t="shared" si="10"/>
        <v>-0.63973886297423377</v>
      </c>
    </row>
    <row r="30" spans="1:8">
      <c r="A30" s="183">
        <v>8</v>
      </c>
      <c r="B30" s="211">
        <v>22.3</v>
      </c>
      <c r="C30" s="211">
        <f t="shared" si="12"/>
        <v>16.766666666666666</v>
      </c>
      <c r="D30" s="212">
        <f t="shared" si="11"/>
        <v>-5.533333333333335</v>
      </c>
      <c r="E30" s="214">
        <f t="shared" si="7"/>
        <v>5.533333333333335</v>
      </c>
      <c r="F30" s="208">
        <f t="shared" si="8"/>
        <v>-1.7794158193333338</v>
      </c>
      <c r="G30" s="209">
        <f t="shared" si="9"/>
        <v>2.4698692153333335</v>
      </c>
      <c r="H30" s="210">
        <f t="shared" si="10"/>
        <v>-0.72044941014951025</v>
      </c>
    </row>
    <row r="31" spans="1:8">
      <c r="A31" s="183">
        <v>9</v>
      </c>
      <c r="B31" s="211">
        <v>27.6</v>
      </c>
      <c r="C31" s="211">
        <f t="shared" si="12"/>
        <v>20.2</v>
      </c>
      <c r="D31" s="212">
        <f t="shared" si="11"/>
        <v>-7.4000000000000021</v>
      </c>
      <c r="E31" s="214">
        <f t="shared" si="7"/>
        <v>7.4000000000000021</v>
      </c>
      <c r="F31" s="208">
        <f t="shared" si="8"/>
        <v>-2.3414742374000008</v>
      </c>
      <c r="G31" s="209">
        <f t="shared" si="9"/>
        <v>2.9628822938000003</v>
      </c>
      <c r="H31" s="210">
        <f t="shared" si="10"/>
        <v>-0.7902690708637562</v>
      </c>
    </row>
    <row r="32" spans="1:8">
      <c r="A32" s="189">
        <v>10</v>
      </c>
      <c r="B32" s="215">
        <v>28.9</v>
      </c>
      <c r="C32" s="215">
        <f t="shared" si="12"/>
        <v>24.466666666666669</v>
      </c>
      <c r="D32" s="216">
        <f t="shared" si="11"/>
        <v>-4.43333333333333</v>
      </c>
      <c r="E32" s="217">
        <f t="shared" si="7"/>
        <v>4.43333333333333</v>
      </c>
      <c r="F32" s="218">
        <f t="shared" si="8"/>
        <v>-2.5506601469933337</v>
      </c>
      <c r="G32" s="219">
        <f t="shared" si="9"/>
        <v>3.1099273977533333</v>
      </c>
      <c r="H32" s="220">
        <f t="shared" si="10"/>
        <v>-0.82016710384813996</v>
      </c>
    </row>
    <row r="33" spans="1:8">
      <c r="A33" s="195"/>
      <c r="B33" s="213"/>
      <c r="C33" s="213"/>
      <c r="D33" s="213"/>
      <c r="E33" s="213"/>
      <c r="F33" s="209"/>
      <c r="G33" s="209"/>
      <c r="H33" s="209"/>
    </row>
    <row r="34" spans="1:8" ht="15">
      <c r="B34" s="256" t="s">
        <v>71</v>
      </c>
      <c r="C34" s="245">
        <v>0.5</v>
      </c>
      <c r="D34" s="202"/>
    </row>
    <row r="35" spans="1:8" ht="15">
      <c r="B35" s="256" t="s">
        <v>67</v>
      </c>
      <c r="C35" s="244">
        <v>0.1</v>
      </c>
      <c r="D35" s="202"/>
      <c r="F35" s="182"/>
      <c r="G35" s="202"/>
    </row>
    <row r="36" spans="1:8">
      <c r="A36" s="246"/>
      <c r="B36" s="247" t="s">
        <v>6</v>
      </c>
      <c r="C36" s="247" t="s">
        <v>129</v>
      </c>
      <c r="D36" s="246" t="s">
        <v>12</v>
      </c>
      <c r="E36" s="248" t="s">
        <v>69</v>
      </c>
      <c r="F36" s="246" t="s">
        <v>13</v>
      </c>
      <c r="G36" s="249" t="s">
        <v>65</v>
      </c>
      <c r="H36" s="248" t="s">
        <v>66</v>
      </c>
    </row>
    <row r="37" spans="1:8">
      <c r="A37" s="224"/>
      <c r="B37" s="225"/>
      <c r="C37" s="225"/>
      <c r="D37" s="224"/>
      <c r="E37" s="226"/>
      <c r="F37" s="227">
        <v>0</v>
      </c>
      <c r="G37" s="228">
        <v>0.8</v>
      </c>
      <c r="H37" s="229"/>
    </row>
    <row r="38" spans="1:8">
      <c r="A38" s="230">
        <v>1</v>
      </c>
      <c r="B38" s="231">
        <v>10.9</v>
      </c>
      <c r="C38" s="231">
        <f>B38</f>
        <v>10.9</v>
      </c>
      <c r="D38" s="232">
        <f>C38-B38</f>
        <v>0</v>
      </c>
      <c r="E38" s="233">
        <f t="shared" ref="E38:E47" si="13">ABS(C38-B38)</f>
        <v>0</v>
      </c>
      <c r="F38" s="234">
        <f t="shared" ref="F38:F47" si="14">$C$20*D38+(1-$C$20)*F37</f>
        <v>0</v>
      </c>
      <c r="G38" s="235">
        <f t="shared" ref="G38:G47" si="15">$C$20*E38+(1-$C$20)*G37</f>
        <v>0.72000000000000008</v>
      </c>
      <c r="H38" s="229">
        <f t="shared" ref="H38:H47" si="16">F38/G38</f>
        <v>0</v>
      </c>
    </row>
    <row r="39" spans="1:8">
      <c r="A39" s="230">
        <v>2</v>
      </c>
      <c r="B39" s="231">
        <v>11.5</v>
      </c>
      <c r="C39" s="231">
        <f t="shared" ref="C39:C47" si="17">$C$34*B38+(1-$C$34)*C38</f>
        <v>10.9</v>
      </c>
      <c r="D39" s="232">
        <f t="shared" ref="D39:D47" si="18">C39-B39</f>
        <v>-0.59999999999999964</v>
      </c>
      <c r="E39" s="233">
        <f t="shared" si="13"/>
        <v>0.59999999999999964</v>
      </c>
      <c r="F39" s="234">
        <f t="shared" si="14"/>
        <v>-5.999999999999997E-2</v>
      </c>
      <c r="G39" s="235">
        <f t="shared" si="15"/>
        <v>0.70800000000000007</v>
      </c>
      <c r="H39" s="229">
        <f t="shared" si="16"/>
        <v>-8.4745762711864361E-2</v>
      </c>
    </row>
    <row r="40" spans="1:8">
      <c r="A40" s="230">
        <v>3</v>
      </c>
      <c r="B40" s="231">
        <v>14.2</v>
      </c>
      <c r="C40" s="231">
        <f t="shared" si="17"/>
        <v>11.2</v>
      </c>
      <c r="D40" s="232">
        <f t="shared" si="18"/>
        <v>-3</v>
      </c>
      <c r="E40" s="233">
        <f t="shared" si="13"/>
        <v>3</v>
      </c>
      <c r="F40" s="234">
        <f t="shared" si="14"/>
        <v>-0.35400000000000004</v>
      </c>
      <c r="G40" s="235">
        <f t="shared" si="15"/>
        <v>0.93720000000000014</v>
      </c>
      <c r="H40" s="229">
        <f t="shared" si="16"/>
        <v>-0.37772087067861715</v>
      </c>
    </row>
    <row r="41" spans="1:8">
      <c r="A41" s="230">
        <v>4</v>
      </c>
      <c r="B41" s="231">
        <v>10</v>
      </c>
      <c r="C41" s="231">
        <f t="shared" si="17"/>
        <v>12.7</v>
      </c>
      <c r="D41" s="232">
        <f t="shared" si="18"/>
        <v>2.6999999999999993</v>
      </c>
      <c r="E41" s="233">
        <f t="shared" si="13"/>
        <v>2.6999999999999993</v>
      </c>
      <c r="F41" s="234">
        <f t="shared" si="14"/>
        <v>-4.8600000000000088E-2</v>
      </c>
      <c r="G41" s="235">
        <f t="shared" si="15"/>
        <v>1.11348</v>
      </c>
      <c r="H41" s="229">
        <f t="shared" si="16"/>
        <v>-4.3646944713870109E-2</v>
      </c>
    </row>
    <row r="42" spans="1:8">
      <c r="A42" s="230">
        <v>5</v>
      </c>
      <c r="B42" s="231">
        <v>12</v>
      </c>
      <c r="C42" s="231">
        <f t="shared" si="17"/>
        <v>11.35</v>
      </c>
      <c r="D42" s="232">
        <f t="shared" si="18"/>
        <v>-0.65000000000000036</v>
      </c>
      <c r="E42" s="233">
        <f t="shared" si="13"/>
        <v>0.65000000000000036</v>
      </c>
      <c r="F42" s="234">
        <f t="shared" si="14"/>
        <v>-0.10874000000000011</v>
      </c>
      <c r="G42" s="235">
        <f t="shared" si="15"/>
        <v>1.067132</v>
      </c>
      <c r="H42" s="229">
        <f t="shared" si="16"/>
        <v>-0.10189929643193169</v>
      </c>
    </row>
    <row r="43" spans="1:8">
      <c r="A43" s="230">
        <v>6</v>
      </c>
      <c r="B43" s="231">
        <v>14.8</v>
      </c>
      <c r="C43" s="231">
        <f t="shared" si="17"/>
        <v>11.675000000000001</v>
      </c>
      <c r="D43" s="232">
        <f t="shared" si="18"/>
        <v>-3.125</v>
      </c>
      <c r="E43" s="233">
        <f t="shared" si="13"/>
        <v>3.125</v>
      </c>
      <c r="F43" s="234">
        <f t="shared" si="14"/>
        <v>-0.41036600000000012</v>
      </c>
      <c r="G43" s="235">
        <f t="shared" si="15"/>
        <v>1.2729188</v>
      </c>
      <c r="H43" s="229">
        <f t="shared" si="16"/>
        <v>-0.3223819146987224</v>
      </c>
    </row>
    <row r="44" spans="1:8">
      <c r="A44" s="230">
        <v>7</v>
      </c>
      <c r="B44" s="231">
        <v>23.5</v>
      </c>
      <c r="C44" s="231">
        <f t="shared" si="17"/>
        <v>13.237500000000001</v>
      </c>
      <c r="D44" s="232">
        <f t="shared" si="18"/>
        <v>-10.262499999999999</v>
      </c>
      <c r="E44" s="233">
        <f t="shared" si="13"/>
        <v>10.262499999999999</v>
      </c>
      <c r="F44" s="234">
        <f t="shared" si="14"/>
        <v>-1.3955793999999999</v>
      </c>
      <c r="G44" s="235">
        <f t="shared" si="15"/>
        <v>2.1718769199999999</v>
      </c>
      <c r="H44" s="229">
        <f t="shared" si="16"/>
        <v>-0.6425683643251755</v>
      </c>
    </row>
    <row r="45" spans="1:8">
      <c r="A45" s="230">
        <v>8</v>
      </c>
      <c r="B45" s="231">
        <v>22.3</v>
      </c>
      <c r="C45" s="231">
        <f t="shared" si="17"/>
        <v>18.368749999999999</v>
      </c>
      <c r="D45" s="232">
        <f t="shared" si="18"/>
        <v>-3.9312500000000021</v>
      </c>
      <c r="E45" s="233">
        <f t="shared" si="13"/>
        <v>3.9312500000000021</v>
      </c>
      <c r="F45" s="234">
        <f t="shared" si="14"/>
        <v>-1.6491464600000001</v>
      </c>
      <c r="G45" s="235">
        <f t="shared" si="15"/>
        <v>2.3478142280000003</v>
      </c>
      <c r="H45" s="229">
        <f t="shared" si="16"/>
        <v>-0.70241778090118967</v>
      </c>
    </row>
    <row r="46" spans="1:8">
      <c r="A46" s="230">
        <v>9</v>
      </c>
      <c r="B46" s="231">
        <v>27.6</v>
      </c>
      <c r="C46" s="231">
        <f t="shared" si="17"/>
        <v>20.334375000000001</v>
      </c>
      <c r="D46" s="232">
        <f t="shared" si="18"/>
        <v>-7.265625</v>
      </c>
      <c r="E46" s="233">
        <f t="shared" si="13"/>
        <v>7.265625</v>
      </c>
      <c r="F46" s="234">
        <f t="shared" si="14"/>
        <v>-2.2107943140000001</v>
      </c>
      <c r="G46" s="235">
        <f t="shared" si="15"/>
        <v>2.8395953052000005</v>
      </c>
      <c r="H46" s="229">
        <f t="shared" si="16"/>
        <v>-0.77855964543661893</v>
      </c>
    </row>
    <row r="47" spans="1:8">
      <c r="A47" s="236">
        <v>10</v>
      </c>
      <c r="B47" s="237">
        <v>28.9</v>
      </c>
      <c r="C47" s="237">
        <f t="shared" si="17"/>
        <v>23.967187500000001</v>
      </c>
      <c r="D47" s="238">
        <f t="shared" si="18"/>
        <v>-4.9328124999999972</v>
      </c>
      <c r="E47" s="239">
        <f t="shared" si="13"/>
        <v>4.9328124999999972</v>
      </c>
      <c r="F47" s="240">
        <f t="shared" si="14"/>
        <v>-2.4829961325999999</v>
      </c>
      <c r="G47" s="241">
        <f t="shared" si="15"/>
        <v>3.0489170246800006</v>
      </c>
      <c r="H47" s="242">
        <f t="shared" si="16"/>
        <v>-0.81438625994113534</v>
      </c>
    </row>
    <row r="49" spans="1:8">
      <c r="A49" s="334" t="s">
        <v>72</v>
      </c>
      <c r="B49" s="334"/>
      <c r="C49" s="334"/>
      <c r="D49" s="243">
        <f>INTERCEPT(B54:B63,A54:A63)</f>
        <v>5.6200000000000028</v>
      </c>
    </row>
    <row r="50" spans="1:8">
      <c r="A50" s="335" t="s">
        <v>73</v>
      </c>
      <c r="B50" s="335"/>
      <c r="C50" s="334"/>
      <c r="D50" s="205">
        <f>SLOPE(B54:B63,A54:A63)</f>
        <v>2.1727272727272724</v>
      </c>
    </row>
    <row r="51" spans="1:8" ht="15">
      <c r="A51" s="206"/>
      <c r="B51" s="206"/>
      <c r="C51" s="256" t="s">
        <v>67</v>
      </c>
      <c r="D51" s="244">
        <v>0.1</v>
      </c>
      <c r="F51" s="182"/>
      <c r="G51" s="202"/>
    </row>
    <row r="52" spans="1:8">
      <c r="A52" s="250"/>
      <c r="B52" s="251" t="s">
        <v>6</v>
      </c>
      <c r="C52" s="247" t="s">
        <v>130</v>
      </c>
      <c r="D52" s="246" t="s">
        <v>12</v>
      </c>
      <c r="E52" s="248" t="s">
        <v>69</v>
      </c>
      <c r="F52" s="246" t="s">
        <v>13</v>
      </c>
      <c r="G52" s="249" t="s">
        <v>65</v>
      </c>
      <c r="H52" s="248" t="s">
        <v>66</v>
      </c>
    </row>
    <row r="53" spans="1:8">
      <c r="A53" s="224"/>
      <c r="B53" s="225"/>
      <c r="C53" s="225"/>
      <c r="D53" s="224"/>
      <c r="E53" s="226"/>
      <c r="F53" s="227">
        <v>0</v>
      </c>
      <c r="G53" s="228">
        <v>0.8</v>
      </c>
      <c r="H53" s="229"/>
    </row>
    <row r="54" spans="1:8">
      <c r="A54" s="230">
        <v>1</v>
      </c>
      <c r="B54" s="231">
        <v>10.9</v>
      </c>
      <c r="C54" s="231">
        <f>$D$49+A54*$D$50</f>
        <v>7.7927272727272747</v>
      </c>
      <c r="D54" s="232">
        <f>C54-B54</f>
        <v>-3.1072727272727256</v>
      </c>
      <c r="E54" s="233">
        <f t="shared" ref="E54:E63" si="19">ABS(C54-B54)</f>
        <v>3.1072727272727256</v>
      </c>
      <c r="F54" s="234">
        <f t="shared" ref="F54:F63" si="20">$C$20*D54+(1-$C$20)*F53</f>
        <v>-0.31072727272727257</v>
      </c>
      <c r="G54" s="235">
        <f t="shared" ref="G54:G63" si="21">$C$20*E54+(1-$C$20)*G53</f>
        <v>1.0307272727272727</v>
      </c>
      <c r="H54" s="229">
        <f t="shared" ref="H54:H63" si="22">F54/G54</f>
        <v>-0.30146410301640486</v>
      </c>
    </row>
    <row r="55" spans="1:8">
      <c r="A55" s="230">
        <v>2</v>
      </c>
      <c r="B55" s="231">
        <v>11.5</v>
      </c>
      <c r="C55" s="231">
        <f t="shared" ref="C55:C63" si="23">$D$49+A55*$D$50</f>
        <v>9.9654545454545485</v>
      </c>
      <c r="D55" s="232">
        <f t="shared" ref="D55:D63" si="24">C55-B55</f>
        <v>-1.5345454545454515</v>
      </c>
      <c r="E55" s="233">
        <f t="shared" si="19"/>
        <v>1.5345454545454515</v>
      </c>
      <c r="F55" s="234">
        <f t="shared" si="20"/>
        <v>-0.4331090909090905</v>
      </c>
      <c r="G55" s="235">
        <f t="shared" si="21"/>
        <v>1.0811090909090906</v>
      </c>
      <c r="H55" s="229">
        <f t="shared" si="22"/>
        <v>-0.40061552950673524</v>
      </c>
    </row>
    <row r="56" spans="1:8">
      <c r="A56" s="230">
        <v>3</v>
      </c>
      <c r="B56" s="231">
        <v>14.2</v>
      </c>
      <c r="C56" s="231">
        <f t="shared" si="23"/>
        <v>12.13818181818182</v>
      </c>
      <c r="D56" s="232">
        <f t="shared" si="24"/>
        <v>-2.0618181818181789</v>
      </c>
      <c r="E56" s="233">
        <f t="shared" si="19"/>
        <v>2.0618181818181789</v>
      </c>
      <c r="F56" s="234">
        <f t="shared" si="20"/>
        <v>-0.59597999999999929</v>
      </c>
      <c r="G56" s="235">
        <f t="shared" si="21"/>
        <v>1.1791799999999995</v>
      </c>
      <c r="H56" s="229">
        <f t="shared" si="22"/>
        <v>-0.50541901999694672</v>
      </c>
    </row>
    <row r="57" spans="1:8">
      <c r="A57" s="230">
        <v>4</v>
      </c>
      <c r="B57" s="231">
        <v>10</v>
      </c>
      <c r="C57" s="231">
        <f t="shared" si="23"/>
        <v>14.310909090909092</v>
      </c>
      <c r="D57" s="232">
        <f t="shared" si="24"/>
        <v>4.3109090909090924</v>
      </c>
      <c r="E57" s="233">
        <f t="shared" si="19"/>
        <v>4.3109090909090924</v>
      </c>
      <c r="F57" s="234">
        <f t="shared" si="20"/>
        <v>-0.10529109090909011</v>
      </c>
      <c r="G57" s="235">
        <f t="shared" si="21"/>
        <v>1.4923529090909087</v>
      </c>
      <c r="H57" s="229">
        <f t="shared" si="22"/>
        <v>-7.0553747888781826E-2</v>
      </c>
    </row>
    <row r="58" spans="1:8">
      <c r="A58" s="230">
        <v>5</v>
      </c>
      <c r="B58" s="231">
        <v>12</v>
      </c>
      <c r="C58" s="231">
        <f t="shared" si="23"/>
        <v>16.483636363636364</v>
      </c>
      <c r="D58" s="232">
        <f t="shared" si="24"/>
        <v>4.4836363636363643</v>
      </c>
      <c r="E58" s="233">
        <f t="shared" si="19"/>
        <v>4.4836363636363643</v>
      </c>
      <c r="F58" s="234">
        <f t="shared" si="20"/>
        <v>0.35360165454545534</v>
      </c>
      <c r="G58" s="235">
        <f t="shared" si="21"/>
        <v>1.7914812545454544</v>
      </c>
      <c r="H58" s="229">
        <f t="shared" si="22"/>
        <v>0.19737948898336272</v>
      </c>
    </row>
    <row r="59" spans="1:8">
      <c r="A59" s="230">
        <v>6</v>
      </c>
      <c r="B59" s="231">
        <v>14.8</v>
      </c>
      <c r="C59" s="231">
        <f t="shared" si="23"/>
        <v>18.656363636363636</v>
      </c>
      <c r="D59" s="232">
        <f t="shared" si="24"/>
        <v>3.8563636363636355</v>
      </c>
      <c r="E59" s="233">
        <f t="shared" si="19"/>
        <v>3.8563636363636355</v>
      </c>
      <c r="F59" s="234">
        <f t="shared" si="20"/>
        <v>0.70387785272727332</v>
      </c>
      <c r="G59" s="235">
        <f t="shared" si="21"/>
        <v>1.9979694927272724</v>
      </c>
      <c r="H59" s="229">
        <f t="shared" si="22"/>
        <v>0.35229659676458047</v>
      </c>
    </row>
    <row r="60" spans="1:8">
      <c r="A60" s="230">
        <v>7</v>
      </c>
      <c r="B60" s="231">
        <v>23.5</v>
      </c>
      <c r="C60" s="231">
        <f t="shared" si="23"/>
        <v>20.829090909090908</v>
      </c>
      <c r="D60" s="232">
        <f t="shared" si="24"/>
        <v>-2.6709090909090918</v>
      </c>
      <c r="E60" s="233">
        <f t="shared" si="19"/>
        <v>2.6709090909090918</v>
      </c>
      <c r="F60" s="234">
        <f t="shared" si="20"/>
        <v>0.36639915836363685</v>
      </c>
      <c r="G60" s="235">
        <f t="shared" si="21"/>
        <v>2.0652634525454543</v>
      </c>
      <c r="H60" s="229">
        <f t="shared" si="22"/>
        <v>0.17741037246945268</v>
      </c>
    </row>
    <row r="61" spans="1:8">
      <c r="A61" s="230">
        <v>8</v>
      </c>
      <c r="B61" s="231">
        <v>22.3</v>
      </c>
      <c r="C61" s="231">
        <f t="shared" si="23"/>
        <v>23.00181818181818</v>
      </c>
      <c r="D61" s="232">
        <f t="shared" si="24"/>
        <v>0.70181818181817945</v>
      </c>
      <c r="E61" s="233">
        <f t="shared" si="19"/>
        <v>0.70181818181817945</v>
      </c>
      <c r="F61" s="234">
        <f t="shared" si="20"/>
        <v>0.39994106070909113</v>
      </c>
      <c r="G61" s="235">
        <f t="shared" si="21"/>
        <v>1.9289189254727268</v>
      </c>
      <c r="H61" s="229">
        <f t="shared" si="22"/>
        <v>0.20733948712285882</v>
      </c>
    </row>
    <row r="62" spans="1:8">
      <c r="A62" s="230">
        <v>9</v>
      </c>
      <c r="B62" s="231">
        <v>27.6</v>
      </c>
      <c r="C62" s="231">
        <f t="shared" si="23"/>
        <v>25.174545454545452</v>
      </c>
      <c r="D62" s="232">
        <f t="shared" si="24"/>
        <v>-2.4254545454545493</v>
      </c>
      <c r="E62" s="233">
        <f t="shared" si="19"/>
        <v>2.4254545454545493</v>
      </c>
      <c r="F62" s="234">
        <f t="shared" si="20"/>
        <v>0.1174015000927271</v>
      </c>
      <c r="G62" s="235">
        <f t="shared" si="21"/>
        <v>1.9785724874709092</v>
      </c>
      <c r="H62" s="229">
        <f t="shared" si="22"/>
        <v>5.9336466485892768E-2</v>
      </c>
    </row>
    <row r="63" spans="1:8">
      <c r="A63" s="236">
        <v>10</v>
      </c>
      <c r="B63" s="237">
        <v>28.9</v>
      </c>
      <c r="C63" s="237">
        <f t="shared" si="23"/>
        <v>27.347272727272724</v>
      </c>
      <c r="D63" s="238">
        <f t="shared" si="24"/>
        <v>-1.5527272727272745</v>
      </c>
      <c r="E63" s="239">
        <f t="shared" si="19"/>
        <v>1.5527272727272745</v>
      </c>
      <c r="F63" s="240">
        <f t="shared" si="20"/>
        <v>-4.9611377189273068E-2</v>
      </c>
      <c r="G63" s="241">
        <f t="shared" si="21"/>
        <v>1.9359879659965458</v>
      </c>
      <c r="H63" s="242">
        <f t="shared" si="22"/>
        <v>-2.5625870646223629E-2</v>
      </c>
    </row>
    <row r="74" spans="1:9">
      <c r="G74" s="182" t="s">
        <v>67</v>
      </c>
      <c r="H74" s="202">
        <v>0.5</v>
      </c>
    </row>
    <row r="75" spans="1:9">
      <c r="A75" s="203"/>
      <c r="B75" s="221" t="s">
        <v>6</v>
      </c>
      <c r="C75" s="221" t="s">
        <v>131</v>
      </c>
      <c r="D75" s="203" t="s">
        <v>12</v>
      </c>
      <c r="E75" s="223" t="s">
        <v>69</v>
      </c>
      <c r="F75" s="182" t="s">
        <v>109</v>
      </c>
      <c r="G75" s="203" t="s">
        <v>13</v>
      </c>
      <c r="H75" s="222" t="s">
        <v>65</v>
      </c>
      <c r="I75" s="223" t="s">
        <v>66</v>
      </c>
    </row>
    <row r="76" spans="1:9">
      <c r="A76" s="224"/>
      <c r="B76" s="225"/>
      <c r="C76" s="225"/>
      <c r="D76" s="224"/>
      <c r="E76" s="226"/>
      <c r="G76" s="227">
        <v>0</v>
      </c>
      <c r="H76" s="228">
        <v>0.8</v>
      </c>
      <c r="I76" s="229"/>
    </row>
    <row r="77" spans="1:9">
      <c r="A77" s="230">
        <v>1</v>
      </c>
      <c r="B77" s="231">
        <v>10.9</v>
      </c>
      <c r="C77" s="231">
        <v>11.5</v>
      </c>
      <c r="D77" s="232">
        <f>C77-B77</f>
        <v>0.59999999999999964</v>
      </c>
      <c r="E77" s="233">
        <f t="shared" ref="E77:E86" si="25">ABS(C77-B77)</f>
        <v>0.59999999999999964</v>
      </c>
      <c r="F77" s="89">
        <f>D77/E77</f>
        <v>1</v>
      </c>
      <c r="G77" s="234">
        <f>$H$74*D77+(1-$H$74)*G76</f>
        <v>0.29999999999999982</v>
      </c>
      <c r="H77" s="235">
        <f>$H$74*E77+(1-$H$74)*H76</f>
        <v>0.69999999999999984</v>
      </c>
      <c r="I77" s="229">
        <f t="shared" ref="I77:I86" si="26">G77/H77</f>
        <v>0.42857142857142844</v>
      </c>
    </row>
    <row r="78" spans="1:9">
      <c r="A78" s="230">
        <v>2</v>
      </c>
      <c r="B78" s="231">
        <v>11.5</v>
      </c>
      <c r="C78" s="231">
        <v>11.5</v>
      </c>
      <c r="D78" s="232">
        <f t="shared" ref="D78:D86" si="27">C78-B78</f>
        <v>0</v>
      </c>
      <c r="E78" s="233">
        <f t="shared" si="25"/>
        <v>0</v>
      </c>
      <c r="F78" s="89">
        <v>0</v>
      </c>
      <c r="G78" s="234">
        <f t="shared" ref="G78:G86" si="28">$H$74*D78+(1-$H$74)*G77</f>
        <v>0.14999999999999991</v>
      </c>
      <c r="H78" s="235">
        <f t="shared" ref="H78:H86" si="29">$H$74*E78+(1-$H$74)*H77</f>
        <v>0.34999999999999992</v>
      </c>
      <c r="I78" s="229">
        <f t="shared" si="26"/>
        <v>0.42857142857142844</v>
      </c>
    </row>
    <row r="79" spans="1:9">
      <c r="A79" s="230">
        <v>3</v>
      </c>
      <c r="B79" s="231">
        <v>14.2</v>
      </c>
      <c r="C79" s="231">
        <v>11.5</v>
      </c>
      <c r="D79" s="232">
        <f t="shared" si="27"/>
        <v>-2.6999999999999993</v>
      </c>
      <c r="E79" s="233">
        <f t="shared" si="25"/>
        <v>2.6999999999999993</v>
      </c>
      <c r="F79" s="89">
        <f t="shared" ref="F79:F86" si="30">D79/E79</f>
        <v>-1</v>
      </c>
      <c r="G79" s="234">
        <f t="shared" si="28"/>
        <v>-1.2749999999999997</v>
      </c>
      <c r="H79" s="235">
        <f t="shared" si="29"/>
        <v>1.5249999999999997</v>
      </c>
      <c r="I79" s="229">
        <f t="shared" si="26"/>
        <v>-0.83606557377049173</v>
      </c>
    </row>
    <row r="80" spans="1:9">
      <c r="A80" s="230">
        <v>4</v>
      </c>
      <c r="B80" s="231">
        <v>10</v>
      </c>
      <c r="C80" s="231">
        <f>AVERAGE(B77:B79)</f>
        <v>12.199999999999998</v>
      </c>
      <c r="D80" s="232">
        <f t="shared" si="27"/>
        <v>2.1999999999999975</v>
      </c>
      <c r="E80" s="233">
        <f t="shared" si="25"/>
        <v>2.1999999999999975</v>
      </c>
      <c r="F80" s="89">
        <f t="shared" si="30"/>
        <v>1</v>
      </c>
      <c r="G80" s="234">
        <f t="shared" si="28"/>
        <v>0.46249999999999891</v>
      </c>
      <c r="H80" s="235">
        <f t="shared" si="29"/>
        <v>1.8624999999999985</v>
      </c>
      <c r="I80" s="229">
        <f t="shared" si="26"/>
        <v>0.24832214765100633</v>
      </c>
    </row>
    <row r="81" spans="1:9">
      <c r="A81" s="230">
        <v>5</v>
      </c>
      <c r="B81" s="231">
        <v>12</v>
      </c>
      <c r="C81" s="231">
        <f t="shared" ref="C81:C86" si="31">AVERAGE(B78:B80)</f>
        <v>11.9</v>
      </c>
      <c r="D81" s="232">
        <f t="shared" si="27"/>
        <v>-9.9999999999999645E-2</v>
      </c>
      <c r="E81" s="233">
        <f t="shared" si="25"/>
        <v>9.9999999999999645E-2</v>
      </c>
      <c r="F81" s="89">
        <f t="shared" si="30"/>
        <v>-1</v>
      </c>
      <c r="G81" s="234">
        <f t="shared" si="28"/>
        <v>0.18124999999999963</v>
      </c>
      <c r="H81" s="235">
        <f t="shared" si="29"/>
        <v>0.98124999999999907</v>
      </c>
      <c r="I81" s="229">
        <f t="shared" si="26"/>
        <v>0.18471337579617814</v>
      </c>
    </row>
    <row r="82" spans="1:9">
      <c r="A82" s="230">
        <v>6</v>
      </c>
      <c r="B82" s="231">
        <v>14.8</v>
      </c>
      <c r="C82" s="231">
        <f t="shared" si="31"/>
        <v>12.066666666666668</v>
      </c>
      <c r="D82" s="232">
        <f t="shared" si="27"/>
        <v>-2.7333333333333325</v>
      </c>
      <c r="E82" s="233">
        <f t="shared" si="25"/>
        <v>2.7333333333333325</v>
      </c>
      <c r="F82" s="89">
        <f t="shared" si="30"/>
        <v>-1</v>
      </c>
      <c r="G82" s="234">
        <f t="shared" si="28"/>
        <v>-1.2760416666666665</v>
      </c>
      <c r="H82" s="235">
        <f t="shared" si="29"/>
        <v>1.8572916666666659</v>
      </c>
      <c r="I82" s="229">
        <f t="shared" si="26"/>
        <v>-0.68704430734716793</v>
      </c>
    </row>
    <row r="83" spans="1:9">
      <c r="A83" s="230">
        <v>7</v>
      </c>
      <c r="B83" s="231">
        <v>23.5</v>
      </c>
      <c r="C83" s="231">
        <f t="shared" si="31"/>
        <v>12.266666666666666</v>
      </c>
      <c r="D83" s="232">
        <f t="shared" si="27"/>
        <v>-11.233333333333334</v>
      </c>
      <c r="E83" s="233">
        <f t="shared" si="25"/>
        <v>11.233333333333334</v>
      </c>
      <c r="F83" s="89">
        <f t="shared" si="30"/>
        <v>-1</v>
      </c>
      <c r="G83" s="234">
        <f t="shared" si="28"/>
        <v>-6.2546875000000002</v>
      </c>
      <c r="H83" s="235">
        <f t="shared" si="29"/>
        <v>6.5453124999999996</v>
      </c>
      <c r="I83" s="229">
        <f t="shared" si="26"/>
        <v>-0.95559799474814999</v>
      </c>
    </row>
    <row r="84" spans="1:9">
      <c r="A84" s="230">
        <v>8</v>
      </c>
      <c r="B84" s="231">
        <v>22.3</v>
      </c>
      <c r="C84" s="231">
        <f t="shared" si="31"/>
        <v>16.766666666666666</v>
      </c>
      <c r="D84" s="232">
        <f t="shared" si="27"/>
        <v>-5.533333333333335</v>
      </c>
      <c r="E84" s="233">
        <f t="shared" si="25"/>
        <v>5.533333333333335</v>
      </c>
      <c r="F84" s="89">
        <f t="shared" si="30"/>
        <v>-1</v>
      </c>
      <c r="G84" s="234">
        <f t="shared" si="28"/>
        <v>-5.8940104166666671</v>
      </c>
      <c r="H84" s="235">
        <f t="shared" si="29"/>
        <v>6.0393229166666673</v>
      </c>
      <c r="I84" s="229">
        <f t="shared" si="26"/>
        <v>-0.97593894183088259</v>
      </c>
    </row>
    <row r="85" spans="1:9">
      <c r="A85" s="230">
        <v>9</v>
      </c>
      <c r="B85" s="231">
        <v>27.6</v>
      </c>
      <c r="C85" s="231">
        <f t="shared" si="31"/>
        <v>20.2</v>
      </c>
      <c r="D85" s="232">
        <f t="shared" si="27"/>
        <v>-7.4000000000000021</v>
      </c>
      <c r="E85" s="233">
        <f t="shared" si="25"/>
        <v>7.4000000000000021</v>
      </c>
      <c r="F85" s="89">
        <f t="shared" si="30"/>
        <v>-1</v>
      </c>
      <c r="G85" s="234">
        <f t="shared" si="28"/>
        <v>-6.6470052083333346</v>
      </c>
      <c r="H85" s="235">
        <f t="shared" si="29"/>
        <v>6.7196614583333343</v>
      </c>
      <c r="I85" s="229">
        <f t="shared" si="26"/>
        <v>-0.98918751332183619</v>
      </c>
    </row>
    <row r="86" spans="1:9">
      <c r="A86" s="236">
        <v>10</v>
      </c>
      <c r="B86" s="237">
        <v>28.9</v>
      </c>
      <c r="C86" s="237">
        <f t="shared" si="31"/>
        <v>24.466666666666669</v>
      </c>
      <c r="D86" s="238">
        <f t="shared" si="27"/>
        <v>-4.43333333333333</v>
      </c>
      <c r="E86" s="239">
        <f t="shared" si="25"/>
        <v>4.43333333333333</v>
      </c>
      <c r="F86" s="89">
        <f t="shared" si="30"/>
        <v>-1</v>
      </c>
      <c r="G86" s="234">
        <f t="shared" si="28"/>
        <v>-5.5401692708333323</v>
      </c>
      <c r="H86" s="235">
        <f t="shared" si="29"/>
        <v>5.5764973958333321</v>
      </c>
      <c r="I86" s="242">
        <f t="shared" si="26"/>
        <v>-0.99348549413344234</v>
      </c>
    </row>
    <row r="87" spans="1:9">
      <c r="D87" s="90">
        <f>SUM(D77:D86)</f>
        <v>-31.333333333333336</v>
      </c>
      <c r="E87" s="90">
        <f>SUM(E77:E86)</f>
        <v>36.93333333333333</v>
      </c>
      <c r="F87" s="90">
        <f>SUM(F77:F86)</f>
        <v>-5</v>
      </c>
      <c r="I87" s="90">
        <f>SUM(I77:I86)</f>
        <v>-4.147141444561929</v>
      </c>
    </row>
  </sheetData>
  <mergeCells count="12">
    <mergeCell ref="A49:C49"/>
    <mergeCell ref="A50:C50"/>
    <mergeCell ref="C3:C4"/>
    <mergeCell ref="B3:B4"/>
    <mergeCell ref="A3:A4"/>
    <mergeCell ref="D3:D4"/>
    <mergeCell ref="E3:F3"/>
    <mergeCell ref="G3:H3"/>
    <mergeCell ref="I3:J3"/>
    <mergeCell ref="E13:F13"/>
    <mergeCell ref="G13:H13"/>
    <mergeCell ref="I13:J1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Kauslprgn</vt:lpstr>
      <vt:lpstr>Zeitrhe</vt:lpstr>
      <vt:lpstr>EXPO123</vt:lpstr>
      <vt:lpstr>PrognQual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2023-05-23T17:01:26Z</dcterms:modified>
</cp:coreProperties>
</file>