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18195" windowHeight="12270" activeTab="5"/>
  </bookViews>
  <sheets>
    <sheet name="transmission&amp;scatter" sheetId="1" r:id="rId1"/>
    <sheet name="linearity" sheetId="2" r:id="rId2"/>
    <sheet name="field size" sheetId="5" r:id="rId3"/>
    <sheet name="polarity" sheetId="3" r:id="rId4"/>
    <sheet name="recombination" sheetId="4" r:id="rId5"/>
    <sheet name="stability" sheetId="6" r:id="rId6"/>
  </sheets>
  <definedNames>
    <definedName name="dose1cal">'transmission&amp;scatter'!$G$3</definedName>
    <definedName name="p_ref">'transmission&amp;scatter'!$G$4</definedName>
    <definedName name="pulses">'transmission&amp;scatter'!$B$15</definedName>
    <definedName name="solver_adj" localSheetId="1" hidden="1">linearity!$C$25</definedName>
    <definedName name="solver_adj" localSheetId="3" hidden="1">polarity!$J$3</definedName>
    <definedName name="solver_adj" localSheetId="4" hidden="1">recombination!$I$1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3" hidden="1">2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4" hidden="1">100</definedName>
    <definedName name="solver_lhs1" localSheetId="1" hidden="1">linearity!$C$24</definedName>
    <definedName name="solver_lin" localSheetId="4" hidden="1">2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3" hidden="1">1</definedName>
    <definedName name="solver_neg" localSheetId="4" hidden="1">2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1" hidden="1">linearity!$B$25</definedName>
    <definedName name="solver_opt" localSheetId="3" hidden="1">polarity!$I$3</definedName>
    <definedName name="solver_opt" localSheetId="4" hidden="1">recombination!$H$1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el1" localSheetId="1" hidden="1">3</definedName>
    <definedName name="solver_rhs1" localSheetId="1" hidden="1">0.00001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100</definedName>
    <definedName name="solver_tol" localSheetId="1" hidden="1">0.01</definedName>
    <definedName name="solver_tol" localSheetId="3" hidden="1">0.01</definedName>
    <definedName name="solver_tol" localSheetId="4" hidden="1">0.05</definedName>
    <definedName name="solver_typ" localSheetId="1" hidden="1">3</definedName>
    <definedName name="solver_typ" localSheetId="3" hidden="1">3</definedName>
    <definedName name="solver_typ" localSheetId="4" hidden="1">3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T_0">'transmission&amp;scatter'!$G$2</definedName>
    <definedName name="T_ref">'transmission&amp;scatter'!$G$1</definedName>
    <definedName name="Vw_Vl" localSheetId="4">recombination!$B$16</definedName>
    <definedName name="Vw_Vl">polarity!$B$16</definedName>
  </definedNames>
  <calcPr calcId="145621"/>
</workbook>
</file>

<file path=xl/calcChain.xml><?xml version="1.0" encoding="utf-8"?>
<calcChain xmlns="http://schemas.openxmlformats.org/spreadsheetml/2006/main">
  <c r="L26" i="3" l="1"/>
  <c r="L25" i="3"/>
  <c r="L24" i="3"/>
  <c r="L21" i="3"/>
  <c r="L20" i="3"/>
  <c r="L19" i="3"/>
  <c r="L16" i="3"/>
  <c r="L15" i="3"/>
  <c r="L14" i="3"/>
  <c r="L11" i="3"/>
  <c r="L10" i="3"/>
  <c r="L9" i="3"/>
  <c r="L4" i="3"/>
  <c r="L5" i="3"/>
  <c r="L6" i="3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E23" i="6"/>
  <c r="G23" i="6" s="1"/>
  <c r="E22" i="6"/>
  <c r="G22" i="6" s="1"/>
  <c r="E21" i="6"/>
  <c r="G21" i="6" s="1"/>
  <c r="E20" i="6"/>
  <c r="G20" i="6" s="1"/>
  <c r="E19" i="6"/>
  <c r="G19" i="6" s="1"/>
  <c r="E18" i="6"/>
  <c r="E17" i="6"/>
  <c r="E16" i="6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E8" i="6"/>
  <c r="G8" i="6" s="1"/>
  <c r="G9" i="6" l="1"/>
  <c r="G16" i="6"/>
  <c r="G17" i="6"/>
  <c r="G18" i="6"/>
  <c r="L20" i="6" l="1"/>
  <c r="N37" i="5" l="1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O42" i="4"/>
  <c r="K42" i="4"/>
  <c r="O40" i="4"/>
  <c r="K40" i="4"/>
  <c r="O39" i="4"/>
  <c r="K39" i="4"/>
  <c r="O37" i="4"/>
  <c r="K37" i="4"/>
  <c r="O35" i="4"/>
  <c r="K35" i="4"/>
  <c r="O34" i="4"/>
  <c r="K34" i="4"/>
  <c r="O32" i="4"/>
  <c r="K32" i="4"/>
  <c r="O30" i="4"/>
  <c r="K30" i="4"/>
  <c r="O29" i="4"/>
  <c r="K29" i="4"/>
  <c r="O27" i="4"/>
  <c r="O25" i="4"/>
  <c r="O24" i="4"/>
  <c r="O22" i="4"/>
  <c r="O20" i="4"/>
  <c r="O19" i="4"/>
  <c r="O17" i="4"/>
  <c r="O15" i="4"/>
  <c r="O14" i="4"/>
  <c r="O12" i="4"/>
  <c r="O10" i="4"/>
  <c r="O9" i="4"/>
  <c r="O7" i="4"/>
  <c r="O5" i="4"/>
  <c r="O4" i="4"/>
  <c r="K25" i="4"/>
  <c r="K20" i="4"/>
  <c r="K15" i="4"/>
  <c r="K10" i="4"/>
  <c r="K5" i="4"/>
  <c r="B20" i="4"/>
  <c r="J18" i="4" s="1"/>
  <c r="V27" i="3"/>
  <c r="V24" i="3"/>
  <c r="V22" i="3"/>
  <c r="V19" i="3"/>
  <c r="V17" i="3"/>
  <c r="V14" i="3"/>
  <c r="V12" i="3"/>
  <c r="V9" i="3"/>
  <c r="V7" i="3"/>
  <c r="V4" i="3"/>
  <c r="Q27" i="3"/>
  <c r="Q24" i="3"/>
  <c r="Q22" i="3"/>
  <c r="Q19" i="3"/>
  <c r="Q17" i="3"/>
  <c r="Q14" i="3"/>
  <c r="Q12" i="3"/>
  <c r="Q9" i="3"/>
  <c r="Q7" i="3"/>
  <c r="Q4" i="3"/>
  <c r="B17" i="4"/>
  <c r="R26" i="4" s="1"/>
  <c r="B17" i="3"/>
  <c r="K27" i="4"/>
  <c r="K24" i="4"/>
  <c r="K22" i="4"/>
  <c r="K19" i="4"/>
  <c r="K17" i="4"/>
  <c r="B16" i="4"/>
  <c r="K14" i="4"/>
  <c r="K12" i="4"/>
  <c r="K9" i="4"/>
  <c r="K7" i="4"/>
  <c r="K4" i="4"/>
  <c r="G1" i="4"/>
  <c r="Y27" i="3"/>
  <c r="T27" i="3"/>
  <c r="O27" i="3"/>
  <c r="L27" i="3"/>
  <c r="Y26" i="3"/>
  <c r="Z26" i="3" s="1"/>
  <c r="T26" i="3"/>
  <c r="U26" i="3" s="1"/>
  <c r="O26" i="3"/>
  <c r="Y25" i="3"/>
  <c r="Z25" i="3" s="1"/>
  <c r="T25" i="3"/>
  <c r="U25" i="3" s="1"/>
  <c r="O25" i="3"/>
  <c r="Y24" i="3"/>
  <c r="T24" i="3"/>
  <c r="O24" i="3"/>
  <c r="P24" i="3" s="1"/>
  <c r="Y23" i="3"/>
  <c r="T23" i="3"/>
  <c r="O23" i="3"/>
  <c r="P23" i="3" s="1"/>
  <c r="Y22" i="3"/>
  <c r="T22" i="3"/>
  <c r="O22" i="3"/>
  <c r="L22" i="3"/>
  <c r="Y21" i="3"/>
  <c r="T21" i="3"/>
  <c r="O21" i="3"/>
  <c r="Y20" i="3"/>
  <c r="Z20" i="3" s="1"/>
  <c r="T20" i="3"/>
  <c r="U20" i="3" s="1"/>
  <c r="O20" i="3"/>
  <c r="Y19" i="3"/>
  <c r="Z19" i="3" s="1"/>
  <c r="T19" i="3"/>
  <c r="U19" i="3" s="1"/>
  <c r="O19" i="3"/>
  <c r="P19" i="3" s="1"/>
  <c r="Y18" i="3"/>
  <c r="T18" i="3"/>
  <c r="O18" i="3"/>
  <c r="P18" i="3" s="1"/>
  <c r="Y17" i="3"/>
  <c r="T17" i="3"/>
  <c r="U17" i="3" s="1"/>
  <c r="O17" i="3"/>
  <c r="P17" i="3" s="1"/>
  <c r="L17" i="3"/>
  <c r="Y16" i="3"/>
  <c r="T16" i="3"/>
  <c r="O16" i="3"/>
  <c r="Y15" i="3"/>
  <c r="Z15" i="3" s="1"/>
  <c r="T15" i="3"/>
  <c r="O15" i="3"/>
  <c r="P15" i="3" s="1"/>
  <c r="Y14" i="3"/>
  <c r="Z14" i="3" s="1"/>
  <c r="T14" i="3"/>
  <c r="O14" i="3"/>
  <c r="Y13" i="3"/>
  <c r="T13" i="3"/>
  <c r="O13" i="3"/>
  <c r="Y12" i="3"/>
  <c r="Z12" i="3" s="1"/>
  <c r="T12" i="3"/>
  <c r="U12" i="3" s="1"/>
  <c r="O12" i="3"/>
  <c r="L12" i="3"/>
  <c r="Y11" i="3"/>
  <c r="T11" i="3"/>
  <c r="O11" i="3"/>
  <c r="P11" i="3" s="1"/>
  <c r="Y10" i="3"/>
  <c r="T10" i="3"/>
  <c r="U10" i="3" s="1"/>
  <c r="O10" i="3"/>
  <c r="P10" i="3" s="1"/>
  <c r="Y9" i="3"/>
  <c r="T9" i="3"/>
  <c r="O9" i="3"/>
  <c r="Y8" i="3"/>
  <c r="Z8" i="3" s="1"/>
  <c r="T8" i="3"/>
  <c r="O8" i="3"/>
  <c r="P8" i="3" s="1"/>
  <c r="P25" i="3" l="1"/>
  <c r="Z9" i="3"/>
  <c r="D9" i="5"/>
  <c r="J13" i="5"/>
  <c r="K13" i="5" s="1"/>
  <c r="U8" i="3"/>
  <c r="P13" i="3"/>
  <c r="Z17" i="3"/>
  <c r="V13" i="3" s="1"/>
  <c r="U22" i="3"/>
  <c r="Z24" i="3"/>
  <c r="P27" i="3"/>
  <c r="U13" i="3"/>
  <c r="Z13" i="3"/>
  <c r="V10" i="3"/>
  <c r="Q15" i="3"/>
  <c r="Z22" i="3"/>
  <c r="U27" i="3"/>
  <c r="U14" i="3"/>
  <c r="U11" i="3"/>
  <c r="Q20" i="3"/>
  <c r="U18" i="3"/>
  <c r="P9" i="3"/>
  <c r="L8" i="3" s="1"/>
  <c r="Z11" i="3"/>
  <c r="U16" i="3"/>
  <c r="Q25" i="3"/>
  <c r="Z21" i="3"/>
  <c r="J34" i="5"/>
  <c r="U9" i="3"/>
  <c r="P14" i="3"/>
  <c r="Z16" i="3"/>
  <c r="U21" i="3"/>
  <c r="Q18" i="3" s="1"/>
  <c r="Z23" i="3"/>
  <c r="P26" i="3"/>
  <c r="P22" i="3"/>
  <c r="U24" i="3"/>
  <c r="Z10" i="3"/>
  <c r="U15" i="3"/>
  <c r="P20" i="3"/>
  <c r="V15" i="3"/>
  <c r="P16" i="3"/>
  <c r="Z27" i="3"/>
  <c r="V20" i="3"/>
  <c r="P21" i="3"/>
  <c r="P12" i="3"/>
  <c r="D13" i="5"/>
  <c r="E13" i="5" s="1"/>
  <c r="V25" i="3"/>
  <c r="J33" i="4"/>
  <c r="Q10" i="3"/>
  <c r="D14" i="5"/>
  <c r="U23" i="3"/>
  <c r="Z18" i="3"/>
  <c r="J28" i="4"/>
  <c r="J18" i="5"/>
  <c r="K18" i="5" s="1"/>
  <c r="D8" i="5"/>
  <c r="E8" i="5" s="1"/>
  <c r="J38" i="4"/>
  <c r="J33" i="5"/>
  <c r="K33" i="5" s="1"/>
  <c r="J28" i="5"/>
  <c r="K28" i="5" s="1"/>
  <c r="J29" i="5"/>
  <c r="J24" i="5"/>
  <c r="J23" i="5"/>
  <c r="K23" i="5" s="1"/>
  <c r="J19" i="5"/>
  <c r="J14" i="5"/>
  <c r="J8" i="5"/>
  <c r="K8" i="5" s="1"/>
  <c r="J9" i="5"/>
  <c r="J3" i="5"/>
  <c r="K3" i="5" s="1"/>
  <c r="J4" i="5"/>
  <c r="D34" i="5"/>
  <c r="D33" i="5"/>
  <c r="E33" i="5" s="1"/>
  <c r="D28" i="5"/>
  <c r="E28" i="5" s="1"/>
  <c r="D29" i="5"/>
  <c r="D23" i="5"/>
  <c r="E23" i="5" s="1"/>
  <c r="D24" i="5"/>
  <c r="D18" i="5"/>
  <c r="E18" i="5" s="1"/>
  <c r="D19" i="5"/>
  <c r="D4" i="5"/>
  <c r="D3" i="5"/>
  <c r="E3" i="5" s="1"/>
  <c r="N42" i="4"/>
  <c r="N37" i="4"/>
  <c r="N38" i="4"/>
  <c r="R38" i="4"/>
  <c r="R39" i="4"/>
  <c r="R40" i="4"/>
  <c r="R41" i="4"/>
  <c r="R42" i="4"/>
  <c r="R37" i="4"/>
  <c r="N39" i="4"/>
  <c r="N40" i="4"/>
  <c r="N41" i="4"/>
  <c r="N33" i="4"/>
  <c r="N34" i="4"/>
  <c r="N35" i="4"/>
  <c r="N36" i="4"/>
  <c r="R33" i="4"/>
  <c r="R34" i="4"/>
  <c r="R35" i="4"/>
  <c r="R36" i="4"/>
  <c r="N30" i="4"/>
  <c r="N28" i="4"/>
  <c r="N31" i="4"/>
  <c r="N29" i="4"/>
  <c r="R32" i="4"/>
  <c r="R28" i="4"/>
  <c r="R29" i="4"/>
  <c r="R30" i="4"/>
  <c r="R31" i="4"/>
  <c r="J13" i="4"/>
  <c r="J8" i="4"/>
  <c r="J3" i="4"/>
  <c r="J23" i="4"/>
  <c r="N6" i="4"/>
  <c r="N10" i="4"/>
  <c r="N14" i="4"/>
  <c r="N18" i="4"/>
  <c r="N22" i="4"/>
  <c r="N26" i="4"/>
  <c r="R5" i="4"/>
  <c r="R9" i="4"/>
  <c r="R13" i="4"/>
  <c r="R17" i="4"/>
  <c r="R21" i="4"/>
  <c r="R25" i="4"/>
  <c r="N5" i="4"/>
  <c r="N9" i="4"/>
  <c r="N13" i="4"/>
  <c r="N17" i="4"/>
  <c r="N21" i="4"/>
  <c r="N25" i="4"/>
  <c r="R4" i="4"/>
  <c r="R8" i="4"/>
  <c r="R12" i="4"/>
  <c r="R16" i="4"/>
  <c r="R20" i="4"/>
  <c r="R24" i="4"/>
  <c r="N4" i="4"/>
  <c r="N8" i="4"/>
  <c r="N12" i="4"/>
  <c r="N16" i="4"/>
  <c r="N20" i="4"/>
  <c r="N24" i="4"/>
  <c r="R3" i="4"/>
  <c r="R7" i="4"/>
  <c r="R11" i="4"/>
  <c r="R15" i="4"/>
  <c r="R19" i="4"/>
  <c r="R23" i="4"/>
  <c r="R27" i="4"/>
  <c r="N3" i="4"/>
  <c r="N7" i="4"/>
  <c r="N11" i="4"/>
  <c r="N15" i="4"/>
  <c r="N19" i="4"/>
  <c r="N23" i="4"/>
  <c r="R6" i="4"/>
  <c r="R10" i="4"/>
  <c r="R14" i="4"/>
  <c r="R18" i="4"/>
  <c r="R22" i="4"/>
  <c r="B16" i="3"/>
  <c r="A25" i="2"/>
  <c r="B21" i="2"/>
  <c r="B20" i="2"/>
  <c r="B19" i="2"/>
  <c r="A24" i="2"/>
  <c r="A23" i="2"/>
  <c r="L23" i="3" l="1"/>
  <c r="Q21" i="3"/>
  <c r="V16" i="3"/>
  <c r="V11" i="3"/>
  <c r="Q11" i="3"/>
  <c r="V26" i="3"/>
  <c r="L18" i="3"/>
  <c r="Q13" i="3"/>
  <c r="G13" i="3" s="1"/>
  <c r="Q16" i="3"/>
  <c r="V8" i="3"/>
  <c r="V23" i="3"/>
  <c r="L13" i="3"/>
  <c r="Q8" i="3"/>
  <c r="V18" i="3"/>
  <c r="G18" i="3" s="1"/>
  <c r="V21" i="3"/>
  <c r="Q23" i="3"/>
  <c r="Q26" i="3"/>
  <c r="O41" i="4"/>
  <c r="O38" i="4"/>
  <c r="K41" i="4"/>
  <c r="K38" i="4"/>
  <c r="O36" i="4"/>
  <c r="O33" i="4"/>
  <c r="K36" i="4"/>
  <c r="K33" i="4"/>
  <c r="K28" i="4"/>
  <c r="K31" i="4"/>
  <c r="O31" i="4"/>
  <c r="O28" i="4"/>
  <c r="O6" i="4"/>
  <c r="O3" i="4"/>
  <c r="O21" i="4"/>
  <c r="O18" i="4"/>
  <c r="O23" i="4"/>
  <c r="O26" i="4"/>
  <c r="O8" i="4"/>
  <c r="O11" i="4"/>
  <c r="O16" i="4"/>
  <c r="O13" i="4"/>
  <c r="K6" i="4"/>
  <c r="K3" i="4"/>
  <c r="K8" i="4"/>
  <c r="K23" i="4"/>
  <c r="K13" i="4"/>
  <c r="K18" i="4"/>
  <c r="K11" i="4"/>
  <c r="K16" i="4"/>
  <c r="K21" i="4"/>
  <c r="K26" i="4"/>
  <c r="H3" i="3"/>
  <c r="G23" i="3" l="1"/>
  <c r="G38" i="4"/>
  <c r="G8" i="3"/>
  <c r="G28" i="4"/>
  <c r="G33" i="4"/>
  <c r="G23" i="4"/>
  <c r="G13" i="4"/>
  <c r="G18" i="4"/>
  <c r="H1" i="4"/>
  <c r="G3" i="4"/>
  <c r="B15" i="1"/>
  <c r="L7" i="3"/>
  <c r="K23" i="3" l="1"/>
  <c r="K13" i="3"/>
  <c r="K18" i="3"/>
  <c r="K8" i="3"/>
  <c r="Y7" i="3"/>
  <c r="Z7" i="3" s="1"/>
  <c r="Y6" i="3"/>
  <c r="Z6" i="3" s="1"/>
  <c r="Y5" i="3"/>
  <c r="Z5" i="3" s="1"/>
  <c r="Y4" i="3"/>
  <c r="Z4" i="3" s="1"/>
  <c r="Y3" i="3"/>
  <c r="T7" i="3"/>
  <c r="U7" i="3" s="1"/>
  <c r="T6" i="3"/>
  <c r="U6" i="3" s="1"/>
  <c r="T5" i="3"/>
  <c r="U5" i="3" s="1"/>
  <c r="T4" i="3"/>
  <c r="U4" i="3" s="1"/>
  <c r="T3" i="3"/>
  <c r="O7" i="3"/>
  <c r="P7" i="3" s="1"/>
  <c r="O6" i="3"/>
  <c r="P6" i="3" s="1"/>
  <c r="O5" i="3"/>
  <c r="P5" i="3" s="1"/>
  <c r="O4" i="3"/>
  <c r="P4" i="3" s="1"/>
  <c r="O3" i="3"/>
  <c r="E31" i="2"/>
  <c r="E26" i="2"/>
  <c r="E21" i="2"/>
  <c r="E16" i="2"/>
  <c r="E11" i="2"/>
  <c r="E6" i="2"/>
  <c r="E28" i="2"/>
  <c r="E23" i="2"/>
  <c r="E18" i="2"/>
  <c r="E13" i="2"/>
  <c r="E8" i="2"/>
  <c r="E3" i="2"/>
  <c r="F27" i="2"/>
  <c r="F22" i="2"/>
  <c r="F17" i="2"/>
  <c r="F12" i="2"/>
  <c r="F7" i="2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3" i="2"/>
  <c r="K3" i="2" s="1"/>
  <c r="I2" i="2"/>
  <c r="K2" i="2" s="1"/>
  <c r="F2" i="2"/>
  <c r="F26" i="1"/>
  <c r="F25" i="1"/>
  <c r="F24" i="1"/>
  <c r="F23" i="1"/>
  <c r="F22" i="1"/>
  <c r="F21" i="1"/>
  <c r="F20" i="1"/>
  <c r="F19" i="1"/>
  <c r="K3" i="3" l="1"/>
  <c r="P3" i="3"/>
  <c r="L3" i="3" s="1"/>
  <c r="Z3" i="3"/>
  <c r="V5" i="3"/>
  <c r="Q5" i="3"/>
  <c r="U3" i="3"/>
  <c r="K22" i="2"/>
  <c r="L22" i="2" s="1"/>
  <c r="M22" i="2" s="1"/>
  <c r="B15" i="2"/>
  <c r="G22" i="1"/>
  <c r="H30" i="1" s="1"/>
  <c r="J29" i="2"/>
  <c r="L17" i="2"/>
  <c r="L27" i="2"/>
  <c r="L2" i="2"/>
  <c r="L12" i="2"/>
  <c r="L7" i="2"/>
  <c r="J10" i="2"/>
  <c r="J18" i="2"/>
  <c r="J26" i="2"/>
  <c r="J3" i="2"/>
  <c r="J7" i="2"/>
  <c r="J11" i="2"/>
  <c r="J15" i="2"/>
  <c r="J19" i="2"/>
  <c r="J23" i="2"/>
  <c r="J27" i="2"/>
  <c r="J31" i="2"/>
  <c r="J6" i="2"/>
  <c r="J14" i="2"/>
  <c r="J30" i="2"/>
  <c r="J4" i="2"/>
  <c r="J8" i="2"/>
  <c r="J12" i="2"/>
  <c r="J16" i="2"/>
  <c r="J20" i="2"/>
  <c r="J24" i="2"/>
  <c r="J28" i="2"/>
  <c r="J2" i="2"/>
  <c r="J22" i="2"/>
  <c r="J5" i="2"/>
  <c r="J9" i="2"/>
  <c r="J13" i="2"/>
  <c r="J17" i="2"/>
  <c r="J21" i="2"/>
  <c r="J25" i="2"/>
  <c r="E19" i="2"/>
  <c r="E9" i="2"/>
  <c r="E24" i="2"/>
  <c r="E14" i="2"/>
  <c r="E29" i="2"/>
  <c r="E4" i="2"/>
  <c r="G20" i="1"/>
  <c r="I31" i="1" s="1"/>
  <c r="C31" i="1"/>
  <c r="D30" i="1"/>
  <c r="G19" i="1"/>
  <c r="I30" i="1" s="1"/>
  <c r="G21" i="1"/>
  <c r="H31" i="1" s="1"/>
  <c r="D31" i="1"/>
  <c r="C30" i="1"/>
  <c r="H19" i="1" l="1"/>
  <c r="J30" i="1" s="1"/>
  <c r="V6" i="3"/>
  <c r="V3" i="3"/>
  <c r="M7" i="2"/>
  <c r="C21" i="2" s="1"/>
  <c r="B25" i="2" s="1"/>
  <c r="M2" i="2"/>
  <c r="Q3" i="3"/>
  <c r="I3" i="3" s="1"/>
  <c r="Q6" i="3"/>
  <c r="M17" i="2"/>
  <c r="C19" i="2" s="1"/>
  <c r="E30" i="2"/>
  <c r="M12" i="2"/>
  <c r="C20" i="2" s="1"/>
  <c r="M27" i="2"/>
  <c r="E15" i="2"/>
  <c r="E25" i="2"/>
  <c r="E20" i="2"/>
  <c r="E5" i="2"/>
  <c r="E10" i="2"/>
  <c r="H20" i="1"/>
  <c r="J31" i="1" s="1"/>
  <c r="G3" i="3" l="1"/>
  <c r="G29" i="3" s="1"/>
  <c r="B23" i="2"/>
  <c r="A19" i="2"/>
  <c r="A20" i="2"/>
  <c r="B24" i="2"/>
</calcChain>
</file>

<file path=xl/sharedStrings.xml><?xml version="1.0" encoding="utf-8"?>
<sst xmlns="http://schemas.openxmlformats.org/spreadsheetml/2006/main" count="264" uniqueCount="122">
  <si>
    <t>chamber:</t>
  </si>
  <si>
    <t>date:</t>
  </si>
  <si>
    <t>phantoms:</t>
  </si>
  <si>
    <t>RW3</t>
  </si>
  <si>
    <t>RW3-stack</t>
  </si>
  <si>
    <t>depth:</t>
  </si>
  <si>
    <t>10 cm</t>
  </si>
  <si>
    <t>ssd:</t>
  </si>
  <si>
    <t>100 cm</t>
  </si>
  <si>
    <t>electrometer:</t>
  </si>
  <si>
    <t>linac:</t>
  </si>
  <si>
    <t>U7</t>
  </si>
  <si>
    <t>phantom</t>
  </si>
  <si>
    <t>PMMA</t>
  </si>
  <si>
    <t>MV</t>
  </si>
  <si>
    <t>A</t>
  </si>
  <si>
    <t>Stealth</t>
  </si>
  <si>
    <t>Stealth-device: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</si>
  <si>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ref </t>
    </r>
    <r>
      <rPr>
        <sz val="11"/>
        <color theme="1"/>
        <rFont val="Calibri"/>
        <family val="2"/>
        <scheme val="minor"/>
      </rPr>
      <t>[°C]</t>
    </r>
  </si>
  <si>
    <t>m [nC]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</si>
  <si>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phantom </t>
    </r>
    <r>
      <rPr>
        <sz val="11"/>
        <color theme="1"/>
        <rFont val="Calibri"/>
        <family val="2"/>
        <scheme val="minor"/>
      </rPr>
      <t>[°C]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</si>
  <si>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[°C]</t>
    </r>
  </si>
  <si>
    <r>
      <t>m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[nC]</t>
    </r>
  </si>
  <si>
    <t>transmission</t>
  </si>
  <si>
    <t>scatter contribution</t>
  </si>
  <si>
    <t>field size:</t>
  </si>
  <si>
    <t>25x25</t>
  </si>
  <si>
    <r>
      <t>S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cp</t>
    </r>
  </si>
  <si>
    <t>measurement is average over 10 samples</t>
  </si>
  <si>
    <t>-</t>
  </si>
  <si>
    <t>DOSE 1</t>
  </si>
  <si>
    <t>temperature:</t>
  </si>
  <si>
    <t>energy:</t>
  </si>
  <si>
    <t>6 MV</t>
  </si>
  <si>
    <t>PTW Webline, SN176, -250 V</t>
  </si>
  <si>
    <r>
      <t>V</t>
    </r>
    <r>
      <rPr>
        <vertAlign val="subscript"/>
        <sz val="11"/>
        <color theme="1"/>
        <rFont val="Calibri"/>
        <family val="2"/>
        <scheme val="minor"/>
      </rPr>
      <t>DOSE 1</t>
    </r>
  </si>
  <si>
    <r>
      <t>V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</si>
  <si>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DOSE 1</t>
    </r>
    <r>
      <rPr>
        <vertAlign val="subscript"/>
        <sz val="11"/>
        <color theme="1"/>
        <rFont val="Calibri"/>
        <family val="2"/>
        <scheme val="minor"/>
      </rPr>
      <t>cal</t>
    </r>
  </si>
  <si>
    <t>[mC/Gy]</t>
  </si>
  <si>
    <t>100 ME</t>
  </si>
  <si>
    <t>dose:</t>
  </si>
  <si>
    <r>
      <t xml:space="preserve">mon </t>
    </r>
    <r>
      <rPr>
        <sz val="9"/>
        <color theme="1"/>
        <rFont val="Calibri"/>
        <family val="2"/>
        <scheme val="minor"/>
      </rPr>
      <t>[nC]</t>
    </r>
  </si>
  <si>
    <r>
      <t xml:space="preserve">Stealth </t>
    </r>
    <r>
      <rPr>
        <sz val="9"/>
        <color theme="1"/>
        <rFont val="Calibri"/>
        <family val="2"/>
        <scheme val="minor"/>
      </rPr>
      <t>[μGy]</t>
    </r>
  </si>
  <si>
    <r>
      <t xml:space="preserve">Stealth </t>
    </r>
    <r>
      <rPr>
        <sz val="9"/>
        <color theme="1"/>
        <rFont val="Calibri"/>
        <family val="2"/>
        <scheme val="minor"/>
      </rPr>
      <t>[nC]</t>
    </r>
  </si>
  <si>
    <t>conclusion</t>
  </si>
  <si>
    <t>conclusions</t>
  </si>
  <si>
    <t>transmission approximately 98.4% for 6 MV and 98.8% for 10 MV</t>
  </si>
  <si>
    <t>scatter contribution below detection limit</t>
  </si>
  <si>
    <t>s</t>
  </si>
  <si>
    <r>
      <t>Q</t>
    </r>
    <r>
      <rPr>
        <vertAlign val="subscript"/>
        <sz val="11"/>
        <color theme="1"/>
        <rFont val="Calibri"/>
        <family val="2"/>
        <scheme val="minor"/>
      </rPr>
      <t>rel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[*10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>]</t>
    </r>
  </si>
  <si>
    <r>
      <t>Q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[*10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>]</t>
    </r>
  </si>
  <si>
    <r>
      <t>avg Q</t>
    </r>
    <r>
      <rPr>
        <vertAlign val="superscript"/>
        <sz val="11"/>
        <color theme="1"/>
        <rFont val="Calibri"/>
        <family val="2"/>
        <scheme val="minor"/>
      </rPr>
      <t>-1</t>
    </r>
  </si>
  <si>
    <t>Significant recombination, no gas amplification up to 500 V</t>
  </si>
  <si>
    <t>B</t>
  </si>
  <si>
    <t>var</t>
  </si>
  <si>
    <t>gantry:</t>
  </si>
  <si>
    <t>puls rate:</t>
  </si>
  <si>
    <t>time:</t>
  </si>
  <si>
    <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</si>
  <si>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ME</t>
  </si>
  <si>
    <t>°</t>
  </si>
  <si>
    <t>°C</t>
  </si>
  <si>
    <t>table [cm]</t>
  </si>
  <si>
    <t>RW3 [cm]</t>
  </si>
  <si>
    <t>pulses:</t>
  </si>
  <si>
    <t>u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</si>
  <si>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</si>
  <si>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Two-voltage, linear</t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</si>
  <si>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@ 400 V</t>
    </r>
  </si>
  <si>
    <t>Two-voltage, Boag</t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</si>
  <si>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</si>
  <si>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1</t>
    </r>
  </si>
  <si>
    <t>Boag-Mw/Ml</t>
  </si>
  <si>
    <t>Vw/Vl</t>
  </si>
  <si>
    <r>
      <t>Q</t>
    </r>
    <r>
      <rPr>
        <vertAlign val="subscript"/>
        <sz val="11"/>
        <color theme="1"/>
        <rFont val="Calibri"/>
        <family val="2"/>
        <scheme val="minor"/>
      </rPr>
      <t>rel</t>
    </r>
  </si>
  <si>
    <t>(non-lin)</t>
  </si>
  <si>
    <t>cpp [nC]</t>
  </si>
  <si>
    <t>cpp [nC]:</t>
  </si>
  <si>
    <r>
      <t>k</t>
    </r>
    <r>
      <rPr>
        <vertAlign val="subscript"/>
        <sz val="11"/>
        <color theme="1"/>
        <rFont val="Calibri"/>
        <family val="2"/>
        <scheme val="minor"/>
      </rPr>
      <t>pol-</t>
    </r>
  </si>
  <si>
    <t>(should be appr. 1.02)</t>
  </si>
  <si>
    <t>+schuim</t>
  </si>
  <si>
    <t>The recombination cannot be measured reliably as low as -40 V. 100 Volts seems to be the limit, see linearity.</t>
  </si>
  <si>
    <t>The polarity correction is , as expected, extremely low. To get more detailed figures, a still better controlled experiment is needed.</t>
  </si>
  <si>
    <t>U9</t>
  </si>
  <si>
    <t>NE2571, sn 2498</t>
  </si>
  <si>
    <t>NE2571, sn 3593</t>
  </si>
  <si>
    <t>at head</t>
  </si>
  <si>
    <t>avg monitor</t>
  </si>
  <si>
    <r>
      <t>Q</t>
    </r>
    <r>
      <rPr>
        <vertAlign val="subscript"/>
        <sz val="11"/>
        <color theme="1"/>
        <rFont val="Calibri"/>
        <family val="2"/>
        <scheme val="minor"/>
      </rPr>
      <t>rel</t>
    </r>
    <r>
      <rPr>
        <sz val="11"/>
        <color theme="1"/>
        <rFont val="Calibri"/>
        <family val="2"/>
        <scheme val="minor"/>
      </rPr>
      <t xml:space="preserve"> [*10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>]</t>
    </r>
  </si>
  <si>
    <r>
      <t xml:space="preserve">Stealth </t>
    </r>
    <r>
      <rPr>
        <sz val="9"/>
        <color theme="1"/>
        <rFont val="Calibri"/>
        <family val="2"/>
        <scheme val="minor"/>
      </rPr>
      <t>[μC]</t>
    </r>
  </si>
  <si>
    <t>t</t>
  </si>
  <si>
    <t>pulses</t>
  </si>
  <si>
    <t>temperature?</t>
  </si>
  <si>
    <t>There is a strong but linear dependancy on the charge per pulse for the recombination.</t>
  </si>
  <si>
    <t>field</t>
  </si>
  <si>
    <t>charge/area</t>
  </si>
  <si>
    <t>Conclusion</t>
  </si>
  <si>
    <t>Charge per area roughly constant at working voltage.</t>
  </si>
  <si>
    <t>At very low voltages the high mobility of the electrons compensates leads to a spectacular lower recombination for small fields.</t>
  </si>
  <si>
    <t>-400 V</t>
  </si>
  <si>
    <t>-20 V</t>
  </si>
  <si>
    <t>Webline @ +400 V</t>
  </si>
  <si>
    <r>
      <t>T</t>
    </r>
    <r>
      <rPr>
        <vertAlign val="subscript"/>
        <sz val="11"/>
        <color theme="1"/>
        <rFont val="Calibri"/>
        <family val="2"/>
        <scheme val="minor"/>
      </rPr>
      <t>½</t>
    </r>
    <r>
      <rPr>
        <sz val="11"/>
        <color theme="1"/>
        <rFont val="Calibri"/>
        <family val="2"/>
        <scheme val="minor"/>
      </rPr>
      <t xml:space="preserve"> [d]</t>
    </r>
  </si>
  <si>
    <t>tijd</t>
  </si>
  <si>
    <t>correctie</t>
  </si>
  <si>
    <t>T [°C]</t>
  </si>
  <si>
    <t>p [hPa]</t>
  </si>
  <si>
    <t>Q [nC]</t>
  </si>
  <si>
    <t>meter al vorige dag ingeschakeld met aangesloten kamer</t>
  </si>
  <si>
    <t>kamer A</t>
  </si>
  <si>
    <r>
      <t>t</t>
    </r>
    <r>
      <rPr>
        <vertAlign val="subscript"/>
        <sz val="11"/>
        <color theme="1"/>
        <rFont val="Calibri"/>
        <family val="2"/>
        <scheme val="minor"/>
      </rPr>
      <t>meting</t>
    </r>
    <r>
      <rPr>
        <sz val="11"/>
        <color theme="1"/>
        <rFont val="Calibri"/>
        <family val="2"/>
        <scheme val="minor"/>
      </rPr>
      <t xml:space="preserve"> [s]</t>
    </r>
  </si>
  <si>
    <t>verval</t>
  </si>
  <si>
    <t>pT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</si>
  <si>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ref </t>
    </r>
    <r>
      <rPr>
        <sz val="11"/>
        <color theme="1"/>
        <rFont val="Calibri"/>
        <family val="2"/>
        <scheme val="minor"/>
      </rPr>
      <t>[hPa]</t>
    </r>
  </si>
  <si>
    <t>I [pA]</t>
  </si>
  <si>
    <r>
      <t>Nucletron HDR-</t>
    </r>
    <r>
      <rPr>
        <vertAlign val="superscript"/>
        <sz val="11"/>
        <color theme="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Ir-source at approximately 3 meter.</t>
    </r>
  </si>
  <si>
    <t>[%/h]</t>
  </si>
  <si>
    <t>drift:</t>
  </si>
  <si>
    <t>PMMA-cylinder (torentjesfantoom, 3 cm @ 10 cm)</t>
  </si>
  <si>
    <t>scatter</t>
  </si>
  <si>
    <t>open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</si>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</sst>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"/>
    <numFmt numFmtId="166" formatCode="0.0%"/>
    <numFmt numFmtId="167" formatCode="0.0"/>
    <numFmt numFmtId="168" formatCode="0.000000"/>
    <numFmt numFmtId="169" formatCode="0.00000"/>
    <numFmt numFmtId="170" formatCode="0.0000000"/>
    <numFmt numFmtId="171" formatCode="0.00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96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left"/>
    </xf>
    <xf numFmtId="10" fontId="3" fillId="0" borderId="0" xfId="0" applyNumberFormat="1" applyFont="1"/>
    <xf numFmtId="14" fontId="0" fillId="0" borderId="0" xfId="0" quotePrefix="1" applyNumberFormat="1"/>
    <xf numFmtId="0" fontId="0" fillId="0" borderId="0" xfId="0" applyFont="1" applyAlignment="1">
      <alignment horizontal="right"/>
    </xf>
    <xf numFmtId="0" fontId="0" fillId="0" borderId="4" xfId="0" applyBorder="1"/>
    <xf numFmtId="0" fontId="0" fillId="0" borderId="5" xfId="0" applyBorder="1"/>
    <xf numFmtId="166" fontId="3" fillId="0" borderId="6" xfId="0" applyNumberFormat="1" applyFont="1" applyBorder="1"/>
    <xf numFmtId="166" fontId="3" fillId="0" borderId="1" xfId="0" applyNumberFormat="1" applyFont="1" applyBorder="1"/>
    <xf numFmtId="166" fontId="3" fillId="0" borderId="3" xfId="0" applyNumberFormat="1" applyFont="1" applyBorder="1"/>
    <xf numFmtId="166" fontId="3" fillId="0" borderId="5" xfId="0" applyNumberFormat="1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3" fillId="0" borderId="0" xfId="0" applyNumberFormat="1" applyFont="1"/>
    <xf numFmtId="2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7" fontId="0" fillId="0" borderId="0" xfId="0" applyNumberForma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164" fontId="6" fillId="0" borderId="0" xfId="0" applyNumberFormat="1" applyFont="1"/>
    <xf numFmtId="164" fontId="7" fillId="0" borderId="0" xfId="0" applyNumberFormat="1" applyFont="1"/>
    <xf numFmtId="165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3" fillId="0" borderId="0" xfId="0" applyNumberFormat="1" applyFont="1"/>
    <xf numFmtId="168" fontId="0" fillId="0" borderId="0" xfId="0" applyNumberFormat="1"/>
    <xf numFmtId="164" fontId="8" fillId="0" borderId="0" xfId="0" applyNumberFormat="1" applyFont="1"/>
    <xf numFmtId="0" fontId="0" fillId="0" borderId="0" xfId="0" quotePrefix="1" applyAlignment="1">
      <alignment horizontal="right"/>
    </xf>
    <xf numFmtId="165" fontId="7" fillId="0" borderId="0" xfId="0" applyNumberFormat="1" applyFont="1"/>
    <xf numFmtId="2" fontId="6" fillId="0" borderId="0" xfId="0" applyNumberFormat="1" applyFont="1"/>
    <xf numFmtId="165" fontId="1" fillId="0" borderId="0" xfId="0" applyNumberFormat="1" applyFont="1"/>
    <xf numFmtId="1" fontId="6" fillId="0" borderId="0" xfId="0" applyNumberFormat="1" applyFont="1"/>
    <xf numFmtId="1" fontId="9" fillId="0" borderId="0" xfId="0" applyNumberFormat="1" applyFont="1"/>
    <xf numFmtId="0" fontId="1" fillId="0" borderId="0" xfId="0" quotePrefix="1" applyFont="1" applyAlignment="1">
      <alignment horizontal="right"/>
    </xf>
    <xf numFmtId="20" fontId="1" fillId="0" borderId="0" xfId="0" applyNumberFormat="1" applyFont="1"/>
    <xf numFmtId="169" fontId="3" fillId="0" borderId="0" xfId="0" applyNumberFormat="1" applyFont="1"/>
    <xf numFmtId="0" fontId="9" fillId="0" borderId="0" xfId="0" applyFont="1"/>
    <xf numFmtId="170" fontId="0" fillId="0" borderId="0" xfId="0" applyNumberFormat="1"/>
    <xf numFmtId="165" fontId="3" fillId="0" borderId="1" xfId="0" applyNumberFormat="1" applyFont="1" applyBorder="1"/>
    <xf numFmtId="165" fontId="3" fillId="0" borderId="3" xfId="0" applyNumberFormat="1" applyFont="1" applyBorder="1"/>
    <xf numFmtId="165" fontId="3" fillId="0" borderId="5" xfId="0" applyNumberFormat="1" applyFont="1" applyBorder="1"/>
    <xf numFmtId="165" fontId="3" fillId="0" borderId="6" xfId="0" applyNumberFormat="1" applyFont="1" applyBorder="1"/>
    <xf numFmtId="0" fontId="0" fillId="0" borderId="8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right"/>
    </xf>
    <xf numFmtId="10" fontId="3" fillId="0" borderId="9" xfId="0" applyNumberFormat="1" applyFont="1" applyBorder="1"/>
    <xf numFmtId="10" fontId="3" fillId="0" borderId="10" xfId="0" applyNumberFormat="1" applyFont="1" applyBorder="1"/>
    <xf numFmtId="171" fontId="3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9600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Q</a:t>
            </a:r>
            <a:r>
              <a:rPr lang="en-US" baseline="30000"/>
              <a:t>-1</a:t>
            </a:r>
            <a:r>
              <a:rPr lang="en-US"/>
              <a:t> vs V</a:t>
            </a:r>
            <a:r>
              <a:rPr lang="en-US" baseline="30000"/>
              <a:t>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0.1"/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linearity!$F$2:$F$27</c:f>
              <c:numCache>
                <c:formatCode>General</c:formatCode>
                <c:ptCount val="26"/>
                <c:pt idx="0" formatCode="0.000">
                  <c:v>4.1666666666666664E-2</c:v>
                </c:pt>
                <c:pt idx="5" formatCode="0.000">
                  <c:v>0.02</c:v>
                </c:pt>
                <c:pt idx="10" formatCode="0.000">
                  <c:v>1.0101010101010102E-2</c:v>
                </c:pt>
                <c:pt idx="15" formatCode="0.000">
                  <c:v>5.0251256281407036E-3</c:v>
                </c:pt>
                <c:pt idx="20" formatCode="0.000">
                  <c:v>2.5000000000000001E-3</c:v>
                </c:pt>
                <c:pt idx="25" formatCode="0.000">
                  <c:v>2E-3</c:v>
                </c:pt>
              </c:numCache>
            </c:numRef>
          </c:xVal>
          <c:yVal>
            <c:numRef>
              <c:f>linearity!$M$2:$M$27</c:f>
              <c:numCache>
                <c:formatCode>General</c:formatCode>
                <c:ptCount val="26"/>
                <c:pt idx="0" formatCode="0.000">
                  <c:v>1.9321646784923432</c:v>
                </c:pt>
                <c:pt idx="5" formatCode="0.000">
                  <c:v>1.2666671326237855</c:v>
                </c:pt>
                <c:pt idx="10" formatCode="0.000">
                  <c:v>1.0693859717303122</c:v>
                </c:pt>
                <c:pt idx="15" formatCode="0.000">
                  <c:v>1.0210014267456957</c:v>
                </c:pt>
                <c:pt idx="20" formatCode="0.000">
                  <c:v>1</c:v>
                </c:pt>
                <c:pt idx="25" formatCode="0.000">
                  <c:v>0.99532271469173272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216"/>
        <c:axId val="173843200"/>
      </c:scatterChart>
      <c:valAx>
        <c:axId val="1738332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73843200"/>
        <c:crosses val="autoZero"/>
        <c:crossBetween val="midCat"/>
      </c:valAx>
      <c:valAx>
        <c:axId val="173843200"/>
        <c:scaling>
          <c:orientation val="minMax"/>
          <c:min val="0.9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738332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normalized Q</a:t>
            </a:r>
            <a:r>
              <a:rPr lang="en-US" sz="1600" baseline="30000"/>
              <a:t>-1</a:t>
            </a:r>
            <a:r>
              <a:rPr lang="en-US" sz="1600"/>
              <a:t> vs V</a:t>
            </a:r>
            <a:r>
              <a:rPr lang="en-US" sz="1600" baseline="30000"/>
              <a:t>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</c:marker>
          <c:errBars>
            <c:errDir val="y"/>
            <c:errBarType val="both"/>
            <c:errValType val="percentage"/>
            <c:noEndCap val="0"/>
            <c:val val="0.1"/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linearity!$F$2:$F$27</c:f>
              <c:numCache>
                <c:formatCode>General</c:formatCode>
                <c:ptCount val="26"/>
                <c:pt idx="0" formatCode="0.000">
                  <c:v>4.1666666666666664E-2</c:v>
                </c:pt>
                <c:pt idx="5" formatCode="0.000">
                  <c:v>0.02</c:v>
                </c:pt>
                <c:pt idx="10" formatCode="0.000">
                  <c:v>1.0101010101010102E-2</c:v>
                </c:pt>
                <c:pt idx="15" formatCode="0.000">
                  <c:v>5.0251256281407036E-3</c:v>
                </c:pt>
                <c:pt idx="20" formatCode="0.000">
                  <c:v>2.5000000000000001E-3</c:v>
                </c:pt>
                <c:pt idx="25" formatCode="0.000">
                  <c:v>2E-3</c:v>
                </c:pt>
              </c:numCache>
            </c:numRef>
          </c:xVal>
          <c:yVal>
            <c:numRef>
              <c:f>linearity!$M$2:$M$27</c:f>
              <c:numCache>
                <c:formatCode>General</c:formatCode>
                <c:ptCount val="26"/>
                <c:pt idx="0" formatCode="0.000">
                  <c:v>1.9321646784923432</c:v>
                </c:pt>
                <c:pt idx="5" formatCode="0.000">
                  <c:v>1.2666671326237855</c:v>
                </c:pt>
                <c:pt idx="10" formatCode="0.000">
                  <c:v>1.0693859717303122</c:v>
                </c:pt>
                <c:pt idx="15" formatCode="0.000">
                  <c:v>1.0210014267456957</c:v>
                </c:pt>
                <c:pt idx="20" formatCode="0.000">
                  <c:v>1</c:v>
                </c:pt>
                <c:pt idx="25" formatCode="0.000">
                  <c:v>0.99532271469173272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5808"/>
        <c:axId val="174537344"/>
      </c:scatterChart>
      <c:valAx>
        <c:axId val="174535808"/>
        <c:scaling>
          <c:orientation val="minMax"/>
          <c:max val="1.2000000000000002E-2"/>
          <c:min val="0"/>
        </c:scaling>
        <c:delete val="0"/>
        <c:axPos val="b"/>
        <c:numFmt formatCode="0.000" sourceLinked="1"/>
        <c:majorTickMark val="out"/>
        <c:minorTickMark val="none"/>
        <c:tickLblPos val="nextTo"/>
        <c:crossAx val="174537344"/>
        <c:crosses val="autoZero"/>
        <c:crossBetween val="midCat"/>
      </c:valAx>
      <c:valAx>
        <c:axId val="174537344"/>
        <c:scaling>
          <c:orientation val="minMax"/>
          <c:max val="1.08"/>
          <c:min val="0.98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745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normalized Q</a:t>
            </a:r>
            <a:r>
              <a:rPr lang="en-US" sz="1600" baseline="30000"/>
              <a:t>-1</a:t>
            </a:r>
            <a:r>
              <a:rPr lang="en-US" sz="1600"/>
              <a:t> vs V</a:t>
            </a:r>
            <a:r>
              <a:rPr lang="en-US" sz="1600" baseline="30000"/>
              <a:t>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</c:marker>
          <c:errBars>
            <c:errDir val="y"/>
            <c:errBarType val="both"/>
            <c:errValType val="percentage"/>
            <c:noEndCap val="0"/>
            <c:val val="0.1"/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linearity!$F$2:$F$27</c:f>
              <c:numCache>
                <c:formatCode>General</c:formatCode>
                <c:ptCount val="26"/>
                <c:pt idx="0" formatCode="0.000">
                  <c:v>4.1666666666666664E-2</c:v>
                </c:pt>
                <c:pt idx="5" formatCode="0.000">
                  <c:v>0.02</c:v>
                </c:pt>
                <c:pt idx="10" formatCode="0.000">
                  <c:v>1.0101010101010102E-2</c:v>
                </c:pt>
                <c:pt idx="15" formatCode="0.000">
                  <c:v>5.0251256281407036E-3</c:v>
                </c:pt>
                <c:pt idx="20" formatCode="0.000">
                  <c:v>2.5000000000000001E-3</c:v>
                </c:pt>
                <c:pt idx="25" formatCode="0.000">
                  <c:v>2E-3</c:v>
                </c:pt>
              </c:numCache>
            </c:numRef>
          </c:xVal>
          <c:yVal>
            <c:numRef>
              <c:f>linearity!$M$2:$M$27</c:f>
              <c:numCache>
                <c:formatCode>General</c:formatCode>
                <c:ptCount val="26"/>
                <c:pt idx="0" formatCode="0.000">
                  <c:v>1.9321646784923432</c:v>
                </c:pt>
                <c:pt idx="5" formatCode="0.000">
                  <c:v>1.2666671326237855</c:v>
                </c:pt>
                <c:pt idx="10" formatCode="0.000">
                  <c:v>1.0693859717303122</c:v>
                </c:pt>
                <c:pt idx="15" formatCode="0.000">
                  <c:v>1.0210014267456957</c:v>
                </c:pt>
                <c:pt idx="20" formatCode="0.000">
                  <c:v>1</c:v>
                </c:pt>
                <c:pt idx="25" formatCode="0.000">
                  <c:v>0.99532271469173272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54112"/>
        <c:axId val="174572288"/>
      </c:scatterChart>
      <c:valAx>
        <c:axId val="1745541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74572288"/>
        <c:crosses val="autoZero"/>
        <c:crossBetween val="midCat"/>
      </c:valAx>
      <c:valAx>
        <c:axId val="174572288"/>
        <c:scaling>
          <c:orientation val="minMax"/>
          <c:max val="2"/>
          <c:min val="0.9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7455411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per area vs field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size'!$G$1</c:f>
              <c:strCache>
                <c:ptCount val="1"/>
                <c:pt idx="0">
                  <c:v>-400 V</c:v>
                </c:pt>
              </c:strCache>
            </c:strRef>
          </c:tx>
          <c:spPr>
            <a:ln w="28575">
              <a:noFill/>
            </a:ln>
          </c:spPr>
          <c:xVal>
            <c:numRef>
              <c:f>'field size'!$F$3:$F$28</c:f>
              <c:numCache>
                <c:formatCode>0.00%</c:formatCode>
                <c:ptCount val="26"/>
                <c:pt idx="0" formatCode="0">
                  <c:v>25</c:v>
                </c:pt>
                <c:pt idx="5" formatCode="0">
                  <c:v>15</c:v>
                </c:pt>
                <c:pt idx="10" formatCode="0">
                  <c:v>10</c:v>
                </c:pt>
                <c:pt idx="15" formatCode="0">
                  <c:v>5</c:v>
                </c:pt>
                <c:pt idx="20" formatCode="0">
                  <c:v>3</c:v>
                </c:pt>
                <c:pt idx="25" formatCode="0">
                  <c:v>1</c:v>
                </c:pt>
              </c:numCache>
            </c:numRef>
          </c:xVal>
          <c:yVal>
            <c:numRef>
              <c:f>'field size'!$E$3:$E$28</c:f>
              <c:numCache>
                <c:formatCode>0.00</c:formatCode>
                <c:ptCount val="26"/>
                <c:pt idx="0">
                  <c:v>29.814746880000005</c:v>
                </c:pt>
                <c:pt idx="5">
                  <c:v>31.699242666666667</c:v>
                </c:pt>
                <c:pt idx="10">
                  <c:v>31.664798399999999</c:v>
                </c:pt>
                <c:pt idx="15">
                  <c:v>28.974201599999997</c:v>
                </c:pt>
                <c:pt idx="20">
                  <c:v>28.707061333333328</c:v>
                </c:pt>
                <c:pt idx="25">
                  <c:v>31.779568799999993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'field size'!$M$1</c:f>
              <c:strCache>
                <c:ptCount val="1"/>
                <c:pt idx="0">
                  <c:v>-20 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</c:marker>
          <c:xVal>
            <c:numRef>
              <c:f>'field size'!$L$3:$L$28</c:f>
              <c:numCache>
                <c:formatCode>0.00%</c:formatCode>
                <c:ptCount val="26"/>
                <c:pt idx="0" formatCode="0">
                  <c:v>25</c:v>
                </c:pt>
                <c:pt idx="5" formatCode="0">
                  <c:v>15</c:v>
                </c:pt>
                <c:pt idx="10" formatCode="0">
                  <c:v>10</c:v>
                </c:pt>
                <c:pt idx="15" formatCode="0">
                  <c:v>5</c:v>
                </c:pt>
                <c:pt idx="20" formatCode="0">
                  <c:v>3</c:v>
                </c:pt>
                <c:pt idx="25" formatCode="0">
                  <c:v>1</c:v>
                </c:pt>
              </c:numCache>
            </c:numRef>
          </c:xVal>
          <c:yVal>
            <c:numRef>
              <c:f>'field size'!$K$3:$K$33</c:f>
              <c:numCache>
                <c:formatCode>0.00</c:formatCode>
                <c:ptCount val="31"/>
                <c:pt idx="0">
                  <c:v>13.33892352</c:v>
                </c:pt>
                <c:pt idx="5">
                  <c:v>16.989700266666667</c:v>
                </c:pt>
                <c:pt idx="10">
                  <c:v>19.190320800000002</c:v>
                </c:pt>
                <c:pt idx="15">
                  <c:v>21.095982720000002</c:v>
                </c:pt>
                <c:pt idx="20">
                  <c:v>23.152594666666666</c:v>
                </c:pt>
                <c:pt idx="25">
                  <c:v>29.847403199999995</c:v>
                </c:pt>
                <c:pt idx="30">
                  <c:v>13.301061120000002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8288"/>
        <c:axId val="175002752"/>
      </c:scatterChart>
      <c:valAx>
        <c:axId val="174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field</a:t>
                </a:r>
                <a:r>
                  <a:rPr lang="en-US" b="0" baseline="0"/>
                  <a:t> size [cm]</a:t>
                </a:r>
              </a:p>
            </c:rich>
          </c:tx>
          <c:layout>
            <c:manualLayout>
              <c:xMode val="edge"/>
              <c:yMode val="edge"/>
              <c:x val="0.67427777777777775"/>
              <c:y val="0.8740507436570428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5002752"/>
        <c:crosses val="autoZero"/>
        <c:crossBetween val="midCat"/>
      </c:valAx>
      <c:valAx>
        <c:axId val="175002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[nC.cm</a:t>
                </a:r>
                <a:r>
                  <a:rPr lang="en-US" b="0" baseline="30000"/>
                  <a:t>-2</a:t>
                </a:r>
                <a:r>
                  <a:rPr lang="en-US" b="0" baseline="0"/>
                  <a:t>]</a:t>
                </a:r>
              </a:p>
            </c:rich>
          </c:tx>
          <c:layout>
            <c:manualLayout>
              <c:xMode val="edge"/>
              <c:yMode val="edge"/>
              <c:x val="3.0555555555555572E-2"/>
              <c:y val="0.158832750072907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9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polarity</a:t>
            </a:r>
            <a:r>
              <a:rPr lang="en-US" sz="1600" baseline="0"/>
              <a:t> vs charge per pulse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x"/>
            <c:errBarType val="both"/>
            <c:errValType val="percentage"/>
            <c:noEndCap val="0"/>
            <c:val val="1"/>
          </c:errBars>
          <c:errBars>
            <c:errDir val="y"/>
            <c:errBarType val="both"/>
            <c:errValType val="percentage"/>
            <c:noEndCap val="0"/>
            <c:val val="2.0000000000000004E-2"/>
          </c:errBars>
          <c:xVal>
            <c:numRef>
              <c:f>polarity!$K$3:$K$23</c:f>
              <c:numCache>
                <c:formatCode>0.00</c:formatCode>
                <c:ptCount val="21"/>
                <c:pt idx="0">
                  <c:v>2.6188159999999998</c:v>
                </c:pt>
                <c:pt idx="5">
                  <c:v>1.7064373333333334</c:v>
                </c:pt>
                <c:pt idx="10">
                  <c:v>0.87506842666666662</c:v>
                </c:pt>
                <c:pt idx="15">
                  <c:v>0.48971333333333333</c:v>
                </c:pt>
                <c:pt idx="20">
                  <c:v>0.2330904</c:v>
                </c:pt>
              </c:numCache>
            </c:numRef>
          </c:xVal>
          <c:yVal>
            <c:numRef>
              <c:f>polarity!$G$3:$G$23</c:f>
              <c:numCache>
                <c:formatCode>0.000000</c:formatCode>
                <c:ptCount val="21"/>
                <c:pt idx="0">
                  <c:v>0.99976660161499464</c:v>
                </c:pt>
                <c:pt idx="5">
                  <c:v>0.9999628416447377</c:v>
                </c:pt>
                <c:pt idx="10">
                  <c:v>0.99906156369571786</c:v>
                </c:pt>
                <c:pt idx="15">
                  <c:v>0.99974739890253439</c:v>
                </c:pt>
                <c:pt idx="20">
                  <c:v>0.99954624712563733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6832"/>
        <c:axId val="156538752"/>
      </c:scatterChart>
      <c:valAx>
        <c:axId val="1565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56538752"/>
        <c:crosses val="autoZero"/>
        <c:crossBetween val="midCat"/>
      </c:valAx>
      <c:valAx>
        <c:axId val="156538752"/>
        <c:scaling>
          <c:orientation val="minMax"/>
          <c:max val="1.0004999999999999"/>
          <c:min val="0.99849999999999994"/>
        </c:scaling>
        <c:delete val="0"/>
        <c:axPos val="l"/>
        <c:majorGridlines/>
        <c:numFmt formatCode="0.00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5653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recombination vs cpp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7.5881014873140931E-2"/>
                  <c:y val="0.205137066200058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ks= 0.0060.cpp + 0.9994</a:t>
                    </a:r>
                    <a:endParaRPr lang="en-US"/>
                  </a:p>
                </c:rich>
              </c:tx>
              <c:numFmt formatCode="#,##0.0000" sourceLinked="0"/>
            </c:trendlineLbl>
          </c:trendline>
          <c:xVal>
            <c:numRef>
              <c:f>recombination!$J$3:$J$38</c:f>
              <c:numCache>
                <c:formatCode>0.00</c:formatCode>
                <c:ptCount val="36"/>
                <c:pt idx="0">
                  <c:v>3.75</c:v>
                </c:pt>
                <c:pt idx="5">
                  <c:v>2.0219999999999998</c:v>
                </c:pt>
                <c:pt idx="10">
                  <c:v>1.2984</c:v>
                </c:pt>
                <c:pt idx="15">
                  <c:v>2.032</c:v>
                </c:pt>
                <c:pt idx="20">
                  <c:v>0.97819999999999996</c:v>
                </c:pt>
                <c:pt idx="25">
                  <c:v>0.59519999999999995</c:v>
                </c:pt>
                <c:pt idx="30">
                  <c:v>0.19028</c:v>
                </c:pt>
                <c:pt idx="35">
                  <c:v>0.19040000000000001</c:v>
                </c:pt>
              </c:numCache>
            </c:numRef>
          </c:xVal>
          <c:yVal>
            <c:numRef>
              <c:f>recombination!$G$3:$G$38</c:f>
              <c:numCache>
                <c:formatCode>General</c:formatCode>
                <c:ptCount val="36"/>
                <c:pt idx="0" formatCode="0.000">
                  <c:v>1.0218247992695699</c:v>
                </c:pt>
                <c:pt idx="10" formatCode="0.000">
                  <c:v>1.0073043710930742</c:v>
                </c:pt>
                <c:pt idx="15" formatCode="0.000">
                  <c:v>1.011696442011262</c:v>
                </c:pt>
                <c:pt idx="20" formatCode="0.000">
                  <c:v>1.0055212290432043</c:v>
                </c:pt>
                <c:pt idx="25" formatCode="0.000">
                  <c:v>1.0030031929527901</c:v>
                </c:pt>
                <c:pt idx="30" formatCode="0.000">
                  <c:v>1.0001978282584085</c:v>
                </c:pt>
                <c:pt idx="35" formatCode="0.000">
                  <c:v>1.0006672802625087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9728"/>
        <c:axId val="174091648"/>
      </c:scatterChart>
      <c:valAx>
        <c:axId val="1740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cpp [nC]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4091648"/>
        <c:crosses val="autoZero"/>
        <c:crossBetween val="midCat"/>
      </c:valAx>
      <c:valAx>
        <c:axId val="1740916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08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stability!$G$7</c:f>
              <c:strCache>
                <c:ptCount val="1"/>
                <c:pt idx="0">
                  <c:v>I [pA]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stability!$A$8:$A$23</c:f>
              <c:numCache>
                <c:formatCode>h:mm</c:formatCode>
                <c:ptCount val="16"/>
                <c:pt idx="0">
                  <c:v>0.47569444444444442</c:v>
                </c:pt>
                <c:pt idx="1">
                  <c:v>0.52777777777777779</c:v>
                </c:pt>
                <c:pt idx="2">
                  <c:v>0.53194444444444444</c:v>
                </c:pt>
                <c:pt idx="3">
                  <c:v>0.53819444444444442</c:v>
                </c:pt>
                <c:pt idx="4">
                  <c:v>0.55902777777777779</c:v>
                </c:pt>
                <c:pt idx="5">
                  <c:v>0.56041666666666667</c:v>
                </c:pt>
                <c:pt idx="6">
                  <c:v>0.65138888888888891</c:v>
                </c:pt>
                <c:pt idx="7">
                  <c:v>0.65625</c:v>
                </c:pt>
                <c:pt idx="8">
                  <c:v>0.65833333333333333</c:v>
                </c:pt>
                <c:pt idx="9">
                  <c:v>0.69444444444444453</c:v>
                </c:pt>
                <c:pt idx="10">
                  <c:v>0.69791666666666663</c:v>
                </c:pt>
                <c:pt idx="11">
                  <c:v>0.75347222222222221</c:v>
                </c:pt>
                <c:pt idx="12">
                  <c:v>0.75555555555555554</c:v>
                </c:pt>
                <c:pt idx="13">
                  <c:v>0.7583333333333333</c:v>
                </c:pt>
                <c:pt idx="14">
                  <c:v>0.76041666666666663</c:v>
                </c:pt>
                <c:pt idx="15">
                  <c:v>0.76250000000000007</c:v>
                </c:pt>
              </c:numCache>
            </c:numRef>
          </c:xVal>
          <c:yVal>
            <c:numRef>
              <c:f>stability!$G$8:$G$23</c:f>
              <c:numCache>
                <c:formatCode>0.00</c:formatCode>
                <c:ptCount val="16"/>
                <c:pt idx="0">
                  <c:v>20.591399233138038</c:v>
                </c:pt>
                <c:pt idx="1">
                  <c:v>20.699651553873007</c:v>
                </c:pt>
                <c:pt idx="2">
                  <c:v>20.56505355837259</c:v>
                </c:pt>
                <c:pt idx="3">
                  <c:v>20.549333355627436</c:v>
                </c:pt>
                <c:pt idx="4">
                  <c:v>20.570283365236712</c:v>
                </c:pt>
                <c:pt idx="5">
                  <c:v>20.519760110885223</c:v>
                </c:pt>
                <c:pt idx="6">
                  <c:v>20.561223725568365</c:v>
                </c:pt>
                <c:pt idx="7">
                  <c:v>20.477404666494539</c:v>
                </c:pt>
                <c:pt idx="8">
                  <c:v>20.460853372242045</c:v>
                </c:pt>
                <c:pt idx="9">
                  <c:v>20.484748984179575</c:v>
                </c:pt>
                <c:pt idx="10">
                  <c:v>20.43454240060413</c:v>
                </c:pt>
                <c:pt idx="11">
                  <c:v>20.475669674663962</c:v>
                </c:pt>
                <c:pt idx="12">
                  <c:v>20.408268615109588</c:v>
                </c:pt>
                <c:pt idx="13">
                  <c:v>20.40880085546344</c:v>
                </c:pt>
                <c:pt idx="14">
                  <c:v>20.392248882010037</c:v>
                </c:pt>
                <c:pt idx="15">
                  <c:v>20.426550736407584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7360"/>
        <c:axId val="174141440"/>
      </c:scatterChart>
      <c:valAx>
        <c:axId val="174127360"/>
        <c:scaling>
          <c:orientation val="minMax"/>
          <c:max val="0.77500000000000036"/>
          <c:min val="0.37500000000000017"/>
        </c:scaling>
        <c:delete val="0"/>
        <c:axPos val="b"/>
        <c:numFmt formatCode="h:mm" sourceLinked="1"/>
        <c:majorTickMark val="out"/>
        <c:minorTickMark val="none"/>
        <c:tickLblPos val="nextTo"/>
        <c:crossAx val="174141440"/>
        <c:crosses val="autoZero"/>
        <c:crossBetween val="midCat"/>
        <c:majorUnit val="0.125"/>
      </c:valAx>
      <c:valAx>
        <c:axId val="174141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12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142875</xdr:rowOff>
    </xdr:from>
    <xdr:to>
      <xdr:col>20</xdr:col>
      <xdr:colOff>457200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18</xdr:row>
      <xdr:rowOff>66675</xdr:rowOff>
    </xdr:from>
    <xdr:to>
      <xdr:col>20</xdr:col>
      <xdr:colOff>352425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32</xdr:row>
      <xdr:rowOff>57150</xdr:rowOff>
    </xdr:from>
    <xdr:to>
      <xdr:col>12</xdr:col>
      <xdr:colOff>447675</xdr:colOff>
      <xdr:row>46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38</xdr:row>
      <xdr:rowOff>57149</xdr:rowOff>
    </xdr:from>
    <xdr:to>
      <xdr:col>8</xdr:col>
      <xdr:colOff>790574</xdr:colOff>
      <xdr:row>57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29</xdr:row>
      <xdr:rowOff>57150</xdr:rowOff>
    </xdr:from>
    <xdr:to>
      <xdr:col>7</xdr:col>
      <xdr:colOff>28575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50</xdr:row>
      <xdr:rowOff>28575</xdr:rowOff>
    </xdr:from>
    <xdr:to>
      <xdr:col>7</xdr:col>
      <xdr:colOff>552450</xdr:colOff>
      <xdr:row>64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4</xdr:row>
      <xdr:rowOff>9525</xdr:rowOff>
    </xdr:from>
    <xdr:to>
      <xdr:col>16</xdr:col>
      <xdr:colOff>247650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9" sqref="G29:J31"/>
    </sheetView>
  </sheetViews>
  <sheetFormatPr defaultRowHeight="15" x14ac:dyDescent="0.25"/>
  <cols>
    <col min="1" max="1" width="13.85546875" customWidth="1"/>
    <col min="2" max="2" width="8.42578125" customWidth="1"/>
    <col min="5" max="5" width="10.28515625" customWidth="1"/>
    <col min="6" max="6" width="8.42578125" customWidth="1"/>
    <col min="10" max="10" width="10.140625" customWidth="1"/>
  </cols>
  <sheetData>
    <row r="1" spans="1:8" ht="18" x14ac:dyDescent="0.35">
      <c r="A1" t="s">
        <v>1</v>
      </c>
      <c r="B1" s="1">
        <v>41828</v>
      </c>
      <c r="F1" t="s">
        <v>18</v>
      </c>
      <c r="G1" s="21">
        <v>20</v>
      </c>
    </row>
    <row r="2" spans="1:8" ht="18" x14ac:dyDescent="0.35">
      <c r="A2" t="s">
        <v>10</v>
      </c>
      <c r="B2" s="1" t="s">
        <v>11</v>
      </c>
      <c r="F2" t="s">
        <v>21</v>
      </c>
      <c r="G2" s="21">
        <v>-273.14999999999998</v>
      </c>
    </row>
    <row r="3" spans="1:8" ht="18" x14ac:dyDescent="0.35">
      <c r="A3" t="s">
        <v>25</v>
      </c>
      <c r="B3" s="9" t="s">
        <v>26</v>
      </c>
      <c r="F3" t="s">
        <v>37</v>
      </c>
      <c r="G3" s="21">
        <v>59.16</v>
      </c>
      <c r="H3" t="s">
        <v>38</v>
      </c>
    </row>
    <row r="4" spans="1:8" ht="18" x14ac:dyDescent="0.35">
      <c r="A4" t="s">
        <v>0</v>
      </c>
      <c r="B4" t="s">
        <v>85</v>
      </c>
      <c r="F4" t="s">
        <v>113</v>
      </c>
      <c r="G4" s="21">
        <v>1013.25</v>
      </c>
    </row>
    <row r="5" spans="1:8" x14ac:dyDescent="0.25">
      <c r="A5" t="s">
        <v>9</v>
      </c>
      <c r="B5" t="s">
        <v>34</v>
      </c>
    </row>
    <row r="6" spans="1:8" x14ac:dyDescent="0.25">
      <c r="A6" t="s">
        <v>2</v>
      </c>
      <c r="B6" t="s">
        <v>4</v>
      </c>
    </row>
    <row r="7" spans="1:8" x14ac:dyDescent="0.25">
      <c r="B7" t="s">
        <v>118</v>
      </c>
    </row>
    <row r="8" spans="1:8" x14ac:dyDescent="0.25">
      <c r="A8" t="s">
        <v>5</v>
      </c>
      <c r="B8" t="s">
        <v>6</v>
      </c>
    </row>
    <row r="9" spans="1:8" x14ac:dyDescent="0.25">
      <c r="A9" t="s">
        <v>7</v>
      </c>
      <c r="B9" t="s">
        <v>8</v>
      </c>
    </row>
    <row r="10" spans="1:8" x14ac:dyDescent="0.25">
      <c r="A10" t="s">
        <v>17</v>
      </c>
      <c r="B10" t="s">
        <v>15</v>
      </c>
    </row>
    <row r="11" spans="1:8" x14ac:dyDescent="0.25">
      <c r="A11" t="s">
        <v>28</v>
      </c>
    </row>
    <row r="12" spans="1:8" x14ac:dyDescent="0.25">
      <c r="A12" t="s">
        <v>40</v>
      </c>
      <c r="B12" t="s">
        <v>39</v>
      </c>
    </row>
    <row r="13" spans="1:8" ht="17.25" x14ac:dyDescent="0.25">
      <c r="A13" t="s">
        <v>56</v>
      </c>
      <c r="B13" s="25">
        <v>400</v>
      </c>
      <c r="C13" t="s">
        <v>58</v>
      </c>
    </row>
    <row r="14" spans="1:8" x14ac:dyDescent="0.25">
      <c r="A14" t="s">
        <v>57</v>
      </c>
      <c r="B14" s="25">
        <v>11.25</v>
      </c>
      <c r="C14" t="s">
        <v>48</v>
      </c>
    </row>
    <row r="15" spans="1:8" x14ac:dyDescent="0.25">
      <c r="A15" t="s">
        <v>64</v>
      </c>
      <c r="B15" s="24">
        <f>B14*B13</f>
        <v>4500</v>
      </c>
    </row>
    <row r="18" spans="1:10" ht="18" x14ac:dyDescent="0.35">
      <c r="A18" t="s">
        <v>12</v>
      </c>
      <c r="B18" s="2" t="s">
        <v>14</v>
      </c>
      <c r="C18" s="2" t="s">
        <v>16</v>
      </c>
      <c r="D18" s="2" t="s">
        <v>19</v>
      </c>
      <c r="E18" s="2" t="s">
        <v>20</v>
      </c>
      <c r="F18" s="2" t="s">
        <v>22</v>
      </c>
      <c r="G18" s="10" t="s">
        <v>27</v>
      </c>
      <c r="H18" s="7" t="s">
        <v>24</v>
      </c>
    </row>
    <row r="19" spans="1:10" x14ac:dyDescent="0.25">
      <c r="A19" t="s">
        <v>13</v>
      </c>
      <c r="B19">
        <v>6</v>
      </c>
      <c r="C19" t="b">
        <v>1</v>
      </c>
      <c r="D19" s="3">
        <v>11.11</v>
      </c>
      <c r="E19">
        <v>22.9</v>
      </c>
      <c r="F19" s="4">
        <f t="shared" ref="F19:F26" si="0">(E19-T_0)/(T_ref-T_0)*D19</f>
        <v>11.219906191369605</v>
      </c>
      <c r="G19" s="6">
        <f>F19/F26</f>
        <v>0.69885200219698251</v>
      </c>
      <c r="H19" s="8">
        <f>G19/G22-1</f>
        <v>-2.4619127613971781E-3</v>
      </c>
    </row>
    <row r="20" spans="1:10" x14ac:dyDescent="0.25">
      <c r="A20" t="s">
        <v>13</v>
      </c>
      <c r="B20">
        <v>10</v>
      </c>
      <c r="C20" t="b">
        <v>1</v>
      </c>
      <c r="D20" s="3">
        <v>12.91</v>
      </c>
      <c r="E20">
        <v>22.9</v>
      </c>
      <c r="F20" s="4">
        <f t="shared" si="0"/>
        <v>13.037712775029847</v>
      </c>
      <c r="G20" s="6">
        <f>F20/F25</f>
        <v>0.75806631880689013</v>
      </c>
      <c r="H20" s="8">
        <f>G20/G21-1</f>
        <v>1.4996425663957869E-3</v>
      </c>
    </row>
    <row r="21" spans="1:10" x14ac:dyDescent="0.25">
      <c r="A21" t="s">
        <v>13</v>
      </c>
      <c r="B21">
        <v>10</v>
      </c>
      <c r="C21" t="b">
        <v>0</v>
      </c>
      <c r="D21" s="3">
        <v>13.05</v>
      </c>
      <c r="E21">
        <v>22.9</v>
      </c>
      <c r="F21" s="4">
        <f t="shared" si="0"/>
        <v>13.179097731536755</v>
      </c>
      <c r="G21" s="6">
        <f>F21/F24</f>
        <v>0.75693119257067842</v>
      </c>
    </row>
    <row r="22" spans="1:10" x14ac:dyDescent="0.25">
      <c r="A22" t="s">
        <v>13</v>
      </c>
      <c r="B22">
        <v>6</v>
      </c>
      <c r="C22" t="b">
        <v>0</v>
      </c>
      <c r="D22" s="3">
        <v>11.32</v>
      </c>
      <c r="E22">
        <v>22.9</v>
      </c>
      <c r="F22" s="4">
        <f t="shared" si="0"/>
        <v>11.431983626129966</v>
      </c>
      <c r="G22" s="6">
        <f>F22/F23</f>
        <v>0.70057676106538769</v>
      </c>
    </row>
    <row r="23" spans="1:10" x14ac:dyDescent="0.25">
      <c r="A23" t="s">
        <v>3</v>
      </c>
      <c r="B23">
        <v>6</v>
      </c>
      <c r="C23" t="b">
        <v>0</v>
      </c>
      <c r="D23" s="3">
        <v>16.12</v>
      </c>
      <c r="E23">
        <v>23.6</v>
      </c>
      <c r="F23" s="4">
        <f t="shared" si="0"/>
        <v>16.317960088691798</v>
      </c>
    </row>
    <row r="24" spans="1:10" x14ac:dyDescent="0.25">
      <c r="A24" t="s">
        <v>3</v>
      </c>
      <c r="B24">
        <v>10</v>
      </c>
      <c r="C24" t="b">
        <v>0</v>
      </c>
      <c r="D24" s="3">
        <v>17.2</v>
      </c>
      <c r="E24">
        <v>23.6</v>
      </c>
      <c r="F24" s="4">
        <f t="shared" si="0"/>
        <v>17.411222923418045</v>
      </c>
    </row>
    <row r="25" spans="1:10" x14ac:dyDescent="0.25">
      <c r="A25" t="s">
        <v>3</v>
      </c>
      <c r="B25">
        <v>10</v>
      </c>
      <c r="C25" t="b">
        <v>1</v>
      </c>
      <c r="D25" s="3">
        <v>16.989999999999998</v>
      </c>
      <c r="E25">
        <v>23.6</v>
      </c>
      <c r="F25" s="4">
        <f t="shared" si="0"/>
        <v>17.198644038887942</v>
      </c>
    </row>
    <row r="26" spans="1:10" x14ac:dyDescent="0.25">
      <c r="A26" t="s">
        <v>3</v>
      </c>
      <c r="B26">
        <v>6</v>
      </c>
      <c r="C26" t="b">
        <v>1</v>
      </c>
      <c r="D26" s="3">
        <v>15.86</v>
      </c>
      <c r="E26">
        <v>23.6</v>
      </c>
      <c r="F26" s="4">
        <f t="shared" si="0"/>
        <v>16.054767184035477</v>
      </c>
    </row>
    <row r="28" spans="1:10" x14ac:dyDescent="0.25">
      <c r="B28" s="56" t="s">
        <v>23</v>
      </c>
      <c r="C28" s="56"/>
      <c r="D28" s="56"/>
      <c r="G28" s="57" t="s">
        <v>119</v>
      </c>
      <c r="H28" s="57"/>
      <c r="I28" s="57"/>
      <c r="J28" s="57"/>
    </row>
    <row r="29" spans="1:10" x14ac:dyDescent="0.25">
      <c r="B29" s="52" t="s">
        <v>14</v>
      </c>
      <c r="C29" s="17" t="s">
        <v>13</v>
      </c>
      <c r="D29" s="18" t="s">
        <v>3</v>
      </c>
      <c r="G29" s="52" t="s">
        <v>14</v>
      </c>
      <c r="H29" s="50" t="s">
        <v>120</v>
      </c>
      <c r="I29" s="51" t="s">
        <v>16</v>
      </c>
      <c r="J29" s="49" t="s">
        <v>121</v>
      </c>
    </row>
    <row r="30" spans="1:10" x14ac:dyDescent="0.25">
      <c r="B30" s="11">
        <v>6</v>
      </c>
      <c r="C30" s="14">
        <f>F19/F22</f>
        <v>0.98144876325088337</v>
      </c>
      <c r="D30" s="15">
        <f>F26/F23</f>
        <v>0.98387096774193539</v>
      </c>
      <c r="G30" s="11">
        <v>6</v>
      </c>
      <c r="H30" s="45">
        <f>G22</f>
        <v>0.70057676106538769</v>
      </c>
      <c r="I30" s="46">
        <f>G19</f>
        <v>0.69885200219698251</v>
      </c>
      <c r="J30" s="53">
        <f>H19</f>
        <v>-2.4619127613971781E-3</v>
      </c>
    </row>
    <row r="31" spans="1:10" x14ac:dyDescent="0.25">
      <c r="B31" s="12">
        <v>10</v>
      </c>
      <c r="C31" s="16">
        <f>F20/F21</f>
        <v>0.98927203065134095</v>
      </c>
      <c r="D31" s="13">
        <f>F25/F24</f>
        <v>0.98779069767441863</v>
      </c>
      <c r="G31" s="12">
        <v>10</v>
      </c>
      <c r="H31" s="47">
        <f>G21</f>
        <v>0.75693119257067842</v>
      </c>
      <c r="I31" s="48">
        <f>G20</f>
        <v>0.75806631880689013</v>
      </c>
      <c r="J31" s="54">
        <f>H20</f>
        <v>1.4996425663957869E-3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</sheetData>
  <mergeCells count="2">
    <mergeCell ref="B28:D28"/>
    <mergeCell ref="G28:J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2" workbookViewId="0">
      <selection activeCell="N38" sqref="N38"/>
    </sheetView>
  </sheetViews>
  <sheetFormatPr defaultRowHeight="15" x14ac:dyDescent="0.25"/>
  <cols>
    <col min="1" max="1" width="14.140625" customWidth="1"/>
    <col min="8" max="9" width="12.42578125" customWidth="1"/>
    <col min="10" max="10" width="12.5703125" bestFit="1" customWidth="1"/>
    <col min="11" max="11" width="9.42578125" customWidth="1"/>
  </cols>
  <sheetData>
    <row r="1" spans="1:13" ht="18.75" x14ac:dyDescent="0.35">
      <c r="A1" t="s">
        <v>1</v>
      </c>
      <c r="B1" s="1">
        <v>41828</v>
      </c>
      <c r="E1" s="10" t="s">
        <v>35</v>
      </c>
      <c r="F1" s="2" t="s">
        <v>36</v>
      </c>
      <c r="G1" s="2" t="s">
        <v>41</v>
      </c>
      <c r="H1" s="2" t="s">
        <v>42</v>
      </c>
      <c r="I1" s="2" t="s">
        <v>43</v>
      </c>
      <c r="J1" s="10" t="s">
        <v>49</v>
      </c>
      <c r="K1" s="10" t="s">
        <v>50</v>
      </c>
      <c r="L1" s="10" t="s">
        <v>51</v>
      </c>
    </row>
    <row r="2" spans="1:13" x14ac:dyDescent="0.25">
      <c r="A2" t="s">
        <v>10</v>
      </c>
      <c r="B2" s="1" t="s">
        <v>11</v>
      </c>
      <c r="E2" s="21">
        <v>24</v>
      </c>
      <c r="F2" s="5">
        <f>1/E2</f>
        <v>4.1666666666666664E-2</v>
      </c>
      <c r="G2" s="20">
        <v>34.5</v>
      </c>
      <c r="H2" s="21">
        <v>163.30000000000001</v>
      </c>
      <c r="I2" s="19">
        <f t="shared" ref="I2:I31" si="0">H2*dose1cal</f>
        <v>9660.8279999999995</v>
      </c>
      <c r="J2" s="5">
        <f t="shared" ref="J2:J31" si="1">100000*G2/(E$6*I2)</f>
        <v>10.339092284934598</v>
      </c>
      <c r="K2" s="5">
        <f>100000/I2</f>
        <v>10.351079638308436</v>
      </c>
      <c r="L2" s="5">
        <f>AVERAGE(K2:K6)</f>
        <v>10.367603051850494</v>
      </c>
      <c r="M2" s="5">
        <f>L2/L$22</f>
        <v>1.9321646784923432</v>
      </c>
    </row>
    <row r="3" spans="1:13" x14ac:dyDescent="0.25">
      <c r="A3" t="s">
        <v>25</v>
      </c>
      <c r="B3" s="9" t="s">
        <v>26</v>
      </c>
      <c r="E3" s="8">
        <f>STDEVA(G2:G6)/AVERAGE(G2:G6)</f>
        <v>9.8180804619647961E-4</v>
      </c>
      <c r="G3" s="20">
        <v>34.549999999999997</v>
      </c>
      <c r="H3" s="21">
        <v>163.1</v>
      </c>
      <c r="I3" s="19">
        <f t="shared" si="0"/>
        <v>9648.9959999999992</v>
      </c>
      <c r="J3" s="5">
        <f t="shared" si="1"/>
        <v>10.36677307564227</v>
      </c>
      <c r="K3" s="5">
        <f t="shared" ref="K3:K31" si="2">100000/I3</f>
        <v>10.363772562451057</v>
      </c>
    </row>
    <row r="4" spans="1:13" x14ac:dyDescent="0.25">
      <c r="A4" t="s">
        <v>0</v>
      </c>
      <c r="B4" t="s">
        <v>85</v>
      </c>
      <c r="E4" s="8">
        <f>STDEVA(I2:I6)/AVERAGE(I2:I6)</f>
        <v>1.4120294937709924E-3</v>
      </c>
      <c r="G4" s="20">
        <v>34.56</v>
      </c>
      <c r="H4" s="21">
        <v>162.80000000000001</v>
      </c>
      <c r="I4" s="19">
        <f t="shared" si="0"/>
        <v>9631.2479999999996</v>
      </c>
      <c r="J4" s="5">
        <f t="shared" si="1"/>
        <v>10.388882508223228</v>
      </c>
      <c r="K4" s="5">
        <f t="shared" si="2"/>
        <v>10.382870423438375</v>
      </c>
    </row>
    <row r="5" spans="1:13" x14ac:dyDescent="0.25">
      <c r="A5" t="s">
        <v>9</v>
      </c>
      <c r="B5" t="s">
        <v>34</v>
      </c>
      <c r="E5" s="8">
        <f>STDEVA(J2:J6)/AVERAGE(J2:J6)</f>
        <v>1.7446709097085531E-3</v>
      </c>
      <c r="G5" s="20">
        <v>34.51</v>
      </c>
      <c r="H5" s="21">
        <v>162.80000000000001</v>
      </c>
      <c r="I5" s="19">
        <f t="shared" si="0"/>
        <v>9631.2479999999996</v>
      </c>
      <c r="J5" s="5">
        <f t="shared" si="1"/>
        <v>10.373852296261099</v>
      </c>
      <c r="K5" s="5">
        <f t="shared" si="2"/>
        <v>10.382870423438375</v>
      </c>
    </row>
    <row r="6" spans="1:13" x14ac:dyDescent="0.25">
      <c r="A6" t="s">
        <v>2</v>
      </c>
      <c r="B6" t="s">
        <v>29</v>
      </c>
      <c r="E6" s="4">
        <f>AVERAGE(G2:G6)</f>
        <v>34.54</v>
      </c>
      <c r="G6" s="20">
        <v>34.58</v>
      </c>
      <c r="H6" s="21">
        <v>163.19999999999999</v>
      </c>
      <c r="I6" s="19">
        <f t="shared" si="0"/>
        <v>9654.9119999999984</v>
      </c>
      <c r="J6" s="5">
        <f t="shared" si="1"/>
        <v>10.369416910182078</v>
      </c>
      <c r="K6" s="5">
        <f t="shared" si="2"/>
        <v>10.357422211616223</v>
      </c>
    </row>
    <row r="7" spans="1:13" x14ac:dyDescent="0.25">
      <c r="A7" t="s">
        <v>5</v>
      </c>
      <c r="B7" t="s">
        <v>29</v>
      </c>
      <c r="E7" s="21">
        <v>50</v>
      </c>
      <c r="F7" s="5">
        <f>1/E7</f>
        <v>0.02</v>
      </c>
      <c r="G7" s="20">
        <v>34.57</v>
      </c>
      <c r="H7" s="22">
        <v>249</v>
      </c>
      <c r="I7" s="19">
        <f t="shared" si="0"/>
        <v>14730.839999999998</v>
      </c>
      <c r="J7" s="5">
        <f t="shared" si="1"/>
        <v>6.7943753254627648</v>
      </c>
      <c r="K7" s="5">
        <f t="shared" si="2"/>
        <v>6.7884791362882231</v>
      </c>
      <c r="L7" s="5">
        <f>AVERAGE(K7:K11)</f>
        <v>6.7966784488142764</v>
      </c>
      <c r="M7" s="5">
        <f>L7/L$22</f>
        <v>1.2666671326237855</v>
      </c>
    </row>
    <row r="8" spans="1:13" x14ac:dyDescent="0.25">
      <c r="A8" t="s">
        <v>7</v>
      </c>
      <c r="B8" t="s">
        <v>29</v>
      </c>
      <c r="E8" s="8">
        <f>STDEVA(G7:G11)/AVERAGE(G7:G11)</f>
        <v>9.6897333549604244E-4</v>
      </c>
      <c r="G8" s="20">
        <v>34.49</v>
      </c>
      <c r="H8" s="22">
        <v>248.2</v>
      </c>
      <c r="I8" s="19">
        <f t="shared" si="0"/>
        <v>14683.511999999999</v>
      </c>
      <c r="J8" s="5">
        <f t="shared" si="1"/>
        <v>6.8005011540222924</v>
      </c>
      <c r="K8" s="5">
        <f t="shared" si="2"/>
        <v>6.8103598103777907</v>
      </c>
    </row>
    <row r="9" spans="1:13" x14ac:dyDescent="0.25">
      <c r="A9" t="s">
        <v>17</v>
      </c>
      <c r="B9" t="s">
        <v>15</v>
      </c>
      <c r="E9" s="8">
        <f>STDEVA(I7:I11)/AVERAGE(I7:I11)</f>
        <v>1.3928836409882357E-3</v>
      </c>
      <c r="G9" s="20">
        <v>34.53</v>
      </c>
      <c r="H9" s="22">
        <v>248.5</v>
      </c>
      <c r="I9" s="19">
        <f t="shared" si="0"/>
        <v>14701.259999999998</v>
      </c>
      <c r="J9" s="5">
        <f t="shared" si="1"/>
        <v>6.8001686971198421</v>
      </c>
      <c r="K9" s="5">
        <f t="shared" si="2"/>
        <v>6.8021380480312583</v>
      </c>
    </row>
    <row r="10" spans="1:13" x14ac:dyDescent="0.25">
      <c r="A10" t="s">
        <v>9</v>
      </c>
      <c r="B10" t="s">
        <v>30</v>
      </c>
      <c r="E10" s="8">
        <f>STDEVA(J7:J11)/AVERAGE(J7:J11)</f>
        <v>5.6404103076280988E-4</v>
      </c>
      <c r="G10" s="20">
        <v>34.57</v>
      </c>
      <c r="H10" s="22">
        <v>249</v>
      </c>
      <c r="I10" s="19">
        <f t="shared" si="0"/>
        <v>14730.839999999998</v>
      </c>
      <c r="J10" s="5">
        <f t="shared" si="1"/>
        <v>6.7943753254627648</v>
      </c>
      <c r="K10" s="5">
        <f t="shared" si="2"/>
        <v>6.7884791362882231</v>
      </c>
    </row>
    <row r="11" spans="1:13" x14ac:dyDescent="0.25">
      <c r="A11" t="s">
        <v>31</v>
      </c>
      <c r="B11" s="7">
        <v>23.6</v>
      </c>
      <c r="E11" s="4">
        <f>AVERAGE(G7:G11)</f>
        <v>34.537999999999997</v>
      </c>
      <c r="G11" s="20">
        <v>34.53</v>
      </c>
      <c r="H11" s="22">
        <v>248.8</v>
      </c>
      <c r="I11" s="19">
        <f t="shared" si="0"/>
        <v>14719.008</v>
      </c>
      <c r="J11" s="5">
        <f t="shared" si="1"/>
        <v>6.7919691367937327</v>
      </c>
      <c r="K11" s="5">
        <f t="shared" si="2"/>
        <v>6.7939361130858815</v>
      </c>
    </row>
    <row r="12" spans="1:13" x14ac:dyDescent="0.25">
      <c r="A12" t="s">
        <v>32</v>
      </c>
      <c r="B12" t="s">
        <v>33</v>
      </c>
      <c r="E12" s="21">
        <v>99</v>
      </c>
      <c r="F12" s="5">
        <f>1/E12</f>
        <v>1.0101010101010102E-2</v>
      </c>
      <c r="G12" s="20">
        <v>34.54</v>
      </c>
      <c r="H12" s="22">
        <v>294.8</v>
      </c>
      <c r="I12" s="19">
        <f t="shared" si="0"/>
        <v>17440.367999999999</v>
      </c>
      <c r="J12" s="5">
        <f t="shared" si="1"/>
        <v>5.7338239651823866</v>
      </c>
      <c r="K12" s="5">
        <f t="shared" si="2"/>
        <v>5.7338239651823866</v>
      </c>
      <c r="L12" s="5">
        <f>AVERAGE(K12:K16)</f>
        <v>5.7381078266933176</v>
      </c>
      <c r="M12" s="5">
        <f>L12/L$22</f>
        <v>1.0693859717303122</v>
      </c>
    </row>
    <row r="13" spans="1:13" x14ac:dyDescent="0.25">
      <c r="A13" t="s">
        <v>40</v>
      </c>
      <c r="B13" t="s">
        <v>39</v>
      </c>
      <c r="E13" s="8">
        <f>STDEVA(G12:G16)/AVERAGE(G12:G16)</f>
        <v>5.4164119669573635E-4</v>
      </c>
      <c r="G13" s="20">
        <v>34.54</v>
      </c>
      <c r="H13" s="22">
        <v>294.39999999999998</v>
      </c>
      <c r="I13" s="19">
        <f t="shared" si="0"/>
        <v>17416.703999999998</v>
      </c>
      <c r="J13" s="5">
        <f t="shared" si="1"/>
        <v>5.7416144868742105</v>
      </c>
      <c r="K13" s="5">
        <f t="shared" si="2"/>
        <v>5.7416144868742105</v>
      </c>
    </row>
    <row r="14" spans="1:13" x14ac:dyDescent="0.25">
      <c r="E14" s="8">
        <f>STDEVA(I12:I16)/AVERAGE(I12:I16)</f>
        <v>6.0725588363088646E-4</v>
      </c>
      <c r="G14" s="20">
        <v>34.56</v>
      </c>
      <c r="H14" s="22">
        <v>294.60000000000002</v>
      </c>
      <c r="I14" s="19">
        <f t="shared" si="0"/>
        <v>17428.536</v>
      </c>
      <c r="J14" s="5">
        <f t="shared" si="1"/>
        <v>5.7410389420866981</v>
      </c>
      <c r="K14" s="5">
        <f t="shared" si="2"/>
        <v>5.7377165815878053</v>
      </c>
    </row>
    <row r="15" spans="1:13" x14ac:dyDescent="0.25">
      <c r="A15" t="s">
        <v>77</v>
      </c>
      <c r="B15" s="30">
        <f>I22/pulses</f>
        <v>4.1346266666666667</v>
      </c>
      <c r="E15" s="8">
        <f>STDEVA(J12:J16)/AVERAGE(J12:J16)</f>
        <v>5.6396999113078172E-4</v>
      </c>
      <c r="G15" s="20">
        <v>34.549999999999997</v>
      </c>
      <c r="H15" s="22">
        <v>294.7</v>
      </c>
      <c r="I15" s="19">
        <f t="shared" si="0"/>
        <v>17434.451999999997</v>
      </c>
      <c r="J15" s="5">
        <f t="shared" si="1"/>
        <v>5.7374302295122313</v>
      </c>
      <c r="K15" s="5">
        <f t="shared" si="2"/>
        <v>5.7357696129479727</v>
      </c>
    </row>
    <row r="16" spans="1:13" x14ac:dyDescent="0.25">
      <c r="E16" s="4">
        <f>AVERAGE(G12:G16)</f>
        <v>34.54</v>
      </c>
      <c r="G16" s="20">
        <v>34.51</v>
      </c>
      <c r="H16" s="22">
        <v>294.39999999999998</v>
      </c>
      <c r="I16" s="19">
        <f t="shared" si="0"/>
        <v>17416.703999999998</v>
      </c>
      <c r="J16" s="5">
        <f t="shared" si="1"/>
        <v>5.7366275605682979</v>
      </c>
      <c r="K16" s="5">
        <f t="shared" si="2"/>
        <v>5.7416144868742105</v>
      </c>
    </row>
    <row r="17" spans="1:13" x14ac:dyDescent="0.25">
      <c r="A17" t="s">
        <v>67</v>
      </c>
      <c r="E17" s="21">
        <v>199</v>
      </c>
      <c r="F17" s="5">
        <f>1/E17</f>
        <v>5.0251256281407036E-3</v>
      </c>
      <c r="G17" s="20">
        <v>34.54</v>
      </c>
      <c r="H17" s="22">
        <v>308.8</v>
      </c>
      <c r="I17" s="19">
        <f t="shared" si="0"/>
        <v>18268.608</v>
      </c>
      <c r="J17" s="5">
        <f t="shared" si="1"/>
        <v>5.4738708061391437</v>
      </c>
      <c r="K17" s="5">
        <f t="shared" si="2"/>
        <v>5.4738708061391428</v>
      </c>
      <c r="L17" s="5">
        <f>AVERAGE(K17:K21)</f>
        <v>5.4784861899722035</v>
      </c>
      <c r="M17" s="5">
        <f>L17/L$22</f>
        <v>1.0210014267456957</v>
      </c>
    </row>
    <row r="18" spans="1:13" ht="18" x14ac:dyDescent="0.35">
      <c r="A18" s="2" t="s">
        <v>68</v>
      </c>
      <c r="B18" s="2" t="s">
        <v>71</v>
      </c>
      <c r="C18" s="2" t="s">
        <v>70</v>
      </c>
      <c r="E18" s="8">
        <f>STDEVA(G17:G21)/AVERAGE(G17:G21)</f>
        <v>1.2944702891625243E-4</v>
      </c>
      <c r="G18" s="20">
        <v>34.549999999999997</v>
      </c>
      <c r="H18" s="22">
        <v>308.7</v>
      </c>
      <c r="I18" s="19">
        <f t="shared" si="0"/>
        <v>18262.691999999999</v>
      </c>
      <c r="J18" s="5">
        <f t="shared" si="1"/>
        <v>5.4772293120740336</v>
      </c>
      <c r="K18" s="5">
        <f t="shared" si="2"/>
        <v>5.4756440069185857</v>
      </c>
    </row>
    <row r="19" spans="1:13" x14ac:dyDescent="0.25">
      <c r="A19" s="5">
        <f>1/(1-(C19-1)/(B19-1))</f>
        <v>1.0212339636074972</v>
      </c>
      <c r="B19" s="29">
        <f>E22/E17</f>
        <v>2.0100502512562812</v>
      </c>
      <c r="C19" s="29">
        <f>M17</f>
        <v>1.0210014267456957</v>
      </c>
      <c r="E19" s="8">
        <f>STDEVA(I17:I21)/AVERAGE(I17:I21)</f>
        <v>7.8055322349086646E-4</v>
      </c>
      <c r="G19" s="20">
        <v>34.549999999999997</v>
      </c>
      <c r="H19" s="22">
        <v>308.60000000000002</v>
      </c>
      <c r="I19" s="19">
        <f t="shared" si="0"/>
        <v>18256.776000000002</v>
      </c>
      <c r="J19" s="5">
        <f t="shared" si="1"/>
        <v>5.4790041757526051</v>
      </c>
      <c r="K19" s="5">
        <f t="shared" si="2"/>
        <v>5.4774183568884229</v>
      </c>
    </row>
    <row r="20" spans="1:13" x14ac:dyDescent="0.25">
      <c r="A20" s="5">
        <f>1/(1-(C20-1)/(B20-1))</f>
        <v>1.0233542745706983</v>
      </c>
      <c r="B20" s="29">
        <f>E22/E12</f>
        <v>4.0404040404040407</v>
      </c>
      <c r="C20" s="29">
        <f>M12</f>
        <v>1.0693859717303122</v>
      </c>
      <c r="E20" s="8">
        <f>STDEVA(J17:J21)/AVERAGE(J17:J21)</f>
        <v>8.6500624302770634E-4</v>
      </c>
      <c r="G20" s="20">
        <v>34.549999999999997</v>
      </c>
      <c r="H20" s="22">
        <v>308.39999999999998</v>
      </c>
      <c r="I20" s="19">
        <f t="shared" si="0"/>
        <v>18244.943999999996</v>
      </c>
      <c r="J20" s="5">
        <f t="shared" si="1"/>
        <v>5.4825573561519274</v>
      </c>
      <c r="K20" s="5">
        <f t="shared" si="2"/>
        <v>5.4809705088708425</v>
      </c>
    </row>
    <row r="21" spans="1:13" x14ac:dyDescent="0.25">
      <c r="A21" s="2" t="s">
        <v>75</v>
      </c>
      <c r="B21" s="29">
        <f>E22/E7</f>
        <v>8</v>
      </c>
      <c r="C21" s="29">
        <f>M7</f>
        <v>1.2666671326237855</v>
      </c>
      <c r="E21" s="4">
        <f>AVERAGE(G17:G21)</f>
        <v>34.548000000000002</v>
      </c>
      <c r="G21" s="20">
        <v>34.549999999999997</v>
      </c>
      <c r="H21" s="22">
        <v>308.2</v>
      </c>
      <c r="I21" s="19">
        <f t="shared" si="0"/>
        <v>18233.111999999997</v>
      </c>
      <c r="J21" s="5">
        <f t="shared" si="1"/>
        <v>5.4861151480767498</v>
      </c>
      <c r="K21" s="5">
        <f t="shared" si="2"/>
        <v>5.4845272710440218</v>
      </c>
    </row>
    <row r="22" spans="1:13" x14ac:dyDescent="0.25">
      <c r="A22" t="s">
        <v>69</v>
      </c>
      <c r="C22" s="2" t="s">
        <v>65</v>
      </c>
      <c r="E22" s="21">
        <v>400</v>
      </c>
      <c r="F22" s="5">
        <f>1/E22</f>
        <v>2.5000000000000001E-3</v>
      </c>
      <c r="G22" s="20">
        <v>34.479999999999997</v>
      </c>
      <c r="H22" s="22">
        <v>314.5</v>
      </c>
      <c r="I22" s="19">
        <f t="shared" si="0"/>
        <v>18605.82</v>
      </c>
      <c r="J22" s="5">
        <f t="shared" si="1"/>
        <v>5.36532592281986</v>
      </c>
      <c r="K22" s="5">
        <f t="shared" si="2"/>
        <v>5.3746623368386883</v>
      </c>
      <c r="L22" s="5">
        <f>AVERAGE(K22:K26)</f>
        <v>5.3657968015129409</v>
      </c>
      <c r="M22" s="5">
        <f>L22/L$22</f>
        <v>1</v>
      </c>
    </row>
    <row r="23" spans="1:13" x14ac:dyDescent="0.25">
      <c r="A23" s="5">
        <f>C23/LN(1+C23)</f>
        <v>1.021536112136141</v>
      </c>
      <c r="B23" s="29">
        <f>B19*LN(1+C23)/LN(1+B19*C23)-C19</f>
        <v>3.7174530120864802E-10</v>
      </c>
      <c r="C23" s="28">
        <v>4.3379229407221685E-2</v>
      </c>
      <c r="E23" s="8">
        <f>STDEVA(G22:G26)/AVERAGE(G22:G26)</f>
        <v>1.0318217430775468E-3</v>
      </c>
      <c r="G23" s="20">
        <v>34.549999999999997</v>
      </c>
      <c r="H23" s="22">
        <v>315.5</v>
      </c>
      <c r="I23" s="19">
        <f t="shared" si="0"/>
        <v>18664.98</v>
      </c>
      <c r="J23" s="5">
        <f t="shared" si="1"/>
        <v>5.3591780939374143</v>
      </c>
      <c r="K23" s="5">
        <f t="shared" si="2"/>
        <v>5.3576269570071871</v>
      </c>
    </row>
    <row r="24" spans="1:13" x14ac:dyDescent="0.25">
      <c r="A24" s="5">
        <f>C24/LN(1+C24)</f>
        <v>1.0240781182642857</v>
      </c>
      <c r="B24" s="29">
        <f>B20*LN(1+C24)/LN(1+B20*C24)-C20</f>
        <v>-7.3536658762307638E-8</v>
      </c>
      <c r="C24" s="28">
        <v>4.8539672708682792E-2</v>
      </c>
      <c r="E24" s="8">
        <f>STDEVA(I22:I26)/AVERAGE(I22:I26)</f>
        <v>1.217083963728069E-3</v>
      </c>
      <c r="G24" s="20">
        <v>34.56</v>
      </c>
      <c r="H24" s="22">
        <v>315.10000000000002</v>
      </c>
      <c r="I24" s="19">
        <f t="shared" si="0"/>
        <v>18641.315999999999</v>
      </c>
      <c r="J24" s="5">
        <f t="shared" si="1"/>
        <v>5.3675343457275186</v>
      </c>
      <c r="K24" s="5">
        <f t="shared" si="2"/>
        <v>5.3644281337218898</v>
      </c>
    </row>
    <row r="25" spans="1:13" x14ac:dyDescent="0.25">
      <c r="A25" s="5">
        <f>C25/LN(1+C25)</f>
        <v>1.0435116941164537</v>
      </c>
      <c r="B25" s="29">
        <f>B21*LN(1+C25)/LN(1+B21*C25)-C21</f>
        <v>9.0865353019609074E-9</v>
      </c>
      <c r="C25" s="28">
        <v>8.8267623518659175E-2</v>
      </c>
      <c r="E25" s="8">
        <f>STDEVA(J22:J26)/AVERAGE(J22:J26)</f>
        <v>6.8391834611311597E-4</v>
      </c>
      <c r="G25" s="20">
        <v>34.53</v>
      </c>
      <c r="H25" s="22">
        <v>314.8</v>
      </c>
      <c r="I25" s="19">
        <f t="shared" si="0"/>
        <v>18623.567999999999</v>
      </c>
      <c r="J25" s="5">
        <f t="shared" si="1"/>
        <v>5.367985772662899</v>
      </c>
      <c r="K25" s="5">
        <f t="shared" si="2"/>
        <v>5.3695403587540262</v>
      </c>
    </row>
    <row r="26" spans="1:13" x14ac:dyDescent="0.25">
      <c r="E26" s="4">
        <f>AVERAGE(G22:G26)</f>
        <v>34.537999999999997</v>
      </c>
      <c r="G26" s="20">
        <v>34.57</v>
      </c>
      <c r="H26" s="22">
        <v>315.2</v>
      </c>
      <c r="I26" s="19">
        <f t="shared" si="0"/>
        <v>18647.232</v>
      </c>
      <c r="J26" s="5">
        <f t="shared" si="1"/>
        <v>5.3673840610413333</v>
      </c>
      <c r="K26" s="5">
        <f t="shared" si="2"/>
        <v>5.3627262212429168</v>
      </c>
    </row>
    <row r="27" spans="1:13" x14ac:dyDescent="0.25">
      <c r="E27" s="21">
        <v>500</v>
      </c>
      <c r="F27" s="5">
        <f>1/E27</f>
        <v>2E-3</v>
      </c>
      <c r="G27" s="20">
        <v>34.520000000000003</v>
      </c>
      <c r="H27" s="22">
        <v>316.60000000000002</v>
      </c>
      <c r="I27" s="19">
        <f t="shared" si="0"/>
        <v>18730.056</v>
      </c>
      <c r="J27" s="5">
        <f t="shared" si="1"/>
        <v>5.3359208387011803</v>
      </c>
      <c r="K27" s="5">
        <f t="shared" si="2"/>
        <v>5.3390123339727333</v>
      </c>
      <c r="L27" s="5">
        <f>AVERAGE(K27:K31)</f>
        <v>5.3406994389660767</v>
      </c>
      <c r="M27" s="5">
        <f>L27/L$22</f>
        <v>0.99532271469173272</v>
      </c>
    </row>
    <row r="28" spans="1:13" x14ac:dyDescent="0.25">
      <c r="E28" s="8">
        <f>STDEVA(G27:G31)/AVERAGE(G27:G31)</f>
        <v>4.843744726069922E-4</v>
      </c>
      <c r="G28" s="20">
        <v>34.54</v>
      </c>
      <c r="H28" s="22">
        <v>316.5</v>
      </c>
      <c r="I28" s="19">
        <f t="shared" si="0"/>
        <v>18724.14</v>
      </c>
      <c r="J28" s="5">
        <f t="shared" si="1"/>
        <v>5.3406992257054267</v>
      </c>
      <c r="K28" s="5">
        <f t="shared" si="2"/>
        <v>5.3406992257054267</v>
      </c>
    </row>
    <row r="29" spans="1:13" x14ac:dyDescent="0.25">
      <c r="E29" s="8">
        <f>STDEVA(I27:I31)/AVERAGE(I27:I31)</f>
        <v>2.2341446482991351E-4</v>
      </c>
      <c r="G29" s="20">
        <v>34.549999999999997</v>
      </c>
      <c r="H29" s="22">
        <v>316.5</v>
      </c>
      <c r="I29" s="19">
        <f t="shared" si="0"/>
        <v>18724.14</v>
      </c>
      <c r="J29" s="5">
        <f t="shared" si="1"/>
        <v>5.3422454617290809</v>
      </c>
      <c r="K29" s="5">
        <f t="shared" si="2"/>
        <v>5.3406992257054267</v>
      </c>
    </row>
    <row r="30" spans="1:13" x14ac:dyDescent="0.25">
      <c r="E30" s="8">
        <f>STDEVA(J27:J31)/AVERAGE(J27:J31)</f>
        <v>6.8363243845822133E-4</v>
      </c>
      <c r="G30" s="20">
        <v>34.56</v>
      </c>
      <c r="H30" s="22">
        <v>316.5</v>
      </c>
      <c r="I30" s="19">
        <f t="shared" si="0"/>
        <v>18724.14</v>
      </c>
      <c r="J30" s="5">
        <f t="shared" si="1"/>
        <v>5.3437916977527369</v>
      </c>
      <c r="K30" s="5">
        <f t="shared" si="2"/>
        <v>5.3406992257054267</v>
      </c>
    </row>
    <row r="31" spans="1:13" x14ac:dyDescent="0.25">
      <c r="E31" s="4">
        <f>AVERAGE(G27:G31)</f>
        <v>34.546000000000006</v>
      </c>
      <c r="G31" s="20">
        <v>34.56</v>
      </c>
      <c r="H31" s="22">
        <v>316.39999999999998</v>
      </c>
      <c r="I31" s="19">
        <f t="shared" si="0"/>
        <v>18718.223999999998</v>
      </c>
      <c r="J31" s="5">
        <f t="shared" si="1"/>
        <v>5.3454806331818627</v>
      </c>
      <c r="K31" s="5">
        <f t="shared" si="2"/>
        <v>5.3423871837413639</v>
      </c>
    </row>
    <row r="32" spans="1:13" x14ac:dyDescent="0.25">
      <c r="G32" s="3"/>
    </row>
    <row r="33" spans="1:7" x14ac:dyDescent="0.25">
      <c r="G33" s="3"/>
    </row>
    <row r="34" spans="1:7" x14ac:dyDescent="0.25">
      <c r="A34" t="s">
        <v>44</v>
      </c>
      <c r="G34" s="3"/>
    </row>
    <row r="35" spans="1:7" x14ac:dyDescent="0.25">
      <c r="A35" t="s">
        <v>52</v>
      </c>
      <c r="G35" s="3"/>
    </row>
    <row r="36" spans="1:7" x14ac:dyDescent="0.25">
      <c r="G36" s="3"/>
    </row>
    <row r="37" spans="1:7" x14ac:dyDescent="0.25">
      <c r="G37" s="3"/>
    </row>
    <row r="38" spans="1:7" x14ac:dyDescent="0.25">
      <c r="G38" s="3"/>
    </row>
    <row r="39" spans="1:7" x14ac:dyDescent="0.25">
      <c r="G39" s="3"/>
    </row>
    <row r="40" spans="1:7" x14ac:dyDescent="0.25">
      <c r="G40" s="3"/>
    </row>
    <row r="41" spans="1:7" x14ac:dyDescent="0.25">
      <c r="G41" s="3"/>
    </row>
    <row r="42" spans="1:7" x14ac:dyDescent="0.25">
      <c r="G42" s="3"/>
    </row>
    <row r="43" spans="1:7" x14ac:dyDescent="0.25">
      <c r="G43" s="3"/>
    </row>
    <row r="44" spans="1:7" x14ac:dyDescent="0.25">
      <c r="G44" s="3"/>
    </row>
    <row r="45" spans="1:7" x14ac:dyDescent="0.25">
      <c r="G45" s="3"/>
    </row>
    <row r="46" spans="1:7" x14ac:dyDescent="0.25">
      <c r="G46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17" workbookViewId="0">
      <selection activeCell="M1" sqref="M1"/>
    </sheetView>
  </sheetViews>
  <sheetFormatPr defaultRowHeight="15" x14ac:dyDescent="0.25"/>
  <cols>
    <col min="1" max="1" width="14.85546875" customWidth="1"/>
    <col min="2" max="2" width="9.42578125" bestFit="1" customWidth="1"/>
    <col min="5" max="5" width="11.5703125" customWidth="1"/>
    <col min="7" max="7" width="9.42578125" customWidth="1"/>
    <col min="8" max="8" width="11.42578125" customWidth="1"/>
    <col min="9" max="9" width="12.5703125" customWidth="1"/>
  </cols>
  <sheetData>
    <row r="1" spans="1:14" ht="18" x14ac:dyDescent="0.35">
      <c r="A1" t="s">
        <v>1</v>
      </c>
      <c r="B1" s="1">
        <v>41834</v>
      </c>
      <c r="D1" s="10" t="s">
        <v>35</v>
      </c>
      <c r="E1" s="10"/>
      <c r="F1" s="10"/>
      <c r="G1" s="40" t="s">
        <v>99</v>
      </c>
      <c r="J1" s="10" t="s">
        <v>35</v>
      </c>
      <c r="K1" s="10"/>
      <c r="L1" s="10"/>
      <c r="M1" s="40" t="s">
        <v>100</v>
      </c>
    </row>
    <row r="2" spans="1:14" x14ac:dyDescent="0.25">
      <c r="A2" t="s">
        <v>10</v>
      </c>
      <c r="B2" s="1" t="s">
        <v>11</v>
      </c>
      <c r="D2" s="10"/>
      <c r="E2" s="2" t="s">
        <v>95</v>
      </c>
      <c r="F2" s="2" t="s">
        <v>94</v>
      </c>
      <c r="G2" s="2" t="s">
        <v>42</v>
      </c>
      <c r="H2" s="2" t="s">
        <v>43</v>
      </c>
      <c r="I2" s="2"/>
      <c r="J2" s="10"/>
      <c r="K2" s="2" t="s">
        <v>95</v>
      </c>
      <c r="L2" s="2" t="s">
        <v>94</v>
      </c>
      <c r="M2" s="2" t="s">
        <v>42</v>
      </c>
      <c r="N2" s="2" t="s">
        <v>43</v>
      </c>
    </row>
    <row r="3" spans="1:14" x14ac:dyDescent="0.25">
      <c r="A3" t="s">
        <v>25</v>
      </c>
      <c r="B3" s="1" t="s">
        <v>54</v>
      </c>
      <c r="D3" s="38">
        <f>AVERAGE(H3:H7)</f>
        <v>18634.216800000002</v>
      </c>
      <c r="E3" s="4">
        <f>D3/POWER(F3,2)</f>
        <v>29.814746880000005</v>
      </c>
      <c r="F3" s="39">
        <v>25</v>
      </c>
      <c r="G3" s="37">
        <v>314.60000000000002</v>
      </c>
      <c r="H3" s="19">
        <f t="shared" ref="H3:H27" si="0">G3*dose1cal</f>
        <v>18611.736000000001</v>
      </c>
      <c r="J3" s="38">
        <f>AVERAGE(N3:N7)</f>
        <v>8336.8271999999997</v>
      </c>
      <c r="K3" s="4">
        <f>J3/POWER(L3,2)</f>
        <v>13.33892352</v>
      </c>
      <c r="L3" s="39">
        <v>25</v>
      </c>
      <c r="M3" s="37">
        <v>140.69999999999999</v>
      </c>
      <c r="N3" s="19">
        <f t="shared" ref="N3:N37" si="1">M3*dose1cal</f>
        <v>8323.8119999999981</v>
      </c>
    </row>
    <row r="4" spans="1:14" x14ac:dyDescent="0.25">
      <c r="A4" t="s">
        <v>0</v>
      </c>
      <c r="B4" t="s">
        <v>29</v>
      </c>
      <c r="D4" s="8">
        <f>STDEVA(H3:H7)/AVERAGE(H3:H7)</f>
        <v>9.09125726285887E-4</v>
      </c>
      <c r="E4" s="4"/>
      <c r="F4" s="8"/>
      <c r="G4" s="37">
        <v>315</v>
      </c>
      <c r="H4" s="19">
        <f t="shared" si="0"/>
        <v>18635.399999999998</v>
      </c>
      <c r="J4" s="8">
        <f>STDEVA(N3:N7)/AVERAGE(N3:N7)</f>
        <v>1.3649860957756664E-3</v>
      </c>
      <c r="K4" s="4"/>
      <c r="L4" s="8"/>
      <c r="M4" s="37">
        <v>140.9</v>
      </c>
      <c r="N4" s="19">
        <f t="shared" si="1"/>
        <v>8335.6440000000002</v>
      </c>
    </row>
    <row r="5" spans="1:14" x14ac:dyDescent="0.25">
      <c r="A5" t="s">
        <v>9</v>
      </c>
      <c r="B5" t="s">
        <v>29</v>
      </c>
      <c r="E5" s="8"/>
      <c r="F5" s="39"/>
      <c r="G5" s="37">
        <v>315.2</v>
      </c>
      <c r="H5" s="19">
        <f t="shared" si="0"/>
        <v>18647.232</v>
      </c>
      <c r="K5" s="8"/>
      <c r="L5" s="39"/>
      <c r="M5" s="37">
        <v>141.19999999999999</v>
      </c>
      <c r="N5" s="19">
        <f t="shared" si="1"/>
        <v>8353.391999999998</v>
      </c>
    </row>
    <row r="6" spans="1:14" x14ac:dyDescent="0.25">
      <c r="A6" t="s">
        <v>2</v>
      </c>
      <c r="B6" t="s">
        <v>29</v>
      </c>
      <c r="D6" s="8"/>
      <c r="E6" s="8"/>
      <c r="F6" s="8"/>
      <c r="G6" s="37">
        <v>314.8</v>
      </c>
      <c r="H6" s="19">
        <f t="shared" si="0"/>
        <v>18623.567999999999</v>
      </c>
      <c r="J6" s="8"/>
      <c r="K6" s="8"/>
      <c r="L6" s="8"/>
      <c r="M6" s="37">
        <v>141</v>
      </c>
      <c r="N6" s="19">
        <f t="shared" si="1"/>
        <v>8341.56</v>
      </c>
    </row>
    <row r="7" spans="1:14" x14ac:dyDescent="0.25">
      <c r="A7" t="s">
        <v>5</v>
      </c>
      <c r="B7" t="s">
        <v>29</v>
      </c>
      <c r="D7" s="4"/>
      <c r="E7" s="4"/>
      <c r="F7" s="4"/>
      <c r="G7" s="37">
        <v>315.3</v>
      </c>
      <c r="H7" s="19">
        <f t="shared" si="0"/>
        <v>18653.148000000001</v>
      </c>
      <c r="J7" s="4"/>
      <c r="K7" s="4"/>
      <c r="L7" s="4"/>
      <c r="M7" s="37">
        <v>140.80000000000001</v>
      </c>
      <c r="N7" s="19">
        <f t="shared" si="1"/>
        <v>8329.728000000001</v>
      </c>
    </row>
    <row r="8" spans="1:14" x14ac:dyDescent="0.25">
      <c r="A8" t="s">
        <v>7</v>
      </c>
      <c r="B8" t="s">
        <v>29</v>
      </c>
      <c r="D8" s="38">
        <f>AVERAGE(H8:H12)</f>
        <v>7132.3296</v>
      </c>
      <c r="E8" s="4">
        <f>D8/POWER(F8,2)</f>
        <v>31.699242666666667</v>
      </c>
      <c r="F8" s="39">
        <v>15</v>
      </c>
      <c r="G8" s="37">
        <v>120.5</v>
      </c>
      <c r="H8" s="19">
        <f t="shared" si="0"/>
        <v>7128.78</v>
      </c>
      <c r="J8" s="38">
        <f>AVERAGE(N8:N12)</f>
        <v>3822.6825599999997</v>
      </c>
      <c r="K8" s="4">
        <f>J8/POWER(L8,2)</f>
        <v>16.989700266666667</v>
      </c>
      <c r="L8" s="39">
        <v>15</v>
      </c>
      <c r="M8" s="37">
        <v>64.63</v>
      </c>
      <c r="N8" s="19">
        <f t="shared" si="1"/>
        <v>3823.5107999999996</v>
      </c>
    </row>
    <row r="9" spans="1:14" x14ac:dyDescent="0.25">
      <c r="A9" t="s">
        <v>17</v>
      </c>
      <c r="B9" t="s">
        <v>15</v>
      </c>
      <c r="D9" s="8">
        <f>STDEVA(H8:H12)/AVERAGE(H8:H12)</f>
        <v>4.5431532639772515E-4</v>
      </c>
      <c r="E9" s="4"/>
      <c r="F9" s="8"/>
      <c r="G9" s="37">
        <v>120.6</v>
      </c>
      <c r="H9" s="19">
        <f t="shared" si="0"/>
        <v>7134.695999999999</v>
      </c>
      <c r="J9" s="8">
        <f>STDEVA(N8:N12)/AVERAGE(N8:N12)</f>
        <v>9.6399724541266487E-4</v>
      </c>
      <c r="K9" s="4"/>
      <c r="L9" s="8"/>
      <c r="M9" s="37">
        <v>64.540000000000006</v>
      </c>
      <c r="N9" s="19">
        <f t="shared" si="1"/>
        <v>3818.1864</v>
      </c>
    </row>
    <row r="10" spans="1:14" x14ac:dyDescent="0.25">
      <c r="A10" t="s">
        <v>9</v>
      </c>
      <c r="B10" t="s">
        <v>30</v>
      </c>
      <c r="E10" s="8"/>
      <c r="F10" s="39"/>
      <c r="G10" s="37">
        <v>120.6</v>
      </c>
      <c r="H10" s="19">
        <f t="shared" si="0"/>
        <v>7134.695999999999</v>
      </c>
      <c r="K10" s="8"/>
      <c r="L10" s="39"/>
      <c r="M10" s="37">
        <v>64.61</v>
      </c>
      <c r="N10" s="19">
        <f t="shared" si="1"/>
        <v>3822.3275999999996</v>
      </c>
    </row>
    <row r="11" spans="1:14" x14ac:dyDescent="0.25">
      <c r="A11" t="s">
        <v>31</v>
      </c>
      <c r="B11" s="7">
        <v>23.6</v>
      </c>
      <c r="D11" s="8"/>
      <c r="E11" s="8"/>
      <c r="F11" s="8"/>
      <c r="G11" s="37">
        <v>120.6</v>
      </c>
      <c r="H11" s="19">
        <f t="shared" si="0"/>
        <v>7134.695999999999</v>
      </c>
      <c r="J11" s="8"/>
      <c r="K11" s="8"/>
      <c r="L11" s="8"/>
      <c r="M11" s="37">
        <v>64.709999999999994</v>
      </c>
      <c r="N11" s="19">
        <f t="shared" si="1"/>
        <v>3828.2435999999993</v>
      </c>
    </row>
    <row r="12" spans="1:14" x14ac:dyDescent="0.25">
      <c r="A12" t="s">
        <v>32</v>
      </c>
      <c r="B12" t="s">
        <v>33</v>
      </c>
      <c r="D12" s="4"/>
      <c r="E12" s="4"/>
      <c r="F12" s="4"/>
      <c r="G12" s="37">
        <v>120.5</v>
      </c>
      <c r="H12" s="19">
        <f t="shared" si="0"/>
        <v>7128.78</v>
      </c>
      <c r="J12" s="4"/>
      <c r="K12" s="4"/>
      <c r="L12" s="4"/>
      <c r="M12" s="37">
        <v>64.59</v>
      </c>
      <c r="N12" s="19">
        <f t="shared" si="1"/>
        <v>3821.1444000000001</v>
      </c>
    </row>
    <row r="13" spans="1:14" x14ac:dyDescent="0.25">
      <c r="A13" t="s">
        <v>40</v>
      </c>
      <c r="B13" t="s">
        <v>39</v>
      </c>
      <c r="D13" s="38">
        <f>AVERAGE(H13:H17)</f>
        <v>3166.47984</v>
      </c>
      <c r="E13" s="4">
        <f>D13/POWER(F13,2)</f>
        <v>31.664798399999999</v>
      </c>
      <c r="F13" s="39">
        <v>10</v>
      </c>
      <c r="G13" s="37">
        <v>53.46</v>
      </c>
      <c r="H13" s="19">
        <f t="shared" si="0"/>
        <v>3162.6936000000001</v>
      </c>
      <c r="J13" s="38">
        <f>AVERAGE(N13:N17)</f>
        <v>1919.0320800000002</v>
      </c>
      <c r="K13" s="4">
        <f>J13/POWER(L13,2)</f>
        <v>19.190320800000002</v>
      </c>
      <c r="L13" s="39">
        <v>10</v>
      </c>
      <c r="M13" s="37">
        <v>32.450000000000003</v>
      </c>
      <c r="N13" s="19">
        <f t="shared" si="1"/>
        <v>1919.742</v>
      </c>
    </row>
    <row r="14" spans="1:14" x14ac:dyDescent="0.25">
      <c r="D14" s="8">
        <f>STDEVA(H13:H17)/AVERAGE(H13:H17)</f>
        <v>1.1100404138339667E-3</v>
      </c>
      <c r="E14" s="4"/>
      <c r="F14" s="8"/>
      <c r="G14" s="37">
        <v>53.5</v>
      </c>
      <c r="H14" s="19">
        <f t="shared" si="0"/>
        <v>3165.06</v>
      </c>
      <c r="J14" s="8">
        <f>STDEVA(N13:N17)/AVERAGE(N13:N17)</f>
        <v>6.6833600680313906E-4</v>
      </c>
      <c r="K14" s="4"/>
      <c r="L14" s="8"/>
      <c r="M14" s="37">
        <v>32.46</v>
      </c>
      <c r="N14" s="19">
        <f t="shared" si="1"/>
        <v>1920.3335999999999</v>
      </c>
    </row>
    <row r="15" spans="1:14" x14ac:dyDescent="0.25">
      <c r="E15" s="8"/>
      <c r="F15" s="39"/>
      <c r="G15" s="37">
        <v>53.53</v>
      </c>
      <c r="H15" s="19">
        <f t="shared" si="0"/>
        <v>3166.8348000000001</v>
      </c>
      <c r="K15" s="8"/>
      <c r="L15" s="39"/>
      <c r="M15" s="37">
        <v>32.450000000000003</v>
      </c>
      <c r="N15" s="19">
        <f t="shared" si="1"/>
        <v>1919.742</v>
      </c>
    </row>
    <row r="16" spans="1:14" x14ac:dyDescent="0.25">
      <c r="D16" s="8"/>
      <c r="E16" s="8"/>
      <c r="F16" s="8"/>
      <c r="G16" s="37">
        <v>53.51</v>
      </c>
      <c r="H16" s="19">
        <f t="shared" si="0"/>
        <v>3165.6515999999997</v>
      </c>
      <c r="J16" s="8"/>
      <c r="K16" s="8"/>
      <c r="L16" s="8"/>
      <c r="M16" s="37">
        <v>32.42</v>
      </c>
      <c r="N16" s="19">
        <f t="shared" si="1"/>
        <v>1917.9672</v>
      </c>
    </row>
    <row r="17" spans="4:14" x14ac:dyDescent="0.25">
      <c r="D17" s="4"/>
      <c r="E17" s="4"/>
      <c r="F17" s="4"/>
      <c r="G17" s="37">
        <v>53.62</v>
      </c>
      <c r="H17" s="19">
        <f t="shared" si="0"/>
        <v>3172.1591999999996</v>
      </c>
      <c r="J17" s="4"/>
      <c r="K17" s="4"/>
      <c r="L17" s="4"/>
      <c r="M17" s="37">
        <v>32.409999999999997</v>
      </c>
      <c r="N17" s="19">
        <f t="shared" si="1"/>
        <v>1917.3755999999996</v>
      </c>
    </row>
    <row r="18" spans="4:14" x14ac:dyDescent="0.25">
      <c r="D18" s="38">
        <f>AVERAGE(H18:H22)</f>
        <v>724.35503999999992</v>
      </c>
      <c r="E18" s="4">
        <f>D18/POWER(F18,2)</f>
        <v>28.974201599999997</v>
      </c>
      <c r="F18" s="39">
        <v>5</v>
      </c>
      <c r="G18" s="37">
        <v>12.24</v>
      </c>
      <c r="H18" s="19">
        <f t="shared" si="0"/>
        <v>724.11839999999995</v>
      </c>
      <c r="J18" s="38">
        <f>AVERAGE(N18:N22)</f>
        <v>527.39956800000004</v>
      </c>
      <c r="K18" s="4">
        <f>J18/POWER(L18,2)</f>
        <v>21.095982720000002</v>
      </c>
      <c r="L18" s="39">
        <v>5</v>
      </c>
      <c r="M18" s="37">
        <v>8.9290000000000003</v>
      </c>
      <c r="N18" s="19">
        <f t="shared" si="1"/>
        <v>528.23964000000001</v>
      </c>
    </row>
    <row r="19" spans="4:14" x14ac:dyDescent="0.25">
      <c r="D19" s="8">
        <f>STDEVA(H18:H22)/AVERAGE(H18:H22)</f>
        <v>9.3121155267811393E-4</v>
      </c>
      <c r="E19" s="4"/>
      <c r="F19" s="8"/>
      <c r="G19" s="37">
        <v>12.25</v>
      </c>
      <c r="H19" s="19">
        <f t="shared" si="0"/>
        <v>724.70999999999992</v>
      </c>
      <c r="J19" s="8">
        <f>STDEVA(N18:N22)/AVERAGE(N18:N22)</f>
        <v>1.0384337785285947E-3</v>
      </c>
      <c r="K19" s="4"/>
      <c r="L19" s="8"/>
      <c r="M19" s="37">
        <v>8.91</v>
      </c>
      <c r="N19" s="19">
        <f t="shared" si="1"/>
        <v>527.11559999999997</v>
      </c>
    </row>
    <row r="20" spans="4:14" x14ac:dyDescent="0.25">
      <c r="E20" s="8"/>
      <c r="F20" s="39"/>
      <c r="G20" s="37">
        <v>12.24</v>
      </c>
      <c r="H20" s="19">
        <f t="shared" si="0"/>
        <v>724.11839999999995</v>
      </c>
      <c r="K20" s="8"/>
      <c r="L20" s="39"/>
      <c r="M20" s="37">
        <v>8.91</v>
      </c>
      <c r="N20" s="19">
        <f t="shared" si="1"/>
        <v>527.11559999999997</v>
      </c>
    </row>
    <row r="21" spans="4:14" x14ac:dyDescent="0.25">
      <c r="D21" s="8"/>
      <c r="E21" s="8"/>
      <c r="F21" s="8"/>
      <c r="G21" s="37">
        <v>12.23</v>
      </c>
      <c r="H21" s="19">
        <f t="shared" si="0"/>
        <v>723.52679999999998</v>
      </c>
      <c r="J21" s="8"/>
      <c r="K21" s="8"/>
      <c r="L21" s="8"/>
      <c r="M21" s="37">
        <v>8.9190000000000005</v>
      </c>
      <c r="N21" s="19">
        <f t="shared" si="1"/>
        <v>527.64804000000004</v>
      </c>
    </row>
    <row r="22" spans="4:14" x14ac:dyDescent="0.25">
      <c r="D22" s="4"/>
      <c r="E22" s="4"/>
      <c r="F22" s="4"/>
      <c r="G22" s="37">
        <v>12.26</v>
      </c>
      <c r="H22" s="19">
        <f t="shared" si="0"/>
        <v>725.30159999999989</v>
      </c>
      <c r="J22" s="4"/>
      <c r="K22" s="4"/>
      <c r="L22" s="4"/>
      <c r="M22" s="37">
        <v>8.9060000000000006</v>
      </c>
      <c r="N22" s="19">
        <f t="shared" si="1"/>
        <v>526.87896000000001</v>
      </c>
    </row>
    <row r="23" spans="4:14" x14ac:dyDescent="0.25">
      <c r="D23" s="38">
        <f>AVERAGE(H23:H27)</f>
        <v>258.36355199999997</v>
      </c>
      <c r="E23" s="4">
        <f>D23/POWER(F23,2)</f>
        <v>28.707061333333328</v>
      </c>
      <c r="F23" s="39">
        <v>3</v>
      </c>
      <c r="G23" s="37">
        <v>4.3659999999999997</v>
      </c>
      <c r="H23" s="19">
        <f t="shared" si="0"/>
        <v>258.29255999999998</v>
      </c>
      <c r="J23" s="38">
        <f>AVERAGE(N23:N27)</f>
        <v>208.37335199999998</v>
      </c>
      <c r="K23" s="4">
        <f>J23/POWER(L23,2)</f>
        <v>23.152594666666666</v>
      </c>
      <c r="L23" s="39">
        <v>3</v>
      </c>
      <c r="M23" s="37">
        <v>3.5219999999999998</v>
      </c>
      <c r="N23" s="19">
        <f t="shared" si="1"/>
        <v>208.36151999999998</v>
      </c>
    </row>
    <row r="24" spans="4:14" x14ac:dyDescent="0.25">
      <c r="D24" s="8">
        <f>STDEVA(H23:H27)/AVERAGE(H23:H27)</f>
        <v>8.1601619716091393E-4</v>
      </c>
      <c r="E24" s="4"/>
      <c r="F24" s="8"/>
      <c r="G24" s="37">
        <v>4.3639999999999999</v>
      </c>
      <c r="H24" s="19">
        <f t="shared" si="0"/>
        <v>258.17424</v>
      </c>
      <c r="J24" s="8">
        <f>STDEVA(N23:N27)/AVERAGE(N23:N27)</f>
        <v>5.0787984271187362E-4</v>
      </c>
      <c r="K24" s="4"/>
      <c r="L24" s="8"/>
      <c r="M24" s="37">
        <v>3.52</v>
      </c>
      <c r="N24" s="19">
        <f t="shared" si="1"/>
        <v>208.2432</v>
      </c>
    </row>
    <row r="25" spans="4:14" x14ac:dyDescent="0.25">
      <c r="E25" s="8"/>
      <c r="F25" s="39"/>
      <c r="G25" s="37">
        <v>4.3730000000000002</v>
      </c>
      <c r="H25" s="19">
        <f t="shared" si="0"/>
        <v>258.70668000000001</v>
      </c>
      <c r="K25" s="8"/>
      <c r="L25" s="39"/>
      <c r="M25" s="37">
        <v>3.5219999999999998</v>
      </c>
      <c r="N25" s="19">
        <f t="shared" si="1"/>
        <v>208.36151999999998</v>
      </c>
    </row>
    <row r="26" spans="4:14" x14ac:dyDescent="0.25">
      <c r="D26" s="8"/>
      <c r="E26" s="8"/>
      <c r="F26" s="8"/>
      <c r="G26" s="37">
        <v>4.3650000000000002</v>
      </c>
      <c r="H26" s="19">
        <f t="shared" si="0"/>
        <v>258.23340000000002</v>
      </c>
      <c r="J26" s="8"/>
      <c r="K26" s="8"/>
      <c r="L26" s="8"/>
      <c r="M26" s="37">
        <v>3.5219999999999998</v>
      </c>
      <c r="N26" s="19">
        <f t="shared" si="1"/>
        <v>208.36151999999998</v>
      </c>
    </row>
    <row r="27" spans="4:14" x14ac:dyDescent="0.25">
      <c r="D27" s="4"/>
      <c r="E27" s="4"/>
      <c r="F27" s="4"/>
      <c r="G27" s="37">
        <v>4.3680000000000003</v>
      </c>
      <c r="H27" s="19">
        <f t="shared" si="0"/>
        <v>258.41088000000002</v>
      </c>
      <c r="J27" s="4"/>
      <c r="K27" s="4"/>
      <c r="L27" s="4"/>
      <c r="M27" s="37">
        <v>3.5249999999999999</v>
      </c>
      <c r="N27" s="19">
        <f t="shared" si="1"/>
        <v>208.53899999999999</v>
      </c>
    </row>
    <row r="28" spans="4:14" x14ac:dyDescent="0.25">
      <c r="D28" s="38">
        <f>AVERAGE(H28:H32)</f>
        <v>31.779568799999993</v>
      </c>
      <c r="E28" s="4">
        <f>D28/POWER(F28,2)</f>
        <v>31.779568799999993</v>
      </c>
      <c r="F28" s="39">
        <v>1</v>
      </c>
      <c r="G28" s="37">
        <v>0.5363</v>
      </c>
      <c r="H28" s="19">
        <f t="shared" ref="H28:H37" si="2">G28*dose1cal</f>
        <v>31.727507999999997</v>
      </c>
      <c r="J28" s="38">
        <f>AVERAGE(N28:N32)</f>
        <v>29.847403199999995</v>
      </c>
      <c r="K28" s="4">
        <f>J28/POWER(L28,2)</f>
        <v>29.847403199999995</v>
      </c>
      <c r="L28" s="39">
        <v>1</v>
      </c>
      <c r="M28" s="37">
        <v>0.50239999999999996</v>
      </c>
      <c r="N28" s="19">
        <f t="shared" si="1"/>
        <v>29.721983999999996</v>
      </c>
    </row>
    <row r="29" spans="4:14" x14ac:dyDescent="0.25">
      <c r="D29" s="8">
        <f>STDEVA(H28:H32)/AVERAGE(H28:H32)</f>
        <v>2.6405485277183659E-3</v>
      </c>
      <c r="E29" s="4"/>
      <c r="F29" s="8"/>
      <c r="G29" s="37">
        <v>0.53649999999999998</v>
      </c>
      <c r="H29" s="19">
        <f t="shared" si="2"/>
        <v>31.739339999999999</v>
      </c>
      <c r="J29" s="8">
        <f>STDEVA(N28:N32)/AVERAGE(N28:N32)</f>
        <v>2.5514253555904607E-3</v>
      </c>
      <c r="K29" s="4"/>
      <c r="L29" s="8"/>
      <c r="M29" s="37">
        <v>0.50470000000000004</v>
      </c>
      <c r="N29" s="19">
        <f t="shared" si="1"/>
        <v>29.858052000000001</v>
      </c>
    </row>
    <row r="30" spans="4:14" x14ac:dyDescent="0.25">
      <c r="E30" s="8"/>
      <c r="F30" s="39"/>
      <c r="G30" s="37">
        <v>0.53569999999999995</v>
      </c>
      <c r="H30" s="19">
        <f t="shared" si="2"/>
        <v>31.692011999999995</v>
      </c>
      <c r="K30" s="8"/>
      <c r="L30" s="39"/>
      <c r="M30" s="37">
        <v>0.50580000000000003</v>
      </c>
      <c r="N30" s="19">
        <f t="shared" si="1"/>
        <v>29.923127999999998</v>
      </c>
    </row>
    <row r="31" spans="4:14" x14ac:dyDescent="0.25">
      <c r="D31" s="8"/>
      <c r="E31" s="8"/>
      <c r="F31" s="8"/>
      <c r="G31" s="37">
        <v>0.53869999999999996</v>
      </c>
      <c r="H31" s="19">
        <f t="shared" si="2"/>
        <v>31.869491999999994</v>
      </c>
      <c r="J31" s="8"/>
      <c r="K31" s="8"/>
      <c r="L31" s="8"/>
      <c r="M31" s="37">
        <v>0.50519999999999998</v>
      </c>
      <c r="N31" s="19">
        <f t="shared" si="1"/>
        <v>29.887631999999996</v>
      </c>
    </row>
    <row r="32" spans="4:14" x14ac:dyDescent="0.25">
      <c r="D32" s="4"/>
      <c r="E32" s="4"/>
      <c r="F32" s="4"/>
      <c r="G32" s="37">
        <v>0.53869999999999996</v>
      </c>
      <c r="H32" s="19">
        <f t="shared" si="2"/>
        <v>31.869491999999994</v>
      </c>
      <c r="J32" s="4"/>
      <c r="K32" s="4"/>
      <c r="L32" s="4"/>
      <c r="M32" s="37">
        <v>0.50449999999999995</v>
      </c>
      <c r="N32" s="19">
        <f t="shared" si="1"/>
        <v>29.846219999999995</v>
      </c>
    </row>
    <row r="33" spans="4:14" x14ac:dyDescent="0.25">
      <c r="D33" s="38">
        <f>AVERAGE(H33:H37)</f>
        <v>18656.697599999996</v>
      </c>
      <c r="E33" s="4">
        <f>D33/POWER(F33,2)</f>
        <v>29.850716159999994</v>
      </c>
      <c r="F33" s="39">
        <v>25</v>
      </c>
      <c r="G33" s="37">
        <v>315.39999999999998</v>
      </c>
      <c r="H33" s="19">
        <f t="shared" si="2"/>
        <v>18659.063999999998</v>
      </c>
      <c r="J33" s="38">
        <f>AVERAGE(N33:N37)</f>
        <v>8313.1632000000009</v>
      </c>
      <c r="K33" s="4">
        <f>J33/POWER(L33,2)</f>
        <v>13.301061120000002</v>
      </c>
      <c r="L33" s="39">
        <v>25</v>
      </c>
      <c r="M33" s="37">
        <v>140.4</v>
      </c>
      <c r="N33" s="19">
        <f t="shared" si="1"/>
        <v>8306.0640000000003</v>
      </c>
    </row>
    <row r="34" spans="4:14" x14ac:dyDescent="0.25">
      <c r="D34" s="8">
        <f>STDEVA(H33:H37)/AVERAGE(H33:H37)</f>
        <v>6.9472673453222075E-4</v>
      </c>
      <c r="E34" s="4"/>
      <c r="F34" s="8"/>
      <c r="G34" s="37">
        <v>315.39999999999998</v>
      </c>
      <c r="H34" s="19">
        <f t="shared" si="2"/>
        <v>18659.063999999998</v>
      </c>
      <c r="J34" s="8">
        <f>STDEVA(N33:N37)/AVERAGE(N33:N37)</f>
        <v>1.2730247523483117E-3</v>
      </c>
      <c r="K34" s="4"/>
      <c r="L34" s="8"/>
      <c r="M34" s="37">
        <v>140.4</v>
      </c>
      <c r="N34" s="19">
        <f t="shared" si="1"/>
        <v>8306.0640000000003</v>
      </c>
    </row>
    <row r="35" spans="4:14" x14ac:dyDescent="0.25">
      <c r="E35" s="8"/>
      <c r="F35" s="39"/>
      <c r="G35" s="37">
        <v>315</v>
      </c>
      <c r="H35" s="19">
        <f t="shared" si="2"/>
        <v>18635.399999999998</v>
      </c>
      <c r="K35" s="8"/>
      <c r="L35" s="39"/>
      <c r="M35" s="37">
        <v>140.4</v>
      </c>
      <c r="N35" s="19">
        <f t="shared" si="1"/>
        <v>8306.0640000000003</v>
      </c>
    </row>
    <row r="36" spans="4:14" x14ac:dyDescent="0.25">
      <c r="D36" s="8"/>
      <c r="E36" s="8"/>
      <c r="F36" s="8"/>
      <c r="G36" s="37">
        <v>315.39999999999998</v>
      </c>
      <c r="H36" s="19">
        <f t="shared" si="2"/>
        <v>18659.063999999998</v>
      </c>
      <c r="J36" s="8"/>
      <c r="K36" s="8"/>
      <c r="L36" s="8"/>
      <c r="M36" s="37">
        <v>140.6</v>
      </c>
      <c r="N36" s="19">
        <f t="shared" si="1"/>
        <v>8317.8959999999988</v>
      </c>
    </row>
    <row r="37" spans="4:14" x14ac:dyDescent="0.25">
      <c r="D37" s="4"/>
      <c r="E37" s="4"/>
      <c r="F37" s="4"/>
      <c r="G37" s="37">
        <v>315.60000000000002</v>
      </c>
      <c r="H37" s="19">
        <f t="shared" si="2"/>
        <v>18670.896000000001</v>
      </c>
      <c r="J37" s="4"/>
      <c r="K37" s="4"/>
      <c r="L37" s="4"/>
      <c r="M37" s="37">
        <v>140.80000000000001</v>
      </c>
      <c r="N37" s="19">
        <f t="shared" si="1"/>
        <v>8329.728000000001</v>
      </c>
    </row>
    <row r="60" spans="1:1" x14ac:dyDescent="0.25">
      <c r="A60" t="s">
        <v>96</v>
      </c>
    </row>
    <row r="61" spans="1:1" x14ac:dyDescent="0.25">
      <c r="A61" t="s">
        <v>97</v>
      </c>
    </row>
    <row r="62" spans="1:1" x14ac:dyDescent="0.25">
      <c r="A62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K1" workbookViewId="0">
      <selection activeCell="I36" sqref="I36"/>
    </sheetView>
  </sheetViews>
  <sheetFormatPr defaultRowHeight="15" x14ac:dyDescent="0.25"/>
  <cols>
    <col min="1" max="1" width="14.7109375" customWidth="1"/>
    <col min="5" max="5" width="13.28515625" customWidth="1"/>
    <col min="7" max="7" width="9.5703125" bestFit="1" customWidth="1"/>
    <col min="12" max="12" width="9.5703125" bestFit="1" customWidth="1"/>
    <col min="14" max="14" width="12.5703125" customWidth="1"/>
    <col min="15" max="15" width="11" customWidth="1"/>
    <col min="16" max="17" width="10.7109375" customWidth="1"/>
    <col min="19" max="19" width="12.5703125" customWidth="1"/>
    <col min="20" max="20" width="11.42578125" customWidth="1"/>
    <col min="21" max="22" width="11.28515625" customWidth="1"/>
    <col min="24" max="24" width="12" customWidth="1"/>
    <col min="25" max="25" width="10" customWidth="1"/>
    <col min="26" max="26" width="11" customWidth="1"/>
  </cols>
  <sheetData>
    <row r="1" spans="1:26" ht="18" x14ac:dyDescent="0.35">
      <c r="A1" t="s">
        <v>1</v>
      </c>
      <c r="B1" s="1">
        <v>41828</v>
      </c>
      <c r="L1" s="10" t="s">
        <v>35</v>
      </c>
      <c r="N1" s="21">
        <v>-40</v>
      </c>
      <c r="R1" s="4"/>
      <c r="S1" s="21">
        <v>-400</v>
      </c>
      <c r="W1" s="4"/>
      <c r="X1" s="21">
        <v>400</v>
      </c>
    </row>
    <row r="2" spans="1:26" ht="18.75" x14ac:dyDescent="0.35">
      <c r="A2" t="s">
        <v>10</v>
      </c>
      <c r="B2" s="1" t="s">
        <v>11</v>
      </c>
      <c r="E2" t="s">
        <v>62</v>
      </c>
      <c r="F2" t="s">
        <v>63</v>
      </c>
      <c r="G2" s="2" t="s">
        <v>78</v>
      </c>
      <c r="H2" s="2" t="s">
        <v>66</v>
      </c>
      <c r="I2" s="2" t="s">
        <v>72</v>
      </c>
      <c r="J2" s="2" t="s">
        <v>65</v>
      </c>
      <c r="K2" s="2" t="s">
        <v>76</v>
      </c>
      <c r="L2" s="10" t="s">
        <v>74</v>
      </c>
      <c r="M2" s="2" t="s">
        <v>41</v>
      </c>
      <c r="N2" s="2" t="s">
        <v>42</v>
      </c>
      <c r="O2" s="2" t="s">
        <v>43</v>
      </c>
      <c r="P2" s="2" t="s">
        <v>88</v>
      </c>
      <c r="Q2" s="10" t="s">
        <v>74</v>
      </c>
      <c r="R2" s="2" t="s">
        <v>41</v>
      </c>
      <c r="S2" s="2" t="s">
        <v>42</v>
      </c>
      <c r="T2" s="2" t="s">
        <v>43</v>
      </c>
      <c r="U2" s="2" t="s">
        <v>88</v>
      </c>
      <c r="V2" s="10"/>
      <c r="W2" s="2" t="s">
        <v>41</v>
      </c>
      <c r="X2" s="2" t="s">
        <v>42</v>
      </c>
      <c r="Y2" s="2" t="s">
        <v>43</v>
      </c>
      <c r="Z2" s="2" t="s">
        <v>88</v>
      </c>
    </row>
    <row r="3" spans="1:26" x14ac:dyDescent="0.25">
      <c r="A3" t="s">
        <v>25</v>
      </c>
      <c r="B3" s="1" t="s">
        <v>26</v>
      </c>
      <c r="E3">
        <v>30.4</v>
      </c>
      <c r="F3">
        <v>0</v>
      </c>
      <c r="G3" s="31">
        <f>(1+V3/Q3)/2</f>
        <v>0.99976660161499464</v>
      </c>
      <c r="H3" s="33">
        <f>J3/LN(1+J3)</f>
        <v>1.0419362931310854</v>
      </c>
      <c r="I3" s="27">
        <f>Vw_Vl*LN(1+J3)/LN(1+Vw_Vl*J3)-Q3/L3</f>
        <v>6.48437106454125E-7</v>
      </c>
      <c r="J3" s="27">
        <v>8.5028946038420913E-2</v>
      </c>
      <c r="K3" s="3">
        <f>O3/pulses</f>
        <v>2.6188159999999998</v>
      </c>
      <c r="L3" s="36">
        <f>AVERAGE(P3:P7)</f>
        <v>11769.24157036599</v>
      </c>
      <c r="M3" s="20">
        <v>72.430000000000007</v>
      </c>
      <c r="N3" s="20">
        <v>199.2</v>
      </c>
      <c r="O3" s="19">
        <f t="shared" ref="O3:O27" si="0">N3*dose1cal</f>
        <v>11784.671999999999</v>
      </c>
      <c r="P3" s="19">
        <f>O3*$B$17/M3</f>
        <v>11760.006029059781</v>
      </c>
      <c r="Q3" s="36">
        <f>AVERAGE(U3:U7)</f>
        <v>15608.359923540964</v>
      </c>
      <c r="R3" s="20">
        <v>72.31</v>
      </c>
      <c r="S3" s="20">
        <v>263.7</v>
      </c>
      <c r="T3" s="19">
        <f t="shared" ref="T3:T27" si="1">S3*dose1cal</f>
        <v>15600.491999999998</v>
      </c>
      <c r="U3" s="19">
        <f>T3*$B$17/R3</f>
        <v>15593.674470651362</v>
      </c>
      <c r="V3" s="36">
        <f>AVERAGE(Z3:Z7)</f>
        <v>15601.073991543492</v>
      </c>
      <c r="W3" s="20">
        <v>72.12</v>
      </c>
      <c r="X3" s="20">
        <v>263.10000000000002</v>
      </c>
      <c r="Y3" s="19">
        <f t="shared" ref="Y3:Y27" si="2">X3*dose1cal</f>
        <v>15564.996000000001</v>
      </c>
      <c r="Z3" s="19">
        <f>Y3*$B$17/W3</f>
        <v>15599.182014509151</v>
      </c>
    </row>
    <row r="4" spans="1:26" x14ac:dyDescent="0.25">
      <c r="A4" t="s">
        <v>0</v>
      </c>
      <c r="B4" t="s">
        <v>85</v>
      </c>
      <c r="G4" s="32"/>
      <c r="H4" t="s">
        <v>79</v>
      </c>
      <c r="K4" s="3"/>
      <c r="L4" s="55">
        <f>STDEVA(M3:M7)/(AVERAGE(M3:M7)*(COUNT(P3:P7)-1))</f>
        <v>2.9811252441013235E-4</v>
      </c>
      <c r="M4" s="20">
        <v>72.290000000000006</v>
      </c>
      <c r="N4" s="20">
        <v>198.9</v>
      </c>
      <c r="O4" s="19">
        <f t="shared" si="0"/>
        <v>11766.923999999999</v>
      </c>
      <c r="P4" s="19">
        <f t="shared" ref="P4:P27" si="3">O4*$B$17/M4</f>
        <v>11765.03582295753</v>
      </c>
      <c r="Q4" s="8">
        <f>STDEVA(R3:R7)/AVERAGE(R3:R7)</f>
        <v>1.0330892365684812E-3</v>
      </c>
      <c r="R4" s="20">
        <v>72.14</v>
      </c>
      <c r="S4" s="20">
        <v>263.5</v>
      </c>
      <c r="T4" s="19">
        <f t="shared" si="1"/>
        <v>15588.66</v>
      </c>
      <c r="U4" s="19">
        <f t="shared" ref="U4:U27" si="4">T4*$B$17/R4</f>
        <v>15618.566716717492</v>
      </c>
      <c r="V4" s="8">
        <f>STDEVA(W3:W7)/AVERAGE(W3:W7)</f>
        <v>7.485596545744929E-4</v>
      </c>
      <c r="W4" s="20">
        <v>72.19</v>
      </c>
      <c r="X4" s="20">
        <v>263.5</v>
      </c>
      <c r="Y4" s="19">
        <f t="shared" si="2"/>
        <v>15588.66</v>
      </c>
      <c r="Z4" s="19">
        <f t="shared" ref="Z4:Z27" si="5">Y4*$B$17/W4</f>
        <v>15607.749036487048</v>
      </c>
    </row>
    <row r="5" spans="1:26" x14ac:dyDescent="0.25">
      <c r="A5" t="s">
        <v>9</v>
      </c>
      <c r="B5" t="s">
        <v>34</v>
      </c>
      <c r="G5" s="32"/>
      <c r="K5" s="3"/>
      <c r="L5" s="55">
        <f>STDEVA(O3:O7)/(AVERAGE(O3:O7)*(COUNT(P3:P7)-1))</f>
        <v>2.2826073236561527E-4</v>
      </c>
      <c r="M5" s="20">
        <v>72.27</v>
      </c>
      <c r="N5" s="20">
        <v>199</v>
      </c>
      <c r="O5" s="19">
        <f t="shared" si="0"/>
        <v>11772.84</v>
      </c>
      <c r="P5" s="19">
        <f t="shared" si="3"/>
        <v>11774.208366625156</v>
      </c>
      <c r="Q5" s="8">
        <f>STDEVA(T3:T7)/AVERAGE(T3:T7)</f>
        <v>5.3629638315241476E-4</v>
      </c>
      <c r="R5" s="20">
        <v>72.23</v>
      </c>
      <c r="S5" s="20">
        <v>263.7</v>
      </c>
      <c r="T5" s="19">
        <f t="shared" si="1"/>
        <v>15600.491999999998</v>
      </c>
      <c r="U5" s="19">
        <f t="shared" si="4"/>
        <v>15610.945603942961</v>
      </c>
      <c r="V5" s="8">
        <f>STDEVA(Y3:Y7)/AVERAGE(Y3:Y7)</f>
        <v>8.6580258569296758E-4</v>
      </c>
      <c r="W5" s="20">
        <v>72.23</v>
      </c>
      <c r="X5" s="20">
        <v>263.3</v>
      </c>
      <c r="Y5" s="19">
        <f t="shared" si="2"/>
        <v>15576.828</v>
      </c>
      <c r="Z5" s="19">
        <f t="shared" si="5"/>
        <v>15587.265747130003</v>
      </c>
    </row>
    <row r="6" spans="1:26" x14ac:dyDescent="0.25">
      <c r="A6" t="s">
        <v>2</v>
      </c>
      <c r="B6" t="s">
        <v>29</v>
      </c>
      <c r="G6" s="32"/>
      <c r="K6" s="3"/>
      <c r="L6" s="55">
        <f>STDEVA(P3:P7)/(AVERAGE(P3:P7)*(COUNT(P3:P7)-1))</f>
        <v>1.9038152124763771E-4</v>
      </c>
      <c r="M6" s="20">
        <v>72.22</v>
      </c>
      <c r="N6" s="20">
        <v>199</v>
      </c>
      <c r="O6" s="19">
        <f t="shared" si="0"/>
        <v>11772.84</v>
      </c>
      <c r="P6" s="19">
        <f t="shared" si="3"/>
        <v>11782.359992467462</v>
      </c>
      <c r="Q6" s="8">
        <f>STDEVA(U3:U7)/AVERAGE(U3:U7)</f>
        <v>6.4022742809986453E-4</v>
      </c>
      <c r="R6" s="20">
        <v>72.209999999999994</v>
      </c>
      <c r="S6" s="20">
        <v>263.7</v>
      </c>
      <c r="T6" s="19">
        <f t="shared" si="1"/>
        <v>15600.491999999998</v>
      </c>
      <c r="U6" s="19">
        <f t="shared" si="4"/>
        <v>15615.26936674699</v>
      </c>
      <c r="V6" s="8">
        <f>STDEVA(Z3:Z7)/AVERAGE(Z3:Z7)</f>
        <v>5.3789366066817762E-4</v>
      </c>
      <c r="W6" s="20">
        <v>72.150000000000006</v>
      </c>
      <c r="X6" s="20">
        <v>263.3</v>
      </c>
      <c r="Y6" s="19">
        <f t="shared" si="2"/>
        <v>15576.828</v>
      </c>
      <c r="Z6" s="19">
        <f t="shared" si="5"/>
        <v>15604.548924673598</v>
      </c>
    </row>
    <row r="7" spans="1:26" x14ac:dyDescent="0.25">
      <c r="A7" t="s">
        <v>5</v>
      </c>
      <c r="B7" t="s">
        <v>54</v>
      </c>
      <c r="G7" s="32"/>
      <c r="K7" s="3"/>
      <c r="L7" s="4">
        <f>AVERAGE(M3:M7)</f>
        <v>72.286000000000016</v>
      </c>
      <c r="M7" s="20">
        <v>72.22</v>
      </c>
      <c r="N7" s="20">
        <v>198.7</v>
      </c>
      <c r="O7" s="19">
        <f t="shared" si="0"/>
        <v>11755.091999999999</v>
      </c>
      <c r="P7" s="19">
        <f t="shared" si="3"/>
        <v>11764.597640720021</v>
      </c>
      <c r="Q7" s="4">
        <f>AVERAGE(R3:R7)</f>
        <v>72.24199999999999</v>
      </c>
      <c r="R7" s="20">
        <v>72.319999999999993</v>
      </c>
      <c r="S7" s="20">
        <v>263.89999999999998</v>
      </c>
      <c r="T7" s="19">
        <f t="shared" si="1"/>
        <v>15612.323999999997</v>
      </c>
      <c r="U7" s="19">
        <f t="shared" si="4"/>
        <v>15603.343459646017</v>
      </c>
      <c r="V7" s="4">
        <f>AVERAGE(W3:W7)</f>
        <v>72.188000000000017</v>
      </c>
      <c r="W7" s="20">
        <v>72.25</v>
      </c>
      <c r="X7" s="20">
        <v>263.7</v>
      </c>
      <c r="Y7" s="19">
        <f t="shared" si="2"/>
        <v>15600.491999999998</v>
      </c>
      <c r="Z7" s="19">
        <f t="shared" si="5"/>
        <v>15606.624234917648</v>
      </c>
    </row>
    <row r="8" spans="1:26" x14ac:dyDescent="0.25">
      <c r="A8" t="s">
        <v>7</v>
      </c>
      <c r="B8" t="s">
        <v>54</v>
      </c>
      <c r="E8">
        <v>10.199999999999999</v>
      </c>
      <c r="F8">
        <v>0</v>
      </c>
      <c r="G8" s="31">
        <f>(1+V8/Q8)/2</f>
        <v>0.9999628416447377</v>
      </c>
      <c r="K8" s="3">
        <f>O8/pulses</f>
        <v>1.7064373333333334</v>
      </c>
      <c r="L8" s="36">
        <f>AVERAGE(P8:P12)</f>
        <v>7685.2457705027309</v>
      </c>
      <c r="M8" s="20">
        <v>72.22</v>
      </c>
      <c r="N8" s="20">
        <v>129.80000000000001</v>
      </c>
      <c r="O8" s="19">
        <f t="shared" si="0"/>
        <v>7678.9679999999998</v>
      </c>
      <c r="P8" s="19">
        <f t="shared" si="3"/>
        <v>7685.1775227250073</v>
      </c>
      <c r="Q8" s="36">
        <f>AVERAGE(U8:U12)</f>
        <v>9151.0928028248109</v>
      </c>
      <c r="R8" s="20">
        <v>72.260000000000005</v>
      </c>
      <c r="S8" s="20">
        <v>154.9</v>
      </c>
      <c r="T8" s="19">
        <f t="shared" si="1"/>
        <v>9163.884</v>
      </c>
      <c r="U8" s="19">
        <f t="shared" si="4"/>
        <v>9166.217455101023</v>
      </c>
      <c r="V8" s="36">
        <f>AVERAGE(Z8:Z12)</f>
        <v>9150.4127237100001</v>
      </c>
      <c r="W8" s="20">
        <v>72.349999999999994</v>
      </c>
      <c r="X8" s="20">
        <v>154.6</v>
      </c>
      <c r="Y8" s="19">
        <f t="shared" si="2"/>
        <v>9146.1359999999986</v>
      </c>
      <c r="Z8" s="19">
        <f t="shared" si="5"/>
        <v>9137.0846753614369</v>
      </c>
    </row>
    <row r="9" spans="1:26" x14ac:dyDescent="0.25">
      <c r="A9" t="s">
        <v>17</v>
      </c>
      <c r="B9" t="s">
        <v>53</v>
      </c>
      <c r="H9" s="5"/>
      <c r="I9" s="5"/>
      <c r="J9" s="5"/>
      <c r="K9" s="3"/>
      <c r="L9" s="55">
        <f>STDEVA(M8:M12)/(AVERAGE(M8:M12)*(COUNT(P8:P12)-1))</f>
        <v>2.6101243567197021E-4</v>
      </c>
      <c r="M9" s="20">
        <v>72.08</v>
      </c>
      <c r="N9" s="20">
        <v>129.6</v>
      </c>
      <c r="O9" s="19">
        <f t="shared" si="0"/>
        <v>7667.1359999999995</v>
      </c>
      <c r="P9" s="19">
        <f t="shared" si="3"/>
        <v>7688.2397705660378</v>
      </c>
      <c r="Q9" s="8">
        <f>STDEVA(R8:R12)/AVERAGE(R8:R12)</f>
        <v>6.6056145789299256E-4</v>
      </c>
      <c r="R9" s="20">
        <v>72.34</v>
      </c>
      <c r="S9" s="20">
        <v>154.69999999999999</v>
      </c>
      <c r="T9" s="19">
        <f t="shared" si="1"/>
        <v>9152.0519999999997</v>
      </c>
      <c r="U9" s="19">
        <f t="shared" si="4"/>
        <v>9144.2587127011338</v>
      </c>
      <c r="V9" s="8">
        <f>STDEVA(W8:W12)/AVERAGE(W8:W12)</f>
        <v>8.7313146929370066E-4</v>
      </c>
      <c r="W9" s="20">
        <v>72.239999999999995</v>
      </c>
      <c r="X9" s="20">
        <v>154.5</v>
      </c>
      <c r="Y9" s="19">
        <f t="shared" si="2"/>
        <v>9140.2199999999993</v>
      </c>
      <c r="Z9" s="19">
        <f t="shared" si="5"/>
        <v>9145.0785887043185</v>
      </c>
    </row>
    <row r="10" spans="1:26" x14ac:dyDescent="0.25">
      <c r="A10" t="s">
        <v>9</v>
      </c>
      <c r="B10" t="s">
        <v>30</v>
      </c>
      <c r="K10" s="3"/>
      <c r="L10" s="55">
        <f>STDEVA(O8:O12)/(AVERAGE(O8:O12)*(COUNT(P8:P12)-1))</f>
        <v>1.7234992889624603E-4</v>
      </c>
      <c r="M10" s="20">
        <v>72.150000000000006</v>
      </c>
      <c r="N10" s="20">
        <v>129.69999999999999</v>
      </c>
      <c r="O10" s="19">
        <f t="shared" si="0"/>
        <v>7673.0519999999988</v>
      </c>
      <c r="P10" s="19">
        <f t="shared" si="3"/>
        <v>7686.7071611476085</v>
      </c>
      <c r="Q10" s="8">
        <f>STDEVA(T8:T12)/AVERAGE(T8:T12)</f>
        <v>7.9169028532106436E-4</v>
      </c>
      <c r="R10" s="20">
        <v>72.290000000000006</v>
      </c>
      <c r="S10" s="20">
        <v>154.6</v>
      </c>
      <c r="T10" s="19">
        <f t="shared" si="1"/>
        <v>9146.1359999999986</v>
      </c>
      <c r="U10" s="19">
        <f t="shared" si="4"/>
        <v>9144.668367165581</v>
      </c>
      <c r="V10" s="8">
        <f>STDEVA(Y8:Y12)/AVERAGE(Y8:Y12)</f>
        <v>8.4325474132752897E-4</v>
      </c>
      <c r="W10" s="20">
        <v>72.2</v>
      </c>
      <c r="X10" s="20">
        <v>154.5</v>
      </c>
      <c r="Y10" s="19">
        <f t="shared" si="2"/>
        <v>9140.2199999999993</v>
      </c>
      <c r="Z10" s="19">
        <f t="shared" si="5"/>
        <v>9150.1451142382266</v>
      </c>
    </row>
    <row r="11" spans="1:26" x14ac:dyDescent="0.25">
      <c r="A11" t="s">
        <v>31</v>
      </c>
      <c r="B11" s="23">
        <v>23.6</v>
      </c>
      <c r="C11" t="s">
        <v>61</v>
      </c>
      <c r="K11" s="3"/>
      <c r="L11" s="55">
        <f>STDEVA(P8:P12)/(AVERAGE(P8:P12)*(COUNT(P8:P12)-1))</f>
        <v>1.22715643563215E-4</v>
      </c>
      <c r="M11" s="20">
        <v>72.2</v>
      </c>
      <c r="N11" s="20">
        <v>129.80000000000001</v>
      </c>
      <c r="O11" s="19">
        <f t="shared" si="0"/>
        <v>7678.9679999999998</v>
      </c>
      <c r="P11" s="19">
        <f t="shared" si="3"/>
        <v>7687.3063807645431</v>
      </c>
      <c r="Q11" s="8">
        <f>STDEVA(U8:U12)/AVERAGE(U8:U12)</f>
        <v>1.009282931357888E-3</v>
      </c>
      <c r="R11" s="20">
        <v>72.22</v>
      </c>
      <c r="S11" s="20">
        <v>154.6</v>
      </c>
      <c r="T11" s="19">
        <f t="shared" si="1"/>
        <v>9146.1359999999986</v>
      </c>
      <c r="U11" s="19">
        <f t="shared" si="4"/>
        <v>9153.5319338465779</v>
      </c>
      <c r="V11" s="8">
        <f>STDEVA(Z8:Z12)/AVERAGE(Z8:Z12)</f>
        <v>1.0849691018332984E-3</v>
      </c>
      <c r="W11" s="20">
        <v>72.28</v>
      </c>
      <c r="X11" s="20">
        <v>154.80000000000001</v>
      </c>
      <c r="Y11" s="19">
        <f t="shared" si="2"/>
        <v>9157.9680000000008</v>
      </c>
      <c r="Z11" s="19">
        <f t="shared" si="5"/>
        <v>9157.7652779634773</v>
      </c>
    </row>
    <row r="12" spans="1:26" x14ac:dyDescent="0.25">
      <c r="A12" t="s">
        <v>32</v>
      </c>
      <c r="B12" t="s">
        <v>33</v>
      </c>
      <c r="K12" s="3"/>
      <c r="L12" s="4">
        <f>AVERAGE(M8:M12)</f>
        <v>72.186000000000007</v>
      </c>
      <c r="M12" s="20">
        <v>72.28</v>
      </c>
      <c r="N12" s="20">
        <v>129.80000000000001</v>
      </c>
      <c r="O12" s="19">
        <f t="shared" si="0"/>
        <v>7678.9679999999998</v>
      </c>
      <c r="P12" s="19">
        <f t="shared" si="3"/>
        <v>7678.7980173104597</v>
      </c>
      <c r="Q12" s="4">
        <f>AVERAGE(R8:R12)</f>
        <v>72.286000000000001</v>
      </c>
      <c r="R12" s="20">
        <v>72.319999999999993</v>
      </c>
      <c r="S12" s="20">
        <v>154.69999999999999</v>
      </c>
      <c r="T12" s="19">
        <f t="shared" si="1"/>
        <v>9152.0519999999997</v>
      </c>
      <c r="U12" s="19">
        <f t="shared" si="4"/>
        <v>9146.7875453097367</v>
      </c>
      <c r="V12" s="4">
        <f>AVERAGE(W8:W12)</f>
        <v>72.253999999999991</v>
      </c>
      <c r="W12" s="20">
        <v>72.2</v>
      </c>
      <c r="X12" s="20">
        <v>154.69999999999999</v>
      </c>
      <c r="Y12" s="19">
        <f t="shared" si="2"/>
        <v>9152.0519999999997</v>
      </c>
      <c r="Z12" s="19">
        <f t="shared" si="5"/>
        <v>9161.9899622825487</v>
      </c>
    </row>
    <row r="13" spans="1:26" x14ac:dyDescent="0.25">
      <c r="A13" t="s">
        <v>40</v>
      </c>
      <c r="B13">
        <v>100</v>
      </c>
      <c r="C13" t="s">
        <v>59</v>
      </c>
      <c r="E13">
        <v>-30</v>
      </c>
      <c r="F13">
        <v>0</v>
      </c>
      <c r="G13" s="31">
        <f>(1+V13/Q13)/2</f>
        <v>0.99906156369571786</v>
      </c>
      <c r="K13" s="3">
        <f>O13/pulses</f>
        <v>0.87506842666666662</v>
      </c>
      <c r="L13" s="36">
        <f>AVERAGE(P13:P17)</f>
        <v>3933.7567131911615</v>
      </c>
      <c r="M13" s="20">
        <v>72.33</v>
      </c>
      <c r="N13" s="20">
        <v>66.561999999999998</v>
      </c>
      <c r="O13" s="19">
        <f t="shared" si="0"/>
        <v>3937.8079199999997</v>
      </c>
      <c r="P13" s="19">
        <f t="shared" si="3"/>
        <v>3934.9986999160519</v>
      </c>
      <c r="Q13" s="36">
        <f>AVERAGE(U13:U17)</f>
        <v>4296.7063403705633</v>
      </c>
      <c r="R13" s="20">
        <v>72.2</v>
      </c>
      <c r="S13" s="20">
        <v>72.91</v>
      </c>
      <c r="T13" s="19">
        <f t="shared" si="1"/>
        <v>4313.3555999999999</v>
      </c>
      <c r="U13" s="19">
        <f t="shared" si="4"/>
        <v>4318.0393545573406</v>
      </c>
      <c r="V13" s="36">
        <f>AVERAGE(Z13:Z17)</f>
        <v>4288.6419699332773</v>
      </c>
      <c r="W13" s="20">
        <v>72.38</v>
      </c>
      <c r="X13" s="20">
        <v>72.56</v>
      </c>
      <c r="Y13" s="19">
        <f t="shared" si="2"/>
        <v>4292.6495999999997</v>
      </c>
      <c r="Z13" s="19">
        <f t="shared" si="5"/>
        <v>4286.6239962508989</v>
      </c>
    </row>
    <row r="14" spans="1:26" x14ac:dyDescent="0.25">
      <c r="A14" t="s">
        <v>55</v>
      </c>
      <c r="B14">
        <v>180</v>
      </c>
      <c r="C14" t="s">
        <v>60</v>
      </c>
      <c r="H14" s="5"/>
      <c r="I14" s="5"/>
      <c r="J14" s="5"/>
      <c r="K14" s="3"/>
      <c r="L14" s="55">
        <f>STDEVA(M13:M17)/(AVERAGE(M13:M17)*(COUNT(P13:P17)-1))</f>
        <v>3.2284040076138552E-4</v>
      </c>
      <c r="M14" s="20">
        <v>72.459999999999994</v>
      </c>
      <c r="N14" s="20">
        <v>66.569999999999993</v>
      </c>
      <c r="O14" s="19">
        <f t="shared" si="0"/>
        <v>3938.2811999999994</v>
      </c>
      <c r="P14" s="19">
        <f t="shared" si="3"/>
        <v>3928.4110390019318</v>
      </c>
      <c r="Q14" s="8">
        <f>STDEVA(R13:R17)/AVERAGE(R13:R17)</f>
        <v>7.3879589344249348E-4</v>
      </c>
      <c r="R14" s="20">
        <v>72.33</v>
      </c>
      <c r="S14" s="20">
        <v>72.599999999999994</v>
      </c>
      <c r="T14" s="19">
        <f t="shared" si="1"/>
        <v>4295.0159999999996</v>
      </c>
      <c r="U14" s="19">
        <f t="shared" si="4"/>
        <v>4291.9519487681455</v>
      </c>
      <c r="V14" s="8">
        <f>STDEVA(W13:W17)/AVERAGE(W13:W17)</f>
        <v>1.0681215279428518E-3</v>
      </c>
      <c r="W14" s="20">
        <v>72.209999999999994</v>
      </c>
      <c r="X14" s="20">
        <v>72.48</v>
      </c>
      <c r="Y14" s="19">
        <f t="shared" si="2"/>
        <v>4287.9168</v>
      </c>
      <c r="Z14" s="19">
        <f t="shared" si="5"/>
        <v>4291.9784744096387</v>
      </c>
    </row>
    <row r="15" spans="1:26" x14ac:dyDescent="0.25">
      <c r="K15" s="3"/>
      <c r="L15" s="55">
        <f>STDEVA(O13:O17)/(AVERAGE(O13:O17)*(COUNT(P13:P17)-1))</f>
        <v>3.0684408497210538E-4</v>
      </c>
      <c r="M15" s="20">
        <v>72.209999999999994</v>
      </c>
      <c r="N15" s="20">
        <v>66.38</v>
      </c>
      <c r="O15" s="19">
        <f t="shared" si="0"/>
        <v>3927.0407999999993</v>
      </c>
      <c r="P15" s="19">
        <f t="shared" si="3"/>
        <v>3930.7606392289154</v>
      </c>
      <c r="Q15" s="8">
        <f>STDEVA(T13:T17)/AVERAGE(T13:T17)</f>
        <v>2.3694602030141006E-3</v>
      </c>
      <c r="R15" s="20">
        <v>72.3</v>
      </c>
      <c r="S15" s="20">
        <v>72.5</v>
      </c>
      <c r="T15" s="19">
        <f t="shared" si="1"/>
        <v>4289.0999999999995</v>
      </c>
      <c r="U15" s="19">
        <f t="shared" si="4"/>
        <v>4287.8186091286307</v>
      </c>
      <c r="V15" s="8">
        <f>STDEVA(Y13:Y17)/AVERAGE(Y13:Y17)</f>
        <v>7.7603309407094599E-4</v>
      </c>
      <c r="W15" s="20">
        <v>72.319999999999993</v>
      </c>
      <c r="X15" s="20">
        <v>72.569999999999993</v>
      </c>
      <c r="Y15" s="19">
        <f t="shared" si="2"/>
        <v>4293.2411999999995</v>
      </c>
      <c r="Z15" s="19">
        <f t="shared" si="5"/>
        <v>4290.7716364778762</v>
      </c>
    </row>
    <row r="16" spans="1:26" x14ac:dyDescent="0.25">
      <c r="A16" t="s">
        <v>73</v>
      </c>
      <c r="B16">
        <f>S1/N1</f>
        <v>10</v>
      </c>
      <c r="K16" s="3"/>
      <c r="L16" s="55">
        <f>STDEVA(P13:P17)/(AVERAGE(P13:P17)*(COUNT(P13:P17)-1))</f>
        <v>2.5526696432496637E-4</v>
      </c>
      <c r="M16" s="20">
        <v>72.290000000000006</v>
      </c>
      <c r="N16" s="20">
        <v>66.569999999999993</v>
      </c>
      <c r="O16" s="19">
        <f t="shared" si="0"/>
        <v>3938.2811999999994</v>
      </c>
      <c r="P16" s="19">
        <f t="shared" si="3"/>
        <v>3937.6492445162535</v>
      </c>
      <c r="Q16" s="8">
        <f>STDEVA(U13:U17)/AVERAGE(U13:U17)</f>
        <v>2.8180453260796086E-3</v>
      </c>
      <c r="R16" s="20">
        <v>72.239999999999995</v>
      </c>
      <c r="S16" s="20">
        <v>72.52</v>
      </c>
      <c r="T16" s="19">
        <f t="shared" si="1"/>
        <v>4290.2831999999999</v>
      </c>
      <c r="U16" s="19">
        <f t="shared" si="4"/>
        <v>4292.5637492093028</v>
      </c>
      <c r="V16" s="8">
        <f>STDEVA(Z13:Z17)/AVERAGE(Z13:Z17)</f>
        <v>7.9752839107541862E-4</v>
      </c>
      <c r="W16" s="20">
        <v>72.39</v>
      </c>
      <c r="X16" s="20">
        <v>72.63</v>
      </c>
      <c r="Y16" s="19">
        <f t="shared" si="2"/>
        <v>4296.7907999999998</v>
      </c>
      <c r="Z16" s="19">
        <f t="shared" si="5"/>
        <v>4290.1666550451719</v>
      </c>
    </row>
    <row r="17" spans="1:26" x14ac:dyDescent="0.25">
      <c r="A17" t="s">
        <v>87</v>
      </c>
      <c r="B17" s="4">
        <f>AVERAGE(M3:M27,R3:R27,W3:W27)</f>
        <v>72.278400000000005</v>
      </c>
      <c r="K17" s="3"/>
      <c r="L17" s="4">
        <f>AVERAGE(M13:M17)</f>
        <v>72.311999999999998</v>
      </c>
      <c r="M17" s="20">
        <v>72.27</v>
      </c>
      <c r="N17" s="20">
        <v>66.540000000000006</v>
      </c>
      <c r="O17" s="19">
        <f t="shared" si="0"/>
        <v>3936.5064000000002</v>
      </c>
      <c r="P17" s="19">
        <f t="shared" si="3"/>
        <v>3936.9639432926529</v>
      </c>
      <c r="Q17" s="4">
        <f>AVERAGE(R13:R17)</f>
        <v>72.260000000000005</v>
      </c>
      <c r="R17" s="20">
        <v>72.23</v>
      </c>
      <c r="S17" s="20">
        <v>72.52</v>
      </c>
      <c r="T17" s="19">
        <f t="shared" si="1"/>
        <v>4290.2831999999999</v>
      </c>
      <c r="U17" s="19">
        <f t="shared" si="4"/>
        <v>4293.1580401893953</v>
      </c>
      <c r="V17" s="4">
        <f>AVERAGE(W13:W17)</f>
        <v>72.337999999999994</v>
      </c>
      <c r="W17" s="20">
        <v>72.39</v>
      </c>
      <c r="X17" s="20">
        <v>72.52</v>
      </c>
      <c r="Y17" s="19">
        <f t="shared" si="2"/>
        <v>4290.2831999999999</v>
      </c>
      <c r="Z17" s="19">
        <f t="shared" si="5"/>
        <v>4283.6690874828018</v>
      </c>
    </row>
    <row r="18" spans="1:26" x14ac:dyDescent="0.25">
      <c r="E18">
        <v>-26.9</v>
      </c>
      <c r="F18">
        <v>18</v>
      </c>
      <c r="G18" s="31">
        <f>(1+V18/Q18)/2</f>
        <v>0.99974739890253439</v>
      </c>
      <c r="K18" s="3">
        <f>O18/pulses</f>
        <v>0.48971333333333333</v>
      </c>
      <c r="L18" s="36">
        <f>AVERAGE(P18:P22)</f>
        <v>2203.0198108962713</v>
      </c>
      <c r="M18" s="20">
        <v>72.260000000000005</v>
      </c>
      <c r="N18" s="20">
        <v>37.25</v>
      </c>
      <c r="O18" s="19">
        <f t="shared" si="0"/>
        <v>2203.71</v>
      </c>
      <c r="P18" s="19">
        <f t="shared" si="3"/>
        <v>2204.2711439800719</v>
      </c>
      <c r="Q18" s="36">
        <f>AVERAGE(U18:U22)</f>
        <v>2310.2006407190711</v>
      </c>
      <c r="R18" s="20">
        <v>72.23</v>
      </c>
      <c r="S18" s="20">
        <v>39.04</v>
      </c>
      <c r="T18" s="19">
        <f t="shared" si="1"/>
        <v>2309.6063999999997</v>
      </c>
      <c r="U18" s="19">
        <f t="shared" si="4"/>
        <v>2311.1540249447594</v>
      </c>
      <c r="V18" s="36">
        <f>AVERAGE(Z18:Z22)</f>
        <v>2309.0335222846484</v>
      </c>
      <c r="W18" s="20">
        <v>72.28</v>
      </c>
      <c r="X18" s="20">
        <v>39.119999999999997</v>
      </c>
      <c r="Y18" s="19">
        <f t="shared" si="2"/>
        <v>2314.3391999999999</v>
      </c>
      <c r="Z18" s="19">
        <f t="shared" si="5"/>
        <v>2314.2879694698395</v>
      </c>
    </row>
    <row r="19" spans="1:26" x14ac:dyDescent="0.25">
      <c r="H19" s="5"/>
      <c r="I19" s="5"/>
      <c r="J19" s="5"/>
      <c r="K19" s="3"/>
      <c r="L19" s="55">
        <f>STDEVA(M18:M22)/(AVERAGE(M18:M22)*(COUNT(P18:P22)-1))</f>
        <v>1.9260289064723004E-4</v>
      </c>
      <c r="M19" s="20">
        <v>72.3</v>
      </c>
      <c r="N19" s="20">
        <v>37.229999999999997</v>
      </c>
      <c r="O19" s="19">
        <f t="shared" si="0"/>
        <v>2202.5267999999996</v>
      </c>
      <c r="P19" s="19">
        <f t="shared" si="3"/>
        <v>2201.8687836946056</v>
      </c>
      <c r="Q19" s="8">
        <f>STDEVA(R18:R22)/AVERAGE(R18:R22)</f>
        <v>1.3279420129620988E-3</v>
      </c>
      <c r="R19" s="20">
        <v>72.42</v>
      </c>
      <c r="S19" s="20">
        <v>39.1</v>
      </c>
      <c r="T19" s="19">
        <f t="shared" si="1"/>
        <v>2313.1559999999999</v>
      </c>
      <c r="U19" s="19">
        <f t="shared" si="4"/>
        <v>2308.6331763380281</v>
      </c>
      <c r="V19" s="8">
        <f>STDEVA(W18:W22)/AVERAGE(W18:W22)</f>
        <v>7.4199639769921674E-4</v>
      </c>
      <c r="W19" s="20">
        <v>72.34</v>
      </c>
      <c r="X19" s="20">
        <v>39.04</v>
      </c>
      <c r="Y19" s="19">
        <f t="shared" si="2"/>
        <v>2309.6063999999997</v>
      </c>
      <c r="Z19" s="19">
        <f t="shared" si="5"/>
        <v>2307.6396906519212</v>
      </c>
    </row>
    <row r="20" spans="1:26" x14ac:dyDescent="0.25">
      <c r="K20" s="3"/>
      <c r="L20" s="55">
        <f>STDEVA(O18:O22)/(AVERAGE(O18:O22)*(COUNT(P18:P22)-1))</f>
        <v>1.5457464190284797E-4</v>
      </c>
      <c r="M20" s="20">
        <v>72.19</v>
      </c>
      <c r="N20" s="20">
        <v>37.200000000000003</v>
      </c>
      <c r="O20" s="19">
        <f t="shared" si="0"/>
        <v>2200.752</v>
      </c>
      <c r="P20" s="19">
        <f t="shared" si="3"/>
        <v>2203.4469227981713</v>
      </c>
      <c r="Q20" s="8">
        <f>STDEVA(T18:T22)/AVERAGE(T18:T22)</f>
        <v>5.6081764962391046E-4</v>
      </c>
      <c r="R20" s="20">
        <v>72.37</v>
      </c>
      <c r="S20" s="20">
        <v>39.07</v>
      </c>
      <c r="T20" s="19">
        <f t="shared" si="1"/>
        <v>2311.3811999999998</v>
      </c>
      <c r="U20" s="19">
        <f t="shared" si="4"/>
        <v>2308.4556435826998</v>
      </c>
      <c r="V20" s="8">
        <f>STDEVA(Y18:Y22)/AVERAGE(Y18:Y22)</f>
        <v>1.1248403644248881E-3</v>
      </c>
      <c r="W20" s="20">
        <v>72.28</v>
      </c>
      <c r="X20" s="20">
        <v>39</v>
      </c>
      <c r="Y20" s="19">
        <f t="shared" si="2"/>
        <v>2307.2399999999998</v>
      </c>
      <c r="Z20" s="19">
        <f t="shared" si="5"/>
        <v>2307.188926618705</v>
      </c>
    </row>
    <row r="21" spans="1:26" x14ac:dyDescent="0.25">
      <c r="K21" s="3"/>
      <c r="L21" s="55">
        <f>STDEVA(P18:P22)/(AVERAGE(P18:P22)*(COUNT(P18:P22)-1))</f>
        <v>1.0511583733273102E-4</v>
      </c>
      <c r="M21" s="20">
        <v>72.260000000000005</v>
      </c>
      <c r="N21" s="20">
        <v>37.229999999999997</v>
      </c>
      <c r="O21" s="19">
        <f t="shared" si="0"/>
        <v>2202.5267999999996</v>
      </c>
      <c r="P21" s="19">
        <f t="shared" si="3"/>
        <v>2203.0876426947129</v>
      </c>
      <c r="Q21" s="8">
        <f>STDEVA(U18:U22)/AVERAGE(U18:U22)</f>
        <v>9.4886278745174332E-4</v>
      </c>
      <c r="R21" s="20">
        <v>72.19</v>
      </c>
      <c r="S21" s="20">
        <v>39.06</v>
      </c>
      <c r="T21" s="19">
        <f t="shared" si="1"/>
        <v>2310.7896000000001</v>
      </c>
      <c r="U21" s="19">
        <f t="shared" si="4"/>
        <v>2313.6192689380805</v>
      </c>
      <c r="V21" s="8">
        <f>STDEVA(Z18:Z22)/AVERAGE(Z18:Z22)</f>
        <v>1.4232037874444146E-3</v>
      </c>
      <c r="W21" s="20">
        <v>72.41</v>
      </c>
      <c r="X21" s="20">
        <v>39.049999999999997</v>
      </c>
      <c r="Y21" s="19">
        <f t="shared" si="2"/>
        <v>2310.1979999999999</v>
      </c>
      <c r="Z21" s="19">
        <f t="shared" si="5"/>
        <v>2305.9993802402987</v>
      </c>
    </row>
    <row r="22" spans="1:26" x14ac:dyDescent="0.25">
      <c r="K22" s="3"/>
      <c r="L22" s="4">
        <f>AVERAGE(M18:M22)</f>
        <v>72.27000000000001</v>
      </c>
      <c r="M22" s="20">
        <v>72.34</v>
      </c>
      <c r="N22" s="20">
        <v>37.26</v>
      </c>
      <c r="O22" s="19">
        <f t="shared" si="0"/>
        <v>2204.3015999999998</v>
      </c>
      <c r="P22" s="19">
        <f t="shared" si="3"/>
        <v>2202.4245613137955</v>
      </c>
      <c r="Q22" s="4">
        <f>AVERAGE(R18:R22)</f>
        <v>72.308000000000007</v>
      </c>
      <c r="R22" s="20">
        <v>72.33</v>
      </c>
      <c r="S22" s="20">
        <v>39.06</v>
      </c>
      <c r="T22" s="19">
        <f t="shared" si="1"/>
        <v>2310.7896000000001</v>
      </c>
      <c r="U22" s="19">
        <f t="shared" si="4"/>
        <v>2309.1410897917881</v>
      </c>
      <c r="V22" s="4">
        <f>AVERAGE(W18:W22)</f>
        <v>72.325999999999993</v>
      </c>
      <c r="W22" s="20">
        <v>72.319999999999993</v>
      </c>
      <c r="X22" s="20">
        <v>39.07</v>
      </c>
      <c r="Y22" s="19">
        <f t="shared" si="2"/>
        <v>2311.3811999999998</v>
      </c>
      <c r="Z22" s="19">
        <f t="shared" si="5"/>
        <v>2310.0516444424779</v>
      </c>
    </row>
    <row r="23" spans="1:26" x14ac:dyDescent="0.25">
      <c r="E23">
        <v>-36.6</v>
      </c>
      <c r="F23">
        <v>22</v>
      </c>
      <c r="G23" s="31">
        <f>(1+V23/Q23)/2</f>
        <v>0.99954624712563733</v>
      </c>
      <c r="K23" s="3">
        <f>O23/pulses</f>
        <v>0.2330904</v>
      </c>
      <c r="L23" s="36">
        <f>AVERAGE(P23:P27)</f>
        <v>1050.3447323217501</v>
      </c>
      <c r="M23" s="20">
        <v>72.23</v>
      </c>
      <c r="N23" s="20">
        <v>17.73</v>
      </c>
      <c r="O23" s="19">
        <f t="shared" si="0"/>
        <v>1048.9068</v>
      </c>
      <c r="P23" s="19">
        <f t="shared" si="3"/>
        <v>1049.6096532343902</v>
      </c>
      <c r="Q23" s="36">
        <f>AVERAGE(U23:U27)</f>
        <v>1075.5038175726247</v>
      </c>
      <c r="R23" s="20">
        <v>72.33</v>
      </c>
      <c r="S23" s="20">
        <v>18.23</v>
      </c>
      <c r="T23" s="19">
        <f t="shared" si="1"/>
        <v>1078.4867999999999</v>
      </c>
      <c r="U23" s="19">
        <f t="shared" si="4"/>
        <v>1077.7174108270428</v>
      </c>
      <c r="V23" s="36">
        <f>AVERAGE(Z23:Z27)</f>
        <v>1074.5277916754017</v>
      </c>
      <c r="W23" s="20">
        <v>72.34</v>
      </c>
      <c r="X23" s="20">
        <v>18.18</v>
      </c>
      <c r="Y23" s="19">
        <f t="shared" si="2"/>
        <v>1075.5287999999998</v>
      </c>
      <c r="Z23" s="19">
        <f t="shared" si="5"/>
        <v>1074.6129502062481</v>
      </c>
    </row>
    <row r="24" spans="1:26" x14ac:dyDescent="0.25">
      <c r="F24" s="34" t="s">
        <v>80</v>
      </c>
      <c r="H24" s="5"/>
      <c r="I24" s="5"/>
      <c r="J24" s="5"/>
      <c r="K24" s="3"/>
      <c r="L24" s="55">
        <f>STDEVA(M23:M27)/(AVERAGE(M23:M27)*(COUNT(P23:P27)-1))</f>
        <v>2.1391682723731077E-4</v>
      </c>
      <c r="M24" s="20">
        <v>72.319999999999993</v>
      </c>
      <c r="N24" s="20">
        <v>17.78</v>
      </c>
      <c r="O24" s="19">
        <f t="shared" si="0"/>
        <v>1051.8648000000001</v>
      </c>
      <c r="P24" s="19">
        <f t="shared" si="3"/>
        <v>1051.2597450265489</v>
      </c>
      <c r="Q24" s="8">
        <f>STDEVA(R23:R27)/AVERAGE(R23:R27)</f>
        <v>8.8351883493811378E-4</v>
      </c>
      <c r="R24" s="20">
        <v>72.27</v>
      </c>
      <c r="S24" s="20">
        <v>18.149999999999999</v>
      </c>
      <c r="T24" s="19">
        <f t="shared" si="1"/>
        <v>1073.7539999999999</v>
      </c>
      <c r="U24" s="19">
        <f t="shared" si="4"/>
        <v>1073.8788032876712</v>
      </c>
      <c r="V24" s="8">
        <f>STDEVA(W23:W27)/AVERAGE(W23:W27)</f>
        <v>7.1470915835924076E-4</v>
      </c>
      <c r="W24" s="20">
        <v>72.33</v>
      </c>
      <c r="X24" s="20">
        <v>18.16</v>
      </c>
      <c r="Y24" s="19">
        <f t="shared" si="2"/>
        <v>1074.3455999999999</v>
      </c>
      <c r="Z24" s="19">
        <f t="shared" si="5"/>
        <v>1073.5791651464124</v>
      </c>
    </row>
    <row r="25" spans="1:26" x14ac:dyDescent="0.25">
      <c r="K25" s="3"/>
      <c r="L25" s="55">
        <f>STDEVA(O23:O27)/(AVERAGE(O23:O27)*(COUNT(P23:P27)-1))</f>
        <v>2.9179952371563675E-4</v>
      </c>
      <c r="M25" s="20">
        <v>72.39</v>
      </c>
      <c r="N25" s="20">
        <v>17.78</v>
      </c>
      <c r="O25" s="19">
        <f t="shared" si="0"/>
        <v>1051.8648000000001</v>
      </c>
      <c r="P25" s="19">
        <f t="shared" si="3"/>
        <v>1050.243193263158</v>
      </c>
      <c r="Q25" s="8">
        <f>STDEVA(T23:T27)/AVERAGE(T23:T27)</f>
        <v>1.5843445106564016E-3</v>
      </c>
      <c r="R25" s="20">
        <v>72.38</v>
      </c>
      <c r="S25" s="20">
        <v>18.18</v>
      </c>
      <c r="T25" s="19">
        <f t="shared" si="1"/>
        <v>1075.5287999999998</v>
      </c>
      <c r="U25" s="19">
        <f t="shared" si="4"/>
        <v>1074.0190773407019</v>
      </c>
      <c r="V25" s="8">
        <f>STDEVA(Y23:Y27)/AVERAGE(Y23:Y27)</f>
        <v>4.6051300447714702E-4</v>
      </c>
      <c r="W25" s="20">
        <v>72.27</v>
      </c>
      <c r="X25" s="20">
        <v>18.170000000000002</v>
      </c>
      <c r="Y25" s="19">
        <f t="shared" si="2"/>
        <v>1074.9372000000001</v>
      </c>
      <c r="Z25" s="19">
        <f t="shared" si="5"/>
        <v>1075.0621408119553</v>
      </c>
    </row>
    <row r="26" spans="1:26" x14ac:dyDescent="0.25">
      <c r="K26" s="3"/>
      <c r="L26" s="55">
        <f>STDEVA(P23:P27)/(AVERAGE(P23:P27)*(COUNT(P23:P27)-1))</f>
        <v>1.530747108792519E-4</v>
      </c>
      <c r="M26" s="20">
        <v>72.37</v>
      </c>
      <c r="N26" s="20">
        <v>17.77</v>
      </c>
      <c r="O26" s="19">
        <f t="shared" si="0"/>
        <v>1051.2731999999999</v>
      </c>
      <c r="P26" s="19">
        <f t="shared" si="3"/>
        <v>1049.9425847572197</v>
      </c>
      <c r="Q26" s="8">
        <f>STDEVA(U23:U27)/AVERAGE(U23:U27)</f>
        <v>1.5317924814197462E-3</v>
      </c>
      <c r="R26" s="20">
        <v>72.209999999999994</v>
      </c>
      <c r="S26" s="20">
        <v>18.18</v>
      </c>
      <c r="T26" s="19">
        <f t="shared" si="1"/>
        <v>1075.5287999999998</v>
      </c>
      <c r="U26" s="19">
        <f t="shared" si="4"/>
        <v>1076.5475809156626</v>
      </c>
      <c r="V26" s="8">
        <f>STDEVA(Z23:Z27)/AVERAGE(Z23:Z27)</f>
        <v>6.2287263346202546E-4</v>
      </c>
      <c r="W26" s="20">
        <v>72.22</v>
      </c>
      <c r="X26" s="20">
        <v>18.16</v>
      </c>
      <c r="Y26" s="19">
        <f t="shared" si="2"/>
        <v>1074.3455999999999</v>
      </c>
      <c r="Z26" s="19">
        <f t="shared" si="5"/>
        <v>1075.2143591116035</v>
      </c>
    </row>
    <row r="27" spans="1:26" x14ac:dyDescent="0.25">
      <c r="K27" s="3"/>
      <c r="L27" s="4">
        <f>AVERAGE(M23:M27)</f>
        <v>72.325999999999993</v>
      </c>
      <c r="M27" s="20">
        <v>72.319999999999993</v>
      </c>
      <c r="N27" s="20">
        <v>17.77</v>
      </c>
      <c r="O27" s="19">
        <f t="shared" si="0"/>
        <v>1051.2731999999999</v>
      </c>
      <c r="P27" s="19">
        <f t="shared" si="3"/>
        <v>1050.6684853274337</v>
      </c>
      <c r="Q27" s="4">
        <f>AVERAGE(R23:R27)</f>
        <v>72.296000000000006</v>
      </c>
      <c r="R27" s="20">
        <v>72.290000000000006</v>
      </c>
      <c r="S27" s="20">
        <v>18.18</v>
      </c>
      <c r="T27" s="19">
        <f t="shared" si="1"/>
        <v>1075.5287999999998</v>
      </c>
      <c r="U27" s="19">
        <f t="shared" si="4"/>
        <v>1075.3562154920457</v>
      </c>
      <c r="V27" s="4">
        <f>AVERAGE(W23:W27)</f>
        <v>72.297999999999988</v>
      </c>
      <c r="W27" s="20">
        <v>72.33</v>
      </c>
      <c r="X27" s="20">
        <v>18.170000000000002</v>
      </c>
      <c r="Y27" s="19">
        <f t="shared" si="2"/>
        <v>1074.9372000000001</v>
      </c>
      <c r="Z27" s="19">
        <f t="shared" si="5"/>
        <v>1074.1703431007882</v>
      </c>
    </row>
    <row r="29" spans="1:26" x14ac:dyDescent="0.25">
      <c r="G29" s="35">
        <f>AVERAGE(G3:G23)</f>
        <v>0.9996169305967243</v>
      </c>
    </row>
    <row r="46" spans="1:1" x14ac:dyDescent="0.25">
      <c r="A46" t="s">
        <v>45</v>
      </c>
    </row>
    <row r="47" spans="1:1" x14ac:dyDescent="0.25">
      <c r="A47" t="s">
        <v>81</v>
      </c>
    </row>
    <row r="48" spans="1:1" x14ac:dyDescent="0.25">
      <c r="A48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G3" sqref="G3"/>
    </sheetView>
  </sheetViews>
  <sheetFormatPr defaultRowHeight="15" x14ac:dyDescent="0.25"/>
  <cols>
    <col min="1" max="1" width="14.7109375" customWidth="1"/>
    <col min="2" max="2" width="9.42578125" bestFit="1" customWidth="1"/>
    <col min="5" max="5" width="13.28515625" customWidth="1"/>
    <col min="13" max="13" width="12.5703125" customWidth="1"/>
    <col min="14" max="15" width="10.7109375" customWidth="1"/>
    <col min="17" max="17" width="12.5703125" customWidth="1"/>
    <col min="18" max="19" width="11.28515625" customWidth="1"/>
    <col min="21" max="21" width="12" customWidth="1"/>
    <col min="22" max="22" width="10" customWidth="1"/>
    <col min="23" max="23" width="11" customWidth="1"/>
  </cols>
  <sheetData>
    <row r="1" spans="1:23" ht="18" x14ac:dyDescent="0.35">
      <c r="A1" t="s">
        <v>1</v>
      </c>
      <c r="B1" s="1">
        <v>41842</v>
      </c>
      <c r="G1" s="33">
        <f>I1/LN(1+I1)</f>
        <v>1.0224511781122074</v>
      </c>
      <c r="H1" s="27">
        <f>Vw_Vl*LN(1+I1)/LN(1+$B$16*I1)-O3/K3</f>
        <v>-5.2090030644436069E-7</v>
      </c>
      <c r="I1" s="27">
        <v>4.5235904390492535E-2</v>
      </c>
      <c r="K1" s="10" t="s">
        <v>35</v>
      </c>
      <c r="M1" s="21">
        <v>-100</v>
      </c>
      <c r="Q1" s="21">
        <v>-400</v>
      </c>
      <c r="U1" s="21"/>
    </row>
    <row r="2" spans="1:23" ht="18.75" x14ac:dyDescent="0.35">
      <c r="A2" t="s">
        <v>10</v>
      </c>
      <c r="B2" s="1" t="s">
        <v>83</v>
      </c>
      <c r="E2" t="s">
        <v>62</v>
      </c>
      <c r="F2" t="s">
        <v>63</v>
      </c>
      <c r="G2" s="2" t="s">
        <v>66</v>
      </c>
      <c r="H2" s="2" t="s">
        <v>72</v>
      </c>
      <c r="I2" s="2" t="s">
        <v>65</v>
      </c>
      <c r="J2" s="2" t="s">
        <v>76</v>
      </c>
      <c r="K2" s="10" t="s">
        <v>74</v>
      </c>
      <c r="L2" s="2" t="s">
        <v>41</v>
      </c>
      <c r="M2" s="2" t="s">
        <v>89</v>
      </c>
      <c r="N2" s="2" t="s">
        <v>88</v>
      </c>
      <c r="O2" s="10" t="s">
        <v>74</v>
      </c>
      <c r="P2" s="2" t="s">
        <v>41</v>
      </c>
      <c r="Q2" s="2" t="s">
        <v>89</v>
      </c>
      <c r="R2" s="2" t="s">
        <v>88</v>
      </c>
      <c r="S2" s="10"/>
      <c r="T2" s="2"/>
      <c r="U2" s="2"/>
      <c r="V2" s="2"/>
      <c r="W2" s="10"/>
    </row>
    <row r="3" spans="1:23" x14ac:dyDescent="0.25">
      <c r="A3" t="s">
        <v>25</v>
      </c>
      <c r="B3" s="1" t="s">
        <v>26</v>
      </c>
      <c r="E3" s="2" t="s">
        <v>86</v>
      </c>
      <c r="F3">
        <v>0</v>
      </c>
      <c r="G3" s="5">
        <f>1/(1-(O3/K3-1)/($B$16-1))</f>
        <v>1.0218247992695699</v>
      </c>
      <c r="J3" s="3">
        <f>1000*Q3/$B$20</f>
        <v>3.75</v>
      </c>
      <c r="K3" s="26">
        <f>AVERAGE(N3:N7)</f>
        <v>22.380960819120538</v>
      </c>
      <c r="L3" s="20">
        <v>54.7</v>
      </c>
      <c r="M3" s="37">
        <v>17.63</v>
      </c>
      <c r="N3" s="5">
        <f>M3*$B$17/L3</f>
        <v>22.394392708581726</v>
      </c>
      <c r="O3" s="26">
        <f>AVERAGE(R3:R7)</f>
        <v>23.815042212584206</v>
      </c>
      <c r="P3" s="20">
        <v>54.67</v>
      </c>
      <c r="Q3" s="37">
        <v>18.75</v>
      </c>
      <c r="R3" s="5">
        <f>Q3*$B$17/P3</f>
        <v>23.83013495995738</v>
      </c>
      <c r="S3" s="26"/>
      <c r="T3" s="20"/>
      <c r="U3" s="20"/>
      <c r="V3" s="19"/>
      <c r="W3" s="5"/>
    </row>
    <row r="4" spans="1:23" x14ac:dyDescent="0.25">
      <c r="A4" t="s">
        <v>0</v>
      </c>
      <c r="B4" t="s">
        <v>84</v>
      </c>
      <c r="J4" s="3"/>
      <c r="K4" s="8">
        <f>STDEVA(L3:L7)/AVERAGE(L3:L7)</f>
        <v>6.5140490170379481E-4</v>
      </c>
      <c r="L4" s="20">
        <v>54.66</v>
      </c>
      <c r="M4" s="37">
        <v>17.61</v>
      </c>
      <c r="N4" s="5">
        <f t="shared" ref="N4:N26" si="0">M4*$B$17/L4</f>
        <v>22.385357387168117</v>
      </c>
      <c r="O4" s="8">
        <f>STDEVA(P3:P7)/AVERAGE(P3:P7)</f>
        <v>9.7888431778823015E-4</v>
      </c>
      <c r="P4" s="20">
        <v>54.78</v>
      </c>
      <c r="Q4" s="37">
        <v>18.78</v>
      </c>
      <c r="R4" s="5">
        <f t="shared" ref="R4:R27" si="1">Q4*$B$17/P4</f>
        <v>23.820334936584292</v>
      </c>
      <c r="S4" s="8"/>
      <c r="T4" s="20"/>
      <c r="U4" s="20"/>
      <c r="V4" s="19"/>
      <c r="W4" s="5"/>
    </row>
    <row r="5" spans="1:23" x14ac:dyDescent="0.25">
      <c r="A5" t="s">
        <v>9</v>
      </c>
      <c r="B5" t="s">
        <v>34</v>
      </c>
      <c r="J5" s="3"/>
      <c r="K5" s="8">
        <f>STDEVA(M3:M7)/AVERAGE(M3:M7)</f>
        <v>4.7478153815346522E-4</v>
      </c>
      <c r="L5" s="20">
        <v>54.76</v>
      </c>
      <c r="M5" s="37">
        <v>17.63</v>
      </c>
      <c r="N5" s="5">
        <f t="shared" si="0"/>
        <v>22.369855390055161</v>
      </c>
      <c r="O5" s="8">
        <f>STDEVA(Q3:Q7)/AVERAGE(Q3:Q7)</f>
        <v>7.9072379647042999E-4</v>
      </c>
      <c r="P5" s="20">
        <v>54.67</v>
      </c>
      <c r="Q5" s="37">
        <v>18.739999999999998</v>
      </c>
      <c r="R5" s="5">
        <f t="shared" si="1"/>
        <v>23.817425554645403</v>
      </c>
      <c r="S5" s="8"/>
      <c r="T5" s="20"/>
      <c r="U5" s="20"/>
      <c r="V5" s="19"/>
      <c r="W5" s="5"/>
    </row>
    <row r="6" spans="1:23" x14ac:dyDescent="0.25">
      <c r="A6" t="s">
        <v>2</v>
      </c>
      <c r="B6" t="s">
        <v>29</v>
      </c>
      <c r="J6" s="3"/>
      <c r="K6" s="8">
        <f>STDEVA(N3:N7)/AVERAGE(N3:N7)</f>
        <v>4.1536091232850444E-4</v>
      </c>
      <c r="L6" s="20">
        <v>54.71</v>
      </c>
      <c r="M6" s="37">
        <v>17.62</v>
      </c>
      <c r="N6" s="5">
        <f t="shared" si="0"/>
        <v>22.37759930489883</v>
      </c>
      <c r="O6" s="8">
        <f>STDEVA(R3:R7)/AVERAGE(R3:R7)</f>
        <v>4.7908195300481955E-4</v>
      </c>
      <c r="P6" s="20">
        <v>54.76</v>
      </c>
      <c r="Q6" s="37">
        <v>18.760000000000002</v>
      </c>
      <c r="R6" s="5">
        <f t="shared" si="1"/>
        <v>23.803657805866983</v>
      </c>
      <c r="S6" s="8"/>
      <c r="T6" s="20"/>
      <c r="U6" s="20"/>
      <c r="V6" s="19"/>
      <c r="W6" s="5"/>
    </row>
    <row r="7" spans="1:23" x14ac:dyDescent="0.25">
      <c r="A7" t="s">
        <v>5</v>
      </c>
      <c r="B7" t="s">
        <v>54</v>
      </c>
      <c r="J7" s="3"/>
      <c r="K7" s="4">
        <f>AVERAGE(L3:L7)</f>
        <v>54.708000000000006</v>
      </c>
      <c r="L7" s="20">
        <v>54.71</v>
      </c>
      <c r="M7" s="37">
        <v>17.62</v>
      </c>
      <c r="N7" s="5">
        <f t="shared" si="0"/>
        <v>22.37759930489883</v>
      </c>
      <c r="O7" s="4">
        <f>AVERAGE(P3:P7)</f>
        <v>54.727999999999994</v>
      </c>
      <c r="P7" s="20">
        <v>54.76</v>
      </c>
      <c r="Q7" s="37">
        <v>18.760000000000002</v>
      </c>
      <c r="R7" s="5">
        <f t="shared" si="1"/>
        <v>23.803657805866983</v>
      </c>
      <c r="S7" s="4"/>
      <c r="T7" s="20"/>
      <c r="U7" s="20"/>
      <c r="V7" s="19"/>
      <c r="W7" s="5"/>
    </row>
    <row r="8" spans="1:23" x14ac:dyDescent="0.25">
      <c r="A8" t="s">
        <v>7</v>
      </c>
      <c r="B8" t="s">
        <v>54</v>
      </c>
      <c r="E8">
        <v>14.6</v>
      </c>
      <c r="F8">
        <v>0</v>
      </c>
      <c r="G8" s="5"/>
      <c r="H8" t="s">
        <v>92</v>
      </c>
      <c r="J8" s="3">
        <f>1000*Q8/$B$20</f>
        <v>2.0219999999999998</v>
      </c>
      <c r="K8" s="26">
        <f>AVERAGE(N8:N12)</f>
        <v>9.7320311912419051</v>
      </c>
      <c r="L8" s="20">
        <v>69.77</v>
      </c>
      <c r="M8" s="37">
        <v>9.7639999999999993</v>
      </c>
      <c r="N8" s="5">
        <f t="shared" si="0"/>
        <v>9.7237403061404688</v>
      </c>
      <c r="O8" s="26">
        <f>AVERAGE(R8:R12)</f>
        <v>10.108446997574813</v>
      </c>
      <c r="P8" s="20">
        <v>69.599999999999994</v>
      </c>
      <c r="Q8" s="37">
        <v>10.11</v>
      </c>
      <c r="R8" s="5">
        <f t="shared" si="1"/>
        <v>10.092905797101453</v>
      </c>
      <c r="S8" s="26"/>
      <c r="T8" s="20"/>
      <c r="U8" s="20"/>
      <c r="V8" s="19"/>
      <c r="W8" s="5"/>
    </row>
    <row r="9" spans="1:23" x14ac:dyDescent="0.25">
      <c r="A9" t="s">
        <v>17</v>
      </c>
      <c r="B9" t="s">
        <v>15</v>
      </c>
      <c r="G9" s="5"/>
      <c r="H9" s="5"/>
      <c r="I9" s="5"/>
      <c r="J9" s="3"/>
      <c r="K9" s="8">
        <f>STDEVA(L8:L12)/AVERAGE(L8:L12)</f>
        <v>8.075320994956832E-4</v>
      </c>
      <c r="L9" s="20">
        <v>69.66</v>
      </c>
      <c r="M9" s="37">
        <v>9.7530000000000001</v>
      </c>
      <c r="N9" s="5">
        <f t="shared" si="0"/>
        <v>9.7281231072663523</v>
      </c>
      <c r="O9" s="8">
        <f>STDEVA(P8:P12)/AVERAGE(P8:P12)</f>
        <v>6.049256331730836E-4</v>
      </c>
      <c r="P9" s="20">
        <v>69.56</v>
      </c>
      <c r="Q9" s="37">
        <v>10.119999999999999</v>
      </c>
      <c r="R9" s="5">
        <f t="shared" si="1"/>
        <v>10.108698485719765</v>
      </c>
      <c r="S9" s="8"/>
      <c r="T9" s="20"/>
      <c r="U9" s="20"/>
      <c r="V9" s="19"/>
      <c r="W9" s="5"/>
    </row>
    <row r="10" spans="1:23" x14ac:dyDescent="0.25">
      <c r="A10" t="s">
        <v>9</v>
      </c>
      <c r="B10" t="s">
        <v>30</v>
      </c>
      <c r="J10" s="3"/>
      <c r="K10" s="8">
        <f>STDEVA(M8:M12)/AVERAGE(M8:M12)</f>
        <v>8.2748029207981738E-4</v>
      </c>
      <c r="L10" s="20">
        <v>69.790000000000006</v>
      </c>
      <c r="M10" s="37">
        <v>9.7739999999999991</v>
      </c>
      <c r="N10" s="5">
        <f t="shared" si="0"/>
        <v>9.7309096481992583</v>
      </c>
      <c r="O10" s="8">
        <f>STDEVA(Q8:Q12)/AVERAGE(Q8:Q12)</f>
        <v>8.269025761357201E-4</v>
      </c>
      <c r="P10" s="20">
        <v>69.5</v>
      </c>
      <c r="Q10" s="37">
        <v>10.11</v>
      </c>
      <c r="R10" s="5">
        <f t="shared" si="1"/>
        <v>10.107427963715987</v>
      </c>
      <c r="S10" s="8"/>
      <c r="T10" s="20"/>
      <c r="U10" s="20"/>
      <c r="V10" s="19"/>
      <c r="W10" s="5"/>
    </row>
    <row r="11" spans="1:23" x14ac:dyDescent="0.25">
      <c r="A11" t="s">
        <v>31</v>
      </c>
      <c r="B11" s="23" t="s">
        <v>29</v>
      </c>
      <c r="C11" t="s">
        <v>61</v>
      </c>
      <c r="J11" s="3"/>
      <c r="K11" s="8">
        <f>STDEVA(N8:N12)/AVERAGE(N8:N12)</f>
        <v>7.5524498136917242E-4</v>
      </c>
      <c r="L11" s="20">
        <v>69.709999999999994</v>
      </c>
      <c r="M11" s="37">
        <v>9.766</v>
      </c>
      <c r="N11" s="5">
        <f t="shared" si="0"/>
        <v>9.734103081295391</v>
      </c>
      <c r="O11" s="8">
        <f>STDEVA(R8:R12)/AVERAGE(R8:R12)</f>
        <v>9.596645523795574E-4</v>
      </c>
      <c r="P11" s="20">
        <v>69.569999999999993</v>
      </c>
      <c r="Q11" s="37">
        <v>10.130000000000001</v>
      </c>
      <c r="R11" s="5">
        <f t="shared" si="1"/>
        <v>10.117232856907759</v>
      </c>
      <c r="S11" s="8"/>
      <c r="T11" s="20"/>
      <c r="U11" s="20"/>
      <c r="V11" s="19"/>
      <c r="W11" s="5"/>
    </row>
    <row r="12" spans="1:23" x14ac:dyDescent="0.25">
      <c r="A12" t="s">
        <v>32</v>
      </c>
      <c r="B12" t="s">
        <v>33</v>
      </c>
      <c r="J12" s="3"/>
      <c r="K12" s="4">
        <f>AVERAGE(L8:L12)</f>
        <v>69.722000000000008</v>
      </c>
      <c r="L12" s="20">
        <v>69.680000000000007</v>
      </c>
      <c r="M12" s="37">
        <v>9.7710000000000008</v>
      </c>
      <c r="N12" s="5">
        <f t="shared" si="0"/>
        <v>9.743279813308046</v>
      </c>
      <c r="O12" s="4">
        <f>AVERAGE(P8:P12)</f>
        <v>69.548000000000002</v>
      </c>
      <c r="P12" s="20">
        <v>69.510000000000005</v>
      </c>
      <c r="Q12" s="37">
        <v>10.119999999999999</v>
      </c>
      <c r="R12" s="5">
        <f t="shared" si="1"/>
        <v>10.115969884429102</v>
      </c>
      <c r="S12" s="4"/>
      <c r="T12" s="20"/>
      <c r="U12" s="20"/>
      <c r="V12" s="19"/>
      <c r="W12" s="5"/>
    </row>
    <row r="13" spans="1:23" x14ac:dyDescent="0.25">
      <c r="A13" t="s">
        <v>40</v>
      </c>
      <c r="B13">
        <v>100</v>
      </c>
      <c r="C13" t="s">
        <v>59</v>
      </c>
      <c r="E13">
        <v>-7.6</v>
      </c>
      <c r="F13">
        <v>0</v>
      </c>
      <c r="G13" s="5">
        <f>1/(1-(O13/K13-1)/($B$16-1))</f>
        <v>1.0073043710930742</v>
      </c>
      <c r="J13" s="3">
        <f>1000*Q13/$B$20</f>
        <v>1.2984</v>
      </c>
      <c r="K13" s="26">
        <f>AVERAGE(N13:N17)</f>
        <v>6.3578368813421253</v>
      </c>
      <c r="L13" s="20">
        <v>69.47</v>
      </c>
      <c r="M13" s="37">
        <v>6.3570000000000002</v>
      </c>
      <c r="N13" s="5">
        <f t="shared" si="0"/>
        <v>6.3581272616894404</v>
      </c>
      <c r="O13" s="26">
        <f>AVERAGE(R13:R17)</f>
        <v>6.4961466155096499</v>
      </c>
      <c r="P13" s="20">
        <v>69.48</v>
      </c>
      <c r="Q13" s="37">
        <v>6.492</v>
      </c>
      <c r="R13" s="5">
        <f t="shared" si="1"/>
        <v>6.4922166654151354</v>
      </c>
      <c r="S13" s="26"/>
      <c r="T13" s="20"/>
      <c r="U13" s="20"/>
      <c r="V13" s="19"/>
      <c r="W13" s="5"/>
    </row>
    <row r="14" spans="1:23" x14ac:dyDescent="0.25">
      <c r="A14" t="s">
        <v>55</v>
      </c>
      <c r="B14">
        <v>180</v>
      </c>
      <c r="C14" t="s">
        <v>60</v>
      </c>
      <c r="G14" s="5"/>
      <c r="H14" s="5"/>
      <c r="I14" s="5"/>
      <c r="J14" s="3"/>
      <c r="K14" s="8">
        <f>STDEVA(L13:L17)/AVERAGE(L13:L17)</f>
        <v>6.1860529750053228E-4</v>
      </c>
      <c r="L14" s="20">
        <v>69.55</v>
      </c>
      <c r="M14" s="37">
        <v>6.3639999999999999</v>
      </c>
      <c r="N14" s="5">
        <f t="shared" si="0"/>
        <v>6.3578070036153775</v>
      </c>
      <c r="O14" s="8">
        <f>STDEVA(P13:P17)/AVERAGE(P13:P17)</f>
        <v>1.07480677191424E-3</v>
      </c>
      <c r="P14" s="20">
        <v>69.34</v>
      </c>
      <c r="Q14" s="37">
        <v>6.4870000000000001</v>
      </c>
      <c r="R14" s="5">
        <f t="shared" si="1"/>
        <v>6.5003144262884449</v>
      </c>
      <c r="S14" s="8"/>
      <c r="T14" s="20"/>
      <c r="U14" s="20"/>
      <c r="V14" s="19"/>
      <c r="W14" s="5"/>
    </row>
    <row r="15" spans="1:23" x14ac:dyDescent="0.25">
      <c r="J15" s="3"/>
      <c r="K15" s="8">
        <f>STDEVA(M13:M17)/AVERAGE(M13:M17)</f>
        <v>6.9763104024307167E-4</v>
      </c>
      <c r="L15" s="20">
        <v>69.569999999999993</v>
      </c>
      <c r="M15" s="37">
        <v>6.3650000000000002</v>
      </c>
      <c r="N15" s="5">
        <f t="shared" si="0"/>
        <v>6.3569779994292093</v>
      </c>
      <c r="O15" s="8">
        <f>STDEVA(Q13:Q17)/AVERAGE(Q13:Q17)</f>
        <v>5.5538374545039456E-4</v>
      </c>
      <c r="P15" s="20">
        <v>69.39</v>
      </c>
      <c r="Q15" s="37">
        <v>6.4909999999999997</v>
      </c>
      <c r="R15" s="5">
        <f t="shared" si="1"/>
        <v>6.4996358494625026</v>
      </c>
      <c r="S15" s="8"/>
      <c r="T15" s="20"/>
      <c r="U15" s="20"/>
      <c r="V15" s="19"/>
      <c r="W15" s="5"/>
    </row>
    <row r="16" spans="1:23" x14ac:dyDescent="0.25">
      <c r="A16" t="s">
        <v>73</v>
      </c>
      <c r="B16" s="24">
        <f>Q1/M1</f>
        <v>4</v>
      </c>
      <c r="J16" s="3"/>
      <c r="K16" s="8">
        <f>STDEVA(N13:N17)/AVERAGE(N13:N17)</f>
        <v>2.1031699229920821E-4</v>
      </c>
      <c r="L16" s="20">
        <v>69.5</v>
      </c>
      <c r="M16" s="37">
        <v>6.3579999999999997</v>
      </c>
      <c r="N16" s="5">
        <f t="shared" si="0"/>
        <v>6.3563824919195104</v>
      </c>
      <c r="O16" s="8">
        <f>STDEVA(R13:R17)/AVERAGE(R13:R17)</f>
        <v>5.8607574341043437E-4</v>
      </c>
      <c r="P16" s="20">
        <v>69.45</v>
      </c>
      <c r="Q16" s="37">
        <v>6.4930000000000003</v>
      </c>
      <c r="R16" s="5">
        <f t="shared" si="1"/>
        <v>6.496021544015611</v>
      </c>
      <c r="S16" s="8"/>
      <c r="T16" s="20"/>
      <c r="U16" s="20"/>
      <c r="V16" s="19"/>
      <c r="W16" s="5"/>
    </row>
    <row r="17" spans="1:23" x14ac:dyDescent="0.25">
      <c r="A17" t="s">
        <v>87</v>
      </c>
      <c r="B17" s="4">
        <f>AVERAGE(L8:L100,P8:P100)</f>
        <v>69.482318840579737</v>
      </c>
      <c r="J17" s="3"/>
      <c r="K17" s="4">
        <f>AVERAGE(L13:L17)</f>
        <v>69.53</v>
      </c>
      <c r="L17" s="20">
        <v>69.56</v>
      </c>
      <c r="M17" s="37">
        <v>6.367</v>
      </c>
      <c r="N17" s="5">
        <f t="shared" si="0"/>
        <v>6.3598896500570898</v>
      </c>
      <c r="O17" s="4">
        <f>AVERAGE(P13:P17)</f>
        <v>69.437999999999988</v>
      </c>
      <c r="P17" s="20">
        <v>69.53</v>
      </c>
      <c r="Q17" s="37">
        <v>6.4969999999999999</v>
      </c>
      <c r="R17" s="5">
        <f t="shared" si="1"/>
        <v>6.4925445923665546</v>
      </c>
      <c r="S17" s="4"/>
      <c r="T17" s="20"/>
      <c r="U17" s="20"/>
      <c r="V17" s="19"/>
      <c r="W17" s="5"/>
    </row>
    <row r="18" spans="1:23" x14ac:dyDescent="0.25">
      <c r="E18">
        <v>14.6</v>
      </c>
      <c r="F18">
        <v>0</v>
      </c>
      <c r="G18" s="5">
        <f>1/(1-(O18/K18-1)/($B$16-1))</f>
        <v>1.011696442011262</v>
      </c>
      <c r="J18" s="3">
        <f>1000*Q18/$B$20</f>
        <v>2.032</v>
      </c>
      <c r="K18" s="26">
        <f>AVERAGE(N18:N22)</f>
        <v>9.8273013958684778</v>
      </c>
      <c r="L18" s="20">
        <v>69.52</v>
      </c>
      <c r="M18" s="37">
        <v>9.82</v>
      </c>
      <c r="N18" s="5">
        <f t="shared" si="0"/>
        <v>9.8146773736261945</v>
      </c>
      <c r="O18" s="26">
        <f>AVERAGE(R18:R22)</f>
        <v>10.168148085045694</v>
      </c>
      <c r="P18" s="20">
        <v>69.47</v>
      </c>
      <c r="Q18" s="37">
        <v>10.16</v>
      </c>
      <c r="R18" s="5">
        <f t="shared" si="1"/>
        <v>10.161801632651363</v>
      </c>
      <c r="S18" s="26"/>
      <c r="T18" s="20"/>
      <c r="U18" s="20"/>
      <c r="V18" s="19"/>
      <c r="W18" s="5"/>
    </row>
    <row r="19" spans="1:23" x14ac:dyDescent="0.25">
      <c r="A19" t="s">
        <v>90</v>
      </c>
      <c r="B19" s="21">
        <v>12.5</v>
      </c>
      <c r="C19" t="s">
        <v>48</v>
      </c>
      <c r="G19" s="5"/>
      <c r="H19" s="5"/>
      <c r="I19" s="5"/>
      <c r="J19" s="3"/>
      <c r="K19" s="8">
        <f>STDEVA(L18:L22)/AVERAGE(L18:L22)</f>
        <v>2.2412477464743607E-3</v>
      </c>
      <c r="L19" s="20">
        <v>69.38</v>
      </c>
      <c r="M19" s="37">
        <v>9.81</v>
      </c>
      <c r="N19" s="5">
        <f t="shared" si="0"/>
        <v>9.8244673944376952</v>
      </c>
      <c r="O19" s="8">
        <f>STDEVA(P18:P22)/AVERAGE(P18:P22)</f>
        <v>1.0412465650222959E-3</v>
      </c>
      <c r="P19" s="20">
        <v>69.510000000000005</v>
      </c>
      <c r="Q19" s="37">
        <v>10.17</v>
      </c>
      <c r="R19" s="5">
        <f t="shared" si="1"/>
        <v>10.165949972790905</v>
      </c>
      <c r="S19" s="8"/>
      <c r="T19" s="20"/>
      <c r="U19" s="20"/>
      <c r="V19" s="19"/>
      <c r="W19" s="5"/>
    </row>
    <row r="20" spans="1:23" x14ac:dyDescent="0.25">
      <c r="A20" t="s">
        <v>91</v>
      </c>
      <c r="B20" s="24">
        <f>'transmission&amp;scatter'!B13*B19</f>
        <v>5000</v>
      </c>
      <c r="J20" s="3"/>
      <c r="K20" s="8">
        <f>STDEVA(M18:M22)/AVERAGE(M18:M22)</f>
        <v>7.4127989912234696E-4</v>
      </c>
      <c r="L20" s="20">
        <v>69.19</v>
      </c>
      <c r="M20" s="37">
        <v>9.82</v>
      </c>
      <c r="N20" s="5">
        <f t="shared" si="0"/>
        <v>9.8614882355035842</v>
      </c>
      <c r="O20" s="8">
        <f>STDEVA(Q18:Q22)/AVERAGE(Q18:Q22)</f>
        <v>8.7999526859493986E-4</v>
      </c>
      <c r="P20" s="20">
        <v>69.400000000000006</v>
      </c>
      <c r="Q20" s="37">
        <v>10.17</v>
      </c>
      <c r="R20" s="5">
        <f t="shared" si="1"/>
        <v>10.182063149981209</v>
      </c>
      <c r="S20" s="8"/>
      <c r="T20" s="20"/>
      <c r="U20" s="20"/>
      <c r="V20" s="19"/>
      <c r="W20" s="5"/>
    </row>
    <row r="21" spans="1:23" x14ac:dyDescent="0.25">
      <c r="J21" s="3"/>
      <c r="K21" s="8">
        <f>STDEVA(N18:N22)/AVERAGE(N18:N22)</f>
        <v>1.9891281979258955E-3</v>
      </c>
      <c r="L21" s="20">
        <v>69.540000000000006</v>
      </c>
      <c r="M21" s="37">
        <v>9.8290000000000006</v>
      </c>
      <c r="N21" s="5">
        <f t="shared" si="0"/>
        <v>9.8208471654308056</v>
      </c>
      <c r="O21" s="8">
        <f>STDEVA(R18:R22)/AVERAGE(R18:R22)</f>
        <v>8.0053815207533632E-4</v>
      </c>
      <c r="P21" s="20">
        <v>69.36</v>
      </c>
      <c r="Q21" s="37">
        <v>10.15</v>
      </c>
      <c r="R21" s="5">
        <f t="shared" si="1"/>
        <v>10.167899888002946</v>
      </c>
      <c r="S21" s="8"/>
      <c r="T21" s="20"/>
      <c r="U21" s="20"/>
      <c r="V21" s="19"/>
      <c r="W21" s="5"/>
    </row>
    <row r="22" spans="1:23" x14ac:dyDescent="0.25">
      <c r="J22" s="3"/>
      <c r="K22" s="4">
        <f>AVERAGE(L18:L22)</f>
        <v>69.438000000000002</v>
      </c>
      <c r="L22" s="20">
        <v>69.56</v>
      </c>
      <c r="M22" s="37">
        <v>9.8260000000000005</v>
      </c>
      <c r="N22" s="5">
        <f t="shared" si="0"/>
        <v>9.8150268103441132</v>
      </c>
      <c r="O22" s="4">
        <f>AVERAGE(P18:P22)</f>
        <v>69.453999999999994</v>
      </c>
      <c r="P22" s="20">
        <v>69.53</v>
      </c>
      <c r="Q22" s="37">
        <v>10.17</v>
      </c>
      <c r="R22" s="5">
        <f t="shared" si="1"/>
        <v>10.163025781802041</v>
      </c>
      <c r="S22" s="4"/>
      <c r="T22" s="20"/>
      <c r="U22" s="20"/>
      <c r="V22" s="19"/>
      <c r="W22" s="5"/>
    </row>
    <row r="23" spans="1:23" x14ac:dyDescent="0.25">
      <c r="E23">
        <v>-24.6</v>
      </c>
      <c r="F23">
        <v>0</v>
      </c>
      <c r="G23" s="5">
        <f>1/(1-(O23/K23-1)/($B$16-1))</f>
        <v>1.0055212290432043</v>
      </c>
      <c r="J23" s="3">
        <f>1000*Q23/$B$20</f>
        <v>0.97819999999999996</v>
      </c>
      <c r="K23" s="26">
        <f>AVERAGE(N23:N27)</f>
        <v>4.826877418969528</v>
      </c>
      <c r="L23" s="20">
        <v>69.42</v>
      </c>
      <c r="M23" s="37">
        <v>4.8250000000000002</v>
      </c>
      <c r="N23" s="5">
        <f t="shared" si="0"/>
        <v>4.8293314377095538</v>
      </c>
      <c r="O23" s="26">
        <f>AVERAGE(R23:R27)</f>
        <v>4.9063893030267955</v>
      </c>
      <c r="P23" s="20">
        <v>69.31</v>
      </c>
      <c r="Q23" s="37">
        <v>4.891</v>
      </c>
      <c r="R23" s="5">
        <f t="shared" si="1"/>
        <v>4.9031600266812223</v>
      </c>
      <c r="S23" s="26"/>
      <c r="T23" s="20"/>
      <c r="U23" s="20"/>
      <c r="V23" s="19"/>
      <c r="W23" s="5"/>
    </row>
    <row r="24" spans="1:23" x14ac:dyDescent="0.25">
      <c r="F24" s="34"/>
      <c r="G24" s="5"/>
      <c r="H24" s="5"/>
      <c r="I24" s="5"/>
      <c r="J24" s="3"/>
      <c r="K24" s="8">
        <f>STDEVA(L23:L27)/AVERAGE(L23:L27)</f>
        <v>4.7565779141259951E-4</v>
      </c>
      <c r="L24" s="20">
        <v>69.47</v>
      </c>
      <c r="M24" s="37">
        <v>4.8230000000000004</v>
      </c>
      <c r="N24" s="5">
        <f t="shared" si="0"/>
        <v>4.8238552435312521</v>
      </c>
      <c r="O24" s="8">
        <f>STDEVA(P23:P27)/AVERAGE(P23:P27)</f>
        <v>5.2372433040953268E-4</v>
      </c>
      <c r="P24" s="20">
        <v>69.39</v>
      </c>
      <c r="Q24" s="37">
        <v>4.9009999999999998</v>
      </c>
      <c r="R24" s="5">
        <f t="shared" si="1"/>
        <v>4.9075204588223267</v>
      </c>
      <c r="S24" s="8"/>
      <c r="T24" s="20"/>
      <c r="U24" s="20"/>
      <c r="V24" s="19"/>
      <c r="W24" s="5"/>
    </row>
    <row r="25" spans="1:23" x14ac:dyDescent="0.25">
      <c r="J25" s="3"/>
      <c r="K25" s="8">
        <f>STDEVA(M23:M27)/AVERAGE(M23:M27)</f>
        <v>3.9681985607967365E-4</v>
      </c>
      <c r="L25" s="20">
        <v>69.459999999999994</v>
      </c>
      <c r="M25" s="37">
        <v>4.827</v>
      </c>
      <c r="N25" s="5">
        <f t="shared" si="0"/>
        <v>4.8285510084002077</v>
      </c>
      <c r="O25" s="8">
        <f>STDEVA(Q23:Q27)/AVERAGE(Q23:Q27)</f>
        <v>8.9682287333070292E-4</v>
      </c>
      <c r="P25" s="20">
        <v>69.39</v>
      </c>
      <c r="Q25" s="37">
        <v>4.9020000000000001</v>
      </c>
      <c r="R25" s="5">
        <f t="shared" si="1"/>
        <v>4.9085217892566924</v>
      </c>
      <c r="S25" s="8"/>
      <c r="T25" s="20"/>
      <c r="U25" s="20"/>
      <c r="V25" s="19"/>
      <c r="W25" s="5"/>
    </row>
    <row r="26" spans="1:23" x14ac:dyDescent="0.25">
      <c r="J26" s="3"/>
      <c r="K26" s="8">
        <f>STDEVA(N23:N27)/AVERAGE(N23:N27)</f>
        <v>5.2381985381960575E-4</v>
      </c>
      <c r="L26" s="20">
        <v>69.5</v>
      </c>
      <c r="M26" s="37">
        <v>4.827</v>
      </c>
      <c r="N26" s="5">
        <f t="shared" si="0"/>
        <v>4.8257719862370987</v>
      </c>
      <c r="O26" s="8">
        <f>STDEVA(R23:R27)/AVERAGE(R23:R27)</f>
        <v>4.1872864353267159E-4</v>
      </c>
      <c r="P26" s="20">
        <v>69.37</v>
      </c>
      <c r="Q26" s="37">
        <v>4.899</v>
      </c>
      <c r="R26" s="5">
        <f t="shared" si="1"/>
        <v>4.9069321032146478</v>
      </c>
      <c r="S26" s="8"/>
      <c r="T26" s="20"/>
      <c r="U26" s="20"/>
      <c r="V26" s="19"/>
      <c r="W26" s="5"/>
    </row>
    <row r="27" spans="1:23" x14ac:dyDescent="0.25">
      <c r="J27" s="3"/>
      <c r="K27" s="4">
        <f>AVERAGE(L23:L27)</f>
        <v>69.462499999999991</v>
      </c>
      <c r="L27" s="20"/>
      <c r="M27" s="37"/>
      <c r="N27" s="5"/>
      <c r="O27" s="4">
        <f>AVERAGE(P23:P27)</f>
        <v>69.372</v>
      </c>
      <c r="P27" s="20">
        <v>69.400000000000006</v>
      </c>
      <c r="Q27" s="37">
        <v>4.9000000000000004</v>
      </c>
      <c r="R27" s="5">
        <f t="shared" si="1"/>
        <v>4.9058121371590877</v>
      </c>
      <c r="S27" s="4"/>
      <c r="T27" s="20"/>
      <c r="U27" s="20"/>
      <c r="V27" s="19"/>
      <c r="W27" s="5"/>
    </row>
    <row r="28" spans="1:23" x14ac:dyDescent="0.25">
      <c r="E28">
        <v>-60.6</v>
      </c>
      <c r="F28">
        <v>0</v>
      </c>
      <c r="G28" s="5">
        <f>1/(1-(O28/K28-1)/($B$16-1))</f>
        <v>1.0030031929527901</v>
      </c>
      <c r="J28" s="3">
        <f>1000*Q28/$B$20</f>
        <v>0.59519999999999995</v>
      </c>
      <c r="K28" s="26">
        <f>AVERAGE(N28:N32)</f>
        <v>2.9472580740119971</v>
      </c>
      <c r="L28" s="20">
        <v>69.599999999999994</v>
      </c>
      <c r="M28" s="37">
        <v>2.95</v>
      </c>
      <c r="N28" s="5">
        <f>M28*$B$17/L28</f>
        <v>2.9450120772946877</v>
      </c>
      <c r="O28" s="26">
        <f>AVERAGE(R28:R32)</f>
        <v>2.9737321213733083</v>
      </c>
      <c r="P28" s="20">
        <v>69.510000000000005</v>
      </c>
      <c r="Q28" s="37">
        <v>2.976</v>
      </c>
      <c r="R28" s="5">
        <f>Q28*$B$17/P28</f>
        <v>2.974814859294566</v>
      </c>
    </row>
    <row r="29" spans="1:23" x14ac:dyDescent="0.25">
      <c r="F29" s="34"/>
      <c r="G29" s="5"/>
      <c r="H29" s="5"/>
      <c r="I29" s="5"/>
      <c r="J29" s="3"/>
      <c r="K29" s="8">
        <f>STDEVA(L28:L32)/AVERAGE(L28:L32)</f>
        <v>9.7251949482993877E-4</v>
      </c>
      <c r="L29" s="20">
        <v>69.430000000000007</v>
      </c>
      <c r="M29" s="37">
        <v>2.944</v>
      </c>
      <c r="N29" s="5">
        <f>M29*$B$17/L29</f>
        <v>2.9462184454366516</v>
      </c>
      <c r="O29" s="8">
        <f>STDEVA(P28:P32)/AVERAGE(P28:P32)</f>
        <v>7.472177772083348E-4</v>
      </c>
      <c r="P29" s="20">
        <v>69.47</v>
      </c>
      <c r="Q29" s="37">
        <v>2.9740000000000002</v>
      </c>
      <c r="R29" s="5">
        <f>Q29*$B$17/P29</f>
        <v>2.9745273676678301</v>
      </c>
    </row>
    <row r="30" spans="1:23" x14ac:dyDescent="0.25">
      <c r="J30" s="3"/>
      <c r="K30" s="8">
        <f>STDEVA(M28:M32)/AVERAGE(M28:M32)</f>
        <v>1.0060636894927391E-3</v>
      </c>
      <c r="L30" s="20">
        <v>69.48</v>
      </c>
      <c r="M30" s="37">
        <v>2.9489999999999998</v>
      </c>
      <c r="N30" s="5">
        <f>M30*$B$17/L30</f>
        <v>2.9490984205651931</v>
      </c>
      <c r="O30" s="8">
        <f>STDEVA(Q28:Q32)/AVERAGE(Q28:Q32)</f>
        <v>4.983669435585995E-4</v>
      </c>
      <c r="P30" s="20">
        <v>69.59</v>
      </c>
      <c r="Q30" s="37">
        <v>2.976</v>
      </c>
      <c r="R30" s="5">
        <f>Q30*$B$17/P30</f>
        <v>2.9713950405168168</v>
      </c>
    </row>
    <row r="31" spans="1:23" x14ac:dyDescent="0.25">
      <c r="J31" s="3"/>
      <c r="K31" s="8">
        <f>STDEVA(N28:N32)/AVERAGE(N28:N32)</f>
        <v>6.6722079475358938E-4</v>
      </c>
      <c r="L31" s="20">
        <v>69.56</v>
      </c>
      <c r="M31" s="37">
        <v>2.952</v>
      </c>
      <c r="N31" s="5">
        <f>M31*$B$17/L31</f>
        <v>2.9487033527514575</v>
      </c>
      <c r="O31" s="8">
        <f>STDEVA(R28:R32)/AVERAGE(R28:R32)</f>
        <v>5.8945630092736574E-4</v>
      </c>
      <c r="P31" s="20">
        <v>69.59</v>
      </c>
      <c r="Q31" s="37">
        <v>2.9769999999999999</v>
      </c>
      <c r="R31" s="5">
        <f>Q31*$B$17/P31</f>
        <v>2.9723934931513987</v>
      </c>
    </row>
    <row r="32" spans="1:23" x14ac:dyDescent="0.25">
      <c r="J32" s="3"/>
      <c r="K32" s="4">
        <f>AVERAGE(L28:L32)</f>
        <v>69.512</v>
      </c>
      <c r="L32" s="20">
        <v>69.489999999999995</v>
      </c>
      <c r="M32" s="37">
        <v>2.948</v>
      </c>
      <c r="N32" s="5"/>
      <c r="O32" s="4">
        <f>AVERAGE(P28:P32)</f>
        <v>69.540000000000006</v>
      </c>
      <c r="P32" s="20">
        <v>69.540000000000006</v>
      </c>
      <c r="Q32" s="37">
        <v>2.9780000000000002</v>
      </c>
      <c r="R32" s="5">
        <f>Q32*$B$17/P32</f>
        <v>2.9755298462359283</v>
      </c>
    </row>
    <row r="33" spans="1:18" x14ac:dyDescent="0.25">
      <c r="E33">
        <v>-105</v>
      </c>
      <c r="F33">
        <v>20</v>
      </c>
      <c r="G33" s="5">
        <f>1/(1-(O33/K33-1)/($B$16-1))</f>
        <v>1.0001978282584085</v>
      </c>
      <c r="J33" s="3">
        <f>1000*Q33/$B$20</f>
        <v>0.19028</v>
      </c>
      <c r="K33" s="26">
        <f>AVERAGE(N33:N37)</f>
        <v>0.95026461721612987</v>
      </c>
      <c r="L33" s="20">
        <v>69.37</v>
      </c>
      <c r="M33" s="37">
        <v>0.94740000000000002</v>
      </c>
      <c r="N33" s="5">
        <f t="shared" ref="N33:N42" si="2">M33*$B$17/L33</f>
        <v>0.9489339609278542</v>
      </c>
      <c r="O33" s="26">
        <f>AVERAGE(R33:R37)</f>
        <v>0.95082847325222564</v>
      </c>
      <c r="P33" s="20">
        <v>69.52</v>
      </c>
      <c r="Q33" s="37">
        <v>0.95140000000000002</v>
      </c>
      <c r="R33" s="5">
        <f t="shared" ref="R33:R42" si="3">Q33*$B$17/P33</f>
        <v>0.9508843231433769</v>
      </c>
    </row>
    <row r="34" spans="1:18" x14ac:dyDescent="0.25">
      <c r="F34" s="34"/>
      <c r="G34" s="5"/>
      <c r="H34" s="5"/>
      <c r="I34" s="5"/>
      <c r="J34" s="3"/>
      <c r="K34" s="8">
        <f>STDEVA(L33:L37)/AVERAGE(L33:L37)</f>
        <v>5.9946484328052664E-4</v>
      </c>
      <c r="L34" s="20">
        <v>69.430000000000007</v>
      </c>
      <c r="M34" s="37">
        <v>0.94920000000000004</v>
      </c>
      <c r="N34" s="5">
        <f t="shared" si="2"/>
        <v>0.94991526780178992</v>
      </c>
      <c r="O34" s="8">
        <f>STDEVA(P33:P37)/AVERAGE(P33:P37)</f>
        <v>1.1221080297720311E-3</v>
      </c>
      <c r="P34" s="20">
        <v>69.510000000000005</v>
      </c>
      <c r="Q34" s="37">
        <v>0.95150000000000001</v>
      </c>
      <c r="R34" s="5">
        <f t="shared" si="3"/>
        <v>0.95112108152512764</v>
      </c>
    </row>
    <row r="35" spans="1:18" x14ac:dyDescent="0.25">
      <c r="J35" s="3"/>
      <c r="K35" s="8">
        <f>STDEVA(M33:M37)/AVERAGE(M33:M37)</f>
        <v>1.1335405985351394E-3</v>
      </c>
      <c r="L35" s="20">
        <v>69.400000000000006</v>
      </c>
      <c r="M35" s="37">
        <v>0.95009999999999994</v>
      </c>
      <c r="N35" s="5">
        <f t="shared" si="2"/>
        <v>0.95122696153364261</v>
      </c>
      <c r="O35" s="8">
        <f>STDEVA(Q33:Q37)/AVERAGE(Q33:Q37)</f>
        <v>1.2686598779383259E-3</v>
      </c>
      <c r="P35" s="20">
        <v>69.349999999999994</v>
      </c>
      <c r="Q35" s="37">
        <v>0.94910000000000005</v>
      </c>
      <c r="R35" s="5">
        <f t="shared" si="3"/>
        <v>0.95091086966970784</v>
      </c>
    </row>
    <row r="36" spans="1:18" x14ac:dyDescent="0.25">
      <c r="J36" s="3"/>
      <c r="K36" s="8">
        <f>STDEVA(N33:N37)/AVERAGE(N33:N37)</f>
        <v>9.2604318716845227E-4</v>
      </c>
      <c r="L36" s="20">
        <v>69.400000000000006</v>
      </c>
      <c r="M36" s="37">
        <v>0.9496</v>
      </c>
      <c r="N36" s="5">
        <f t="shared" si="2"/>
        <v>0.9507263684584224</v>
      </c>
      <c r="O36" s="8">
        <f>STDEVA(R33:R37)/AVERAGE(R33:R37)</f>
        <v>2.2842700649748399E-4</v>
      </c>
      <c r="P36" s="20">
        <v>69.400000000000006</v>
      </c>
      <c r="Q36" s="37">
        <v>0.94950000000000001</v>
      </c>
      <c r="R36" s="5">
        <f t="shared" si="3"/>
        <v>0.95062624984337829</v>
      </c>
    </row>
    <row r="37" spans="1:18" x14ac:dyDescent="0.25">
      <c r="J37" s="3"/>
      <c r="K37" s="4">
        <f>AVERAGE(L33:L37)</f>
        <v>69.384</v>
      </c>
      <c r="L37" s="20">
        <v>69.319999999999993</v>
      </c>
      <c r="M37" s="37">
        <v>0.94830000000000003</v>
      </c>
      <c r="N37" s="5">
        <f t="shared" si="2"/>
        <v>0.95052052735894077</v>
      </c>
      <c r="O37" s="4">
        <f>AVERAGE(P33:P37)</f>
        <v>69.431999999999988</v>
      </c>
      <c r="P37" s="20">
        <v>69.38</v>
      </c>
      <c r="Q37" s="37">
        <v>0.94920000000000004</v>
      </c>
      <c r="R37" s="5">
        <f t="shared" si="3"/>
        <v>0.95059984207953718</v>
      </c>
    </row>
    <row r="38" spans="1:18" x14ac:dyDescent="0.25">
      <c r="E38">
        <v>-105</v>
      </c>
      <c r="F38">
        <v>20</v>
      </c>
      <c r="G38" s="5">
        <f>1/(1-(O38/K38-1)/($B$16-1))</f>
        <v>1.0006672802625087</v>
      </c>
      <c r="J38" s="3">
        <f>1000*Q38/$B$20</f>
        <v>0.19040000000000001</v>
      </c>
      <c r="K38" s="26">
        <f>AVERAGE(N38:N42)</f>
        <v>0.95044334913460982</v>
      </c>
      <c r="L38" s="20">
        <v>69.47</v>
      </c>
      <c r="M38" s="37">
        <v>0.95050000000000001</v>
      </c>
      <c r="N38" s="5">
        <f t="shared" si="2"/>
        <v>0.95066854840896853</v>
      </c>
      <c r="O38" s="26">
        <f>AVERAGE(R38:R42)</f>
        <v>0.95234471665212406</v>
      </c>
      <c r="P38" s="20">
        <v>69.41</v>
      </c>
      <c r="Q38" s="37">
        <v>0.95199999999999996</v>
      </c>
      <c r="R38" s="5">
        <f t="shared" si="3"/>
        <v>0.95299189650240468</v>
      </c>
    </row>
    <row r="39" spans="1:18" x14ac:dyDescent="0.25">
      <c r="F39" s="34"/>
      <c r="G39" s="5"/>
      <c r="H39" s="5"/>
      <c r="I39" s="5"/>
      <c r="J39" s="3"/>
      <c r="K39" s="8">
        <f>STDEVA(L38:L42)/AVERAGE(L38:L42)</f>
        <v>1.2312485399613134E-3</v>
      </c>
      <c r="L39" s="20">
        <v>69.349999999999994</v>
      </c>
      <c r="M39" s="37">
        <v>0.95050000000000001</v>
      </c>
      <c r="N39" s="5">
        <f t="shared" si="2"/>
        <v>0.95231354085033959</v>
      </c>
      <c r="O39" s="8">
        <f>STDEVA(P38:P42)/AVERAGE(P38:P42)</f>
        <v>7.8495284861665395E-4</v>
      </c>
      <c r="P39" s="20">
        <v>69.44</v>
      </c>
      <c r="Q39" s="37">
        <v>0.95079999999999998</v>
      </c>
      <c r="R39" s="5">
        <f t="shared" si="3"/>
        <v>0.95137944633673988</v>
      </c>
    </row>
    <row r="40" spans="1:18" x14ac:dyDescent="0.25">
      <c r="J40" s="3"/>
      <c r="K40" s="8">
        <f>STDEVA(M38:M42)/AVERAGE(M38:M42)</f>
        <v>4.1016682846479796E-4</v>
      </c>
      <c r="L40" s="20">
        <v>69.540000000000006</v>
      </c>
      <c r="M40" s="37">
        <v>0.95089999999999997</v>
      </c>
      <c r="N40" s="5">
        <f t="shared" si="2"/>
        <v>0.95011125949823494</v>
      </c>
      <c r="O40" s="8">
        <f>STDEVA(Q38:Q42)/AVERAGE(Q38:Q42)</f>
        <v>7.1659214465038591E-4</v>
      </c>
      <c r="P40" s="20">
        <v>69.42</v>
      </c>
      <c r="Q40" s="37">
        <v>0.9516</v>
      </c>
      <c r="R40" s="5">
        <f t="shared" si="3"/>
        <v>0.95245425826412677</v>
      </c>
    </row>
    <row r="41" spans="1:18" x14ac:dyDescent="0.25">
      <c r="J41" s="3"/>
      <c r="K41" s="8">
        <f>STDEVA(N38:N42)/AVERAGE(N38:N42)</f>
        <v>1.2015182517385152E-3</v>
      </c>
      <c r="L41" s="20">
        <v>69.510000000000005</v>
      </c>
      <c r="M41" s="37">
        <v>0.94989999999999997</v>
      </c>
      <c r="N41" s="5">
        <f t="shared" si="2"/>
        <v>0.94952171869754987</v>
      </c>
      <c r="O41" s="8">
        <f>STDEVA(R38:R42)/AVERAGE(R38:R42)</f>
        <v>6.6408411393321454E-4</v>
      </c>
      <c r="P41" s="20">
        <v>69.36</v>
      </c>
      <c r="Q41" s="37">
        <v>0.95109999999999995</v>
      </c>
      <c r="R41" s="5">
        <f t="shared" si="3"/>
        <v>0.95277729886498541</v>
      </c>
    </row>
    <row r="42" spans="1:18" x14ac:dyDescent="0.25">
      <c r="J42" s="3"/>
      <c r="K42" s="4">
        <f>AVERAGE(L38:L42)</f>
        <v>69.488</v>
      </c>
      <c r="L42" s="20">
        <v>69.569999999999993</v>
      </c>
      <c r="M42" s="37">
        <v>0.95079999999999998</v>
      </c>
      <c r="N42" s="5">
        <f t="shared" si="2"/>
        <v>0.94960167821795627</v>
      </c>
      <c r="O42" s="4">
        <f>AVERAGE(P38:P42)</f>
        <v>69.427999999999997</v>
      </c>
      <c r="P42" s="20">
        <v>69.510000000000005</v>
      </c>
      <c r="Q42" s="37">
        <v>0.95250000000000001</v>
      </c>
      <c r="R42" s="5">
        <f t="shared" si="3"/>
        <v>0.95212068329236355</v>
      </c>
    </row>
    <row r="46" spans="1:18" x14ac:dyDescent="0.25">
      <c r="A46" t="s">
        <v>45</v>
      </c>
    </row>
    <row r="47" spans="1:18" x14ac:dyDescent="0.25">
      <c r="A47" t="s">
        <v>93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A14" sqref="A14"/>
    </sheetView>
  </sheetViews>
  <sheetFormatPr defaultRowHeight="15" x14ac:dyDescent="0.25"/>
  <cols>
    <col min="1" max="1" width="9.42578125" bestFit="1" customWidth="1"/>
    <col min="8" max="8" width="10.5703125" bestFit="1" customWidth="1"/>
  </cols>
  <sheetData>
    <row r="1" spans="1:7" x14ac:dyDescent="0.25">
      <c r="A1" s="1">
        <v>41864</v>
      </c>
    </row>
    <row r="2" spans="1:7" ht="17.25" x14ac:dyDescent="0.25">
      <c r="A2" t="s">
        <v>115</v>
      </c>
    </row>
    <row r="3" spans="1:7" x14ac:dyDescent="0.25">
      <c r="A3" t="s">
        <v>101</v>
      </c>
      <c r="C3" t="s">
        <v>108</v>
      </c>
    </row>
    <row r="4" spans="1:7" x14ac:dyDescent="0.25">
      <c r="A4" t="s">
        <v>109</v>
      </c>
    </row>
    <row r="5" spans="1:7" ht="18" x14ac:dyDescent="0.35">
      <c r="A5" t="s">
        <v>110</v>
      </c>
      <c r="B5" s="43">
        <v>60</v>
      </c>
    </row>
    <row r="6" spans="1:7" ht="18" x14ac:dyDescent="0.35">
      <c r="A6" t="s">
        <v>102</v>
      </c>
      <c r="B6" s="43">
        <v>73.828999999999994</v>
      </c>
      <c r="C6" s="43"/>
      <c r="E6" s="56" t="s">
        <v>104</v>
      </c>
      <c r="F6" s="56"/>
    </row>
    <row r="7" spans="1:7" x14ac:dyDescent="0.25">
      <c r="A7" s="2" t="s">
        <v>103</v>
      </c>
      <c r="B7" s="2" t="s">
        <v>105</v>
      </c>
      <c r="C7" s="2" t="s">
        <v>106</v>
      </c>
      <c r="D7" s="2" t="s">
        <v>107</v>
      </c>
      <c r="E7" s="2" t="s">
        <v>111</v>
      </c>
      <c r="F7" s="2" t="s">
        <v>112</v>
      </c>
      <c r="G7" s="2" t="s">
        <v>114</v>
      </c>
    </row>
    <row r="8" spans="1:7" x14ac:dyDescent="0.25">
      <c r="A8" s="41">
        <v>0.47569444444444442</v>
      </c>
      <c r="B8" s="21">
        <v>21.2</v>
      </c>
      <c r="C8" s="21">
        <v>1003</v>
      </c>
      <c r="D8" s="21">
        <v>1.218</v>
      </c>
      <c r="E8" s="42">
        <f t="shared" ref="E8:E23" si="0">2^((A8-A$8)/$B$6)</f>
        <v>1</v>
      </c>
      <c r="F8" s="42">
        <f t="shared" ref="F8:F23" si="1">(p_ref/C8)*(B8-T_0)/(T_ref-T_0)</f>
        <v>1.0143546420265044</v>
      </c>
      <c r="G8" s="4">
        <f>1000*D8*E8*F8/$B$5</f>
        <v>20.591399233138038</v>
      </c>
    </row>
    <row r="9" spans="1:7" x14ac:dyDescent="0.25">
      <c r="A9" s="41">
        <v>0.52777777777777779</v>
      </c>
      <c r="B9" s="21">
        <v>21.1</v>
      </c>
      <c r="C9" s="21">
        <v>1002</v>
      </c>
      <c r="D9" s="21">
        <v>1.2230000000000001</v>
      </c>
      <c r="E9" s="42">
        <f t="shared" si="0"/>
        <v>1.0004891064981665</v>
      </c>
      <c r="F9" s="42">
        <f t="shared" si="1"/>
        <v>1.0150220197503681</v>
      </c>
      <c r="G9" s="4">
        <f t="shared" ref="G9:G23" si="2">1000*D9*E9*F9/$B$5</f>
        <v>20.699651553873007</v>
      </c>
    </row>
    <row r="10" spans="1:7" x14ac:dyDescent="0.25">
      <c r="A10" s="41">
        <v>0.53194444444444444</v>
      </c>
      <c r="B10" s="21">
        <v>21.1</v>
      </c>
      <c r="C10" s="21">
        <v>1002</v>
      </c>
      <c r="D10" s="21">
        <v>1.2150000000000001</v>
      </c>
      <c r="E10" s="42">
        <f t="shared" si="0"/>
        <v>1.0005282453509974</v>
      </c>
      <c r="F10" s="42">
        <f t="shared" si="1"/>
        <v>1.0150220197503681</v>
      </c>
      <c r="G10" s="4">
        <f t="shared" si="2"/>
        <v>20.56505355837259</v>
      </c>
    </row>
    <row r="11" spans="1:7" x14ac:dyDescent="0.25">
      <c r="A11" s="41">
        <v>0.53819444444444442</v>
      </c>
      <c r="B11" s="21">
        <v>21.1</v>
      </c>
      <c r="C11" s="21">
        <v>1002</v>
      </c>
      <c r="D11" s="21">
        <v>1.214</v>
      </c>
      <c r="E11" s="42">
        <f t="shared" si="0"/>
        <v>1.0005869565010765</v>
      </c>
      <c r="F11" s="42">
        <f t="shared" si="1"/>
        <v>1.0150220197503681</v>
      </c>
      <c r="G11" s="4">
        <f t="shared" si="2"/>
        <v>20.549333355627436</v>
      </c>
    </row>
    <row r="12" spans="1:7" x14ac:dyDescent="0.25">
      <c r="A12" s="41">
        <v>0.55902777777777779</v>
      </c>
      <c r="B12" s="21">
        <v>21.1</v>
      </c>
      <c r="C12" s="21">
        <v>1002</v>
      </c>
      <c r="D12" s="21">
        <v>1.2150000000000001</v>
      </c>
      <c r="E12" s="42">
        <f t="shared" si="0"/>
        <v>1.0007826852176593</v>
      </c>
      <c r="F12" s="42">
        <f t="shared" si="1"/>
        <v>1.0150220197503681</v>
      </c>
      <c r="G12" s="4">
        <f t="shared" si="2"/>
        <v>20.570283365236712</v>
      </c>
    </row>
    <row r="13" spans="1:7" x14ac:dyDescent="0.25">
      <c r="A13" s="41">
        <v>0.56041666666666667</v>
      </c>
      <c r="B13" s="21">
        <v>21.1</v>
      </c>
      <c r="C13" s="21">
        <v>1002</v>
      </c>
      <c r="D13" s="21">
        <v>1.212</v>
      </c>
      <c r="E13" s="42">
        <f t="shared" si="0"/>
        <v>1.0007957351600067</v>
      </c>
      <c r="F13" s="42">
        <f t="shared" si="1"/>
        <v>1.0150220197503681</v>
      </c>
      <c r="G13" s="4">
        <f t="shared" si="2"/>
        <v>20.519760110885223</v>
      </c>
    </row>
    <row r="14" spans="1:7" x14ac:dyDescent="0.25">
      <c r="A14" s="41">
        <v>0.65138888888888891</v>
      </c>
      <c r="B14" s="21">
        <v>21.2</v>
      </c>
      <c r="C14" s="21">
        <v>1002</v>
      </c>
      <c r="D14" s="21">
        <v>1.2130000000000001</v>
      </c>
      <c r="E14" s="42">
        <f t="shared" si="0"/>
        <v>1.0016508770918966</v>
      </c>
      <c r="F14" s="42">
        <f t="shared" si="1"/>
        <v>1.015366972008567</v>
      </c>
      <c r="G14" s="4">
        <f t="shared" si="2"/>
        <v>20.561223725568365</v>
      </c>
    </row>
    <row r="15" spans="1:7" x14ac:dyDescent="0.25">
      <c r="A15" s="41">
        <v>0.65625</v>
      </c>
      <c r="B15" s="21">
        <v>21.2</v>
      </c>
      <c r="C15" s="21">
        <v>1002</v>
      </c>
      <c r="D15" s="21">
        <v>1.208</v>
      </c>
      <c r="E15" s="42">
        <f t="shared" si="0"/>
        <v>1.0016965922587233</v>
      </c>
      <c r="F15" s="42">
        <f t="shared" si="1"/>
        <v>1.015366972008567</v>
      </c>
      <c r="G15" s="4">
        <f t="shared" si="2"/>
        <v>20.477404666494539</v>
      </c>
    </row>
    <row r="16" spans="1:7" x14ac:dyDescent="0.25">
      <c r="A16" s="41">
        <v>0.65833333333333333</v>
      </c>
      <c r="B16" s="21">
        <v>21.2</v>
      </c>
      <c r="C16" s="21">
        <v>1002</v>
      </c>
      <c r="D16" s="21">
        <v>1.2070000000000001</v>
      </c>
      <c r="E16" s="42">
        <f t="shared" si="0"/>
        <v>1.0017161851117757</v>
      </c>
      <c r="F16" s="42">
        <f t="shared" si="1"/>
        <v>1.015366972008567</v>
      </c>
      <c r="G16" s="4">
        <f t="shared" si="2"/>
        <v>20.460853372242045</v>
      </c>
    </row>
    <row r="17" spans="1:13" x14ac:dyDescent="0.25">
      <c r="A17" s="41">
        <v>0.69444444444444453</v>
      </c>
      <c r="B17" s="21">
        <v>21.2</v>
      </c>
      <c r="C17" s="21">
        <v>1002</v>
      </c>
      <c r="D17" s="21">
        <v>1.208</v>
      </c>
      <c r="E17" s="42">
        <f t="shared" si="0"/>
        <v>1.0020558554621117</v>
      </c>
      <c r="F17" s="42">
        <f t="shared" si="1"/>
        <v>1.015366972008567</v>
      </c>
      <c r="G17" s="4">
        <f t="shared" si="2"/>
        <v>20.484748984179575</v>
      </c>
    </row>
    <row r="18" spans="1:13" x14ac:dyDescent="0.25">
      <c r="A18" s="41">
        <v>0.69791666666666663</v>
      </c>
      <c r="B18" s="21">
        <v>21.2</v>
      </c>
      <c r="C18" s="21">
        <v>1002</v>
      </c>
      <c r="D18" s="21">
        <v>1.2050000000000001</v>
      </c>
      <c r="E18" s="42">
        <f t="shared" si="0"/>
        <v>1.0020885221419622</v>
      </c>
      <c r="F18" s="42">
        <f t="shared" si="1"/>
        <v>1.015366972008567</v>
      </c>
      <c r="G18" s="4">
        <f t="shared" si="2"/>
        <v>20.43454240060413</v>
      </c>
    </row>
    <row r="19" spans="1:13" x14ac:dyDescent="0.25">
      <c r="A19" s="41">
        <v>0.75347222222222221</v>
      </c>
      <c r="B19" s="21">
        <v>21.2</v>
      </c>
      <c r="C19" s="21">
        <v>1003</v>
      </c>
      <c r="D19" s="21">
        <v>1.208</v>
      </c>
      <c r="E19" s="42">
        <f t="shared" si="0"/>
        <v>1.0026113338726592</v>
      </c>
      <c r="F19" s="42">
        <f t="shared" si="1"/>
        <v>1.0143546420265044</v>
      </c>
      <c r="G19" s="4">
        <f t="shared" si="2"/>
        <v>20.475669674663962</v>
      </c>
    </row>
    <row r="20" spans="1:13" x14ac:dyDescent="0.25">
      <c r="A20" s="41">
        <v>0.75555555555555554</v>
      </c>
      <c r="B20" s="21">
        <v>21.2</v>
      </c>
      <c r="C20" s="21">
        <v>1003</v>
      </c>
      <c r="D20" s="21">
        <v>1.204</v>
      </c>
      <c r="E20" s="42">
        <f t="shared" si="0"/>
        <v>1.0026309446177541</v>
      </c>
      <c r="F20" s="42">
        <f t="shared" si="1"/>
        <v>1.0143546420265044</v>
      </c>
      <c r="G20" s="4">
        <f t="shared" si="2"/>
        <v>20.408268615109588</v>
      </c>
      <c r="K20" s="2" t="s">
        <v>117</v>
      </c>
      <c r="L20" s="36">
        <f>100*LINEST(G8:G23,A8:A23)/(24*AVERAGE(G8:G23))</f>
        <v>-0.14573687353473572</v>
      </c>
      <c r="M20" t="s">
        <v>116</v>
      </c>
    </row>
    <row r="21" spans="1:13" x14ac:dyDescent="0.25">
      <c r="A21" s="41">
        <v>0.7583333333333333</v>
      </c>
      <c r="B21" s="21">
        <v>21.2</v>
      </c>
      <c r="C21" s="21">
        <v>1003</v>
      </c>
      <c r="D21" s="21">
        <v>1.204</v>
      </c>
      <c r="E21" s="42">
        <f t="shared" si="0"/>
        <v>1.0026570928745617</v>
      </c>
      <c r="F21" s="42">
        <f t="shared" si="1"/>
        <v>1.0143546420265044</v>
      </c>
      <c r="G21" s="4">
        <f t="shared" si="2"/>
        <v>20.40880085546344</v>
      </c>
    </row>
    <row r="22" spans="1:13" x14ac:dyDescent="0.25">
      <c r="A22" s="41">
        <v>0.76041666666666663</v>
      </c>
      <c r="B22" s="21">
        <v>21.2</v>
      </c>
      <c r="C22" s="21">
        <v>1003</v>
      </c>
      <c r="D22" s="21">
        <v>1.2030000000000001</v>
      </c>
      <c r="E22" s="42">
        <f t="shared" si="0"/>
        <v>1.0026767045146876</v>
      </c>
      <c r="F22" s="42">
        <f t="shared" si="1"/>
        <v>1.0143546420265044</v>
      </c>
      <c r="G22" s="4">
        <f t="shared" si="2"/>
        <v>20.392248882010037</v>
      </c>
    </row>
    <row r="23" spans="1:13" x14ac:dyDescent="0.25">
      <c r="A23" s="41">
        <v>0.76250000000000007</v>
      </c>
      <c r="B23" s="21">
        <v>21.2</v>
      </c>
      <c r="C23" s="21">
        <v>1003</v>
      </c>
      <c r="D23" s="21">
        <v>1.2050000000000001</v>
      </c>
      <c r="E23" s="42">
        <f t="shared" si="0"/>
        <v>1.0026963165384106</v>
      </c>
      <c r="F23" s="42">
        <f t="shared" si="1"/>
        <v>1.0143546420265044</v>
      </c>
      <c r="G23" s="4">
        <f t="shared" si="2"/>
        <v>20.426550736407584</v>
      </c>
    </row>
    <row r="29" spans="1:13" x14ac:dyDescent="0.25">
      <c r="H29" s="44"/>
    </row>
  </sheetData>
  <mergeCells count="1"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transmission&amp;scatter</vt:lpstr>
      <vt:lpstr>linearity</vt:lpstr>
      <vt:lpstr>field size</vt:lpstr>
      <vt:lpstr>polarity</vt:lpstr>
      <vt:lpstr>recombination</vt:lpstr>
      <vt:lpstr>stability</vt:lpstr>
      <vt:lpstr>dose1cal</vt:lpstr>
      <vt:lpstr>p_ref</vt:lpstr>
      <vt:lpstr>pulses</vt:lpstr>
      <vt:lpstr>T_0</vt:lpstr>
      <vt:lpstr>T_ref</vt:lpstr>
      <vt:lpstr>recombination!Vw_Vl</vt:lpstr>
      <vt:lpstr>Vw_Vl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2014-07-19T11:00:01Z</dcterms:created>
  <dcterms:modified xsi:type="dcterms:W3CDTF">2014-11-08T12:55:46Z</dcterms:modified>
</cp:coreProperties>
</file>