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katsuki\ProjectStudy\"/>
    </mc:Choice>
  </mc:AlternateContent>
  <bookViews>
    <workbookView xWindow="0" yWindow="-15" windowWidth="13665" windowHeight="14820" tabRatio="653" firstSheet="12" activeTab="15"/>
  </bookViews>
  <sheets>
    <sheet name="Sheet1" sheetId="1" r:id="rId1"/>
    <sheet name="Sheet2" sheetId="2" r:id="rId2"/>
    <sheet name="Sheet3" sheetId="3" r:id="rId3"/>
    <sheet name="メイン" sheetId="4" r:id="rId4"/>
    <sheet name="すべて＝0.984819692" sheetId="6" r:id="rId5"/>
    <sheet name="contributionなし＝0.985571155" sheetId="7" r:id="rId6"/>
    <sheet name="starなし＝0.98623964" sheetId="8" r:id="rId7"/>
    <sheet name="Sheet5" sheetId="5" r:id="rId8"/>
    <sheet name="複製＠メイン" sheetId="9" r:id="rId9"/>
    <sheet name="Sheet6" sheetId="11" r:id="rId10"/>
    <sheet name="メイン２" sheetId="10" r:id="rId11"/>
    <sheet name="Sheet8" sheetId="13" r:id="rId12"/>
    <sheet name="メイン3" sheetId="14" r:id="rId13"/>
    <sheet name="Sheet10" sheetId="15" r:id="rId14"/>
    <sheet name="開発フロー" sheetId="16" r:id="rId15"/>
    <sheet name="開発フローとヒストグラム" sheetId="17" r:id="rId16"/>
  </sheets>
  <definedNames>
    <definedName name="solver_eng" localSheetId="2" hidden="1">1</definedName>
    <definedName name="solver_eng" localSheetId="3" hidden="1">1</definedName>
    <definedName name="solver_lin" localSheetId="3" hidden="1">2</definedName>
    <definedName name="solver_neg" localSheetId="2" hidden="1">1</definedName>
    <definedName name="solver_neg" localSheetId="3" hidden="1">1</definedName>
    <definedName name="solver_num" localSheetId="2" hidden="1">0</definedName>
    <definedName name="solver_num" localSheetId="3" hidden="1">0</definedName>
    <definedName name="solver_opt" localSheetId="2" hidden="1">Sheet3!$U$25</definedName>
    <definedName name="solver_opt" localSheetId="3" hidden="1">メイン!$N$11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2</definedName>
  </definedNames>
  <calcPr calcId="15251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2" i="15" l="1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N52" i="15"/>
  <c r="M52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K52" i="15"/>
  <c r="J52" i="15"/>
  <c r="I52" i="15"/>
  <c r="H52" i="15"/>
  <c r="G52" i="15"/>
  <c r="F52" i="15"/>
  <c r="E52" i="15"/>
  <c r="D52" i="15"/>
  <c r="C52" i="15"/>
  <c r="AJ52" i="14"/>
  <c r="AH52" i="14"/>
  <c r="AG52" i="14"/>
  <c r="AE52" i="14"/>
  <c r="AC52" i="14"/>
  <c r="AA52" i="14"/>
  <c r="Y52" i="14"/>
  <c r="W52" i="14"/>
  <c r="U52" i="14"/>
  <c r="S52" i="14"/>
  <c r="Q5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M52" i="14"/>
  <c r="K52" i="14"/>
  <c r="I52" i="14"/>
  <c r="G52" i="14"/>
  <c r="E52" i="14"/>
  <c r="D52" i="14"/>
  <c r="C52" i="14"/>
  <c r="F52" i="14"/>
  <c r="H52" i="14"/>
  <c r="J52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N52" i="14"/>
  <c r="P52" i="14"/>
  <c r="R52" i="14"/>
  <c r="T52" i="14"/>
  <c r="V52" i="14"/>
  <c r="X52" i="14"/>
  <c r="Z52" i="14"/>
  <c r="AB52" i="14"/>
  <c r="AD52" i="14"/>
  <c r="AF52" i="14"/>
  <c r="AI52" i="14"/>
  <c r="O51" i="13"/>
  <c r="L51" i="13"/>
  <c r="O50" i="13"/>
  <c r="L50" i="13"/>
  <c r="O49" i="13"/>
  <c r="L49" i="13"/>
  <c r="O48" i="13"/>
  <c r="L48" i="13"/>
  <c r="O47" i="13"/>
  <c r="L47" i="13"/>
  <c r="O46" i="13"/>
  <c r="L46" i="13"/>
  <c r="O45" i="13"/>
  <c r="L45" i="13"/>
  <c r="O44" i="13"/>
  <c r="L44" i="13"/>
  <c r="O43" i="13"/>
  <c r="L43" i="13"/>
  <c r="O42" i="13"/>
  <c r="L42" i="13"/>
  <c r="O41" i="13"/>
  <c r="L41" i="13"/>
  <c r="O40" i="13"/>
  <c r="L40" i="13"/>
  <c r="O39" i="13"/>
  <c r="L39" i="13"/>
  <c r="O38" i="13"/>
  <c r="L38" i="13"/>
  <c r="O37" i="13"/>
  <c r="L37" i="13"/>
  <c r="O36" i="13"/>
  <c r="L36" i="13"/>
  <c r="O35" i="13"/>
  <c r="L35" i="13"/>
  <c r="O34" i="13"/>
  <c r="L34" i="13"/>
  <c r="O33" i="13"/>
  <c r="L33" i="13"/>
  <c r="O32" i="13"/>
  <c r="L32" i="13"/>
  <c r="O31" i="13"/>
  <c r="L31" i="13"/>
  <c r="O30" i="13"/>
  <c r="L30" i="13"/>
  <c r="O29" i="13"/>
  <c r="L29" i="13"/>
  <c r="O28" i="13"/>
  <c r="L28" i="13"/>
  <c r="O27" i="13"/>
  <c r="L27" i="13"/>
  <c r="O26" i="13"/>
  <c r="L26" i="13"/>
  <c r="O25" i="13"/>
  <c r="L25" i="13"/>
  <c r="O24" i="13"/>
  <c r="L24" i="13"/>
  <c r="O23" i="13"/>
  <c r="L23" i="13"/>
  <c r="O22" i="13"/>
  <c r="L22" i="13"/>
  <c r="O21" i="13"/>
  <c r="L21" i="13"/>
  <c r="O20" i="13"/>
  <c r="L20" i="13"/>
  <c r="O19" i="13"/>
  <c r="L19" i="13"/>
  <c r="O18" i="13"/>
  <c r="L18" i="13"/>
  <c r="O17" i="13"/>
  <c r="L17" i="13"/>
  <c r="O16" i="13"/>
  <c r="L16" i="13"/>
  <c r="O15" i="13"/>
  <c r="L15" i="13"/>
  <c r="O14" i="13"/>
  <c r="L14" i="13"/>
  <c r="O13" i="13"/>
  <c r="L13" i="13"/>
  <c r="O12" i="13"/>
  <c r="L12" i="13"/>
  <c r="O11" i="13"/>
  <c r="L11" i="13"/>
  <c r="O10" i="13"/>
  <c r="L10" i="13"/>
  <c r="O9" i="13"/>
  <c r="L9" i="13"/>
  <c r="O8" i="13"/>
  <c r="L8" i="13"/>
  <c r="O7" i="13"/>
  <c r="L7" i="13"/>
  <c r="O6" i="13"/>
  <c r="L6" i="13"/>
  <c r="O5" i="13"/>
  <c r="L5" i="13"/>
  <c r="O4" i="13"/>
  <c r="L4" i="13"/>
  <c r="O3" i="13"/>
  <c r="L3" i="13"/>
  <c r="O2" i="13"/>
  <c r="L2" i="13"/>
  <c r="O51" i="10"/>
  <c r="L51" i="10"/>
  <c r="O50" i="10"/>
  <c r="L50" i="10"/>
  <c r="O49" i="10"/>
  <c r="L49" i="10"/>
  <c r="O48" i="10"/>
  <c r="L48" i="10"/>
  <c r="O47" i="10"/>
  <c r="L47" i="10"/>
  <c r="O46" i="10"/>
  <c r="L46" i="10"/>
  <c r="O45" i="10"/>
  <c r="L45" i="10"/>
  <c r="O44" i="10"/>
  <c r="L44" i="10"/>
  <c r="O43" i="10"/>
  <c r="L43" i="10"/>
  <c r="O42" i="10"/>
  <c r="L42" i="10"/>
  <c r="O41" i="10"/>
  <c r="L41" i="10"/>
  <c r="O40" i="10"/>
  <c r="L40" i="10"/>
  <c r="O39" i="10"/>
  <c r="L39" i="10"/>
  <c r="O38" i="10"/>
  <c r="L38" i="10"/>
  <c r="O37" i="10"/>
  <c r="L37" i="10"/>
  <c r="O36" i="10"/>
  <c r="L36" i="10"/>
  <c r="O35" i="10"/>
  <c r="L35" i="10"/>
  <c r="O34" i="10"/>
  <c r="L34" i="10"/>
  <c r="O33" i="10"/>
  <c r="L33" i="10"/>
  <c r="O32" i="10"/>
  <c r="L32" i="10"/>
  <c r="O31" i="10"/>
  <c r="L31" i="10"/>
  <c r="O30" i="10"/>
  <c r="L30" i="10"/>
  <c r="O29" i="10"/>
  <c r="L29" i="10"/>
  <c r="O28" i="10"/>
  <c r="L28" i="10"/>
  <c r="O27" i="10"/>
  <c r="L27" i="10"/>
  <c r="O26" i="10"/>
  <c r="L26" i="10"/>
  <c r="O25" i="10"/>
  <c r="L25" i="10"/>
  <c r="O24" i="10"/>
  <c r="L24" i="10"/>
  <c r="O23" i="10"/>
  <c r="L23" i="10"/>
  <c r="O22" i="10"/>
  <c r="L22" i="10"/>
  <c r="O21" i="10"/>
  <c r="L21" i="10"/>
  <c r="O20" i="10"/>
  <c r="L20" i="10"/>
  <c r="O19" i="10"/>
  <c r="L19" i="10"/>
  <c r="O18" i="10"/>
  <c r="L18" i="10"/>
  <c r="O17" i="10"/>
  <c r="L17" i="10"/>
  <c r="O16" i="10"/>
  <c r="L16" i="10"/>
  <c r="O15" i="10"/>
  <c r="L15" i="10"/>
  <c r="O14" i="10"/>
  <c r="L14" i="10"/>
  <c r="O13" i="10"/>
  <c r="L13" i="10"/>
  <c r="O12" i="10"/>
  <c r="L12" i="10"/>
  <c r="O11" i="10"/>
  <c r="L11" i="10"/>
  <c r="O10" i="10"/>
  <c r="L10" i="10"/>
  <c r="O9" i="10"/>
  <c r="L9" i="10"/>
  <c r="O8" i="10"/>
  <c r="L8" i="10"/>
  <c r="O7" i="10"/>
  <c r="L7" i="10"/>
  <c r="O6" i="10"/>
  <c r="L6" i="10"/>
  <c r="O5" i="10"/>
  <c r="L5" i="10"/>
  <c r="O4" i="10"/>
  <c r="L4" i="10"/>
  <c r="O3" i="10"/>
  <c r="L3" i="10"/>
  <c r="O2" i="10"/>
  <c r="L2" i="10"/>
  <c r="S58" i="9"/>
  <c r="S57" i="9"/>
  <c r="S11" i="9"/>
  <c r="P11" i="9"/>
  <c r="O11" i="9"/>
  <c r="L11" i="9"/>
  <c r="I11" i="9"/>
  <c r="F11" i="9"/>
  <c r="S6" i="9"/>
  <c r="P6" i="9"/>
  <c r="O6" i="9"/>
  <c r="L6" i="9"/>
  <c r="I6" i="9"/>
  <c r="F6" i="9"/>
  <c r="S24" i="9"/>
  <c r="P24" i="9"/>
  <c r="O24" i="9"/>
  <c r="L24" i="9"/>
  <c r="I24" i="9"/>
  <c r="F24" i="9"/>
  <c r="S5" i="9"/>
  <c r="P5" i="9"/>
  <c r="O5" i="9"/>
  <c r="L5" i="9"/>
  <c r="I5" i="9"/>
  <c r="F5" i="9"/>
  <c r="S7" i="9"/>
  <c r="P7" i="9"/>
  <c r="O7" i="9"/>
  <c r="L7" i="9"/>
  <c r="I7" i="9"/>
  <c r="F7" i="9"/>
  <c r="S38" i="9"/>
  <c r="P38" i="9"/>
  <c r="O38" i="9"/>
  <c r="L38" i="9"/>
  <c r="I38" i="9"/>
  <c r="F38" i="9"/>
  <c r="S12" i="9"/>
  <c r="P12" i="9"/>
  <c r="O12" i="9"/>
  <c r="L12" i="9"/>
  <c r="I12" i="9"/>
  <c r="F12" i="9"/>
  <c r="S8" i="9"/>
  <c r="P8" i="9"/>
  <c r="O8" i="9"/>
  <c r="L8" i="9"/>
  <c r="I8" i="9"/>
  <c r="F8" i="9"/>
  <c r="S25" i="9"/>
  <c r="P25" i="9"/>
  <c r="O25" i="9"/>
  <c r="L25" i="9"/>
  <c r="I25" i="9"/>
  <c r="F25" i="9"/>
  <c r="S17" i="9"/>
  <c r="P17" i="9"/>
  <c r="O17" i="9"/>
  <c r="L17" i="9"/>
  <c r="I17" i="9"/>
  <c r="F17" i="9"/>
  <c r="S16" i="9"/>
  <c r="P16" i="9"/>
  <c r="O16" i="9"/>
  <c r="L16" i="9"/>
  <c r="I16" i="9"/>
  <c r="F16" i="9"/>
  <c r="S30" i="9"/>
  <c r="P30" i="9"/>
  <c r="O30" i="9"/>
  <c r="L30" i="9"/>
  <c r="I30" i="9"/>
  <c r="F30" i="9"/>
  <c r="S37" i="9"/>
  <c r="P37" i="9"/>
  <c r="O37" i="9"/>
  <c r="L37" i="9"/>
  <c r="I37" i="9"/>
  <c r="F37" i="9"/>
  <c r="S48" i="9"/>
  <c r="P48" i="9"/>
  <c r="O48" i="9"/>
  <c r="L48" i="9"/>
  <c r="I48" i="9"/>
  <c r="F48" i="9"/>
  <c r="S26" i="9"/>
  <c r="P26" i="9"/>
  <c r="O26" i="9"/>
  <c r="L26" i="9"/>
  <c r="I26" i="9"/>
  <c r="F26" i="9"/>
  <c r="S46" i="9"/>
  <c r="P46" i="9"/>
  <c r="O46" i="9"/>
  <c r="L46" i="9"/>
  <c r="I46" i="9"/>
  <c r="F46" i="9"/>
  <c r="S23" i="9"/>
  <c r="P23" i="9"/>
  <c r="O23" i="9"/>
  <c r="L23" i="9"/>
  <c r="I23" i="9"/>
  <c r="F23" i="9"/>
  <c r="S22" i="9"/>
  <c r="P22" i="9"/>
  <c r="O22" i="9"/>
  <c r="L22" i="9"/>
  <c r="I22" i="9"/>
  <c r="F22" i="9"/>
  <c r="S21" i="9"/>
  <c r="P21" i="9"/>
  <c r="O21" i="9"/>
  <c r="L21" i="9"/>
  <c r="I21" i="9"/>
  <c r="F21" i="9"/>
  <c r="S9" i="9"/>
  <c r="P9" i="9"/>
  <c r="O9" i="9"/>
  <c r="L9" i="9"/>
  <c r="I9" i="9"/>
  <c r="F9" i="9"/>
  <c r="S40" i="9"/>
  <c r="P40" i="9"/>
  <c r="O40" i="9"/>
  <c r="L40" i="9"/>
  <c r="I40" i="9"/>
  <c r="F40" i="9"/>
  <c r="S50" i="9"/>
  <c r="P50" i="9"/>
  <c r="O50" i="9"/>
  <c r="L50" i="9"/>
  <c r="I50" i="9"/>
  <c r="F50" i="9"/>
  <c r="S20" i="9"/>
  <c r="P20" i="9"/>
  <c r="O20" i="9"/>
  <c r="L20" i="9"/>
  <c r="I20" i="9"/>
  <c r="F20" i="9"/>
  <c r="S28" i="9"/>
  <c r="P28" i="9"/>
  <c r="O28" i="9"/>
  <c r="L28" i="9"/>
  <c r="I28" i="9"/>
  <c r="F28" i="9"/>
  <c r="S45" i="9"/>
  <c r="P45" i="9"/>
  <c r="O45" i="9"/>
  <c r="L45" i="9"/>
  <c r="I45" i="9"/>
  <c r="F45" i="9"/>
  <c r="S18" i="9"/>
  <c r="P18" i="9"/>
  <c r="O18" i="9"/>
  <c r="L18" i="9"/>
  <c r="I18" i="9"/>
  <c r="F18" i="9"/>
  <c r="S19" i="9"/>
  <c r="P19" i="9"/>
  <c r="O19" i="9"/>
  <c r="L19" i="9"/>
  <c r="I19" i="9"/>
  <c r="F19" i="9"/>
  <c r="S39" i="9"/>
  <c r="P39" i="9"/>
  <c r="O39" i="9"/>
  <c r="L39" i="9"/>
  <c r="I39" i="9"/>
  <c r="F39" i="9"/>
  <c r="S51" i="9"/>
  <c r="P51" i="9"/>
  <c r="O51" i="9"/>
  <c r="L51" i="9"/>
  <c r="I51" i="9"/>
  <c r="F51" i="9"/>
  <c r="S33" i="9"/>
  <c r="P33" i="9"/>
  <c r="O33" i="9"/>
  <c r="L33" i="9"/>
  <c r="I33" i="9"/>
  <c r="F33" i="9"/>
  <c r="S10" i="9"/>
  <c r="P10" i="9"/>
  <c r="O10" i="9"/>
  <c r="L10" i="9"/>
  <c r="I10" i="9"/>
  <c r="F10" i="9"/>
  <c r="S36" i="9"/>
  <c r="P36" i="9"/>
  <c r="O36" i="9"/>
  <c r="L36" i="9"/>
  <c r="I36" i="9"/>
  <c r="F36" i="9"/>
  <c r="S47" i="9"/>
  <c r="P47" i="9"/>
  <c r="O47" i="9"/>
  <c r="L47" i="9"/>
  <c r="I47" i="9"/>
  <c r="F47" i="9"/>
  <c r="S42" i="9"/>
  <c r="P42" i="9"/>
  <c r="O42" i="9"/>
  <c r="L42" i="9"/>
  <c r="I42" i="9"/>
  <c r="F42" i="9"/>
  <c r="S44" i="9"/>
  <c r="P44" i="9"/>
  <c r="O44" i="9"/>
  <c r="L44" i="9"/>
  <c r="I44" i="9"/>
  <c r="F44" i="9"/>
  <c r="S27" i="9"/>
  <c r="P27" i="9"/>
  <c r="O27" i="9"/>
  <c r="L27" i="9"/>
  <c r="I27" i="9"/>
  <c r="F27" i="9"/>
  <c r="S35" i="9"/>
  <c r="P35" i="9"/>
  <c r="O35" i="9"/>
  <c r="L35" i="9"/>
  <c r="I35" i="9"/>
  <c r="F35" i="9"/>
  <c r="S49" i="9"/>
  <c r="P49" i="9"/>
  <c r="O49" i="9"/>
  <c r="L49" i="9"/>
  <c r="I49" i="9"/>
  <c r="F49" i="9"/>
  <c r="S34" i="9"/>
  <c r="P34" i="9"/>
  <c r="O34" i="9"/>
  <c r="L34" i="9"/>
  <c r="I34" i="9"/>
  <c r="F34" i="9"/>
  <c r="S4" i="9"/>
  <c r="P4" i="9"/>
  <c r="O4" i="9"/>
  <c r="L4" i="9"/>
  <c r="I4" i="9"/>
  <c r="F4" i="9"/>
  <c r="S43" i="9"/>
  <c r="P43" i="9"/>
  <c r="O43" i="9"/>
  <c r="L43" i="9"/>
  <c r="I43" i="9"/>
  <c r="F43" i="9"/>
  <c r="S14" i="9"/>
  <c r="P14" i="9"/>
  <c r="O14" i="9"/>
  <c r="L14" i="9"/>
  <c r="I14" i="9"/>
  <c r="F14" i="9"/>
  <c r="S13" i="9"/>
  <c r="P13" i="9"/>
  <c r="O13" i="9"/>
  <c r="L13" i="9"/>
  <c r="I13" i="9"/>
  <c r="F13" i="9"/>
  <c r="S15" i="9"/>
  <c r="P15" i="9"/>
  <c r="O15" i="9"/>
  <c r="L15" i="9"/>
  <c r="I15" i="9"/>
  <c r="F15" i="9"/>
  <c r="S31" i="9"/>
  <c r="P31" i="9"/>
  <c r="O31" i="9"/>
  <c r="L31" i="9"/>
  <c r="I31" i="9"/>
  <c r="F31" i="9"/>
  <c r="S29" i="9"/>
  <c r="P29" i="9"/>
  <c r="O29" i="9"/>
  <c r="L29" i="9"/>
  <c r="I29" i="9"/>
  <c r="F29" i="9"/>
  <c r="S41" i="9"/>
  <c r="P41" i="9"/>
  <c r="O41" i="9"/>
  <c r="L41" i="9"/>
  <c r="I41" i="9"/>
  <c r="F41" i="9"/>
  <c r="S2" i="9"/>
  <c r="O2" i="9"/>
  <c r="L2" i="9"/>
  <c r="I2" i="9"/>
  <c r="F2" i="9"/>
  <c r="S3" i="9"/>
  <c r="O3" i="9"/>
  <c r="L3" i="9"/>
  <c r="I3" i="9"/>
  <c r="F3" i="9"/>
  <c r="S32" i="9"/>
  <c r="P32" i="9"/>
  <c r="O32" i="9"/>
  <c r="L32" i="9"/>
  <c r="I32" i="9"/>
  <c r="F32" i="9"/>
  <c r="O3" i="4"/>
  <c r="O12" i="4"/>
  <c r="O48" i="4"/>
  <c r="O50" i="4"/>
  <c r="O47" i="4"/>
  <c r="O44" i="4"/>
  <c r="O32" i="4"/>
  <c r="O21" i="4"/>
  <c r="O51" i="4"/>
  <c r="O45" i="4"/>
  <c r="O9" i="4"/>
  <c r="O10" i="4"/>
  <c r="O8" i="4"/>
  <c r="O41" i="4"/>
  <c r="O42" i="4"/>
  <c r="O26" i="4"/>
  <c r="O25" i="4"/>
  <c r="O29" i="4"/>
  <c r="O33" i="4"/>
  <c r="O34" i="4"/>
  <c r="O35" i="4"/>
  <c r="O49" i="4"/>
  <c r="O43" i="4"/>
  <c r="O37" i="4"/>
  <c r="O16" i="4"/>
  <c r="O28" i="4"/>
  <c r="O6" i="4"/>
  <c r="O40" i="4"/>
  <c r="O7" i="4"/>
  <c r="O2" i="4"/>
  <c r="O22" i="4"/>
  <c r="O13" i="4"/>
  <c r="O15" i="4"/>
  <c r="O20" i="4"/>
  <c r="O39" i="4"/>
  <c r="O46" i="4"/>
  <c r="O24" i="4"/>
  <c r="O31" i="4"/>
  <c r="O5" i="4"/>
  <c r="O18" i="4"/>
  <c r="O11" i="4"/>
  <c r="O17" i="4"/>
  <c r="O27" i="4"/>
  <c r="O36" i="4"/>
  <c r="O19" i="4"/>
  <c r="O38" i="4"/>
  <c r="O14" i="4"/>
  <c r="O30" i="4"/>
  <c r="O23" i="4"/>
  <c r="O4" i="4"/>
  <c r="S3" i="4"/>
  <c r="S12" i="4"/>
  <c r="S48" i="4"/>
  <c r="S50" i="4"/>
  <c r="S47" i="4"/>
  <c r="S44" i="4"/>
  <c r="S32" i="4"/>
  <c r="S21" i="4"/>
  <c r="S51" i="4"/>
  <c r="S45" i="4"/>
  <c r="S9" i="4"/>
  <c r="S10" i="4"/>
  <c r="S8" i="4"/>
  <c r="S41" i="4"/>
  <c r="S42" i="4"/>
  <c r="S26" i="4"/>
  <c r="S25" i="4"/>
  <c r="S29" i="4"/>
  <c r="S33" i="4"/>
  <c r="S34" i="4"/>
  <c r="S35" i="4"/>
  <c r="S49" i="4"/>
  <c r="S43" i="4"/>
  <c r="S37" i="4"/>
  <c r="S16" i="4"/>
  <c r="S28" i="4"/>
  <c r="S6" i="4"/>
  <c r="S40" i="4"/>
  <c r="S7" i="4"/>
  <c r="S2" i="4"/>
  <c r="S22" i="4"/>
  <c r="S13" i="4"/>
  <c r="S15" i="4"/>
  <c r="S20" i="4"/>
  <c r="S39" i="4"/>
  <c r="S46" i="4"/>
  <c r="S24" i="4"/>
  <c r="S31" i="4"/>
  <c r="S5" i="4"/>
  <c r="S18" i="4"/>
  <c r="S11" i="4"/>
  <c r="S17" i="4"/>
  <c r="S27" i="4"/>
  <c r="S36" i="4"/>
  <c r="S19" i="4"/>
  <c r="S38" i="4"/>
  <c r="S14" i="4"/>
  <c r="S30" i="4"/>
  <c r="S23" i="4"/>
  <c r="S4" i="4"/>
  <c r="P2" i="4"/>
  <c r="P22" i="4"/>
  <c r="P13" i="4"/>
  <c r="P15" i="4"/>
  <c r="P20" i="4"/>
  <c r="P39" i="4"/>
  <c r="P46" i="4"/>
  <c r="P24" i="4"/>
  <c r="P31" i="4"/>
  <c r="P5" i="4"/>
  <c r="P18" i="4"/>
  <c r="P11" i="4"/>
  <c r="P17" i="4"/>
  <c r="P27" i="4"/>
  <c r="P36" i="4"/>
  <c r="P19" i="4"/>
  <c r="P38" i="4"/>
  <c r="P14" i="4"/>
  <c r="P30" i="4"/>
  <c r="P23" i="4"/>
  <c r="P48" i="4"/>
  <c r="P50" i="4"/>
  <c r="P47" i="4"/>
  <c r="P44" i="4"/>
  <c r="P32" i="4"/>
  <c r="P21" i="4"/>
  <c r="P51" i="4"/>
  <c r="P45" i="4"/>
  <c r="P9" i="4"/>
  <c r="P10" i="4"/>
  <c r="P8" i="4"/>
  <c r="P41" i="4"/>
  <c r="P42" i="4"/>
  <c r="P26" i="4"/>
  <c r="P25" i="4"/>
  <c r="P29" i="4"/>
  <c r="P33" i="4"/>
  <c r="P34" i="4"/>
  <c r="P35" i="4"/>
  <c r="P49" i="4"/>
  <c r="P43" i="4"/>
  <c r="P37" i="4"/>
  <c r="P16" i="4"/>
  <c r="P28" i="4"/>
  <c r="P6" i="4"/>
  <c r="P40" i="4"/>
  <c r="P7" i="4"/>
  <c r="P12" i="4"/>
  <c r="L48" i="4"/>
  <c r="L50" i="4"/>
  <c r="L47" i="4"/>
  <c r="L44" i="4"/>
  <c r="L32" i="4"/>
  <c r="L21" i="4"/>
  <c r="L51" i="4"/>
  <c r="L45" i="4"/>
  <c r="L9" i="4"/>
  <c r="L10" i="4"/>
  <c r="L8" i="4"/>
  <c r="L41" i="4"/>
  <c r="L42" i="4"/>
  <c r="L26" i="4"/>
  <c r="L25" i="4"/>
  <c r="L29" i="4"/>
  <c r="L33" i="4"/>
  <c r="L34" i="4"/>
  <c r="L35" i="4"/>
  <c r="L49" i="4"/>
  <c r="L43" i="4"/>
  <c r="L37" i="4"/>
  <c r="L16" i="4"/>
  <c r="L28" i="4"/>
  <c r="L6" i="4"/>
  <c r="L40" i="4"/>
  <c r="L7" i="4"/>
  <c r="L2" i="4"/>
  <c r="L22" i="4"/>
  <c r="L13" i="4"/>
  <c r="L15" i="4"/>
  <c r="L20" i="4"/>
  <c r="L39" i="4"/>
  <c r="L46" i="4"/>
  <c r="L24" i="4"/>
  <c r="L31" i="4"/>
  <c r="L5" i="4"/>
  <c r="L18" i="4"/>
  <c r="L11" i="4"/>
  <c r="L17" i="4"/>
  <c r="L27" i="4"/>
  <c r="L36" i="4"/>
  <c r="L19" i="4"/>
  <c r="L38" i="4"/>
  <c r="L14" i="4"/>
  <c r="L30" i="4"/>
  <c r="L23" i="4"/>
  <c r="L4" i="4"/>
  <c r="L3" i="4"/>
  <c r="L12" i="4"/>
  <c r="F5" i="4"/>
  <c r="F31" i="4"/>
  <c r="F46" i="4"/>
  <c r="F39" i="4"/>
  <c r="F15" i="4"/>
  <c r="F22" i="4"/>
  <c r="F2" i="4"/>
  <c r="F13" i="4"/>
  <c r="F20" i="4"/>
  <c r="F24" i="4"/>
  <c r="F18" i="4"/>
  <c r="F11" i="4"/>
  <c r="F17" i="4"/>
  <c r="F27" i="4"/>
  <c r="F36" i="4"/>
  <c r="F19" i="4"/>
  <c r="F38" i="4"/>
  <c r="F14" i="4"/>
  <c r="F30" i="4"/>
  <c r="F23" i="4"/>
  <c r="I2" i="4"/>
  <c r="I22" i="4"/>
  <c r="I13" i="4"/>
  <c r="I15" i="4"/>
  <c r="I20" i="4"/>
  <c r="I39" i="4"/>
  <c r="I46" i="4"/>
  <c r="I24" i="4"/>
  <c r="I31" i="4"/>
  <c r="I5" i="4"/>
  <c r="I18" i="4"/>
  <c r="I11" i="4"/>
  <c r="I17" i="4"/>
  <c r="I27" i="4"/>
  <c r="I36" i="4"/>
  <c r="I19" i="4"/>
  <c r="I38" i="4"/>
  <c r="I14" i="4"/>
  <c r="I30" i="4"/>
  <c r="I23" i="4"/>
  <c r="I31" i="5"/>
  <c r="G31" i="5"/>
  <c r="M31" i="5"/>
  <c r="L31" i="5"/>
  <c r="I30" i="5"/>
  <c r="G30" i="5"/>
  <c r="M30" i="5"/>
  <c r="L30" i="5"/>
  <c r="I29" i="5"/>
  <c r="G29" i="5"/>
  <c r="M29" i="5"/>
  <c r="L29" i="5"/>
  <c r="I28" i="5"/>
  <c r="G28" i="5"/>
  <c r="M28" i="5"/>
  <c r="L28" i="5"/>
  <c r="I27" i="5"/>
  <c r="G27" i="5"/>
  <c r="M27" i="5"/>
  <c r="L27" i="5"/>
  <c r="I26" i="5"/>
  <c r="G26" i="5"/>
  <c r="M26" i="5"/>
  <c r="L26" i="5"/>
  <c r="I25" i="5"/>
  <c r="G25" i="5"/>
  <c r="M25" i="5"/>
  <c r="L25" i="5"/>
  <c r="I24" i="5"/>
  <c r="G24" i="5"/>
  <c r="M24" i="5"/>
  <c r="L24" i="5"/>
  <c r="I23" i="5"/>
  <c r="G23" i="5"/>
  <c r="M23" i="5"/>
  <c r="L23" i="5"/>
  <c r="I22" i="5"/>
  <c r="G22" i="5"/>
  <c r="M22" i="5"/>
  <c r="L22" i="5"/>
  <c r="I21" i="5"/>
  <c r="G21" i="5"/>
  <c r="M21" i="5"/>
  <c r="L21" i="5"/>
  <c r="I20" i="5"/>
  <c r="G20" i="5"/>
  <c r="M20" i="5"/>
  <c r="L20" i="5"/>
  <c r="I19" i="5"/>
  <c r="G19" i="5"/>
  <c r="M19" i="5"/>
  <c r="L19" i="5"/>
  <c r="I18" i="5"/>
  <c r="G18" i="5"/>
  <c r="M18" i="5"/>
  <c r="L18" i="5"/>
  <c r="I17" i="5"/>
  <c r="G17" i="5"/>
  <c r="M17" i="5"/>
  <c r="L17" i="5"/>
  <c r="I16" i="5"/>
  <c r="G16" i="5"/>
  <c r="M16" i="5"/>
  <c r="L16" i="5"/>
  <c r="I15" i="5"/>
  <c r="G15" i="5"/>
  <c r="M15" i="5"/>
  <c r="L15" i="5"/>
  <c r="I14" i="5"/>
  <c r="G14" i="5"/>
  <c r="M14" i="5"/>
  <c r="L14" i="5"/>
  <c r="I13" i="5"/>
  <c r="G13" i="5"/>
  <c r="M13" i="5"/>
  <c r="L13" i="5"/>
  <c r="I12" i="5"/>
  <c r="G12" i="5"/>
  <c r="M12" i="5"/>
  <c r="L12" i="5"/>
  <c r="I11" i="5"/>
  <c r="G11" i="5"/>
  <c r="M11" i="5"/>
  <c r="L11" i="5"/>
  <c r="I10" i="5"/>
  <c r="G10" i="5"/>
  <c r="M10" i="5"/>
  <c r="L10" i="5"/>
  <c r="I9" i="5"/>
  <c r="G9" i="5"/>
  <c r="M9" i="5"/>
  <c r="L9" i="5"/>
  <c r="I8" i="5"/>
  <c r="G8" i="5"/>
  <c r="M8" i="5"/>
  <c r="L8" i="5"/>
  <c r="I7" i="5"/>
  <c r="G7" i="5"/>
  <c r="M7" i="5"/>
  <c r="L7" i="5"/>
  <c r="I6" i="5"/>
  <c r="G6" i="5"/>
  <c r="M6" i="5"/>
  <c r="L6" i="5"/>
  <c r="I5" i="5"/>
  <c r="G5" i="5"/>
  <c r="M5" i="5"/>
  <c r="L5" i="5"/>
  <c r="I4" i="5"/>
  <c r="G4" i="5"/>
  <c r="M4" i="5"/>
  <c r="L4" i="5"/>
  <c r="I3" i="5"/>
  <c r="G3" i="5"/>
  <c r="M3" i="5"/>
  <c r="L3" i="5"/>
  <c r="I2" i="5"/>
  <c r="G2" i="5"/>
  <c r="M2" i="5"/>
  <c r="L2" i="5"/>
  <c r="I3" i="4"/>
  <c r="I7" i="4"/>
  <c r="I37" i="4"/>
  <c r="I12" i="4"/>
  <c r="I4" i="4"/>
  <c r="I26" i="4"/>
  <c r="I8" i="4"/>
  <c r="I48" i="4"/>
  <c r="I49" i="4"/>
  <c r="I6" i="4"/>
  <c r="I16" i="4"/>
  <c r="I40" i="4"/>
  <c r="I44" i="4"/>
  <c r="I9" i="4"/>
  <c r="I50" i="4"/>
  <c r="I51" i="4"/>
  <c r="I21" i="4"/>
  <c r="I45" i="4"/>
  <c r="I10" i="4"/>
  <c r="I25" i="4"/>
  <c r="I34" i="4"/>
  <c r="I42" i="4"/>
  <c r="I35" i="4"/>
  <c r="I41" i="4"/>
  <c r="I29" i="4"/>
  <c r="I28" i="4"/>
  <c r="I33" i="4"/>
  <c r="I47" i="4"/>
  <c r="I32" i="4"/>
  <c r="I43" i="4"/>
  <c r="F4" i="4"/>
  <c r="F26" i="4"/>
  <c r="F8" i="4"/>
  <c r="F48" i="4"/>
  <c r="F49" i="4"/>
  <c r="F6" i="4"/>
  <c r="F3" i="4"/>
  <c r="F16" i="4"/>
  <c r="F7" i="4"/>
  <c r="F40" i="4"/>
  <c r="F37" i="4"/>
  <c r="F44" i="4"/>
  <c r="F9" i="4"/>
  <c r="F50" i="4"/>
  <c r="F51" i="4"/>
  <c r="F21" i="4"/>
  <c r="F45" i="4"/>
  <c r="F10" i="4"/>
  <c r="F25" i="4"/>
  <c r="F34" i="4"/>
  <c r="F12" i="4"/>
  <c r="F42" i="4"/>
  <c r="F35" i="4"/>
  <c r="F41" i="4"/>
  <c r="F29" i="4"/>
  <c r="F28" i="4"/>
  <c r="F33" i="4"/>
  <c r="F47" i="4"/>
  <c r="F32" i="4"/>
  <c r="F43" i="4"/>
  <c r="T55" i="3"/>
  <c r="V55" i="3"/>
  <c r="T54" i="3"/>
  <c r="V54" i="3"/>
  <c r="T53" i="3"/>
  <c r="V53" i="3"/>
  <c r="T52" i="3"/>
  <c r="V52" i="3"/>
  <c r="T51" i="3"/>
  <c r="V51" i="3"/>
  <c r="T50" i="3"/>
  <c r="V50" i="3"/>
  <c r="T49" i="3"/>
  <c r="V49" i="3"/>
  <c r="T48" i="3"/>
  <c r="V48" i="3"/>
  <c r="T47" i="3"/>
  <c r="V47" i="3"/>
  <c r="T46" i="3"/>
  <c r="V46" i="3"/>
  <c r="T45" i="3"/>
  <c r="V45" i="3"/>
  <c r="T44" i="3"/>
  <c r="V44" i="3"/>
  <c r="T43" i="3"/>
  <c r="V43" i="3"/>
  <c r="T42" i="3"/>
  <c r="V42" i="3"/>
  <c r="T41" i="3"/>
  <c r="V41" i="3"/>
  <c r="T40" i="3"/>
  <c r="V40" i="3"/>
  <c r="T39" i="3"/>
  <c r="V39" i="3"/>
  <c r="T38" i="3"/>
  <c r="V38" i="3"/>
  <c r="T37" i="3"/>
  <c r="V37" i="3"/>
  <c r="T36" i="3"/>
  <c r="V36" i="3"/>
  <c r="T35" i="3"/>
  <c r="V35" i="3"/>
  <c r="T34" i="3"/>
  <c r="V34" i="3"/>
  <c r="T33" i="3"/>
  <c r="V33" i="3"/>
  <c r="T32" i="3"/>
  <c r="V32" i="3"/>
  <c r="T31" i="3"/>
  <c r="V31" i="3"/>
  <c r="T30" i="3"/>
  <c r="V30" i="3"/>
  <c r="T29" i="3"/>
  <c r="V29" i="3"/>
  <c r="T28" i="3"/>
  <c r="V28" i="3"/>
  <c r="T27" i="3"/>
  <c r="V27" i="3"/>
  <c r="T26" i="3"/>
  <c r="V26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N13" i="3"/>
  <c r="L13" i="3"/>
  <c r="J13" i="3"/>
  <c r="H13" i="3"/>
  <c r="F13" i="3"/>
  <c r="D13" i="3"/>
  <c r="C13" i="3"/>
  <c r="B13" i="3"/>
  <c r="E13" i="3"/>
  <c r="G13" i="3"/>
  <c r="I13" i="3"/>
  <c r="K13" i="3"/>
  <c r="M13" i="3"/>
  <c r="O13" i="3"/>
  <c r="AF13" i="3"/>
  <c r="AF17" i="3"/>
  <c r="D27" i="3"/>
  <c r="AF2" i="3"/>
  <c r="AF3" i="3"/>
  <c r="AF4" i="3"/>
  <c r="AF5" i="3"/>
  <c r="AF6" i="3"/>
  <c r="AF7" i="3"/>
  <c r="AF8" i="3"/>
  <c r="AF9" i="3"/>
  <c r="AF10" i="3"/>
  <c r="AF11" i="3"/>
  <c r="AF12" i="3"/>
  <c r="AF14" i="3"/>
  <c r="AF15" i="3"/>
  <c r="AF16" i="3"/>
  <c r="AF18" i="3"/>
  <c r="AF19" i="3"/>
  <c r="AF20" i="3"/>
  <c r="AF21" i="3"/>
  <c r="AF22" i="3"/>
  <c r="B35" i="2"/>
  <c r="B36" i="2"/>
  <c r="B37" i="2"/>
  <c r="B38" i="2"/>
  <c r="B39" i="2"/>
  <c r="B40" i="2"/>
  <c r="B41" i="2"/>
  <c r="B42" i="2"/>
  <c r="B52" i="2"/>
  <c r="AE35" i="2"/>
  <c r="AE36" i="2"/>
  <c r="AE37" i="2"/>
  <c r="AE38" i="2"/>
  <c r="AE39" i="2"/>
  <c r="AE40" i="2"/>
  <c r="AE41" i="2"/>
  <c r="AE42" i="2"/>
  <c r="AE52" i="2"/>
  <c r="AD35" i="2"/>
  <c r="AD36" i="2"/>
  <c r="AD37" i="2"/>
  <c r="AD38" i="2"/>
  <c r="AD39" i="2"/>
  <c r="AD40" i="2"/>
  <c r="AD41" i="2"/>
  <c r="AD42" i="2"/>
  <c r="AD52" i="2"/>
  <c r="AC35" i="2"/>
  <c r="AC36" i="2"/>
  <c r="AC37" i="2"/>
  <c r="AC38" i="2"/>
  <c r="AC39" i="2"/>
  <c r="AC40" i="2"/>
  <c r="AC41" i="2"/>
  <c r="AC42" i="2"/>
  <c r="AC52" i="2"/>
  <c r="AB35" i="2"/>
  <c r="AB36" i="2"/>
  <c r="AB37" i="2"/>
  <c r="AB38" i="2"/>
  <c r="AB39" i="2"/>
  <c r="AB40" i="2"/>
  <c r="AB41" i="2"/>
  <c r="AB42" i="2"/>
  <c r="AB52" i="2"/>
  <c r="AA35" i="2"/>
  <c r="AA36" i="2"/>
  <c r="AA37" i="2"/>
  <c r="AA38" i="2"/>
  <c r="AA39" i="2"/>
  <c r="AA40" i="2"/>
  <c r="AA41" i="2"/>
  <c r="AA42" i="2"/>
  <c r="AA52" i="2"/>
  <c r="Z35" i="2"/>
  <c r="Z36" i="2"/>
  <c r="Z37" i="2"/>
  <c r="Z38" i="2"/>
  <c r="Z39" i="2"/>
  <c r="Z40" i="2"/>
  <c r="Z41" i="2"/>
  <c r="Z42" i="2"/>
  <c r="Z52" i="2"/>
  <c r="Y35" i="2"/>
  <c r="Y36" i="2"/>
  <c r="Y37" i="2"/>
  <c r="Y38" i="2"/>
  <c r="Y39" i="2"/>
  <c r="Y40" i="2"/>
  <c r="Y41" i="2"/>
  <c r="Y42" i="2"/>
  <c r="Y52" i="2"/>
  <c r="X35" i="2"/>
  <c r="X36" i="2"/>
  <c r="X37" i="2"/>
  <c r="X38" i="2"/>
  <c r="X39" i="2"/>
  <c r="X40" i="2"/>
  <c r="X41" i="2"/>
  <c r="X42" i="2"/>
  <c r="X52" i="2"/>
  <c r="W35" i="2"/>
  <c r="W36" i="2"/>
  <c r="W37" i="2"/>
  <c r="W38" i="2"/>
  <c r="W39" i="2"/>
  <c r="W40" i="2"/>
  <c r="W41" i="2"/>
  <c r="W42" i="2"/>
  <c r="W52" i="2"/>
  <c r="V35" i="2"/>
  <c r="V36" i="2"/>
  <c r="V37" i="2"/>
  <c r="V38" i="2"/>
  <c r="V39" i="2"/>
  <c r="V40" i="2"/>
  <c r="V41" i="2"/>
  <c r="V42" i="2"/>
  <c r="V52" i="2"/>
  <c r="U35" i="2"/>
  <c r="U36" i="2"/>
  <c r="U37" i="2"/>
  <c r="U38" i="2"/>
  <c r="U39" i="2"/>
  <c r="U40" i="2"/>
  <c r="U41" i="2"/>
  <c r="U42" i="2"/>
  <c r="U52" i="2"/>
  <c r="T35" i="2"/>
  <c r="T36" i="2"/>
  <c r="T37" i="2"/>
  <c r="T38" i="2"/>
  <c r="T39" i="2"/>
  <c r="T40" i="2"/>
  <c r="T41" i="2"/>
  <c r="T42" i="2"/>
  <c r="T52" i="2"/>
  <c r="S35" i="2"/>
  <c r="S36" i="2"/>
  <c r="S37" i="2"/>
  <c r="S38" i="2"/>
  <c r="S39" i="2"/>
  <c r="S40" i="2"/>
  <c r="S41" i="2"/>
  <c r="S42" i="2"/>
  <c r="S52" i="2"/>
  <c r="R35" i="2"/>
  <c r="R36" i="2"/>
  <c r="R37" i="2"/>
  <c r="R38" i="2"/>
  <c r="R39" i="2"/>
  <c r="R40" i="2"/>
  <c r="R41" i="2"/>
  <c r="R42" i="2"/>
  <c r="R52" i="2"/>
  <c r="Q35" i="2"/>
  <c r="Q36" i="2"/>
  <c r="Q37" i="2"/>
  <c r="Q38" i="2"/>
  <c r="Q39" i="2"/>
  <c r="Q40" i="2"/>
  <c r="Q41" i="2"/>
  <c r="Q42" i="2"/>
  <c r="Q52" i="2"/>
  <c r="P35" i="2"/>
  <c r="P36" i="2"/>
  <c r="P37" i="2"/>
  <c r="P38" i="2"/>
  <c r="P39" i="2"/>
  <c r="P40" i="2"/>
  <c r="P41" i="2"/>
  <c r="P42" i="2"/>
  <c r="P52" i="2"/>
  <c r="O35" i="2"/>
  <c r="O36" i="2"/>
  <c r="O37" i="2"/>
  <c r="O38" i="2"/>
  <c r="O39" i="2"/>
  <c r="O40" i="2"/>
  <c r="O41" i="2"/>
  <c r="O42" i="2"/>
  <c r="O52" i="2"/>
  <c r="N35" i="2"/>
  <c r="N36" i="2"/>
  <c r="N37" i="2"/>
  <c r="N38" i="2"/>
  <c r="N39" i="2"/>
  <c r="N40" i="2"/>
  <c r="N41" i="2"/>
  <c r="N42" i="2"/>
  <c r="N52" i="2"/>
  <c r="M35" i="2"/>
  <c r="M36" i="2"/>
  <c r="M37" i="2"/>
  <c r="M38" i="2"/>
  <c r="M39" i="2"/>
  <c r="M40" i="2"/>
  <c r="M41" i="2"/>
  <c r="M42" i="2"/>
  <c r="M52" i="2"/>
  <c r="L35" i="2"/>
  <c r="L36" i="2"/>
  <c r="L37" i="2"/>
  <c r="L38" i="2"/>
  <c r="L39" i="2"/>
  <c r="L40" i="2"/>
  <c r="L41" i="2"/>
  <c r="L42" i="2"/>
  <c r="L52" i="2"/>
  <c r="K35" i="2"/>
  <c r="K36" i="2"/>
  <c r="K37" i="2"/>
  <c r="K38" i="2"/>
  <c r="K39" i="2"/>
  <c r="K40" i="2"/>
  <c r="K41" i="2"/>
  <c r="K42" i="2"/>
  <c r="K52" i="2"/>
  <c r="J35" i="2"/>
  <c r="J36" i="2"/>
  <c r="J37" i="2"/>
  <c r="J38" i="2"/>
  <c r="J39" i="2"/>
  <c r="J40" i="2"/>
  <c r="J41" i="2"/>
  <c r="J42" i="2"/>
  <c r="J52" i="2"/>
  <c r="I35" i="2"/>
  <c r="I36" i="2"/>
  <c r="I37" i="2"/>
  <c r="I38" i="2"/>
  <c r="I39" i="2"/>
  <c r="I40" i="2"/>
  <c r="I41" i="2"/>
  <c r="I42" i="2"/>
  <c r="I52" i="2"/>
  <c r="H35" i="2"/>
  <c r="H36" i="2"/>
  <c r="H37" i="2"/>
  <c r="H38" i="2"/>
  <c r="H39" i="2"/>
  <c r="H40" i="2"/>
  <c r="H41" i="2"/>
  <c r="H42" i="2"/>
  <c r="H52" i="2"/>
  <c r="G35" i="2"/>
  <c r="G36" i="2"/>
  <c r="G37" i="2"/>
  <c r="G38" i="2"/>
  <c r="G39" i="2"/>
  <c r="G40" i="2"/>
  <c r="G41" i="2"/>
  <c r="G42" i="2"/>
  <c r="G52" i="2"/>
  <c r="F35" i="2"/>
  <c r="F36" i="2"/>
  <c r="F37" i="2"/>
  <c r="F38" i="2"/>
  <c r="F39" i="2"/>
  <c r="F40" i="2"/>
  <c r="F41" i="2"/>
  <c r="F42" i="2"/>
  <c r="F52" i="2"/>
  <c r="E35" i="2"/>
  <c r="E36" i="2"/>
  <c r="E37" i="2"/>
  <c r="E38" i="2"/>
  <c r="E39" i="2"/>
  <c r="E40" i="2"/>
  <c r="E41" i="2"/>
  <c r="E42" i="2"/>
  <c r="E52" i="2"/>
  <c r="D35" i="2"/>
  <c r="D36" i="2"/>
  <c r="D37" i="2"/>
  <c r="D38" i="2"/>
  <c r="D39" i="2"/>
  <c r="D40" i="2"/>
  <c r="D41" i="2"/>
  <c r="D42" i="2"/>
  <c r="D52" i="2"/>
  <c r="C35" i="2"/>
  <c r="C36" i="2"/>
  <c r="C37" i="2"/>
  <c r="C38" i="2"/>
  <c r="C39" i="2"/>
  <c r="C40" i="2"/>
  <c r="C41" i="2"/>
  <c r="C42" i="2"/>
  <c r="C52" i="2"/>
  <c r="AF35" i="2"/>
  <c r="AF36" i="2"/>
  <c r="AF37" i="2"/>
  <c r="AF38" i="2"/>
  <c r="AF39" i="2"/>
  <c r="AF40" i="2"/>
  <c r="AF41" i="2"/>
  <c r="AF42" i="2"/>
</calcChain>
</file>

<file path=xl/sharedStrings.xml><?xml version="1.0" encoding="utf-8"?>
<sst xmlns="http://schemas.openxmlformats.org/spreadsheetml/2006/main" count="2748" uniqueCount="317">
  <si>
    <t>決定木の要素</t>
    <rPh sb="0" eb="3">
      <t>ケッテイキ</t>
    </rPh>
    <rPh sb="4" eb="6">
      <t>ヨウソ</t>
    </rPh>
    <phoneticPr fontId="1"/>
  </si>
  <si>
    <t>Fork</t>
    <phoneticPr fontId="1"/>
  </si>
  <si>
    <t>Star</t>
    <phoneticPr fontId="1"/>
  </si>
  <si>
    <t>watch</t>
    <phoneticPr fontId="1"/>
  </si>
  <si>
    <t>Issues</t>
    <phoneticPr fontId="1"/>
  </si>
  <si>
    <t>PullRequest</t>
    <phoneticPr fontId="1"/>
  </si>
  <si>
    <t>Wiki</t>
    <phoneticPr fontId="1"/>
  </si>
  <si>
    <t>Branch</t>
    <phoneticPr fontId="1"/>
  </si>
  <si>
    <t>要素の説明</t>
    <rPh sb="0" eb="2">
      <t>ヨウソ</t>
    </rPh>
    <rPh sb="3" eb="5">
      <t>セツメイ</t>
    </rPh>
    <phoneticPr fontId="1"/>
  </si>
  <si>
    <t>自分のリポジトリに相手のリポジトリを複製する</t>
    <rPh sb="0" eb="2">
      <t>ジブン</t>
    </rPh>
    <rPh sb="9" eb="11">
      <t>アイテ</t>
    </rPh>
    <rPh sb="18" eb="20">
      <t>フクセイ</t>
    </rPh>
    <phoneticPr fontId="1"/>
  </si>
  <si>
    <t>たすくや、問題点を書き込める</t>
    <rPh sb="5" eb="8">
      <t>モンダイテン</t>
    </rPh>
    <rPh sb="9" eb="10">
      <t>カ</t>
    </rPh>
    <rPh sb="11" eb="12">
      <t>コ</t>
    </rPh>
    <phoneticPr fontId="1"/>
  </si>
  <si>
    <t>自分のリポジトリの変更点を相手のリポジトリに、いれてもらう</t>
    <rPh sb="0" eb="2">
      <t>ジブン</t>
    </rPh>
    <rPh sb="9" eb="12">
      <t>ヘンコウテン</t>
    </rPh>
    <rPh sb="13" eb="15">
      <t>アイテ</t>
    </rPh>
    <phoneticPr fontId="1"/>
  </si>
  <si>
    <t>知識のたまり場をつくれる</t>
    <rPh sb="0" eb="2">
      <t>チシキ</t>
    </rPh>
    <rPh sb="6" eb="7">
      <t>バ</t>
    </rPh>
    <phoneticPr fontId="1"/>
  </si>
  <si>
    <t>リポジトリを複製できる</t>
    <rPh sb="6" eb="8">
      <t>フクセイ</t>
    </rPh>
    <phoneticPr fontId="1"/>
  </si>
  <si>
    <t>リポジトリの動向を監視できる</t>
    <rPh sb="6" eb="8">
      <t>ドウコウ</t>
    </rPh>
    <rPh sb="9" eb="11">
      <t>カンシ</t>
    </rPh>
    <phoneticPr fontId="1"/>
  </si>
  <si>
    <t>いいね！のような機能</t>
    <rPh sb="8" eb="10">
      <t>キノウ</t>
    </rPh>
    <phoneticPr fontId="1"/>
  </si>
  <si>
    <t>タグ</t>
    <phoneticPr fontId="1"/>
  </si>
  <si>
    <t>タグをつけられる</t>
    <phoneticPr fontId="1"/>
  </si>
  <si>
    <t>No</t>
    <phoneticPr fontId="1"/>
  </si>
  <si>
    <t>プロジェクト名</t>
    <rPh sb="6" eb="7">
      <t>メイ</t>
    </rPh>
    <phoneticPr fontId="1"/>
  </si>
  <si>
    <t>プロジェクトNo.</t>
    <phoneticPr fontId="1"/>
  </si>
  <si>
    <t>決定木の要素(ある場合○、ない場合×)</t>
    <rPh sb="0" eb="3">
      <t>ケッテイキ</t>
    </rPh>
    <rPh sb="4" eb="6">
      <t>ヨウソ</t>
    </rPh>
    <rPh sb="9" eb="11">
      <t>バアイ</t>
    </rPh>
    <rPh sb="15" eb="17">
      <t>バアイ</t>
    </rPh>
    <phoneticPr fontId="1"/>
  </si>
  <si>
    <t>MLPNeuralNet</t>
  </si>
  <si>
    <t>Fork</t>
    <phoneticPr fontId="1"/>
  </si>
  <si>
    <t>Star</t>
    <phoneticPr fontId="1"/>
  </si>
  <si>
    <t>Watch</t>
    <phoneticPr fontId="1"/>
  </si>
  <si>
    <t>Issues</t>
    <phoneticPr fontId="1"/>
  </si>
  <si>
    <t>PullRequest</t>
    <phoneticPr fontId="1"/>
  </si>
  <si>
    <t>Wiki</t>
    <phoneticPr fontId="1"/>
  </si>
  <si>
    <t>Branch</t>
    <phoneticPr fontId="1"/>
  </si>
  <si>
    <t>○</t>
    <phoneticPr fontId="1"/>
  </si>
  <si>
    <t>×</t>
    <phoneticPr fontId="1"/>
  </si>
  <si>
    <t>convnetjs</t>
  </si>
  <si>
    <t>○</t>
    <phoneticPr fontId="1"/>
  </si>
  <si>
    <t>Wikiは、Homeのみの場合は、なしとする</t>
    <rPh sb="13" eb="15">
      <t>バアイ</t>
    </rPh>
    <phoneticPr fontId="1"/>
  </si>
  <si>
    <t>×</t>
    <phoneticPr fontId="1"/>
  </si>
  <si>
    <t>ruby-warrior</t>
  </si>
  <si>
    <t>django</t>
  </si>
  <si>
    <t>rails</t>
  </si>
  <si>
    <t>○</t>
    <phoneticPr fontId="1"/>
  </si>
  <si>
    <t>cakephp</t>
  </si>
  <si>
    <t>sass</t>
  </si>
  <si>
    <t>○</t>
  </si>
  <si>
    <t>○</t>
    <phoneticPr fontId="1"/>
  </si>
  <si>
    <t>×</t>
    <phoneticPr fontId="1"/>
  </si>
  <si>
    <t>less.js</t>
  </si>
  <si>
    <t>emcee</t>
  </si>
  <si>
    <t>cmssw</t>
  </si>
  <si>
    <t>○</t>
    <phoneticPr fontId="1"/>
  </si>
  <si>
    <t>astropy</t>
  </si>
  <si>
    <t>clumsy-bird</t>
  </si>
  <si>
    <t>○</t>
    <phoneticPr fontId="1"/>
  </si>
  <si>
    <t>BrowserQuest</t>
  </si>
  <si>
    <t>stylus</t>
  </si>
  <si>
    <t>beets</t>
  </si>
  <si>
    <t>SoundManager2</t>
    <phoneticPr fontId="1"/>
  </si>
  <si>
    <t>play</t>
  </si>
  <si>
    <t>pixi.js</t>
  </si>
  <si>
    <t>phaser</t>
  </si>
  <si>
    <t>melonJS</t>
    <phoneticPr fontId="1"/>
  </si>
  <si>
    <t>riak</t>
  </si>
  <si>
    <t>mongo</t>
  </si>
  <si>
    <t>redis</t>
  </si>
  <si>
    <t>book</t>
  </si>
  <si>
    <t>nodebeginner.org</t>
    <phoneticPr fontId="1"/>
  </si>
  <si>
    <t>backbone-fundamentals</t>
  </si>
  <si>
    <t>dotjs</t>
    <phoneticPr fontId="1"/>
  </si>
  <si>
    <t>○</t>
    <phoneticPr fontId="1"/>
  </si>
  <si>
    <t>Quicksilver</t>
    <phoneticPr fontId="1"/>
  </si>
  <si>
    <t>github-gmail</t>
    <phoneticPr fontId="1"/>
  </si>
  <si>
    <t>合計</t>
    <rPh sb="0" eb="2">
      <t>ゴウケイ</t>
    </rPh>
    <phoneticPr fontId="1"/>
  </si>
  <si>
    <t>決定木の要素(ある場合1、ない場合0)</t>
    <rPh sb="0" eb="3">
      <t>ケッテイキ</t>
    </rPh>
    <rPh sb="4" eb="6">
      <t>ヨウソ</t>
    </rPh>
    <rPh sb="9" eb="11">
      <t>バアイ</t>
    </rPh>
    <rPh sb="15" eb="17">
      <t>バアイ</t>
    </rPh>
    <phoneticPr fontId="1"/>
  </si>
  <si>
    <t>頻度</t>
    <rPh sb="0" eb="2">
      <t>ヒンド</t>
    </rPh>
    <phoneticPr fontId="1"/>
  </si>
  <si>
    <t>列1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</si>
  <si>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</si>
  <si>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</si>
  <si>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</si>
  <si>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</si>
  <si>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</si>
  <si>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</si>
  <si>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</si>
  <si>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</si>
  <si>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</si>
  <si>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</si>
  <si>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</si>
  <si>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</si>
  <si>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</si>
  <si>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MLPNeuralNet</t>
    <phoneticPr fontId="1"/>
  </si>
  <si>
    <t>clumsy-bird</t>
    <phoneticPr fontId="1"/>
  </si>
  <si>
    <t>stylus</t>
    <phoneticPr fontId="1"/>
  </si>
  <si>
    <t>beets</t>
    <phoneticPr fontId="1"/>
  </si>
  <si>
    <t>play</t>
    <phoneticPr fontId="1"/>
  </si>
  <si>
    <t>pixi.js</t>
    <phoneticPr fontId="1"/>
  </si>
  <si>
    <t>phaser</t>
    <phoneticPr fontId="1"/>
  </si>
  <si>
    <t>redis</t>
    <phoneticPr fontId="1"/>
  </si>
  <si>
    <t>nodebeginner.org</t>
    <phoneticPr fontId="1"/>
  </si>
  <si>
    <t>Quicksilver</t>
    <phoneticPr fontId="1"/>
  </si>
  <si>
    <t>コミット</t>
    <phoneticPr fontId="1"/>
  </si>
  <si>
    <t>リリース</t>
    <phoneticPr fontId="1"/>
  </si>
  <si>
    <t>contribution</t>
    <phoneticPr fontId="1"/>
  </si>
  <si>
    <t>branch数</t>
    <rPh sb="6" eb="7">
      <t>スウ</t>
    </rPh>
    <phoneticPr fontId="1"/>
  </si>
  <si>
    <t>言語</t>
    <rPh sb="0" eb="2">
      <t>ゲンゴ</t>
    </rPh>
    <phoneticPr fontId="1"/>
  </si>
  <si>
    <t>objective-c</t>
    <phoneticPr fontId="1"/>
  </si>
  <si>
    <t>ruby</t>
    <phoneticPr fontId="1"/>
  </si>
  <si>
    <t>JavaSctipt</t>
    <phoneticPr fontId="1"/>
  </si>
  <si>
    <t>Css</t>
    <phoneticPr fontId="1"/>
  </si>
  <si>
    <t>Ruby</t>
    <phoneticPr fontId="1"/>
  </si>
  <si>
    <t>Phython</t>
    <phoneticPr fontId="1"/>
  </si>
  <si>
    <t>Other</t>
    <phoneticPr fontId="1"/>
  </si>
  <si>
    <t>CSS</t>
    <phoneticPr fontId="1"/>
  </si>
  <si>
    <t>JavaScript</t>
    <phoneticPr fontId="1"/>
  </si>
  <si>
    <t>PHP</t>
    <phoneticPr fontId="1"/>
  </si>
  <si>
    <t>Groovy</t>
    <phoneticPr fontId="1"/>
  </si>
  <si>
    <t>Python</t>
    <phoneticPr fontId="1"/>
  </si>
  <si>
    <t>Tex</t>
    <phoneticPr fontId="1"/>
  </si>
  <si>
    <t>TeX</t>
    <phoneticPr fontId="1"/>
  </si>
  <si>
    <t>C++</t>
    <phoneticPr fontId="1"/>
  </si>
  <si>
    <t>FORTRAN</t>
    <phoneticPr fontId="1"/>
  </si>
  <si>
    <t>C</t>
    <phoneticPr fontId="1"/>
  </si>
  <si>
    <t>C</t>
    <phoneticPr fontId="1"/>
  </si>
  <si>
    <t>Shell</t>
    <phoneticPr fontId="1"/>
  </si>
  <si>
    <t>ActionScript</t>
    <phoneticPr fontId="1"/>
  </si>
  <si>
    <t>CoffeeScript</t>
    <phoneticPr fontId="1"/>
  </si>
  <si>
    <t>Erlang</t>
    <phoneticPr fontId="1"/>
  </si>
  <si>
    <t>EmacsLisp</t>
    <phoneticPr fontId="1"/>
  </si>
  <si>
    <t>Tcl</t>
    <phoneticPr fontId="1"/>
  </si>
  <si>
    <t>Coq</t>
    <phoneticPr fontId="1"/>
  </si>
  <si>
    <t>Perl</t>
    <phoneticPr fontId="1"/>
  </si>
  <si>
    <t>Objective-C</t>
    <phoneticPr fontId="1"/>
  </si>
  <si>
    <t>sass</t>
    <phoneticPr fontId="1"/>
  </si>
  <si>
    <t>convnetjs</t>
    <phoneticPr fontId="1"/>
  </si>
  <si>
    <t>emcee</t>
    <phoneticPr fontId="1"/>
  </si>
  <si>
    <t>BrowserQuest</t>
    <phoneticPr fontId="1"/>
  </si>
  <si>
    <t>riak</t>
    <phoneticPr fontId="1"/>
  </si>
  <si>
    <t>backbone-fundamentals</t>
    <phoneticPr fontId="1"/>
  </si>
  <si>
    <t>github-gmail</t>
    <phoneticPr fontId="1"/>
  </si>
  <si>
    <t>○</t>
    <phoneticPr fontId="1"/>
  </si>
  <si>
    <t>○</t>
    <phoneticPr fontId="1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</si>
  <si>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</si>
  <si>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</si>
  <si>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</si>
  <si>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</si>
  <si>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</si>
  <si>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</si>
  <si>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</si>
  <si>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</si>
  <si>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</si>
  <si>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</si>
  <si>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</si>
  <si>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</si>
  <si>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</si>
  <si>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</si>
  <si>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</si>
  <si>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</si>
  <si>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</si>
  <si>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</si>
  <si>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</si>
  <si>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</si>
  <si>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</si>
  <si>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</si>
  <si>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</si>
  <si>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</si>
  <si>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</si>
  <si>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</si>
  <si>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</si>
  <si>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</si>
  <si>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</si>
  <si>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</si>
  <si>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Fork数</t>
  </si>
  <si>
    <t>Fork数</t>
    <rPh sb="4" eb="5">
      <t>スウ</t>
    </rPh>
    <phoneticPr fontId="1"/>
  </si>
  <si>
    <t>Star数</t>
    <rPh sb="4" eb="5">
      <t>スウ</t>
    </rPh>
    <phoneticPr fontId="1"/>
  </si>
  <si>
    <t>Watch数</t>
    <rPh sb="5" eb="6">
      <t>スウ</t>
    </rPh>
    <phoneticPr fontId="1"/>
  </si>
  <si>
    <t>Open数</t>
    <rPh sb="4" eb="5">
      <t>スウ</t>
    </rPh>
    <phoneticPr fontId="1"/>
  </si>
  <si>
    <t>Closed数</t>
    <rPh sb="6" eb="7">
      <t>スウ</t>
    </rPh>
    <phoneticPr fontId="1"/>
  </si>
  <si>
    <t>リリース数</t>
    <rPh sb="4" eb="5">
      <t>スウ</t>
    </rPh>
    <phoneticPr fontId="1"/>
  </si>
  <si>
    <t>contribution数</t>
    <rPh sb="12" eb="13">
      <t>スウ</t>
    </rPh>
    <phoneticPr fontId="1"/>
  </si>
  <si>
    <t>コミット数</t>
    <rPh sb="4" eb="5">
      <t>スウ</t>
    </rPh>
    <phoneticPr fontId="1"/>
  </si>
  <si>
    <t>次の級</t>
  </si>
  <si>
    <t>スター数とフォーク数の関係</t>
    <rPh sb="3" eb="4">
      <t>スウ</t>
    </rPh>
    <rPh sb="9" eb="10">
      <t>スウ</t>
    </rPh>
    <rPh sb="11" eb="13">
      <t>カンケイ</t>
    </rPh>
    <phoneticPr fontId="1"/>
  </si>
  <si>
    <t>スター数</t>
  </si>
  <si>
    <t>スター数</t>
    <rPh sb="3" eb="4">
      <t>スウ</t>
    </rPh>
    <phoneticPr fontId="1"/>
  </si>
  <si>
    <t>フォーク数</t>
  </si>
  <si>
    <t>フォーク数</t>
    <rPh sb="4" eb="5">
      <t>スウ</t>
    </rPh>
    <phoneticPr fontId="1"/>
  </si>
  <si>
    <t>よって、スター数が多いと、Fork数も多くなることがわかる</t>
    <rPh sb="7" eb="8">
      <t>スウ</t>
    </rPh>
    <rPh sb="9" eb="10">
      <t>オオ</t>
    </rPh>
    <rPh sb="17" eb="18">
      <t>スウ</t>
    </rPh>
    <rPh sb="19" eb="20">
      <t>オオ</t>
    </rPh>
    <phoneticPr fontId="1"/>
  </si>
  <si>
    <t>Issues計</t>
    <rPh sb="6" eb="7">
      <t>ケイ</t>
    </rPh>
    <phoneticPr fontId="1"/>
  </si>
  <si>
    <t>PullRequest計</t>
  </si>
  <si>
    <t>PullRequest計</t>
    <rPh sb="11" eb="12">
      <t>ケイ</t>
    </rPh>
    <phoneticPr fontId="1"/>
  </si>
  <si>
    <t>Closed数3</t>
    <rPh sb="0" eb="8">
      <t>スウ3</t>
    </rPh>
    <phoneticPr fontId="1"/>
  </si>
  <si>
    <t>列4</t>
  </si>
  <si>
    <t>列5</t>
  </si>
  <si>
    <t>Open数2</t>
    <rPh sb="0" eb="6">
      <t>カズ2</t>
    </rPh>
    <phoneticPr fontId="1"/>
  </si>
  <si>
    <t>branch</t>
    <phoneticPr fontId="1"/>
  </si>
  <si>
    <t>リリース</t>
    <phoneticPr fontId="1"/>
  </si>
  <si>
    <t>Wikiなし、タグなし</t>
    <phoneticPr fontId="1"/>
  </si>
  <si>
    <t>Wikiなし、タグあり</t>
    <phoneticPr fontId="1"/>
  </si>
  <si>
    <t>Wikiあり、タグあり</t>
    <phoneticPr fontId="1"/>
  </si>
  <si>
    <t>平均のPR数</t>
    <rPh sb="0" eb="2">
      <t>ヘイキン</t>
    </rPh>
    <rPh sb="5" eb="6">
      <t>スウ</t>
    </rPh>
    <phoneticPr fontId="1"/>
  </si>
  <si>
    <t>平均Issue数</t>
    <rPh sb="0" eb="2">
      <t>ヘイキン</t>
    </rPh>
    <rPh sb="7" eb="8">
      <t>スウ</t>
    </rPh>
    <phoneticPr fontId="1"/>
  </si>
  <si>
    <t>PRと Issueの相関</t>
    <rPh sb="10" eb="12">
      <t>ソウカン</t>
    </rPh>
    <phoneticPr fontId="1"/>
  </si>
  <si>
    <t>概要</t>
  </si>
  <si>
    <t>回帰統計</t>
  </si>
  <si>
    <t>重相関 R</t>
  </si>
  <si>
    <t>重決定 R2</t>
  </si>
  <si>
    <t>補正 R2</t>
  </si>
  <si>
    <t>観測数</t>
  </si>
  <si>
    <t>分散分析表</t>
  </si>
  <si>
    <t>回帰</t>
  </si>
  <si>
    <t>残差</t>
  </si>
  <si>
    <t>切片</t>
  </si>
  <si>
    <t>自由度</t>
  </si>
  <si>
    <t>変動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</si>
  <si>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</si>
  <si>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</si>
  <si>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</si>
  <si>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</si>
  <si>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</si>
  <si>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</si>
  <si>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</si>
  <si>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</si>
  <si>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</si>
  <si>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Star数</t>
  </si>
  <si>
    <t>Watch数</t>
  </si>
  <si>
    <t>リリース数</t>
  </si>
  <si>
    <t>contribution数</t>
  </si>
  <si>
    <t>Issues計</t>
  </si>
  <si>
    <t>branch数</t>
  </si>
  <si>
    <t>Wiki</t>
  </si>
  <si>
    <t>タグ</t>
  </si>
  <si>
    <t>Python</t>
    <phoneticPr fontId="1"/>
  </si>
  <si>
    <t>Shell</t>
    <phoneticPr fontId="1"/>
  </si>
  <si>
    <t>envisionjs</t>
  </si>
  <si>
    <t>kartograph.js</t>
  </si>
  <si>
    <t>JavaScript</t>
    <phoneticPr fontId="1"/>
  </si>
  <si>
    <t>CoffeeScript</t>
    <phoneticPr fontId="1"/>
  </si>
  <si>
    <t>CSS</t>
    <phoneticPr fontId="1"/>
  </si>
  <si>
    <t>列6</t>
    <phoneticPr fontId="1"/>
  </si>
  <si>
    <t>vega</t>
  </si>
  <si>
    <t>other</t>
    <phoneticPr fontId="1"/>
  </si>
  <si>
    <t>Leaflet</t>
  </si>
  <si>
    <t>matplotlib</t>
  </si>
  <si>
    <t>C++</t>
    <phoneticPr fontId="1"/>
  </si>
  <si>
    <t>C</t>
    <phoneticPr fontId="1"/>
  </si>
  <si>
    <t>Objective-C</t>
    <phoneticPr fontId="1"/>
  </si>
  <si>
    <t>Other</t>
    <phoneticPr fontId="1"/>
  </si>
  <si>
    <t>列7</t>
    <phoneticPr fontId="1"/>
  </si>
  <si>
    <t>Perl</t>
    <phoneticPr fontId="1"/>
  </si>
  <si>
    <t>dc.js</t>
  </si>
  <si>
    <t>Chart.js</t>
  </si>
  <si>
    <t>epoch</t>
  </si>
  <si>
    <t>raw</t>
  </si>
  <si>
    <t>echarts</t>
  </si>
  <si>
    <t>linguist</t>
  </si>
  <si>
    <t>Ruby</t>
    <phoneticPr fontId="1"/>
  </si>
  <si>
    <t>jquery-pjax</t>
  </si>
  <si>
    <t>d3</t>
  </si>
  <si>
    <t>peity</t>
  </si>
  <si>
    <t>recline</t>
  </si>
  <si>
    <t>sigma.js</t>
  </si>
  <si>
    <t>列2</t>
  </si>
  <si>
    <t>cakephp</t>
    <phoneticPr fontId="1"/>
  </si>
  <si>
    <t>less.js</t>
    <phoneticPr fontId="1"/>
  </si>
  <si>
    <t>cmssw</t>
    <phoneticPr fontId="1"/>
  </si>
  <si>
    <t>astropy</t>
    <phoneticPr fontId="1"/>
  </si>
  <si>
    <t>arbor</t>
    <phoneticPr fontId="1"/>
  </si>
  <si>
    <t>modestmaps-js</t>
    <phoneticPr fontId="1"/>
  </si>
  <si>
    <t>pygal</t>
    <phoneticPr fontId="1"/>
  </si>
  <si>
    <t>chartist-js</t>
    <phoneticPr fontId="1"/>
  </si>
  <si>
    <t>issueなし、Wikiなし、タグなし</t>
    <phoneticPr fontId="1"/>
  </si>
  <si>
    <t>×</t>
  </si>
  <si>
    <t>×</t>
    <phoneticPr fontId="1"/>
  </si>
  <si>
    <t>django</t>
    <phoneticPr fontId="1"/>
  </si>
  <si>
    <t>mongo</t>
    <phoneticPr fontId="1"/>
  </si>
  <si>
    <t>名前／名前</t>
    <rPh sb="0" eb="2">
      <t>ナマエ</t>
    </rPh>
    <rPh sb="3" eb="5">
      <t>ナマエ</t>
    </rPh>
    <phoneticPr fontId="1"/>
  </si>
  <si>
    <t>Wiki数</t>
  </si>
  <si>
    <t>Wiki数</t>
    <rPh sb="4" eb="5">
      <t>スウ</t>
    </rPh>
    <phoneticPr fontId="1"/>
  </si>
  <si>
    <t>タグ数</t>
  </si>
  <si>
    <t>タグ数</t>
    <rPh sb="2" eb="3">
      <t>スウ</t>
    </rPh>
    <phoneticPr fontId="1"/>
  </si>
  <si>
    <t>Open数</t>
  </si>
  <si>
    <t>Closed数</t>
  </si>
  <si>
    <t>Open数2</t>
  </si>
  <si>
    <t>Closed数3</t>
  </si>
  <si>
    <t>obejectivi-c</t>
    <phoneticPr fontId="1"/>
  </si>
  <si>
    <t>JavaScript</t>
    <phoneticPr fontId="1"/>
  </si>
  <si>
    <t>CSS</t>
    <phoneticPr fontId="1"/>
  </si>
  <si>
    <t>Python</t>
    <phoneticPr fontId="1"/>
  </si>
  <si>
    <t>PHP</t>
    <phoneticPr fontId="1"/>
  </si>
  <si>
    <t>Groovy</t>
    <phoneticPr fontId="1"/>
  </si>
  <si>
    <t>TeX</t>
    <phoneticPr fontId="1"/>
  </si>
  <si>
    <t>C++</t>
    <phoneticPr fontId="1"/>
  </si>
  <si>
    <t>Shell</t>
    <phoneticPr fontId="1"/>
  </si>
  <si>
    <t>Erlang</t>
    <phoneticPr fontId="1"/>
  </si>
  <si>
    <t>C</t>
    <phoneticPr fontId="1"/>
  </si>
  <si>
    <t>Tcl</t>
    <phoneticPr fontId="1"/>
  </si>
  <si>
    <t>CoffeeScript</t>
    <phoneticPr fontId="1"/>
  </si>
  <si>
    <t>Other</t>
    <phoneticPr fontId="1"/>
  </si>
  <si>
    <t>Ruby</t>
    <phoneticPr fontId="1"/>
  </si>
  <si>
    <t>FORTRAN</t>
    <phoneticPr fontId="1"/>
  </si>
  <si>
    <t>ActionScript</t>
    <phoneticPr fontId="1"/>
  </si>
  <si>
    <t>Coq</t>
    <phoneticPr fontId="1"/>
  </si>
  <si>
    <t>Perl</t>
    <phoneticPr fontId="1"/>
  </si>
  <si>
    <t>ID</t>
    <phoneticPr fontId="1"/>
  </si>
  <si>
    <t>Name</t>
    <phoneticPr fontId="1"/>
  </si>
  <si>
    <t>Flow</t>
    <phoneticPr fontId="1"/>
  </si>
  <si>
    <t>hatena-bookmark-xul</t>
  </si>
  <si>
    <t>hatena</t>
    <phoneticPr fontId="1"/>
  </si>
  <si>
    <t>hatena-bookmark-googlechrome-extension</t>
  </si>
  <si>
    <t>hatena-screenshot-xul</t>
  </si>
  <si>
    <t>hatena-toolbar-xul</t>
  </si>
  <si>
    <t>hatena-bookmark-safari-ext</t>
  </si>
  <si>
    <t>日本CAWflow</t>
    <rPh sb="0" eb="2">
      <t>ニホン</t>
    </rPh>
    <phoneticPr fontId="1"/>
  </si>
  <si>
    <t>git-flow</t>
    <phoneticPr fontId="1"/>
  </si>
  <si>
    <t>stableflow</t>
    <phoneticPr fontId="1"/>
  </si>
  <si>
    <t>github-flow</t>
    <phoneticPr fontId="1"/>
  </si>
  <si>
    <t>LINEflow</t>
    <phoneticPr fontId="1"/>
  </si>
  <si>
    <t>id</t>
    <phoneticPr fontId="1"/>
  </si>
  <si>
    <t>開発フロー</t>
    <rPh sb="0" eb="2">
      <t>カイハツ</t>
    </rPh>
    <phoneticPr fontId="1"/>
  </si>
  <si>
    <t>頻度</t>
    <rPh sb="0" eb="2">
      <t>ヒンド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</si>
</sst>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0000000_);[Red]\(0.000000000000000000000000000\)"/>
    <numFmt numFmtId="177" formatCode="0.00000000000000000000000000000000000000000_);[Red]\(0.00000000000000000000000000000000000000000\)"/>
  </numFmts>
  <fonts count="9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indexed="20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7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Continuous"/>
    </xf>
    <xf numFmtId="0" fontId="6" fillId="3" borderId="0" xfId="9" applyAlignment="1"/>
    <xf numFmtId="0" fontId="5" fillId="2" borderId="0" xfId="8" applyAlignment="1"/>
    <xf numFmtId="0" fontId="0" fillId="0" borderId="3" xfId="0" applyFont="1" applyBorder="1"/>
    <xf numFmtId="0" fontId="0" fillId="0" borderId="4" xfId="0" applyFont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5" xfId="0" applyBorder="1"/>
    <xf numFmtId="0" fontId="7" fillId="0" borderId="0" xfId="0" applyFont="1"/>
    <xf numFmtId="49" fontId="5" fillId="2" borderId="0" xfId="8" applyNumberFormat="1" applyAlignment="1"/>
    <xf numFmtId="0" fontId="8" fillId="0" borderId="0" xfId="0" applyFont="1" applyFill="1" applyBorder="1" applyAlignment="1"/>
    <xf numFmtId="176" fontId="0" fillId="0" borderId="0" xfId="0" applyNumberFormat="1" applyFill="1" applyBorder="1" applyAlignment="1"/>
    <xf numFmtId="177" fontId="0" fillId="0" borderId="0" xfId="0" applyNumberFormat="1" applyFill="1" applyBorder="1" applyAlignment="1"/>
    <xf numFmtId="0" fontId="0" fillId="0" borderId="0" xfId="0" applyAlignment="1"/>
    <xf numFmtId="0" fontId="0" fillId="0" borderId="0" xfId="0" applyFont="1" applyFill="1" applyBorder="1" applyAlignment="1"/>
    <xf numFmtId="0" fontId="0" fillId="0" borderId="0" xfId="0" applyBorder="1" applyAlignment="1"/>
    <xf numFmtId="0" fontId="0" fillId="0" borderId="0" xfId="0" applyNumberFormat="1" applyFont="1" applyFill="1" applyBorder="1" applyAlignment="1"/>
    <xf numFmtId="0" fontId="2" fillId="0" borderId="0" xfId="7" applyAlignment="1"/>
    <xf numFmtId="0" fontId="0" fillId="0" borderId="0" xfId="0" applyNumberFormat="1" applyBorder="1" applyAlignment="1"/>
    <xf numFmtId="0" fontId="4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7" applyAlignment="1">
      <alignment horizontal="left" vertical="center" wrapText="1" indent="2"/>
    </xf>
  </cellXfs>
  <cellStyles count="12">
    <cellStyle name="60% - アクセント 2" xfId="9" builtinId="36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10" builtinId="9" hidden="1"/>
    <cellStyle name="表示済みのハイパーリンク" xfId="11" builtinId="9" hidden="1"/>
    <cellStyle name="良い" xfId="8" builtinId="26"/>
  </cellStyles>
  <dxfs count="419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ＭＳ Ｐゴシック"/>
        <scheme val="minor"/>
      </font>
      <fill>
        <patternFill patternType="solid">
          <fgColor indexed="64"/>
          <bgColor rgb="FFC6EFCE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ＭＳ Ｐゴシック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ＭＳ Ｐゴシック"/>
        <scheme val="minor"/>
      </font>
      <fill>
        <patternFill patternType="solid">
          <fgColor indexed="64"/>
          <bgColor rgb="FFC6EFCE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numFmt numFmtId="0" formatCode="General"/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numFmt numFmtId="0" formatCode="General"/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general" vertical="bottom" textRotation="0" wrapText="0" justifyLastLine="0" shrinkToFit="0"/>
    </dxf>
    <dxf>
      <alignment horizontal="general" vertical="bottom" textRotation="0" wrapText="0" justifyLastLine="0" shrinkToFit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minor"/>
      </font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GitHub</a:t>
            </a:r>
            <a:r>
              <a:rPr lang="ja-JP" altLang="en-US"/>
              <a:t>の機能別使用頻度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Sheet2!$C$35:$C$42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Sheet2!$D$35:$D$42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Sheet2!$E$35:$E$42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Sheet2!$F$35:$F$42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Sheet2!$G$35:$G$42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Sheet2!$H$35:$H$42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Sheet2!$I$35:$I$42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Sheet2!$J$35:$J$42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Sheet2!$K$35:$K$42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Sheet2!$L$35:$L$42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Sheet2!$M$35:$M$42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Sheet2!$N$35:$N$42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Sheet2!$O$35:$O$42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Sheet2!$P$35:$P$42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Sheet2!$Q$35:$Q$42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Sheet2!$R$35:$R$42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Sheet2!$S$35:$S$42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Sheet2!$T$35:$T$42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Sheet2!$U$35:$U$42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Sheet2!$V$35:$V$42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Sheet2!$W$35:$W$42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Sheet2!$X$35:$X$42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Sheet2!$Y$35:$Y$42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Sheet2!$Z$35:$Z$42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Sheet2!$AA$35:$AA$42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Sheet2!$AB$35:$AB$42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Sheet2!$AC$35:$AC$42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Sheet2!$AD$35:$AD$42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Sheet2!$AE$35:$AE$42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Sheet2!$AF$35:$AF$42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30</c:v>
                </c:pt>
                <c:pt idx="5">
                  <c:v>16</c:v>
                </c:pt>
                <c:pt idx="6">
                  <c:v>26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86976"/>
        <c:axId val="362287536"/>
      </c:barChart>
      <c:catAx>
        <c:axId val="3622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287536"/>
        <c:crosses val="autoZero"/>
        <c:auto val="1"/>
        <c:lblAlgn val="ctr"/>
        <c:lblOffset val="100"/>
        <c:noMultiLvlLbl val="0"/>
      </c:catAx>
      <c:valAx>
        <c:axId val="3622875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2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GitHub</a:t>
            </a:r>
            <a:r>
              <a:rPr lang="ja-JP" altLang="en-US"/>
              <a:t>の機能別使用頻度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Sheet2!$C$35:$C$42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Sheet2!$D$35:$D$42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Sheet2!$E$35:$E$42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Sheet2!$F$35:$F$42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Sheet2!$G$35:$G$42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Sheet2!$H$35:$H$42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Sheet2!$I$35:$I$42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Sheet2!$J$35:$J$42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Sheet2!$K$35:$K$42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Sheet2!$L$35:$L$42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Sheet2!$M$35:$M$42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Sheet2!$N$35:$N$42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Sheet2!$O$35:$O$42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Sheet2!$P$35:$P$42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Sheet2!$Q$35:$Q$42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Sheet2!$R$35:$R$42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Sheet2!$S$35:$S$42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Sheet2!$T$35:$T$42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Sheet2!$U$35:$U$42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Sheet2!$V$35:$V$42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Sheet2!$W$35:$W$42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Sheet2!$X$35:$X$42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Sheet2!$Y$35:$Y$42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Sheet2!$Z$35:$Z$42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Sheet2!$AA$35:$AA$42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Sheet2!$AB$35:$AB$42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Sheet2!$AC$35:$AC$42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Sheet2!$AD$35:$AD$42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Sheet2!$AE$35:$AE$42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Sheet2!$A$35:$A$42</c:f>
              <c:strCache>
                <c:ptCount val="8"/>
                <c:pt idx="0">
                  <c:v>Fork</c:v>
                </c:pt>
                <c:pt idx="1">
                  <c:v>Star</c:v>
                </c:pt>
                <c:pt idx="2">
                  <c:v>Watch</c:v>
                </c:pt>
                <c:pt idx="3">
                  <c:v>Issues</c:v>
                </c:pt>
                <c:pt idx="4">
                  <c:v>PullRequest</c:v>
                </c:pt>
                <c:pt idx="5">
                  <c:v>Wiki</c:v>
                </c:pt>
                <c:pt idx="6">
                  <c:v>Branch</c:v>
                </c:pt>
                <c:pt idx="7">
                  <c:v>タグ</c:v>
                </c:pt>
              </c:strCache>
            </c:strRef>
          </c:cat>
          <c:val>
            <c:numRef>
              <c:f>Sheet2!$AF$35:$AF$42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30</c:v>
                </c:pt>
                <c:pt idx="5">
                  <c:v>16</c:v>
                </c:pt>
                <c:pt idx="6">
                  <c:v>26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02288"/>
        <c:axId val="362902848"/>
      </c:barChart>
      <c:catAx>
        <c:axId val="3629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902848"/>
        <c:crosses val="autoZero"/>
        <c:auto val="1"/>
        <c:lblAlgn val="ctr"/>
        <c:lblOffset val="100"/>
        <c:noMultiLvlLbl val="0"/>
      </c:catAx>
      <c:valAx>
        <c:axId val="3629028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Star</a:t>
            </a:r>
            <a:r>
              <a:rPr lang="ja-JP" altLang="en-US"/>
              <a:t>数と</a:t>
            </a:r>
            <a:r>
              <a:rPr lang="en-US" altLang="ja-JP"/>
              <a:t>Fork</a:t>
            </a:r>
            <a:r>
              <a:rPr lang="ja-JP" altLang="en-US"/>
              <a:t>数の相関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Sheet3!$C$27</c:f>
              <c:strCache>
                <c:ptCount val="1"/>
                <c:pt idx="0">
                  <c:v>フォーク数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Sheet3!$B$28:$B$57</c:f>
              <c:numCache>
                <c:formatCode>General</c:formatCode>
                <c:ptCount val="30"/>
                <c:pt idx="0">
                  <c:v>447</c:v>
                </c:pt>
                <c:pt idx="1">
                  <c:v>1636</c:v>
                </c:pt>
                <c:pt idx="2">
                  <c:v>2319</c:v>
                </c:pt>
                <c:pt idx="3">
                  <c:v>11741</c:v>
                </c:pt>
                <c:pt idx="4">
                  <c:v>23753</c:v>
                </c:pt>
                <c:pt idx="5">
                  <c:v>5262</c:v>
                </c:pt>
                <c:pt idx="6">
                  <c:v>4787</c:v>
                </c:pt>
                <c:pt idx="7">
                  <c:v>11276</c:v>
                </c:pt>
                <c:pt idx="8">
                  <c:v>313</c:v>
                </c:pt>
                <c:pt idx="9">
                  <c:v>188</c:v>
                </c:pt>
                <c:pt idx="10">
                  <c:v>461</c:v>
                </c:pt>
                <c:pt idx="11">
                  <c:v>6127</c:v>
                </c:pt>
                <c:pt idx="12">
                  <c:v>629</c:v>
                </c:pt>
                <c:pt idx="13">
                  <c:v>4359</c:v>
                </c:pt>
                <c:pt idx="14">
                  <c:v>4977</c:v>
                </c:pt>
                <c:pt idx="15">
                  <c:v>3300</c:v>
                </c:pt>
                <c:pt idx="16">
                  <c:v>1999</c:v>
                </c:pt>
                <c:pt idx="17">
                  <c:v>2054</c:v>
                </c:pt>
                <c:pt idx="18">
                  <c:v>5809</c:v>
                </c:pt>
                <c:pt idx="19">
                  <c:v>6575</c:v>
                </c:pt>
                <c:pt idx="20">
                  <c:v>1178</c:v>
                </c:pt>
                <c:pt idx="21">
                  <c:v>1852</c:v>
                </c:pt>
                <c:pt idx="22">
                  <c:v>5955</c:v>
                </c:pt>
                <c:pt idx="23">
                  <c:v>10901</c:v>
                </c:pt>
                <c:pt idx="24">
                  <c:v>800</c:v>
                </c:pt>
                <c:pt idx="25">
                  <c:v>2055</c:v>
                </c:pt>
                <c:pt idx="26">
                  <c:v>8467</c:v>
                </c:pt>
                <c:pt idx="27">
                  <c:v>2271</c:v>
                </c:pt>
                <c:pt idx="28">
                  <c:v>1680</c:v>
                </c:pt>
                <c:pt idx="29">
                  <c:v>392</c:v>
                </c:pt>
              </c:numCache>
            </c:numRef>
          </c:xVal>
          <c:yVal>
            <c:numRef>
              <c:f>Sheet3!$C$28:$C$57</c:f>
              <c:numCache>
                <c:formatCode>General</c:formatCode>
                <c:ptCount val="30"/>
                <c:pt idx="0">
                  <c:v>40</c:v>
                </c:pt>
                <c:pt idx="1">
                  <c:v>178</c:v>
                </c:pt>
                <c:pt idx="2">
                  <c:v>178</c:v>
                </c:pt>
                <c:pt idx="3">
                  <c:v>360</c:v>
                </c:pt>
                <c:pt idx="4">
                  <c:v>1648</c:v>
                </c:pt>
                <c:pt idx="5">
                  <c:v>553</c:v>
                </c:pt>
                <c:pt idx="6">
                  <c:v>424</c:v>
                </c:pt>
                <c:pt idx="7">
                  <c:v>637</c:v>
                </c:pt>
                <c:pt idx="8">
                  <c:v>52</c:v>
                </c:pt>
                <c:pt idx="9">
                  <c:v>45</c:v>
                </c:pt>
                <c:pt idx="10">
                  <c:v>77</c:v>
                </c:pt>
                <c:pt idx="11">
                  <c:v>471</c:v>
                </c:pt>
                <c:pt idx="12">
                  <c:v>80</c:v>
                </c:pt>
                <c:pt idx="13">
                  <c:v>321</c:v>
                </c:pt>
                <c:pt idx="14">
                  <c:v>245</c:v>
                </c:pt>
                <c:pt idx="15">
                  <c:v>195</c:v>
                </c:pt>
                <c:pt idx="16">
                  <c:v>173</c:v>
                </c:pt>
                <c:pt idx="17">
                  <c:v>93</c:v>
                </c:pt>
                <c:pt idx="18">
                  <c:v>420</c:v>
                </c:pt>
                <c:pt idx="19">
                  <c:v>547</c:v>
                </c:pt>
                <c:pt idx="20">
                  <c:v>95</c:v>
                </c:pt>
                <c:pt idx="21">
                  <c:v>232</c:v>
                </c:pt>
                <c:pt idx="22">
                  <c:v>559</c:v>
                </c:pt>
                <c:pt idx="23">
                  <c:v>1085</c:v>
                </c:pt>
                <c:pt idx="24">
                  <c:v>97</c:v>
                </c:pt>
                <c:pt idx="25">
                  <c:v>253</c:v>
                </c:pt>
                <c:pt idx="26">
                  <c:v>422</c:v>
                </c:pt>
                <c:pt idx="27">
                  <c:v>59</c:v>
                </c:pt>
                <c:pt idx="28">
                  <c:v>71</c:v>
                </c:pt>
                <c:pt idx="29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5648"/>
        <c:axId val="362906208"/>
      </c:scatterChart>
      <c:valAx>
        <c:axId val="3629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906208"/>
        <c:crosses val="autoZero"/>
        <c:crossBetween val="midCat"/>
      </c:valAx>
      <c:valAx>
        <c:axId val="362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9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Sheet3!$T$25</c:f>
              <c:strCache>
                <c:ptCount val="1"/>
                <c:pt idx="0">
                  <c:v>Issues計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Sheet3!$S$26:$S$55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700</c:v>
                </c:pt>
                <c:pt idx="4">
                  <c:v>2465</c:v>
                </c:pt>
                <c:pt idx="5">
                  <c:v>285</c:v>
                </c:pt>
                <c:pt idx="6">
                  <c:v>153</c:v>
                </c:pt>
                <c:pt idx="7">
                  <c:v>169</c:v>
                </c:pt>
                <c:pt idx="8">
                  <c:v>25</c:v>
                </c:pt>
                <c:pt idx="9">
                  <c:v>286</c:v>
                </c:pt>
                <c:pt idx="10">
                  <c:v>93</c:v>
                </c:pt>
                <c:pt idx="11">
                  <c:v>21</c:v>
                </c:pt>
                <c:pt idx="12">
                  <c:v>7</c:v>
                </c:pt>
                <c:pt idx="13">
                  <c:v>4</c:v>
                </c:pt>
                <c:pt idx="14">
                  <c:v>122</c:v>
                </c:pt>
                <c:pt idx="15">
                  <c:v>119</c:v>
                </c:pt>
                <c:pt idx="16">
                  <c:v>18</c:v>
                </c:pt>
                <c:pt idx="17">
                  <c:v>30</c:v>
                </c:pt>
                <c:pt idx="18">
                  <c:v>92</c:v>
                </c:pt>
                <c:pt idx="19">
                  <c:v>111</c:v>
                </c:pt>
                <c:pt idx="20">
                  <c:v>26</c:v>
                </c:pt>
                <c:pt idx="21">
                  <c:v>63</c:v>
                </c:pt>
                <c:pt idx="22">
                  <c:v>197</c:v>
                </c:pt>
                <c:pt idx="23">
                  <c:v>144</c:v>
                </c:pt>
                <c:pt idx="24">
                  <c:v>54</c:v>
                </c:pt>
                <c:pt idx="25">
                  <c:v>19</c:v>
                </c:pt>
                <c:pt idx="26">
                  <c:v>187</c:v>
                </c:pt>
                <c:pt idx="27">
                  <c:v>22</c:v>
                </c:pt>
                <c:pt idx="28">
                  <c:v>24</c:v>
                </c:pt>
                <c:pt idx="29">
                  <c:v>3</c:v>
                </c:pt>
              </c:numCache>
            </c:numRef>
          </c:xVal>
          <c:yVal>
            <c:numRef>
              <c:f>Sheet3!$T$26:$T$55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700</c:v>
                </c:pt>
                <c:pt idx="4">
                  <c:v>2465</c:v>
                </c:pt>
                <c:pt idx="5">
                  <c:v>285</c:v>
                </c:pt>
                <c:pt idx="6">
                  <c:v>153</c:v>
                </c:pt>
                <c:pt idx="7">
                  <c:v>169</c:v>
                </c:pt>
                <c:pt idx="8">
                  <c:v>25</c:v>
                </c:pt>
                <c:pt idx="9">
                  <c:v>286</c:v>
                </c:pt>
                <c:pt idx="10">
                  <c:v>93</c:v>
                </c:pt>
                <c:pt idx="11">
                  <c:v>21</c:v>
                </c:pt>
                <c:pt idx="12">
                  <c:v>7</c:v>
                </c:pt>
                <c:pt idx="13">
                  <c:v>4</c:v>
                </c:pt>
                <c:pt idx="14">
                  <c:v>122</c:v>
                </c:pt>
                <c:pt idx="15">
                  <c:v>119</c:v>
                </c:pt>
                <c:pt idx="16">
                  <c:v>18</c:v>
                </c:pt>
                <c:pt idx="17">
                  <c:v>30</c:v>
                </c:pt>
                <c:pt idx="18">
                  <c:v>92</c:v>
                </c:pt>
                <c:pt idx="19">
                  <c:v>111</c:v>
                </c:pt>
                <c:pt idx="20">
                  <c:v>26</c:v>
                </c:pt>
                <c:pt idx="21">
                  <c:v>63</c:v>
                </c:pt>
                <c:pt idx="22">
                  <c:v>197</c:v>
                </c:pt>
                <c:pt idx="23">
                  <c:v>144</c:v>
                </c:pt>
                <c:pt idx="24">
                  <c:v>54</c:v>
                </c:pt>
                <c:pt idx="25">
                  <c:v>19</c:v>
                </c:pt>
                <c:pt idx="26">
                  <c:v>187</c:v>
                </c:pt>
                <c:pt idx="27">
                  <c:v>22</c:v>
                </c:pt>
                <c:pt idx="28">
                  <c:v>24</c:v>
                </c:pt>
                <c:pt idx="2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8448"/>
        <c:axId val="362410608"/>
      </c:scatterChart>
      <c:valAx>
        <c:axId val="3629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410608"/>
        <c:crosses val="autoZero"/>
        <c:crossBetween val="midCat"/>
      </c:valAx>
      <c:valAx>
        <c:axId val="362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9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Sheet3!$V$25</c:f>
              <c:strCache>
                <c:ptCount val="1"/>
                <c:pt idx="0">
                  <c:v>PullRequest計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Sheet3!$U$26:$U$55</c:f>
              <c:numCache>
                <c:formatCode>General</c:formatCode>
                <c:ptCount val="30"/>
                <c:pt idx="0">
                  <c:v>40</c:v>
                </c:pt>
                <c:pt idx="1">
                  <c:v>178</c:v>
                </c:pt>
                <c:pt idx="2">
                  <c:v>178</c:v>
                </c:pt>
                <c:pt idx="3">
                  <c:v>360</c:v>
                </c:pt>
                <c:pt idx="4">
                  <c:v>1648</c:v>
                </c:pt>
                <c:pt idx="5">
                  <c:v>553</c:v>
                </c:pt>
                <c:pt idx="6">
                  <c:v>424</c:v>
                </c:pt>
                <c:pt idx="7">
                  <c:v>637</c:v>
                </c:pt>
                <c:pt idx="8">
                  <c:v>52</c:v>
                </c:pt>
                <c:pt idx="9">
                  <c:v>45</c:v>
                </c:pt>
                <c:pt idx="10">
                  <c:v>77</c:v>
                </c:pt>
                <c:pt idx="11">
                  <c:v>471</c:v>
                </c:pt>
                <c:pt idx="12">
                  <c:v>80</c:v>
                </c:pt>
                <c:pt idx="13">
                  <c:v>321</c:v>
                </c:pt>
                <c:pt idx="14">
                  <c:v>245</c:v>
                </c:pt>
                <c:pt idx="15">
                  <c:v>195</c:v>
                </c:pt>
                <c:pt idx="16">
                  <c:v>173</c:v>
                </c:pt>
                <c:pt idx="17">
                  <c:v>93</c:v>
                </c:pt>
                <c:pt idx="18">
                  <c:v>420</c:v>
                </c:pt>
                <c:pt idx="19">
                  <c:v>547</c:v>
                </c:pt>
                <c:pt idx="20">
                  <c:v>95</c:v>
                </c:pt>
                <c:pt idx="21">
                  <c:v>232</c:v>
                </c:pt>
                <c:pt idx="22">
                  <c:v>559</c:v>
                </c:pt>
                <c:pt idx="23">
                  <c:v>1085</c:v>
                </c:pt>
                <c:pt idx="24">
                  <c:v>97</c:v>
                </c:pt>
                <c:pt idx="25">
                  <c:v>253</c:v>
                </c:pt>
                <c:pt idx="26">
                  <c:v>422</c:v>
                </c:pt>
                <c:pt idx="27">
                  <c:v>59</c:v>
                </c:pt>
                <c:pt idx="28">
                  <c:v>71</c:v>
                </c:pt>
                <c:pt idx="29">
                  <c:v>56</c:v>
                </c:pt>
              </c:numCache>
            </c:numRef>
          </c:xVal>
          <c:yVal>
            <c:numRef>
              <c:f>Sheet3!$V$26:$V$55</c:f>
              <c:numCache>
                <c:formatCode>General</c:formatCode>
                <c:ptCount val="30"/>
                <c:pt idx="0">
                  <c:v>43</c:v>
                </c:pt>
                <c:pt idx="1">
                  <c:v>182</c:v>
                </c:pt>
                <c:pt idx="2">
                  <c:v>185</c:v>
                </c:pt>
                <c:pt idx="3">
                  <c:v>1060</c:v>
                </c:pt>
                <c:pt idx="4">
                  <c:v>4113</c:v>
                </c:pt>
                <c:pt idx="5">
                  <c:v>838</c:v>
                </c:pt>
                <c:pt idx="6">
                  <c:v>577</c:v>
                </c:pt>
                <c:pt idx="7">
                  <c:v>806</c:v>
                </c:pt>
                <c:pt idx="8">
                  <c:v>77</c:v>
                </c:pt>
                <c:pt idx="9">
                  <c:v>331</c:v>
                </c:pt>
                <c:pt idx="10">
                  <c:v>170</c:v>
                </c:pt>
                <c:pt idx="11">
                  <c:v>492</c:v>
                </c:pt>
                <c:pt idx="12">
                  <c:v>87</c:v>
                </c:pt>
                <c:pt idx="13">
                  <c:v>325</c:v>
                </c:pt>
                <c:pt idx="14">
                  <c:v>367</c:v>
                </c:pt>
                <c:pt idx="15">
                  <c:v>314</c:v>
                </c:pt>
                <c:pt idx="16">
                  <c:v>191</c:v>
                </c:pt>
                <c:pt idx="17">
                  <c:v>123</c:v>
                </c:pt>
                <c:pt idx="18">
                  <c:v>512</c:v>
                </c:pt>
                <c:pt idx="19">
                  <c:v>658</c:v>
                </c:pt>
                <c:pt idx="20">
                  <c:v>121</c:v>
                </c:pt>
                <c:pt idx="21">
                  <c:v>295</c:v>
                </c:pt>
                <c:pt idx="22">
                  <c:v>756</c:v>
                </c:pt>
                <c:pt idx="23">
                  <c:v>1229</c:v>
                </c:pt>
                <c:pt idx="24">
                  <c:v>151</c:v>
                </c:pt>
                <c:pt idx="25">
                  <c:v>272</c:v>
                </c:pt>
                <c:pt idx="26">
                  <c:v>609</c:v>
                </c:pt>
                <c:pt idx="27">
                  <c:v>81</c:v>
                </c:pt>
                <c:pt idx="28">
                  <c:v>95</c:v>
                </c:pt>
                <c:pt idx="29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12848"/>
        <c:axId val="362413408"/>
      </c:scatterChart>
      <c:valAx>
        <c:axId val="3624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413408"/>
        <c:crosses val="autoZero"/>
        <c:crossBetween val="midCat"/>
      </c:valAx>
      <c:valAx>
        <c:axId val="362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4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Sheet3!$B$4:$B$5</c:f>
              <c:numCache>
                <c:formatCode>General</c:formatCode>
                <c:ptCount val="2"/>
                <c:pt idx="0">
                  <c:v>447</c:v>
                </c:pt>
                <c:pt idx="1">
                  <c:v>93</c:v>
                </c:pt>
              </c:numCache>
            </c:numRef>
          </c:xVal>
          <c:yVal>
            <c:numRef>
              <c:f>Sheet3!$C$4:$C$5</c:f>
              <c:numCache>
                <c:formatCode>General</c:formatCode>
                <c:ptCount val="2"/>
                <c:pt idx="0">
                  <c:v>1636</c:v>
                </c:pt>
                <c:pt idx="1">
                  <c:v>259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Sheet3!$D$4:$D$5</c:f>
              <c:numCache>
                <c:formatCode>General</c:formatCode>
                <c:ptCount val="2"/>
                <c:pt idx="0">
                  <c:v>2319</c:v>
                </c:pt>
                <c:pt idx="1">
                  <c:v>463</c:v>
                </c:pt>
              </c:numCache>
            </c:numRef>
          </c:xVal>
          <c:yVal>
            <c:numRef>
              <c:f>Sheet3!$E$4:$E$5</c:f>
              <c:numCache>
                <c:formatCode>General</c:formatCode>
                <c:ptCount val="2"/>
                <c:pt idx="0">
                  <c:v>11741</c:v>
                </c:pt>
                <c:pt idx="1">
                  <c:v>4592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Sheet3!$F$4:$F$5</c:f>
              <c:numCache>
                <c:formatCode>General</c:formatCode>
                <c:ptCount val="2"/>
                <c:pt idx="0">
                  <c:v>23753</c:v>
                </c:pt>
                <c:pt idx="1">
                  <c:v>9080</c:v>
                </c:pt>
              </c:numCache>
            </c:numRef>
          </c:xVal>
          <c:yVal>
            <c:numRef>
              <c:f>Sheet3!$G$4:$G$5</c:f>
              <c:numCache>
                <c:formatCode>General</c:formatCode>
                <c:ptCount val="2"/>
                <c:pt idx="0">
                  <c:v>5262</c:v>
                </c:pt>
                <c:pt idx="1">
                  <c:v>2315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Sheet3!$H$4:$H$5</c:f>
              <c:numCache>
                <c:formatCode>General</c:formatCode>
                <c:ptCount val="2"/>
                <c:pt idx="0">
                  <c:v>4787</c:v>
                </c:pt>
                <c:pt idx="1">
                  <c:v>945</c:v>
                </c:pt>
              </c:numCache>
            </c:numRef>
          </c:xVal>
          <c:yVal>
            <c:numRef>
              <c:f>Sheet3!$I$4:$I$5</c:f>
              <c:numCache>
                <c:formatCode>General</c:formatCode>
                <c:ptCount val="2"/>
                <c:pt idx="0">
                  <c:v>11276</c:v>
                </c:pt>
                <c:pt idx="1">
                  <c:v>2579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Sheet3!$J$4:$J$5</c:f>
              <c:numCache>
                <c:formatCode>General</c:formatCode>
                <c:ptCount val="2"/>
                <c:pt idx="0">
                  <c:v>313</c:v>
                </c:pt>
                <c:pt idx="1">
                  <c:v>152</c:v>
                </c:pt>
              </c:numCache>
            </c:numRef>
          </c:xVal>
          <c:yVal>
            <c:numRef>
              <c:f>Sheet3!$K$4:$K$5</c:f>
              <c:numCache>
                <c:formatCode>General</c:formatCode>
                <c:ptCount val="2"/>
                <c:pt idx="0">
                  <c:v>188</c:v>
                </c:pt>
                <c:pt idx="1">
                  <c:v>1109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Sheet3!$L$4:$L$5</c:f>
              <c:numCache>
                <c:formatCode>General</c:formatCode>
                <c:ptCount val="2"/>
                <c:pt idx="0">
                  <c:v>461</c:v>
                </c:pt>
                <c:pt idx="1">
                  <c:v>313</c:v>
                </c:pt>
              </c:numCache>
            </c:numRef>
          </c:xVal>
          <c:yVal>
            <c:numRef>
              <c:f>Sheet3!$M$4:$M$5</c:f>
              <c:numCache>
                <c:formatCode>General</c:formatCode>
                <c:ptCount val="2"/>
                <c:pt idx="0">
                  <c:v>6127</c:v>
                </c:pt>
                <c:pt idx="1">
                  <c:v>10970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Sheet3!$N$4:$N$5</c:f>
              <c:numCache>
                <c:formatCode>General</c:formatCode>
                <c:ptCount val="2"/>
                <c:pt idx="0">
                  <c:v>629</c:v>
                </c:pt>
                <c:pt idx="1">
                  <c:v>360</c:v>
                </c:pt>
              </c:numCache>
            </c:numRef>
          </c:xVal>
          <c:yVal>
            <c:numRef>
              <c:f>Sheet3!$O$4:$O$5</c:f>
              <c:numCache>
                <c:formatCode>General</c:formatCode>
                <c:ptCount val="2"/>
                <c:pt idx="0">
                  <c:v>4359</c:v>
                </c:pt>
                <c:pt idx="1">
                  <c:v>1234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Sheet3!$P$4:$P$5</c:f>
              <c:numCache>
                <c:formatCode>General</c:formatCode>
                <c:ptCount val="2"/>
                <c:pt idx="0">
                  <c:v>4977</c:v>
                </c:pt>
                <c:pt idx="1">
                  <c:v>701</c:v>
                </c:pt>
              </c:numCache>
            </c:numRef>
          </c:xVal>
          <c:yVal>
            <c:numRef>
              <c:f>Sheet3!$Q$4:$Q$5</c:f>
              <c:numCache>
                <c:formatCode>General</c:formatCode>
                <c:ptCount val="2"/>
                <c:pt idx="0">
                  <c:v>3300</c:v>
                </c:pt>
                <c:pt idx="1">
                  <c:v>437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Sheet3!$R$4:$R$5</c:f>
              <c:numCache>
                <c:formatCode>General</c:formatCode>
                <c:ptCount val="2"/>
                <c:pt idx="0">
                  <c:v>1999</c:v>
                </c:pt>
                <c:pt idx="1">
                  <c:v>385</c:v>
                </c:pt>
              </c:numCache>
            </c:numRef>
          </c:xVal>
          <c:yVal>
            <c:numRef>
              <c:f>Sheet3!$S$4:$S$5</c:f>
              <c:numCache>
                <c:formatCode>General</c:formatCode>
                <c:ptCount val="2"/>
                <c:pt idx="0">
                  <c:v>2054</c:v>
                </c:pt>
                <c:pt idx="1">
                  <c:v>278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Sheet3!$T$4:$T$5</c:f>
              <c:numCache>
                <c:formatCode>General</c:formatCode>
                <c:ptCount val="2"/>
                <c:pt idx="0">
                  <c:v>5809</c:v>
                </c:pt>
                <c:pt idx="1">
                  <c:v>1101</c:v>
                </c:pt>
              </c:numCache>
            </c:numRef>
          </c:xVal>
          <c:yVal>
            <c:numRef>
              <c:f>Sheet3!$U$4:$U$5</c:f>
              <c:numCache>
                <c:formatCode>General</c:formatCode>
                <c:ptCount val="2"/>
                <c:pt idx="0">
                  <c:v>6575</c:v>
                </c:pt>
                <c:pt idx="1">
                  <c:v>2133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Sheet3!$V$4:$V$5</c:f>
              <c:numCache>
                <c:formatCode>General</c:formatCode>
                <c:ptCount val="2"/>
                <c:pt idx="0">
                  <c:v>1178</c:v>
                </c:pt>
                <c:pt idx="1">
                  <c:v>278</c:v>
                </c:pt>
              </c:numCache>
            </c:numRef>
          </c:xVal>
          <c:yVal>
            <c:numRef>
              <c:f>Sheet3!$W$4:$W$5</c:f>
              <c:numCache>
                <c:formatCode>General</c:formatCode>
                <c:ptCount val="2"/>
                <c:pt idx="0">
                  <c:v>1852</c:v>
                </c:pt>
                <c:pt idx="1">
                  <c:v>283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Sheet3!$X$4:$X$5</c:f>
              <c:numCache>
                <c:formatCode>General</c:formatCode>
                <c:ptCount val="2"/>
                <c:pt idx="0">
                  <c:v>5955</c:v>
                </c:pt>
                <c:pt idx="1">
                  <c:v>1650</c:v>
                </c:pt>
              </c:numCache>
            </c:numRef>
          </c:xVal>
          <c:yVal>
            <c:numRef>
              <c:f>Sheet3!$Y$4:$Y$5</c:f>
              <c:numCache>
                <c:formatCode>General</c:formatCode>
                <c:ptCount val="2"/>
                <c:pt idx="0">
                  <c:v>10901</c:v>
                </c:pt>
                <c:pt idx="1">
                  <c:v>3355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Sheet3!$Z$4:$Z$5</c:f>
              <c:numCache>
                <c:formatCode>General</c:formatCode>
                <c:ptCount val="2"/>
                <c:pt idx="0">
                  <c:v>800</c:v>
                </c:pt>
                <c:pt idx="1">
                  <c:v>165</c:v>
                </c:pt>
              </c:numCache>
            </c:numRef>
          </c:xVal>
          <c:yVal>
            <c:numRef>
              <c:f>Sheet3!$AA$4:$AA$5</c:f>
              <c:numCache>
                <c:formatCode>General</c:formatCode>
                <c:ptCount val="2"/>
                <c:pt idx="0">
                  <c:v>2055</c:v>
                </c:pt>
                <c:pt idx="1">
                  <c:v>1015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Sheet3!$AB$4:$AB$5</c:f>
              <c:numCache>
                <c:formatCode>General</c:formatCode>
                <c:ptCount val="2"/>
                <c:pt idx="0">
                  <c:v>8467</c:v>
                </c:pt>
                <c:pt idx="1">
                  <c:v>1337</c:v>
                </c:pt>
              </c:numCache>
            </c:numRef>
          </c:xVal>
          <c:yVal>
            <c:numRef>
              <c:f>Sheet3!$AC$4:$AC$5</c:f>
              <c:numCache>
                <c:formatCode>General</c:formatCode>
                <c:ptCount val="2"/>
                <c:pt idx="0">
                  <c:v>2271</c:v>
                </c:pt>
                <c:pt idx="1">
                  <c:v>233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Sheet3!$AD$4:$AD$5</c:f>
              <c:numCache>
                <c:formatCode>General</c:formatCode>
                <c:ptCount val="2"/>
                <c:pt idx="0">
                  <c:v>1680</c:v>
                </c:pt>
                <c:pt idx="1">
                  <c:v>180</c:v>
                </c:pt>
              </c:numCache>
            </c:numRef>
          </c:xVal>
          <c:yVal>
            <c:numRef>
              <c:f>Sheet3!$AE$4:$AE$5</c:f>
              <c:numCache>
                <c:formatCode>General</c:formatCode>
                <c:ptCount val="2"/>
                <c:pt idx="0">
                  <c:v>392</c:v>
                </c:pt>
                <c:pt idx="1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10112"/>
        <c:axId val="365210672"/>
      </c:scatterChart>
      <c:valAx>
        <c:axId val="365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210672"/>
        <c:crosses val="autoZero"/>
        <c:crossBetween val="midCat"/>
      </c:valAx>
      <c:valAx>
        <c:axId val="365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2</xdr:row>
      <xdr:rowOff>123825</xdr:rowOff>
    </xdr:from>
    <xdr:to>
      <xdr:col>38</xdr:col>
      <xdr:colOff>104775</xdr:colOff>
      <xdr:row>37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2</xdr:row>
      <xdr:rowOff>0</xdr:rowOff>
    </xdr:from>
    <xdr:to>
      <xdr:col>38</xdr:col>
      <xdr:colOff>104775</xdr:colOff>
      <xdr:row>29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28</xdr:row>
      <xdr:rowOff>61912</xdr:rowOff>
    </xdr:from>
    <xdr:to>
      <xdr:col>7</xdr:col>
      <xdr:colOff>304800</xdr:colOff>
      <xdr:row>43</xdr:row>
      <xdr:rowOff>90487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27</xdr:row>
      <xdr:rowOff>42862</xdr:rowOff>
    </xdr:from>
    <xdr:to>
      <xdr:col>20</xdr:col>
      <xdr:colOff>152400</xdr:colOff>
      <xdr:row>42</xdr:row>
      <xdr:rowOff>71437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32</xdr:row>
      <xdr:rowOff>33337</xdr:rowOff>
    </xdr:from>
    <xdr:to>
      <xdr:col>25</xdr:col>
      <xdr:colOff>704850</xdr:colOff>
      <xdr:row>47</xdr:row>
      <xdr:rowOff>61912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847725</xdr:colOff>
      <xdr:row>10</xdr:row>
      <xdr:rowOff>133350</xdr:rowOff>
    </xdr:from>
    <xdr:to>
      <xdr:col>29</xdr:col>
      <xdr:colOff>466725</xdr:colOff>
      <xdr:row>25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テーブル2" displayName="テーブル2" ref="B1:AF25" totalsRowShown="0" headerRowDxfId="418" headerRowCellStyle="良い">
  <autoFilter ref="B1:AF25"/>
  <tableColumns count="31">
    <tableColumn id="1" name="1"/>
    <tableColumn id="2" name="2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0"/>
    <tableColumn id="11" name="11" dataDxfId="417"/>
    <tableColumn id="12" name="12"/>
    <tableColumn id="13" name="13"/>
    <tableColumn id="14" name="14"/>
    <tableColumn id="15" name="15"/>
    <tableColumn id="16" name="16"/>
    <tableColumn id="17" name="17"/>
    <tableColumn id="18" name="18"/>
    <tableColumn id="19" name="19"/>
    <tableColumn id="20" name="20"/>
    <tableColumn id="21" name="21"/>
    <tableColumn id="22" name="22"/>
    <tableColumn id="23" name="23"/>
    <tableColumn id="24" name="24"/>
    <tableColumn id="25" name="25"/>
    <tableColumn id="26" name="26"/>
    <tableColumn id="27" name="27"/>
    <tableColumn id="28" name="28"/>
    <tableColumn id="29" name="29"/>
    <tableColumn id="30" name="30"/>
    <tableColumn id="31" name="合計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6" name="テーブル6" displayName="テーブル6" ref="A1:C31" totalsRowShown="0">
  <autoFilter ref="A1:C31"/>
  <tableColumns count="3">
    <tableColumn id="1" name="ID"/>
    <tableColumn id="2" name="Name"/>
    <tableColumn id="3" name="Flo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B2:AF22" headerRowCount="0" totalsRowShown="0" headerRowDxfId="416" headerRowCellStyle="良い">
  <tableColumns count="31">
    <tableColumn id="1" name="1" headerRowDxfId="415" headerRowCellStyle="良い"/>
    <tableColumn id="2" name="2" headerRowDxfId="414" headerRowCellStyle="良い"/>
    <tableColumn id="3" name="3" headerRowDxfId="413" headerRowCellStyle="良い"/>
    <tableColumn id="4" name="4" headerRowDxfId="412" headerRowCellStyle="良い"/>
    <tableColumn id="5" name="5" headerRowDxfId="411" headerRowCellStyle="良い"/>
    <tableColumn id="6" name="6" headerRowDxfId="410" headerRowCellStyle="良い"/>
    <tableColumn id="7" name="7" headerRowDxfId="409" headerRowCellStyle="良い"/>
    <tableColumn id="8" name="8" headerRowDxfId="408" headerRowCellStyle="良い"/>
    <tableColumn id="9" name="9" headerRowDxfId="407" headerRowCellStyle="良い"/>
    <tableColumn id="10" name="10" headerRowDxfId="406" headerRowCellStyle="良い"/>
    <tableColumn id="11" name="11" headerRowDxfId="405" dataDxfId="404" headerRowCellStyle="良い"/>
    <tableColumn id="12" name="12" headerRowDxfId="403" headerRowCellStyle="良い"/>
    <tableColumn id="13" name="13" headerRowDxfId="402" headerRowCellStyle="良い"/>
    <tableColumn id="14" name="14" headerRowDxfId="401" headerRowCellStyle="良い"/>
    <tableColumn id="15" name="15" headerRowDxfId="400" headerRowCellStyle="良い"/>
    <tableColumn id="16" name="16" headerRowDxfId="399" headerRowCellStyle="良い"/>
    <tableColumn id="17" name="17" headerRowDxfId="398" headerRowCellStyle="良い"/>
    <tableColumn id="18" name="18" headerRowDxfId="397" headerRowCellStyle="良い"/>
    <tableColumn id="19" name="19" headerRowDxfId="396" headerRowCellStyle="良い"/>
    <tableColumn id="20" name="20" headerRowDxfId="395" headerRowCellStyle="良い"/>
    <tableColumn id="21" name="21" headerRowDxfId="394" headerRowCellStyle="良い"/>
    <tableColumn id="22" name="22" headerRowDxfId="393" headerRowCellStyle="良い"/>
    <tableColumn id="23" name="23" headerRowDxfId="392" headerRowCellStyle="良い"/>
    <tableColumn id="24" name="24" headerRowDxfId="391" headerRowCellStyle="良い"/>
    <tableColumn id="25" name="25" headerRowDxfId="390" headerRowCellStyle="良い"/>
    <tableColumn id="26" name="26" headerRowDxfId="389" headerRowCellStyle="良い"/>
    <tableColumn id="27" name="27" headerRowDxfId="388" headerRowCellStyle="良い"/>
    <tableColumn id="28" name="28" headerRowDxfId="387" headerRowCellStyle="良い"/>
    <tableColumn id="29" name="29" headerRowDxfId="386" headerRowCellStyle="良い"/>
    <tableColumn id="30" name="30" headerRowDxfId="385" headerRowCellStyle="良い"/>
    <tableColumn id="31" name="合計" headerRowDxfId="384" dataDxfId="383" headerRowCellStyle="良い">
      <calculatedColumnFormula>SUM(テーブル24[[#This Row],[1]:[30]])</calculatedColumnFormula>
    </tableColumn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id="4" name="テーブル4" displayName="テーブル4" ref="A1:AB51" totalsRowShown="0" headerRowDxfId="382" dataDxfId="381">
  <autoFilter ref="A1:AB51"/>
  <sortState ref="A2:AB51">
    <sortCondition ref="H1:H51"/>
  </sortState>
  <tableColumns count="28">
    <tableColumn id="1" name="プロジェクトNo." dataDxfId="380" totalsRowDxfId="379"/>
    <tableColumn id="2" name="プロジェクト名" dataDxfId="378" totalsRowDxfId="377" dataCellStyle="良い"/>
    <tableColumn id="3" name="Fork数" dataDxfId="376" totalsRowDxfId="375"/>
    <tableColumn id="4" name="Star数" dataDxfId="374" totalsRowDxfId="373"/>
    <tableColumn id="5" name="Watch数" dataDxfId="372" totalsRowDxfId="371"/>
    <tableColumn id="23" name="branch" dataDxfId="370" totalsRowDxfId="369">
      <calculatedColumnFormula>IF(テーブル4[[#This Row],[branch数]]=1,"×","○")</calculatedColumnFormula>
    </tableColumn>
    <tableColumn id="6" name="branch数" dataDxfId="368" totalsRowDxfId="367"/>
    <tableColumn id="7" name="コミット数" dataDxfId="366" totalsRowDxfId="365"/>
    <tableColumn id="24" name="リリース" dataDxfId="364" totalsRowDxfId="363">
      <calculatedColumnFormula>IF(テーブル4[[#This Row],[リリース数]]=0,"×","○")</calculatedColumnFormula>
    </tableColumn>
    <tableColumn id="8" name="リリース数" dataDxfId="362" totalsRowDxfId="361"/>
    <tableColumn id="9" name="contribution数" dataDxfId="360" totalsRowDxfId="359"/>
    <tableColumn id="10" name="Issues" dataDxfId="358" totalsRowDxfId="357">
      <calculatedColumnFormula>IF(テーブル4[[#This Row],[Issues計]]=0,"×","○")</calculatedColumnFormula>
    </tableColumn>
    <tableColumn id="11" name="Open数" dataDxfId="356" totalsRowDxfId="355"/>
    <tableColumn id="12" name="Closed数" dataDxfId="354" totalsRowDxfId="353"/>
    <tableColumn id="13" name="Issues計" dataDxfId="352" totalsRowDxfId="351">
      <calculatedColumnFormula>SUM(テーブル4[[#This Row],[Open数]:[Closed数]])</calculatedColumnFormula>
    </tableColumn>
    <tableColumn id="14" name="PullRequest" dataDxfId="350" totalsRowDxfId="349"/>
    <tableColumn id="15" name="Open数2" dataDxfId="348" totalsRowDxfId="347"/>
    <tableColumn id="16" name="Closed数3" dataDxfId="346" totalsRowDxfId="345"/>
    <tableColumn id="17" name="PullRequest計" dataDxfId="344" totalsRowDxfId="343">
      <calculatedColumnFormula>SUM(テーブル4[[#This Row],[Open数2]:[Closed数3]])</calculatedColumnFormula>
    </tableColumn>
    <tableColumn id="18" name="Wiki" dataDxfId="342" totalsRowDxfId="341"/>
    <tableColumn id="27" name="列1" dataDxfId="340" totalsRowDxfId="339"/>
    <tableColumn id="19" name="タグ" dataDxfId="338" totalsRowDxfId="337"/>
    <tableColumn id="28" name="列2" dataDxfId="336" totalsRowDxfId="335"/>
    <tableColumn id="20" name="言語" dataDxfId="334" totalsRowDxfId="333"/>
    <tableColumn id="21" name="列4" dataDxfId="332" totalsRowDxfId="331"/>
    <tableColumn id="22" name="列5" dataDxfId="330" totalsRowDxfId="329"/>
    <tableColumn id="25" name="列6" dataDxfId="328" totalsRowDxfId="327"/>
    <tableColumn id="26" name="列7" dataDxfId="326" totalsRowDxfId="3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テーブル42" displayName="テーブル42" ref="A1:V31" totalsRowShown="0" headerRowDxfId="324">
  <autoFilter ref="A1:V31"/>
  <sortState ref="A2:AB31">
    <sortCondition ref="G1:G31"/>
  </sortState>
  <tableColumns count="22">
    <tableColumn id="1" name="プロジェクトNo." totalsRowDxfId="323"/>
    <tableColumn id="2" name="プロジェクト名" dataDxfId="322" totalsRowDxfId="321" dataCellStyle="良い"/>
    <tableColumn id="7" name="コミット数" dataDxfId="320" totalsRowDxfId="319" dataCellStyle="良い"/>
    <tableColumn id="3" name="Fork数" totalsRowDxfId="318"/>
    <tableColumn id="5" name="Watch数" totalsRowDxfId="317"/>
    <tableColumn id="8" name="リリース数" totalsRowDxfId="316"/>
    <tableColumn id="13" name="Issues計" totalsRowDxfId="315">
      <calculatedColumnFormula>SUM(O2:P2)</calculatedColumnFormula>
    </tableColumn>
    <tableColumn id="6" name="branch数" totalsRowDxfId="314"/>
    <tableColumn id="17" name="PullRequest計" totalsRowDxfId="313">
      <calculatedColumnFormula>SUM(R2:S2)</calculatedColumnFormula>
    </tableColumn>
    <tableColumn id="18" name="Wiki" totalsRowDxfId="312"/>
    <tableColumn id="19" name="タグ" totalsRowDxfId="311"/>
    <tableColumn id="23" name="branch" dataDxfId="310" totalsRowDxfId="309">
      <calculatedColumnFormula>IF(テーブル42[[#This Row],[branch数]]=1,"×","○")</calculatedColumnFormula>
    </tableColumn>
    <tableColumn id="24" name="リリース" dataDxfId="308" totalsRowDxfId="307">
      <calculatedColumnFormula>IF(テーブル42[[#This Row],[リリース数]]=0,"×","○")</calculatedColumnFormula>
    </tableColumn>
    <tableColumn id="10" name="Issues" totalsRowDxfId="306"/>
    <tableColumn id="11" name="Open数" totalsRowDxfId="305"/>
    <tableColumn id="12" name="Closed数" totalsRowDxfId="304"/>
    <tableColumn id="14" name="PullRequest" totalsRowDxfId="303"/>
    <tableColumn id="15" name="Open数2" totalsRowDxfId="302"/>
    <tableColumn id="16" name="Closed数3" totalsRowDxfId="301"/>
    <tableColumn id="20" name="言語" totalsRowDxfId="300"/>
    <tableColumn id="21" name="列4" totalsRowDxfId="299"/>
    <tableColumn id="22" name="列5" totalsRowDxfId="2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テーブル46" displayName="テーブル46" ref="A1:AB51" totalsRowShown="0" headerRowDxfId="297" dataDxfId="296">
  <autoFilter ref="A1:AB51"/>
  <sortState ref="A2:AB51">
    <sortCondition ref="A1:A51"/>
  </sortState>
  <tableColumns count="28">
    <tableColumn id="1" name="プロジェクトNo." dataDxfId="295" totalsRowDxfId="294"/>
    <tableColumn id="2" name="プロジェクト名" dataDxfId="293" totalsRowDxfId="292" dataCellStyle="良い"/>
    <tableColumn id="3" name="Fork数" dataDxfId="291" totalsRowDxfId="290"/>
    <tableColumn id="4" name="Star数" dataDxfId="289" totalsRowDxfId="288"/>
    <tableColumn id="5" name="Watch数" dataDxfId="287" totalsRowDxfId="286"/>
    <tableColumn id="23" name="branch" dataDxfId="285" totalsRowDxfId="284">
      <calculatedColumnFormula>IF(テーブル46[[#This Row],[branch数]]=1,"×","○")</calculatedColumnFormula>
    </tableColumn>
    <tableColumn id="6" name="branch数" dataDxfId="283" totalsRowDxfId="282"/>
    <tableColumn id="7" name="コミット数" dataDxfId="281" totalsRowDxfId="280"/>
    <tableColumn id="24" name="リリース" dataDxfId="279" totalsRowDxfId="278">
      <calculatedColumnFormula>IF(テーブル46[[#This Row],[リリース数]]=0,"×","○")</calculatedColumnFormula>
    </tableColumn>
    <tableColumn id="8" name="リリース数" dataDxfId="277" totalsRowDxfId="276"/>
    <tableColumn id="9" name="contribution数" dataDxfId="275" totalsRowDxfId="274"/>
    <tableColumn id="10" name="Issues" dataDxfId="273" totalsRowDxfId="272">
      <calculatedColumnFormula>IF(テーブル46[[#This Row],[Issues計]]=0,"×","○")</calculatedColumnFormula>
    </tableColumn>
    <tableColumn id="11" name="Open数" dataDxfId="271" totalsRowDxfId="270"/>
    <tableColumn id="12" name="Closed数" dataDxfId="269" totalsRowDxfId="268"/>
    <tableColumn id="13" name="Issues計" dataDxfId="267" totalsRowDxfId="266">
      <calculatedColumnFormula>SUM(テーブル46[[#This Row],[Open数]:[Closed数]])</calculatedColumnFormula>
    </tableColumn>
    <tableColumn id="14" name="PullRequest" dataDxfId="265" totalsRowDxfId="264"/>
    <tableColumn id="15" name="Open数2" dataDxfId="263" totalsRowDxfId="262"/>
    <tableColumn id="16" name="Closed数3" dataDxfId="261" totalsRowDxfId="260"/>
    <tableColumn id="17" name="PullRequest計" dataDxfId="259" totalsRowDxfId="258">
      <calculatedColumnFormula>SUM(テーブル46[[#This Row],[Open数2]:[Closed数3]])</calculatedColumnFormula>
    </tableColumn>
    <tableColumn id="18" name="Wiki" dataDxfId="257" totalsRowDxfId="256"/>
    <tableColumn id="27" name="Wiki数" dataDxfId="255" totalsRowDxfId="254"/>
    <tableColumn id="19" name="タグ" dataDxfId="253" totalsRowDxfId="252"/>
    <tableColumn id="28" name="列2" dataDxfId="251" totalsRowDxfId="250"/>
    <tableColumn id="20" name="言語" dataDxfId="249" totalsRowDxfId="248"/>
    <tableColumn id="21" name="列4" dataDxfId="247" totalsRowDxfId="246"/>
    <tableColumn id="22" name="列5" dataDxfId="245" totalsRowDxfId="244"/>
    <tableColumn id="25" name="列6" dataDxfId="243" totalsRowDxfId="242"/>
    <tableColumn id="26" name="列7" dataDxfId="241" totalsRowDxfId="2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テーブル468" displayName="テーブル468" ref="A1:V51" totalsRowShown="0" headerRowDxfId="239" dataDxfId="238">
  <autoFilter ref="A1:V51"/>
  <sortState ref="A2:AB51">
    <sortCondition ref="A1:A51"/>
  </sortState>
  <tableColumns count="22">
    <tableColumn id="1" name="プロジェクトNo." dataDxfId="237" totalsRowDxfId="236"/>
    <tableColumn id="2" name="プロジェクト名" dataDxfId="235" totalsRowDxfId="234" dataCellStyle="良い"/>
    <tableColumn id="7" name="コミット数" dataDxfId="233" totalsRowDxfId="232" dataCellStyle="ハイパーリンク"/>
    <tableColumn id="3" name="Fork数" dataDxfId="231" totalsRowDxfId="230"/>
    <tableColumn id="4" name="Star数" dataDxfId="229" totalsRowDxfId="228"/>
    <tableColumn id="5" name="Watch数" dataDxfId="227" totalsRowDxfId="226"/>
    <tableColumn id="6" name="branch数" dataDxfId="225" totalsRowDxfId="224"/>
    <tableColumn id="8" name="リリース数" dataDxfId="223" totalsRowDxfId="222"/>
    <tableColumn id="9" name="contribution数" dataDxfId="221" totalsRowDxfId="220"/>
    <tableColumn id="11" name="Open数" dataDxfId="219" totalsRowDxfId="218"/>
    <tableColumn id="12" name="Closed数" dataDxfId="217" totalsRowDxfId="216"/>
    <tableColumn id="13" name="Issues計" dataDxfId="215" totalsRowDxfId="214">
      <calculatedColumnFormula>SUM(テーブル468[[#This Row],[Open数]:[Closed数]])</calculatedColumnFormula>
    </tableColumn>
    <tableColumn id="15" name="Open数2" dataDxfId="213" totalsRowDxfId="212"/>
    <tableColumn id="16" name="Closed数3" dataDxfId="211" totalsRowDxfId="210"/>
    <tableColumn id="17" name="PullRequest計" dataDxfId="209" totalsRowDxfId="208">
      <calculatedColumnFormula>SUM(テーブル468[[#This Row],[Open数2]:[Closed数3]])</calculatedColumnFormula>
    </tableColumn>
    <tableColumn id="27" name="Wiki数" dataDxfId="207" totalsRowDxfId="206"/>
    <tableColumn id="28" name="タグ数" dataDxfId="205" totalsRowDxfId="204"/>
    <tableColumn id="20" name="言語" dataDxfId="203" totalsRowDxfId="202"/>
    <tableColumn id="21" name="列4" dataDxfId="201" totalsRowDxfId="200"/>
    <tableColumn id="22" name="列5" dataDxfId="199" totalsRowDxfId="198"/>
    <tableColumn id="25" name="列6" dataDxfId="197" totalsRowDxfId="196"/>
    <tableColumn id="26" name="列7" dataDxfId="195" totalsRowDxfId="19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テーブル46812" displayName="テーブル46812" ref="A1:V51" totalsRowShown="0" headerRowDxfId="193" dataDxfId="192">
  <autoFilter ref="A1:V51"/>
  <sortState ref="A2:AB51">
    <sortCondition ref="A1:A51"/>
  </sortState>
  <tableColumns count="22">
    <tableColumn id="1" name="プロジェクトNo." dataDxfId="191" totalsRowDxfId="190"/>
    <tableColumn id="2" name="プロジェクト名" dataDxfId="189" totalsRowDxfId="188" dataCellStyle="良い"/>
    <tableColumn id="7" name="コミット数" dataDxfId="187" totalsRowDxfId="186" dataCellStyle="ハイパーリンク"/>
    <tableColumn id="3" name="Fork数" dataDxfId="185" totalsRowDxfId="184"/>
    <tableColumn id="4" name="Star数" dataDxfId="183" totalsRowDxfId="182"/>
    <tableColumn id="5" name="Watch数" dataDxfId="181" totalsRowDxfId="180"/>
    <tableColumn id="6" name="branch数" dataDxfId="179" totalsRowDxfId="178"/>
    <tableColumn id="8" name="リリース数" dataDxfId="177" totalsRowDxfId="176"/>
    <tableColumn id="9" name="contribution数" dataDxfId="175" totalsRowDxfId="174"/>
    <tableColumn id="11" name="Open数" dataDxfId="173" totalsRowDxfId="172"/>
    <tableColumn id="12" name="Closed数" dataDxfId="171" totalsRowDxfId="170"/>
    <tableColumn id="13" name="Issues計" dataDxfId="169" totalsRowDxfId="168">
      <calculatedColumnFormula>SUM(テーブル46812[[#This Row],[Open数]:[Closed数]])</calculatedColumnFormula>
    </tableColumn>
    <tableColumn id="15" name="Open数2" dataDxfId="167" totalsRowDxfId="166"/>
    <tableColumn id="16" name="Closed数3" dataDxfId="165" totalsRowDxfId="164"/>
    <tableColumn id="17" name="PullRequest計" dataDxfId="163" totalsRowDxfId="162">
      <calculatedColumnFormula>SUM(テーブル46812[[#This Row],[Open数2]:[Closed数3]])</calculatedColumnFormula>
    </tableColumn>
    <tableColumn id="27" name="Wiki数" dataDxfId="161" totalsRowDxfId="160"/>
    <tableColumn id="28" name="タグ数" dataDxfId="159" totalsRowDxfId="158"/>
    <tableColumn id="20" name="言語" dataDxfId="157" totalsRowDxfId="156"/>
    <tableColumn id="21" name="列4" dataDxfId="155" totalsRowDxfId="154"/>
    <tableColumn id="22" name="列5" dataDxfId="153" totalsRowDxfId="152"/>
    <tableColumn id="25" name="列6" dataDxfId="151" totalsRowDxfId="150"/>
    <tableColumn id="26" name="列7" dataDxfId="149" totalsRowDxfId="1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テーブル46813" displayName="テーブル46813" ref="A1:AJ52" totalsRowCount="1" headerRowDxfId="147" dataDxfId="146">
  <autoFilter ref="A1:AJ51"/>
  <sortState ref="A2:AB51">
    <sortCondition ref="A1:A51"/>
  </sortState>
  <tableColumns count="36">
    <tableColumn id="1" name="プロジェクトNo." dataDxfId="145" totalsRowDxfId="71"/>
    <tableColumn id="2" name="プロジェクト名" dataDxfId="144" totalsRowDxfId="70" dataCellStyle="良い"/>
    <tableColumn id="7" name="コミット数" totalsRowFunction="custom" dataDxfId="143" totalsRowDxfId="69" dataCellStyle="ハイパーリンク">
      <totalsRowFormula>SUM(テーブル46813[コミット数])</totalsRowFormula>
    </tableColumn>
    <tableColumn id="3" name="Fork数" totalsRowFunction="custom" dataDxfId="142" totalsRowDxfId="68">
      <totalsRowFormula>SUM(テーブル46813[Fork数])</totalsRowFormula>
    </tableColumn>
    <tableColumn id="4" name="Star数" totalsRowFunction="custom" dataDxfId="141" totalsRowDxfId="67">
      <totalsRowFormula>SUM(テーブル46813[Star数])</totalsRowFormula>
    </tableColumn>
    <tableColumn id="5" name="Watch数" totalsRowFunction="custom" dataDxfId="140" totalsRowDxfId="66">
      <totalsRowFormula>SUM(テーブル46813[Watch数])</totalsRowFormula>
    </tableColumn>
    <tableColumn id="6" name="branch数" totalsRowFunction="custom" dataDxfId="139" totalsRowDxfId="65">
      <totalsRowFormula>SUM(テーブル46813[branch数])</totalsRowFormula>
    </tableColumn>
    <tableColumn id="8" name="リリース数" totalsRowFunction="custom" dataDxfId="138" totalsRowDxfId="64">
      <totalsRowFormula>SUM(テーブル46813[リリース数])</totalsRowFormula>
    </tableColumn>
    <tableColumn id="9" name="contribution数" totalsRowFunction="custom" dataDxfId="137" totalsRowDxfId="63">
      <totalsRowFormula>SUM(テーブル46813[contribution数])</totalsRowFormula>
    </tableColumn>
    <tableColumn id="11" name="Open数" totalsRowFunction="custom" dataDxfId="136" totalsRowDxfId="62">
      <totalsRowFormula>SUM(テーブル46813[Open数])</totalsRowFormula>
    </tableColumn>
    <tableColumn id="12" name="Closed数" totalsRowFunction="custom" dataDxfId="135" totalsRowDxfId="61">
      <totalsRowFormula>SUM(テーブル46813[Closed数])</totalsRowFormula>
    </tableColumn>
    <tableColumn id="13" name="Issues計" totalsRowFunction="custom" dataDxfId="134" totalsRowDxfId="60">
      <calculatedColumnFormula>SUM(テーブル46813[[#This Row],[Open数]:[Closed数]])</calculatedColumnFormula>
      <totalsRowFormula>SUM(テーブル46813[Issues計])</totalsRowFormula>
    </tableColumn>
    <tableColumn id="15" name="Open数2" totalsRowFunction="custom" dataDxfId="133" totalsRowDxfId="59">
      <totalsRowFormula>SUM(テーブル46813[Open数2])</totalsRowFormula>
    </tableColumn>
    <tableColumn id="16" name="Closed数3" totalsRowFunction="custom" dataDxfId="132" totalsRowDxfId="58">
      <totalsRowFormula>SUM(テーブル46813[Closed数3])</totalsRowFormula>
    </tableColumn>
    <tableColumn id="17" name="PullRequest計" totalsRowFunction="custom" dataDxfId="131" totalsRowDxfId="57">
      <calculatedColumnFormula>SUM(テーブル46813[[#This Row],[Open数2]:[Closed数3]])</calculatedColumnFormula>
      <totalsRowFormula>SUM(テーブル46813[PullRequest計])</totalsRowFormula>
    </tableColumn>
    <tableColumn id="27" name="Wiki数" totalsRowFunction="custom" dataDxfId="130" totalsRowDxfId="56">
      <totalsRowFormula>SUM(テーブル46813[Wiki数])</totalsRowFormula>
    </tableColumn>
    <tableColumn id="28" name="タグ数" totalsRowFunction="custom" dataDxfId="129" totalsRowDxfId="55">
      <totalsRowFormula>SUM(テーブル46813[タグ数])</totalsRowFormula>
    </tableColumn>
    <tableColumn id="21" name="obejectivi-c" totalsRowFunction="custom" dataDxfId="128" totalsRowDxfId="54">
      <totalsRowFormula>SUM(テーブル46813[obejectivi-c])</totalsRowFormula>
    </tableColumn>
    <tableColumn id="22" name="Ruby" totalsRowFunction="custom" dataDxfId="127" totalsRowDxfId="53">
      <totalsRowFormula>SUM(テーブル46813[Ruby])</totalsRowFormula>
    </tableColumn>
    <tableColumn id="25" name="JavaScript" totalsRowFunction="custom" dataDxfId="126" totalsRowDxfId="52">
      <totalsRowFormula>SUM(テーブル46813[JavaScript])</totalsRowFormula>
    </tableColumn>
    <tableColumn id="26" name="CSS" totalsRowFunction="custom" dataDxfId="125" totalsRowDxfId="51">
      <totalsRowFormula>SUM(テーブル46813[CSS])</totalsRowFormula>
    </tableColumn>
    <tableColumn id="10" name="Python" totalsRowFunction="custom" dataDxfId="124" totalsRowDxfId="50">
      <totalsRowFormula>SUM(テーブル46813[Python])</totalsRowFormula>
    </tableColumn>
    <tableColumn id="14" name="PHP" totalsRowFunction="custom" dataDxfId="123" totalsRowDxfId="49">
      <totalsRowFormula>SUM(テーブル46813[PHP])</totalsRowFormula>
    </tableColumn>
    <tableColumn id="37" name="Perl" totalsRowFunction="custom" dataDxfId="122" totalsRowDxfId="48">
      <totalsRowFormula>SUM(テーブル46813[Perl])</totalsRowFormula>
    </tableColumn>
    <tableColumn id="18" name="Groovy" totalsRowFunction="custom" dataDxfId="121" totalsRowDxfId="47">
      <totalsRowFormula>SUM(テーブル46813[Groovy])</totalsRowFormula>
    </tableColumn>
    <tableColumn id="19" name="TeX" totalsRowFunction="custom" dataDxfId="120" totalsRowDxfId="46">
      <totalsRowFormula>SUM(テーブル46813[TeX])</totalsRowFormula>
    </tableColumn>
    <tableColumn id="23" name="C++" totalsRowFunction="custom" dataDxfId="119" totalsRowDxfId="45">
      <totalsRowFormula>SUM(テーブル46813[C++])</totalsRowFormula>
    </tableColumn>
    <tableColumn id="24" name="Shell" totalsRowFunction="custom" dataDxfId="118" totalsRowDxfId="44">
      <totalsRowFormula>SUM(テーブル46813[Shell])</totalsRowFormula>
    </tableColumn>
    <tableColumn id="29" name="Erlang" totalsRowFunction="custom" dataDxfId="117" totalsRowDxfId="43">
      <totalsRowFormula>SUM(テーブル46813[Erlang])</totalsRowFormula>
    </tableColumn>
    <tableColumn id="30" name="C" totalsRowFunction="custom" dataDxfId="116" totalsRowDxfId="42">
      <totalsRowFormula>SUM(テーブル46813[C])</totalsRowFormula>
    </tableColumn>
    <tableColumn id="31" name="Tcl" totalsRowFunction="custom" dataDxfId="115" totalsRowDxfId="41">
      <totalsRowFormula>SUM(テーブル46813[Tcl])</totalsRowFormula>
    </tableColumn>
    <tableColumn id="32" name="CoffeeScript" totalsRowFunction="custom" dataDxfId="114" totalsRowDxfId="40">
      <totalsRowFormula>SUM(テーブル46813[CoffeeScript])</totalsRowFormula>
    </tableColumn>
    <tableColumn id="34" name="FORTRAN" totalsRowFunction="custom" dataDxfId="113" totalsRowDxfId="39">
      <totalsRowFormula>SUM(テーブル46813[FORTRAN])</totalsRowFormula>
    </tableColumn>
    <tableColumn id="35" name="ActionScript" totalsRowFunction="custom" dataDxfId="112" totalsRowDxfId="38">
      <totalsRowFormula>SUM(テーブル46813[ActionScript])</totalsRowFormula>
    </tableColumn>
    <tableColumn id="36" name="Coq" totalsRowFunction="custom" dataDxfId="111" totalsRowDxfId="37">
      <totalsRowFormula>SUM(テーブル46813[Coq])</totalsRowFormula>
    </tableColumn>
    <tableColumn id="33" name="Other" totalsRowFunction="custom" dataDxfId="110" totalsRowDxfId="36">
      <totalsRowFormula>SUM(テーブル46813[Other])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テーブル4681314" displayName="テーブル4681314" ref="A1:AJ52" totalsRowCount="1" headerRowDxfId="109" dataDxfId="108">
  <autoFilter ref="A1:AJ51"/>
  <sortState ref="A2:AB51">
    <sortCondition ref="A1:A51"/>
  </sortState>
  <tableColumns count="36">
    <tableColumn id="1" name="プロジェクトNo." dataDxfId="107" totalsRowDxfId="35"/>
    <tableColumn id="2" name="プロジェクト名" dataDxfId="106" totalsRowDxfId="34" dataCellStyle="良い"/>
    <tableColumn id="7" name="コミット数" totalsRowFunction="custom" dataDxfId="105" totalsRowDxfId="33" dataCellStyle="ハイパーリンク">
      <totalsRowFormula>SUM(テーブル4681314[コミット数])</totalsRowFormula>
    </tableColumn>
    <tableColumn id="3" name="Fork数" totalsRowFunction="custom" dataDxfId="104" totalsRowDxfId="32">
      <totalsRowFormula>SUM(テーブル4681314[Fork数])</totalsRowFormula>
    </tableColumn>
    <tableColumn id="4" name="Star数" totalsRowFunction="custom" dataDxfId="103" totalsRowDxfId="31">
      <totalsRowFormula>SUM(テーブル4681314[Star数])</totalsRowFormula>
    </tableColumn>
    <tableColumn id="5" name="Watch数" totalsRowFunction="custom" dataDxfId="102" totalsRowDxfId="30">
      <totalsRowFormula>SUM(テーブル4681314[Watch数])</totalsRowFormula>
    </tableColumn>
    <tableColumn id="6" name="branch数" totalsRowFunction="custom" dataDxfId="101" totalsRowDxfId="29">
      <totalsRowFormula>SUM(テーブル4681314[branch数])</totalsRowFormula>
    </tableColumn>
    <tableColumn id="8" name="リリース数" totalsRowFunction="custom" dataDxfId="100" totalsRowDxfId="28">
      <totalsRowFormula>SUM(テーブル4681314[リリース数])</totalsRowFormula>
    </tableColumn>
    <tableColumn id="9" name="contribution数" totalsRowFunction="custom" dataDxfId="99" totalsRowDxfId="27">
      <totalsRowFormula>SUM(テーブル4681314[contribution数])</totalsRowFormula>
    </tableColumn>
    <tableColumn id="11" name="Open数" totalsRowFunction="custom" dataDxfId="98" totalsRowDxfId="26">
      <totalsRowFormula>SUM(テーブル4681314[Open数])</totalsRowFormula>
    </tableColumn>
    <tableColumn id="12" name="Closed数" totalsRowFunction="custom" dataDxfId="97" totalsRowDxfId="25">
      <totalsRowFormula>SUM(テーブル4681314[Closed数])</totalsRowFormula>
    </tableColumn>
    <tableColumn id="13" name="Issues計" totalsRowFunction="custom" dataDxfId="96" totalsRowDxfId="24">
      <calculatedColumnFormula>SUM(テーブル4681314[[#This Row],[Open数]:[Closed数]])</calculatedColumnFormula>
      <totalsRowFormula>SUM(テーブル4681314[Issues計])</totalsRowFormula>
    </tableColumn>
    <tableColumn id="15" name="Open数2" totalsRowFunction="custom" dataDxfId="95" totalsRowDxfId="23">
      <totalsRowFormula>SUM(テーブル4681314[Open数2])</totalsRowFormula>
    </tableColumn>
    <tableColumn id="16" name="Closed数3" totalsRowFunction="custom" dataDxfId="94" totalsRowDxfId="22">
      <totalsRowFormula>SUM(テーブル4681314[Closed数3])</totalsRowFormula>
    </tableColumn>
    <tableColumn id="17" name="PullRequest計" totalsRowFunction="custom" dataDxfId="93" totalsRowDxfId="21">
      <calculatedColumnFormula>SUM(テーブル4681314[[#This Row],[Open数2]:[Closed数3]])</calculatedColumnFormula>
      <totalsRowFormula>SUM(テーブル4681314[PullRequest計])</totalsRowFormula>
    </tableColumn>
    <tableColumn id="27" name="Wiki数" totalsRowFunction="custom" dataDxfId="92" totalsRowDxfId="20">
      <totalsRowFormula>SUM(テーブル4681314[Wiki数])</totalsRowFormula>
    </tableColumn>
    <tableColumn id="28" name="タグ数" totalsRowFunction="custom" dataDxfId="91" totalsRowDxfId="19">
      <totalsRowFormula>SUM(テーブル4681314[タグ数])</totalsRowFormula>
    </tableColumn>
    <tableColumn id="21" name="obejectivi-c" totalsRowFunction="custom" dataDxfId="90" totalsRowDxfId="18">
      <totalsRowFormula>SUM(テーブル4681314[obejectivi-c])</totalsRowFormula>
    </tableColumn>
    <tableColumn id="22" name="Ruby" totalsRowFunction="custom" dataDxfId="89" totalsRowDxfId="17">
      <totalsRowFormula>SUM(テーブル4681314[Ruby])</totalsRowFormula>
    </tableColumn>
    <tableColumn id="25" name="JavaScript" totalsRowFunction="custom" dataDxfId="88" totalsRowDxfId="16">
      <totalsRowFormula>SUM(テーブル4681314[JavaScript])</totalsRowFormula>
    </tableColumn>
    <tableColumn id="26" name="CSS" totalsRowFunction="custom" dataDxfId="87" totalsRowDxfId="15">
      <totalsRowFormula>SUM(テーブル4681314[CSS])</totalsRowFormula>
    </tableColumn>
    <tableColumn id="10" name="Python" totalsRowFunction="custom" dataDxfId="86" totalsRowDxfId="14">
      <totalsRowFormula>SUM(テーブル4681314[Python])</totalsRowFormula>
    </tableColumn>
    <tableColumn id="14" name="PHP" totalsRowFunction="custom" dataDxfId="85" totalsRowDxfId="13">
      <totalsRowFormula>SUM(テーブル4681314[PHP])</totalsRowFormula>
    </tableColumn>
    <tableColumn id="37" name="Perl" totalsRowFunction="custom" dataDxfId="84" totalsRowDxfId="12">
      <totalsRowFormula>SUM(テーブル4681314[Perl])</totalsRowFormula>
    </tableColumn>
    <tableColumn id="18" name="Groovy" totalsRowFunction="custom" dataDxfId="83" totalsRowDxfId="11">
      <totalsRowFormula>SUM(テーブル4681314[Groovy])</totalsRowFormula>
    </tableColumn>
    <tableColumn id="19" name="TeX" totalsRowFunction="custom" dataDxfId="82" totalsRowDxfId="10">
      <totalsRowFormula>SUM(テーブル4681314[TeX])</totalsRowFormula>
    </tableColumn>
    <tableColumn id="23" name="C++" totalsRowFunction="custom" dataDxfId="81" totalsRowDxfId="9">
      <totalsRowFormula>SUM(テーブル4681314[C++])</totalsRowFormula>
    </tableColumn>
    <tableColumn id="24" name="Shell" totalsRowFunction="custom" dataDxfId="80" totalsRowDxfId="8">
      <totalsRowFormula>SUM(テーブル4681314[Shell])</totalsRowFormula>
    </tableColumn>
    <tableColumn id="29" name="Erlang" totalsRowFunction="custom" dataDxfId="79" totalsRowDxfId="7">
      <totalsRowFormula>SUM(テーブル4681314[Erlang])</totalsRowFormula>
    </tableColumn>
    <tableColumn id="30" name="C" totalsRowFunction="custom" dataDxfId="78" totalsRowDxfId="6">
      <totalsRowFormula>SUM(テーブル4681314[C])</totalsRowFormula>
    </tableColumn>
    <tableColumn id="31" name="Tcl" totalsRowFunction="custom" dataDxfId="77" totalsRowDxfId="5">
      <totalsRowFormula>SUM(テーブル4681314[Tcl])</totalsRowFormula>
    </tableColumn>
    <tableColumn id="32" name="CoffeeScript" totalsRowFunction="custom" dataDxfId="76" totalsRowDxfId="4">
      <totalsRowFormula>SUM(テーブル4681314[CoffeeScript])</totalsRowFormula>
    </tableColumn>
    <tableColumn id="34" name="FORTRAN" totalsRowFunction="custom" dataDxfId="75" totalsRowDxfId="3">
      <totalsRowFormula>SUM(テーブル4681314[FORTRAN])</totalsRowFormula>
    </tableColumn>
    <tableColumn id="35" name="ActionScript" totalsRowFunction="custom" dataDxfId="74" totalsRowDxfId="2">
      <totalsRowFormula>SUM(テーブル4681314[ActionScript])</totalsRowFormula>
    </tableColumn>
    <tableColumn id="36" name="Coq" totalsRowFunction="custom" dataDxfId="73" totalsRowDxfId="1">
      <totalsRowFormula>SUM(テーブル4681314[Coq])</totalsRowFormula>
    </tableColumn>
    <tableColumn id="33" name="Other" totalsRowFunction="custom" dataDxfId="72" totalsRowDxfId="0">
      <totalsRowFormula>SUM(テーブル4681314[Other])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ss/less.js" TargetMode="External"/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" Type="http://schemas.openxmlformats.org/officeDocument/2006/relationships/hyperlink" Target="https://github.com/ryanb/ruby-warrior" TargetMode="External"/><Relationship Id="rId21" Type="http://schemas.openxmlformats.org/officeDocument/2006/relationships/hyperlink" Target="https://github.com/melonjs/melonJS" TargetMode="External"/><Relationship Id="rId7" Type="http://schemas.openxmlformats.org/officeDocument/2006/relationships/hyperlink" Target="https://github.com/sass/sass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0" Type="http://schemas.openxmlformats.org/officeDocument/2006/relationships/hyperlink" Target="https://github.com/photonstorm/phaser" TargetMode="External"/><Relationship Id="rId29" Type="http://schemas.openxmlformats.org/officeDocument/2006/relationships/hyperlink" Target="https://github.com/quicksilver/Quicksilver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table" Target="../tables/table6.xm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table" Target="../tables/table7.xm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table" Target="../tables/table8.xm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table" Target="../tables/table9.xm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atena/hatena-screenshot-xul" TargetMode="External"/><Relationship Id="rId2" Type="http://schemas.openxmlformats.org/officeDocument/2006/relationships/hyperlink" Target="https://github.com/hatena/hatena-bookmark-googlechrome-extension" TargetMode="External"/><Relationship Id="rId1" Type="http://schemas.openxmlformats.org/officeDocument/2006/relationships/hyperlink" Target="https://github.com/hatena/hatena-bookmark-xul" TargetMode="External"/><Relationship Id="rId6" Type="http://schemas.openxmlformats.org/officeDocument/2006/relationships/table" Target="../tables/table10.xml"/><Relationship Id="rId5" Type="http://schemas.openxmlformats.org/officeDocument/2006/relationships/hyperlink" Target="https://github.com/hatena/hatena-bookmark-safari-ext" TargetMode="External"/><Relationship Id="rId4" Type="http://schemas.openxmlformats.org/officeDocument/2006/relationships/hyperlink" Target="https://github.com/hatena/hatena-toolbar-xu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fm/emcee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django/django" TargetMode="External"/><Relationship Id="rId42" Type="http://schemas.openxmlformats.org/officeDocument/2006/relationships/hyperlink" Target="https://github.com/gabrielecirulli/2048" TargetMode="External"/><Relationship Id="rId47" Type="http://schemas.openxmlformats.org/officeDocument/2006/relationships/hyperlink" Target="https://github.com/scottschiller/SoundManager2" TargetMode="External"/><Relationship Id="rId50" Type="http://schemas.openxmlformats.org/officeDocument/2006/relationships/hyperlink" Target="https://github.com/photonstorm/phaser" TargetMode="External"/><Relationship Id="rId55" Type="http://schemas.openxmlformats.org/officeDocument/2006/relationships/hyperlink" Target="https://github.com/HoTT/book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karpathy/convnetjs" TargetMode="External"/><Relationship Id="rId37" Type="http://schemas.openxmlformats.org/officeDocument/2006/relationships/hyperlink" Target="https://github.com/sass/sass" TargetMode="External"/><Relationship Id="rId40" Type="http://schemas.openxmlformats.org/officeDocument/2006/relationships/hyperlink" Target="https://github.com/cms-sw/cmssw" TargetMode="External"/><Relationship Id="rId45" Type="http://schemas.openxmlformats.org/officeDocument/2006/relationships/hyperlink" Target="https://github.com/LearnBoost/stylus" TargetMode="External"/><Relationship Id="rId53" Type="http://schemas.openxmlformats.org/officeDocument/2006/relationships/hyperlink" Target="https://github.com/mongodb/mongo" TargetMode="External"/><Relationship Id="rId58" Type="http://schemas.openxmlformats.org/officeDocument/2006/relationships/hyperlink" Target="https://github.com/defunkt/dotjs" TargetMode="External"/><Relationship Id="rId5" Type="http://schemas.openxmlformats.org/officeDocument/2006/relationships/hyperlink" Target="https://github.com/rails/rails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github.com/GoodBoyDigital/pixi.js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rails/rails" TargetMode="External"/><Relationship Id="rId43" Type="http://schemas.openxmlformats.org/officeDocument/2006/relationships/hyperlink" Target="https://github.com/ellisonleao/clumsy-bird" TargetMode="External"/><Relationship Id="rId48" Type="http://schemas.openxmlformats.org/officeDocument/2006/relationships/hyperlink" Target="https://github.com/play/play" TargetMode="External"/><Relationship Id="rId56" Type="http://schemas.openxmlformats.org/officeDocument/2006/relationships/hyperlink" Target="https://github.com/manuelkiessling/nodebeginner.org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hyperlink" Target="https://github.com/melonjs/melonJS" TargetMode="Externa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ryanb/ruby-warrior" TargetMode="External"/><Relationship Id="rId38" Type="http://schemas.openxmlformats.org/officeDocument/2006/relationships/hyperlink" Target="https://github.com/less/less.js" TargetMode="External"/><Relationship Id="rId46" Type="http://schemas.openxmlformats.org/officeDocument/2006/relationships/hyperlink" Target="https://github.com/sampsyo/beets" TargetMode="External"/><Relationship Id="rId59" Type="http://schemas.openxmlformats.org/officeDocument/2006/relationships/hyperlink" Target="https://github.com/quicksilver/Quicksilver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astropy/astropy" TargetMode="External"/><Relationship Id="rId54" Type="http://schemas.openxmlformats.org/officeDocument/2006/relationships/hyperlink" Target="https://github.com/antirez/redis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cakephp/cakephp" TargetMode="External"/><Relationship Id="rId49" Type="http://schemas.openxmlformats.org/officeDocument/2006/relationships/hyperlink" Target="https://github.com/GoodBoyDigital/pixi.js" TargetMode="External"/><Relationship Id="rId57" Type="http://schemas.openxmlformats.org/officeDocument/2006/relationships/hyperlink" Target="https://github.com/addyosmani/backbone-fundamentals" TargetMode="External"/><Relationship Id="rId10" Type="http://schemas.openxmlformats.org/officeDocument/2006/relationships/hyperlink" Target="https://github.com/cms-sw/cmssw" TargetMode="External"/><Relationship Id="rId31" Type="http://schemas.openxmlformats.org/officeDocument/2006/relationships/hyperlink" Target="https://github.com/nikolaypavlov/MLPNeuralNet" TargetMode="External"/><Relationship Id="rId44" Type="http://schemas.openxmlformats.org/officeDocument/2006/relationships/hyperlink" Target="https://github.com/mozilla/BrowserQuest" TargetMode="External"/><Relationship Id="rId52" Type="http://schemas.openxmlformats.org/officeDocument/2006/relationships/hyperlink" Target="https://github.com/basho/riak" TargetMode="External"/><Relationship Id="rId60" Type="http://schemas.openxmlformats.org/officeDocument/2006/relationships/hyperlink" Target="https://github.com/muan/github-gmail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ss/less.js" TargetMode="External"/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" Type="http://schemas.openxmlformats.org/officeDocument/2006/relationships/hyperlink" Target="https://github.com/ryanb/ruby-warrior" TargetMode="External"/><Relationship Id="rId21" Type="http://schemas.openxmlformats.org/officeDocument/2006/relationships/hyperlink" Target="https://github.com/melonjs/melonJS" TargetMode="External"/><Relationship Id="rId7" Type="http://schemas.openxmlformats.org/officeDocument/2006/relationships/hyperlink" Target="https://github.com/sass/sass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0" Type="http://schemas.openxmlformats.org/officeDocument/2006/relationships/hyperlink" Target="https://github.com/photonstorm/phaser" TargetMode="External"/><Relationship Id="rId29" Type="http://schemas.openxmlformats.org/officeDocument/2006/relationships/hyperlink" Target="https://github.com/quicksilver/Quicksilver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ss/less.js" TargetMode="External"/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" Type="http://schemas.openxmlformats.org/officeDocument/2006/relationships/hyperlink" Target="https://github.com/ryanb/ruby-warrior" TargetMode="External"/><Relationship Id="rId21" Type="http://schemas.openxmlformats.org/officeDocument/2006/relationships/hyperlink" Target="https://github.com/melonjs/melonJS" TargetMode="External"/><Relationship Id="rId7" Type="http://schemas.openxmlformats.org/officeDocument/2006/relationships/hyperlink" Target="https://github.com/sass/sass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0" Type="http://schemas.openxmlformats.org/officeDocument/2006/relationships/hyperlink" Target="https://github.com/photonstorm/phaser" TargetMode="External"/><Relationship Id="rId29" Type="http://schemas.openxmlformats.org/officeDocument/2006/relationships/hyperlink" Target="https://github.com/quicksilver/Quicksilver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5" Type="http://schemas.openxmlformats.org/officeDocument/2006/relationships/hyperlink" Target="https://github.com/rails/rails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10" Type="http://schemas.openxmlformats.org/officeDocument/2006/relationships/hyperlink" Target="https://github.com/cms-sw/cmssw" TargetMode="External"/><Relationship Id="rId19" Type="http://schemas.openxmlformats.org/officeDocument/2006/relationships/hyperlink" Target="https://github.com/GoodBoyDigital/pixi.js" TargetMode="External"/><Relationship Id="rId31" Type="http://schemas.openxmlformats.org/officeDocument/2006/relationships/table" Target="../tables/table4.xm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onleao/clumsy-bird" TargetMode="External"/><Relationship Id="rId18" Type="http://schemas.openxmlformats.org/officeDocument/2006/relationships/hyperlink" Target="https://github.com/play/play" TargetMode="External"/><Relationship Id="rId26" Type="http://schemas.openxmlformats.org/officeDocument/2006/relationships/hyperlink" Target="https://github.com/manuelkiessling/nodebeginner.org" TargetMode="External"/><Relationship Id="rId39" Type="http://schemas.openxmlformats.org/officeDocument/2006/relationships/hyperlink" Target="https://github.com/dc-js/dc.js" TargetMode="External"/><Relationship Id="rId21" Type="http://schemas.openxmlformats.org/officeDocument/2006/relationships/hyperlink" Target="https://github.com/melonjs/melonJS" TargetMode="External"/><Relationship Id="rId34" Type="http://schemas.openxmlformats.org/officeDocument/2006/relationships/hyperlink" Target="https://github.com/trifacta/vega" TargetMode="External"/><Relationship Id="rId42" Type="http://schemas.openxmlformats.org/officeDocument/2006/relationships/hyperlink" Target="https://github.com/densitydesign/raw" TargetMode="External"/><Relationship Id="rId47" Type="http://schemas.openxmlformats.org/officeDocument/2006/relationships/hyperlink" Target="https://github.com/mbostock/d3" TargetMode="External"/><Relationship Id="rId50" Type="http://schemas.openxmlformats.org/officeDocument/2006/relationships/hyperlink" Target="https://github.com/jacomyal/sigma.js" TargetMode="External"/><Relationship Id="rId55" Type="http://schemas.openxmlformats.org/officeDocument/2006/relationships/hyperlink" Target="https://github.com/scottschiller/SoundManager2" TargetMode="External"/><Relationship Id="rId7" Type="http://schemas.openxmlformats.org/officeDocument/2006/relationships/hyperlink" Target="https://github.com/sass/sass" TargetMode="External"/><Relationship Id="rId2" Type="http://schemas.openxmlformats.org/officeDocument/2006/relationships/hyperlink" Target="https://github.com/karpathy/convnetjs" TargetMode="External"/><Relationship Id="rId16" Type="http://schemas.openxmlformats.org/officeDocument/2006/relationships/hyperlink" Target="https://github.com/sampsyo/beets" TargetMode="External"/><Relationship Id="rId29" Type="http://schemas.openxmlformats.org/officeDocument/2006/relationships/hyperlink" Target="https://github.com/quicksilver/Quicksilver" TargetMode="External"/><Relationship Id="rId11" Type="http://schemas.openxmlformats.org/officeDocument/2006/relationships/hyperlink" Target="https://github.com/astropy/astropy" TargetMode="External"/><Relationship Id="rId24" Type="http://schemas.openxmlformats.org/officeDocument/2006/relationships/hyperlink" Target="https://github.com/antirez/redis" TargetMode="External"/><Relationship Id="rId32" Type="http://schemas.openxmlformats.org/officeDocument/2006/relationships/hyperlink" Target="https://github.com/HumbleSoftware/envisionjs" TargetMode="External"/><Relationship Id="rId37" Type="http://schemas.openxmlformats.org/officeDocument/2006/relationships/hyperlink" Target="https://github.com/matplotlib/matplotlib" TargetMode="External"/><Relationship Id="rId40" Type="http://schemas.openxmlformats.org/officeDocument/2006/relationships/hyperlink" Target="https://github.com/nnnick/Chart.js" TargetMode="External"/><Relationship Id="rId45" Type="http://schemas.openxmlformats.org/officeDocument/2006/relationships/hyperlink" Target="https://github.com/github/linguist" TargetMode="External"/><Relationship Id="rId53" Type="http://schemas.openxmlformats.org/officeDocument/2006/relationships/hyperlink" Target="https://github.com/nikolaypavlov/MLPNeuralNet" TargetMode="External"/><Relationship Id="rId58" Type="http://schemas.openxmlformats.org/officeDocument/2006/relationships/hyperlink" Target="https://github.com/play/play" TargetMode="External"/><Relationship Id="rId5" Type="http://schemas.openxmlformats.org/officeDocument/2006/relationships/hyperlink" Target="https://github.com/rails/rails" TargetMode="External"/><Relationship Id="rId61" Type="http://schemas.openxmlformats.org/officeDocument/2006/relationships/table" Target="../tables/table5.xml"/><Relationship Id="rId19" Type="http://schemas.openxmlformats.org/officeDocument/2006/relationships/hyperlink" Target="https://github.com/GoodBoyDigital/pixi.js" TargetMode="External"/><Relationship Id="rId14" Type="http://schemas.openxmlformats.org/officeDocument/2006/relationships/hyperlink" Target="https://github.com/mozilla/BrowserQuest" TargetMode="External"/><Relationship Id="rId22" Type="http://schemas.openxmlformats.org/officeDocument/2006/relationships/hyperlink" Target="https://github.com/basho/riak" TargetMode="External"/><Relationship Id="rId27" Type="http://schemas.openxmlformats.org/officeDocument/2006/relationships/hyperlink" Target="https://github.com/addyosmani/backbone-fundamentals" TargetMode="External"/><Relationship Id="rId30" Type="http://schemas.openxmlformats.org/officeDocument/2006/relationships/hyperlink" Target="https://github.com/muan/github-gmail" TargetMode="External"/><Relationship Id="rId35" Type="http://schemas.openxmlformats.org/officeDocument/2006/relationships/hyperlink" Target="https://github.com/stamen/modestmaps-js" TargetMode="External"/><Relationship Id="rId43" Type="http://schemas.openxmlformats.org/officeDocument/2006/relationships/hyperlink" Target="https://github.com/gionkunz/chartist-js" TargetMode="External"/><Relationship Id="rId48" Type="http://schemas.openxmlformats.org/officeDocument/2006/relationships/hyperlink" Target="https://github.com/benpickles/peity" TargetMode="External"/><Relationship Id="rId56" Type="http://schemas.openxmlformats.org/officeDocument/2006/relationships/hyperlink" Target="https://github.com/sass/sass" TargetMode="External"/><Relationship Id="rId8" Type="http://schemas.openxmlformats.org/officeDocument/2006/relationships/hyperlink" Target="https://github.com/less/less.js" TargetMode="External"/><Relationship Id="rId51" Type="http://schemas.openxmlformats.org/officeDocument/2006/relationships/hyperlink" Target="https://github.com/django/django" TargetMode="External"/><Relationship Id="rId3" Type="http://schemas.openxmlformats.org/officeDocument/2006/relationships/hyperlink" Target="https://github.com/ryanb/ruby-warrior" TargetMode="External"/><Relationship Id="rId12" Type="http://schemas.openxmlformats.org/officeDocument/2006/relationships/hyperlink" Target="https://github.com/gabrielecirulli/2048" TargetMode="External"/><Relationship Id="rId17" Type="http://schemas.openxmlformats.org/officeDocument/2006/relationships/hyperlink" Target="https://github.com/scottschiller/SoundManager2" TargetMode="External"/><Relationship Id="rId25" Type="http://schemas.openxmlformats.org/officeDocument/2006/relationships/hyperlink" Target="https://github.com/HoTT/book" TargetMode="External"/><Relationship Id="rId33" Type="http://schemas.openxmlformats.org/officeDocument/2006/relationships/hyperlink" Target="https://github.com/kartograph/kartograph.js" TargetMode="External"/><Relationship Id="rId38" Type="http://schemas.openxmlformats.org/officeDocument/2006/relationships/hyperlink" Target="https://github.com/Kozea/pygal" TargetMode="External"/><Relationship Id="rId46" Type="http://schemas.openxmlformats.org/officeDocument/2006/relationships/hyperlink" Target="https://github.com/defunkt/jquery-pjax" TargetMode="External"/><Relationship Id="rId59" Type="http://schemas.openxmlformats.org/officeDocument/2006/relationships/hyperlink" Target="https://github.com/melonjs/melonJS" TargetMode="External"/><Relationship Id="rId20" Type="http://schemas.openxmlformats.org/officeDocument/2006/relationships/hyperlink" Target="https://github.com/photonstorm/phaser" TargetMode="External"/><Relationship Id="rId41" Type="http://schemas.openxmlformats.org/officeDocument/2006/relationships/hyperlink" Target="https://github.com/fastly/epoch" TargetMode="External"/><Relationship Id="rId54" Type="http://schemas.openxmlformats.org/officeDocument/2006/relationships/hyperlink" Target="https://github.com/mozilla/BrowserQuest" TargetMode="External"/><Relationship Id="rId1" Type="http://schemas.openxmlformats.org/officeDocument/2006/relationships/hyperlink" Target="https://github.com/nikolaypavlov/MLPNeuralNet" TargetMode="External"/><Relationship Id="rId6" Type="http://schemas.openxmlformats.org/officeDocument/2006/relationships/hyperlink" Target="https://github.com/cakephp/cakephp" TargetMode="External"/><Relationship Id="rId15" Type="http://schemas.openxmlformats.org/officeDocument/2006/relationships/hyperlink" Target="https://github.com/LearnBoost/stylus" TargetMode="External"/><Relationship Id="rId23" Type="http://schemas.openxmlformats.org/officeDocument/2006/relationships/hyperlink" Target="https://github.com/mongodb/mongo" TargetMode="External"/><Relationship Id="rId28" Type="http://schemas.openxmlformats.org/officeDocument/2006/relationships/hyperlink" Target="https://github.com/defunkt/dotjs" TargetMode="External"/><Relationship Id="rId36" Type="http://schemas.openxmlformats.org/officeDocument/2006/relationships/hyperlink" Target="https://github.com/Leaflet/Leaflet" TargetMode="External"/><Relationship Id="rId49" Type="http://schemas.openxmlformats.org/officeDocument/2006/relationships/hyperlink" Target="https://github.com/okfn/recline" TargetMode="External"/><Relationship Id="rId57" Type="http://schemas.openxmlformats.org/officeDocument/2006/relationships/hyperlink" Target="https://github.com/astropy/astropy" TargetMode="External"/><Relationship Id="rId10" Type="http://schemas.openxmlformats.org/officeDocument/2006/relationships/hyperlink" Target="https://github.com/cms-sw/cmssw" TargetMode="External"/><Relationship Id="rId31" Type="http://schemas.openxmlformats.org/officeDocument/2006/relationships/hyperlink" Target="https://github.com/samizdatco/arbor" TargetMode="External"/><Relationship Id="rId44" Type="http://schemas.openxmlformats.org/officeDocument/2006/relationships/hyperlink" Target="https://github.com/ecomfe/echarts" TargetMode="External"/><Relationship Id="rId52" Type="http://schemas.openxmlformats.org/officeDocument/2006/relationships/hyperlink" Target="https://github.com/mongodb/mongo" TargetMode="External"/><Relationship Id="rId60" Type="http://schemas.openxmlformats.org/officeDocument/2006/relationships/hyperlink" Target="https://github.com/quicksilver/Quicksilver" TargetMode="External"/><Relationship Id="rId4" Type="http://schemas.openxmlformats.org/officeDocument/2006/relationships/hyperlink" Target="https://github.com/django/django" TargetMode="External"/><Relationship Id="rId9" Type="http://schemas.openxmlformats.org/officeDocument/2006/relationships/hyperlink" Target="https://github.com/dfm/emc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F26" sqref="F26"/>
    </sheetView>
  </sheetViews>
  <sheetFormatPr defaultColWidth="13" defaultRowHeight="14.25" x14ac:dyDescent="0.15"/>
  <cols>
    <col min="2" max="2" width="13.625" bestFit="1" customWidth="1"/>
    <col min="3" max="28" width="12.875" customWidth="1"/>
  </cols>
  <sheetData>
    <row r="1" spans="1:31" x14ac:dyDescent="0.15">
      <c r="A1" t="s">
        <v>18</v>
      </c>
      <c r="B1" t="s">
        <v>0</v>
      </c>
      <c r="C1" t="s">
        <v>8</v>
      </c>
    </row>
    <row r="2" spans="1:31" x14ac:dyDescent="0.15">
      <c r="A2">
        <v>1</v>
      </c>
      <c r="B2" t="s">
        <v>1</v>
      </c>
      <c r="C2" t="s">
        <v>9</v>
      </c>
    </row>
    <row r="3" spans="1:31" x14ac:dyDescent="0.15">
      <c r="A3">
        <v>2</v>
      </c>
      <c r="B3" t="s">
        <v>2</v>
      </c>
      <c r="C3" t="s">
        <v>15</v>
      </c>
    </row>
    <row r="4" spans="1:31" x14ac:dyDescent="0.15">
      <c r="A4">
        <v>3</v>
      </c>
      <c r="B4" t="s">
        <v>3</v>
      </c>
      <c r="C4" t="s">
        <v>14</v>
      </c>
    </row>
    <row r="5" spans="1:31" x14ac:dyDescent="0.15">
      <c r="A5">
        <v>4</v>
      </c>
      <c r="B5" t="s">
        <v>4</v>
      </c>
      <c r="C5" t="s">
        <v>10</v>
      </c>
    </row>
    <row r="6" spans="1:31" x14ac:dyDescent="0.15">
      <c r="A6">
        <v>5</v>
      </c>
      <c r="B6" t="s">
        <v>5</v>
      </c>
      <c r="C6" t="s">
        <v>11</v>
      </c>
    </row>
    <row r="7" spans="1:31" x14ac:dyDescent="0.15">
      <c r="A7">
        <v>6</v>
      </c>
      <c r="B7" t="s">
        <v>6</v>
      </c>
      <c r="C7" t="s">
        <v>12</v>
      </c>
    </row>
    <row r="8" spans="1:31" x14ac:dyDescent="0.15">
      <c r="A8">
        <v>7</v>
      </c>
      <c r="B8" t="s">
        <v>7</v>
      </c>
      <c r="C8" t="s">
        <v>13</v>
      </c>
    </row>
    <row r="9" spans="1:31" x14ac:dyDescent="0.15">
      <c r="A9">
        <v>8</v>
      </c>
      <c r="B9" t="s">
        <v>16</v>
      </c>
      <c r="C9" t="s">
        <v>17</v>
      </c>
    </row>
    <row r="11" spans="1:31" x14ac:dyDescent="0.15">
      <c r="A11" t="s">
        <v>20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 x14ac:dyDescent="0.15">
      <c r="A12" t="s">
        <v>19</v>
      </c>
      <c r="B12" s="1" t="s">
        <v>22</v>
      </c>
      <c r="C12" s="1" t="s">
        <v>32</v>
      </c>
      <c r="D12" s="1" t="s">
        <v>36</v>
      </c>
      <c r="E12" s="1" t="s">
        <v>37</v>
      </c>
      <c r="F12" s="1" t="s">
        <v>38</v>
      </c>
      <c r="G12" s="1" t="s">
        <v>40</v>
      </c>
      <c r="H12" s="1" t="s">
        <v>41</v>
      </c>
      <c r="I12" s="1" t="s">
        <v>45</v>
      </c>
      <c r="J12" s="1" t="s">
        <v>46</v>
      </c>
      <c r="K12" s="1" t="s">
        <v>47</v>
      </c>
      <c r="L12" s="1" t="s">
        <v>49</v>
      </c>
      <c r="M12" s="1">
        <v>2048</v>
      </c>
      <c r="N12" s="1" t="s">
        <v>50</v>
      </c>
      <c r="O12" s="1" t="s">
        <v>52</v>
      </c>
      <c r="P12" s="1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" t="s">
        <v>58</v>
      </c>
      <c r="V12" s="1" t="s">
        <v>59</v>
      </c>
      <c r="W12" s="1" t="s">
        <v>60</v>
      </c>
      <c r="X12" s="1" t="s">
        <v>61</v>
      </c>
      <c r="Y12" s="1" t="s">
        <v>62</v>
      </c>
      <c r="Z12" s="1" t="s">
        <v>63</v>
      </c>
      <c r="AA12" s="1" t="s">
        <v>64</v>
      </c>
      <c r="AB12" s="1" t="s">
        <v>65</v>
      </c>
      <c r="AC12" s="1" t="s">
        <v>66</v>
      </c>
      <c r="AD12" s="1" t="s">
        <v>68</v>
      </c>
      <c r="AE12" s="1" t="s">
        <v>69</v>
      </c>
    </row>
    <row r="13" spans="1:31" x14ac:dyDescent="0.15">
      <c r="A13" t="s">
        <v>21</v>
      </c>
    </row>
    <row r="14" spans="1:31" x14ac:dyDescent="0.15">
      <c r="A14" t="s">
        <v>23</v>
      </c>
      <c r="B14" t="s">
        <v>30</v>
      </c>
      <c r="C14" t="s">
        <v>33</v>
      </c>
      <c r="D14" t="s">
        <v>30</v>
      </c>
      <c r="E14" t="s">
        <v>30</v>
      </c>
      <c r="F14" t="s">
        <v>30</v>
      </c>
      <c r="G14" t="s">
        <v>30</v>
      </c>
      <c r="H14" t="s">
        <v>43</v>
      </c>
      <c r="I14" t="s">
        <v>43</v>
      </c>
      <c r="J14" t="s">
        <v>43</v>
      </c>
      <c r="K14" t="s">
        <v>48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Q14" t="s">
        <v>43</v>
      </c>
      <c r="R14" t="s">
        <v>43</v>
      </c>
      <c r="S14" t="s">
        <v>30</v>
      </c>
      <c r="T14" t="s">
        <v>30</v>
      </c>
      <c r="U14" t="s">
        <v>30</v>
      </c>
      <c r="V14" t="s">
        <v>30</v>
      </c>
      <c r="W14" t="s">
        <v>43</v>
      </c>
      <c r="X14" t="s">
        <v>43</v>
      </c>
      <c r="Y14" t="s">
        <v>43</v>
      </c>
      <c r="Z14" t="s">
        <v>43</v>
      </c>
      <c r="AA14" t="s">
        <v>43</v>
      </c>
      <c r="AB14" t="s">
        <v>43</v>
      </c>
      <c r="AC14" t="s">
        <v>67</v>
      </c>
      <c r="AD14" t="s">
        <v>43</v>
      </c>
      <c r="AE14" t="s">
        <v>43</v>
      </c>
    </row>
    <row r="15" spans="1:31" x14ac:dyDescent="0.15">
      <c r="A15" t="s">
        <v>24</v>
      </c>
      <c r="B15" t="s">
        <v>30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43</v>
      </c>
      <c r="I15" t="s">
        <v>43</v>
      </c>
      <c r="J15" t="s">
        <v>43</v>
      </c>
      <c r="K15" t="s">
        <v>48</v>
      </c>
      <c r="L15" t="s">
        <v>43</v>
      </c>
      <c r="M15" t="s">
        <v>43</v>
      </c>
      <c r="N15" t="s">
        <v>51</v>
      </c>
      <c r="O15" t="s">
        <v>43</v>
      </c>
      <c r="P15" t="s">
        <v>43</v>
      </c>
      <c r="Q15" t="s">
        <v>43</v>
      </c>
      <c r="R15" t="s">
        <v>43</v>
      </c>
      <c r="S15" t="s">
        <v>30</v>
      </c>
      <c r="T15" t="s">
        <v>30</v>
      </c>
      <c r="U15" t="s">
        <v>30</v>
      </c>
      <c r="V15" t="s">
        <v>30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</row>
    <row r="16" spans="1:31" x14ac:dyDescent="0.15">
      <c r="A16" t="s">
        <v>25</v>
      </c>
      <c r="B16" t="s">
        <v>30</v>
      </c>
      <c r="C16" t="s">
        <v>30</v>
      </c>
      <c r="D16" t="s">
        <v>30</v>
      </c>
      <c r="E16" t="s">
        <v>30</v>
      </c>
      <c r="F16" t="s">
        <v>39</v>
      </c>
      <c r="G16" t="s">
        <v>30</v>
      </c>
      <c r="H16" t="s">
        <v>43</v>
      </c>
      <c r="I16" t="s">
        <v>43</v>
      </c>
      <c r="J16" t="s">
        <v>43</v>
      </c>
      <c r="K16" t="s">
        <v>48</v>
      </c>
      <c r="L16" s="2" t="s">
        <v>42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t="s">
        <v>43</v>
      </c>
      <c r="S16" t="s">
        <v>30</v>
      </c>
      <c r="T16" t="s">
        <v>30</v>
      </c>
      <c r="U16" t="s">
        <v>30</v>
      </c>
      <c r="V16" t="s">
        <v>30</v>
      </c>
      <c r="W16" t="s">
        <v>43</v>
      </c>
      <c r="X16" t="s">
        <v>43</v>
      </c>
      <c r="Y16" t="s">
        <v>43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</row>
    <row r="17" spans="1:31" x14ac:dyDescent="0.15">
      <c r="A17" t="s">
        <v>26</v>
      </c>
      <c r="B17" t="s">
        <v>31</v>
      </c>
      <c r="C17" t="s">
        <v>30</v>
      </c>
      <c r="D17" t="s">
        <v>30</v>
      </c>
      <c r="E17" t="s">
        <v>31</v>
      </c>
      <c r="F17" t="s">
        <v>30</v>
      </c>
      <c r="G17" t="s">
        <v>30</v>
      </c>
      <c r="H17" t="s">
        <v>43</v>
      </c>
      <c r="I17" t="s">
        <v>43</v>
      </c>
      <c r="J17" t="s">
        <v>43</v>
      </c>
      <c r="K17" t="s">
        <v>48</v>
      </c>
      <c r="L17" s="2" t="s">
        <v>42</v>
      </c>
      <c r="M17" t="s">
        <v>43</v>
      </c>
      <c r="N17" t="s">
        <v>43</v>
      </c>
      <c r="O17" t="s">
        <v>44</v>
      </c>
      <c r="P17" t="s">
        <v>43</v>
      </c>
      <c r="Q17" t="s">
        <v>43</v>
      </c>
      <c r="R17" t="s">
        <v>44</v>
      </c>
      <c r="S17" t="s">
        <v>30</v>
      </c>
      <c r="T17" t="s">
        <v>30</v>
      </c>
      <c r="U17" t="s">
        <v>30</v>
      </c>
      <c r="V17" t="s">
        <v>30</v>
      </c>
      <c r="W17" t="s">
        <v>43</v>
      </c>
      <c r="X17" t="s">
        <v>44</v>
      </c>
      <c r="Y17" t="s">
        <v>43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</row>
    <row r="18" spans="1:31" x14ac:dyDescent="0.15">
      <c r="A18" t="s">
        <v>27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  <c r="H18" t="s">
        <v>43</v>
      </c>
      <c r="I18" t="s">
        <v>43</v>
      </c>
      <c r="J18" t="s">
        <v>43</v>
      </c>
      <c r="K18" t="s">
        <v>48</v>
      </c>
      <c r="L18" s="2" t="s">
        <v>42</v>
      </c>
      <c r="M18" t="s">
        <v>43</v>
      </c>
      <c r="N18" t="s">
        <v>43</v>
      </c>
      <c r="O18" t="s">
        <v>43</v>
      </c>
      <c r="P18" t="s">
        <v>43</v>
      </c>
      <c r="Q18" t="s">
        <v>43</v>
      </c>
      <c r="R18" t="s">
        <v>43</v>
      </c>
      <c r="S18" t="s">
        <v>30</v>
      </c>
      <c r="T18" t="s">
        <v>30</v>
      </c>
      <c r="U18" t="s">
        <v>30</v>
      </c>
      <c r="V18" t="s">
        <v>30</v>
      </c>
      <c r="W18" t="s">
        <v>43</v>
      </c>
      <c r="X18" t="s">
        <v>43</v>
      </c>
      <c r="Y18" t="s">
        <v>43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</row>
    <row r="19" spans="1:31" x14ac:dyDescent="0.15">
      <c r="A19" t="s">
        <v>28</v>
      </c>
      <c r="B19" t="s">
        <v>31</v>
      </c>
      <c r="C19" t="s">
        <v>31</v>
      </c>
      <c r="D19" t="s">
        <v>30</v>
      </c>
      <c r="E19" t="s">
        <v>31</v>
      </c>
      <c r="F19" t="s">
        <v>31</v>
      </c>
      <c r="G19" t="s">
        <v>30</v>
      </c>
      <c r="H19" t="s">
        <v>44</v>
      </c>
      <c r="I19" t="s">
        <v>43</v>
      </c>
      <c r="J19" t="s">
        <v>43</v>
      </c>
      <c r="K19" t="s">
        <v>48</v>
      </c>
      <c r="L19" s="2" t="s">
        <v>42</v>
      </c>
      <c r="M19" t="s">
        <v>44</v>
      </c>
      <c r="N19" t="s">
        <v>43</v>
      </c>
      <c r="O19" t="s">
        <v>44</v>
      </c>
      <c r="P19" t="s">
        <v>43</v>
      </c>
      <c r="Q19" t="s">
        <v>43</v>
      </c>
      <c r="R19" t="s">
        <v>44</v>
      </c>
      <c r="S19" t="s">
        <v>30</v>
      </c>
      <c r="T19" t="s">
        <v>30</v>
      </c>
      <c r="U19" t="s">
        <v>30</v>
      </c>
      <c r="V19" t="s">
        <v>30</v>
      </c>
      <c r="W19" t="s">
        <v>43</v>
      </c>
      <c r="X19" t="s">
        <v>44</v>
      </c>
      <c r="Y19" t="s">
        <v>43</v>
      </c>
      <c r="Z19" t="s">
        <v>44</v>
      </c>
      <c r="AA19" t="s">
        <v>44</v>
      </c>
      <c r="AB19" t="s">
        <v>43</v>
      </c>
      <c r="AC19" t="s">
        <v>44</v>
      </c>
      <c r="AD19" t="s">
        <v>44</v>
      </c>
      <c r="AE19" t="s">
        <v>44</v>
      </c>
    </row>
    <row r="20" spans="1:31" x14ac:dyDescent="0.15">
      <c r="A20" t="s">
        <v>29</v>
      </c>
      <c r="B20" t="s">
        <v>30</v>
      </c>
      <c r="C20" t="s">
        <v>35</v>
      </c>
      <c r="D20" t="s">
        <v>31</v>
      </c>
      <c r="E20" t="s">
        <v>30</v>
      </c>
      <c r="F20" t="s">
        <v>30</v>
      </c>
      <c r="G20" t="s">
        <v>30</v>
      </c>
      <c r="H20" t="s">
        <v>43</v>
      </c>
      <c r="I20" t="s">
        <v>43</v>
      </c>
      <c r="J20" t="s">
        <v>43</v>
      </c>
      <c r="K20" t="s">
        <v>48</v>
      </c>
      <c r="L20" s="2" t="s">
        <v>42</v>
      </c>
      <c r="M20" t="s">
        <v>43</v>
      </c>
      <c r="N20" t="s">
        <v>43</v>
      </c>
      <c r="O20" t="s">
        <v>43</v>
      </c>
      <c r="P20" t="s">
        <v>43</v>
      </c>
      <c r="Q20" t="s">
        <v>43</v>
      </c>
      <c r="R20" t="s">
        <v>43</v>
      </c>
      <c r="S20" t="s">
        <v>30</v>
      </c>
      <c r="T20" t="s">
        <v>30</v>
      </c>
      <c r="U20" t="s">
        <v>30</v>
      </c>
      <c r="V20" t="s">
        <v>30</v>
      </c>
      <c r="W20" t="s">
        <v>43</v>
      </c>
      <c r="X20" t="s">
        <v>43</v>
      </c>
      <c r="Y20" t="s">
        <v>43</v>
      </c>
      <c r="Z20" t="s">
        <v>44</v>
      </c>
      <c r="AA20" t="s">
        <v>43</v>
      </c>
      <c r="AB20" t="s">
        <v>43</v>
      </c>
      <c r="AC20" t="s">
        <v>43</v>
      </c>
      <c r="AD20" t="s">
        <v>43</v>
      </c>
      <c r="AE20" t="s">
        <v>44</v>
      </c>
    </row>
    <row r="21" spans="1:31" x14ac:dyDescent="0.15">
      <c r="A21" t="s">
        <v>16</v>
      </c>
      <c r="B21" t="s">
        <v>31</v>
      </c>
      <c r="C21" t="s">
        <v>31</v>
      </c>
      <c r="D21" t="s">
        <v>30</v>
      </c>
      <c r="E21" t="s">
        <v>31</v>
      </c>
      <c r="F21" t="s">
        <v>30</v>
      </c>
      <c r="G21" t="s">
        <v>30</v>
      </c>
      <c r="H21" t="s">
        <v>43</v>
      </c>
      <c r="I21" t="s">
        <v>43</v>
      </c>
      <c r="J21" t="s">
        <v>43</v>
      </c>
      <c r="K21" t="s">
        <v>48</v>
      </c>
      <c r="L21" s="2" t="s">
        <v>42</v>
      </c>
      <c r="M21" t="s">
        <v>43</v>
      </c>
      <c r="N21" t="s">
        <v>43</v>
      </c>
      <c r="O21" t="s">
        <v>44</v>
      </c>
      <c r="P21" t="s">
        <v>43</v>
      </c>
      <c r="Q21" t="s">
        <v>43</v>
      </c>
      <c r="R21" t="s">
        <v>44</v>
      </c>
      <c r="S21" t="s">
        <v>30</v>
      </c>
      <c r="T21" t="s">
        <v>30</v>
      </c>
      <c r="U21" t="s">
        <v>30</v>
      </c>
      <c r="V21" t="s">
        <v>30</v>
      </c>
      <c r="W21" t="s">
        <v>43</v>
      </c>
      <c r="X21" t="s">
        <v>44</v>
      </c>
      <c r="Y21" t="s">
        <v>43</v>
      </c>
      <c r="Z21" t="s">
        <v>43</v>
      </c>
      <c r="AA21" t="s">
        <v>44</v>
      </c>
      <c r="AB21" t="s">
        <v>43</v>
      </c>
      <c r="AC21" t="s">
        <v>44</v>
      </c>
      <c r="AD21" t="s">
        <v>43</v>
      </c>
      <c r="AE21" t="s">
        <v>43</v>
      </c>
    </row>
    <row r="23" spans="1:31" x14ac:dyDescent="0.15">
      <c r="A23" t="s">
        <v>34</v>
      </c>
    </row>
  </sheetData>
  <phoneticPr fontId="1"/>
  <hyperlinks>
    <hyperlink ref="B12" r:id="rId1"/>
    <hyperlink ref="C12" r:id="rId2"/>
    <hyperlink ref="D12" r:id="rId3"/>
    <hyperlink ref="E12" r:id="rId4"/>
    <hyperlink ref="F12" r:id="rId5"/>
    <hyperlink ref="G12" r:id="rId6"/>
    <hyperlink ref="H12" r:id="rId7"/>
    <hyperlink ref="I12" r:id="rId8"/>
    <hyperlink ref="J12" r:id="rId9"/>
    <hyperlink ref="K12" r:id="rId10"/>
    <hyperlink ref="L12" r:id="rId11"/>
    <hyperlink ref="M12" r:id="rId12" display="https://github.com/gabrielecirulli/2048"/>
    <hyperlink ref="N12" r:id="rId13"/>
    <hyperlink ref="O12" r:id="rId14"/>
    <hyperlink ref="P12" r:id="rId15"/>
    <hyperlink ref="Q12" r:id="rId16"/>
    <hyperlink ref="R12" r:id="rId17"/>
    <hyperlink ref="S12" r:id="rId18"/>
    <hyperlink ref="T12" r:id="rId19"/>
    <hyperlink ref="U12" r:id="rId20"/>
    <hyperlink ref="V12" r:id="rId21"/>
    <hyperlink ref="W12" r:id="rId22"/>
    <hyperlink ref="X12" r:id="rId23"/>
    <hyperlink ref="Y12" r:id="rId24"/>
    <hyperlink ref="Z12" r:id="rId25"/>
    <hyperlink ref="AA12" r:id="rId26"/>
    <hyperlink ref="AB12" r:id="rId27"/>
    <hyperlink ref="AC12" r:id="rId28"/>
    <hyperlink ref="AD12" r:id="rId29"/>
    <hyperlink ref="AE12" r:id="rId30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7" sqref="A27"/>
    </sheetView>
  </sheetViews>
  <sheetFormatPr defaultRowHeight="14.25" x14ac:dyDescent="0.15"/>
  <sheetData>
    <row r="1" spans="1:9" x14ac:dyDescent="0.15">
      <c r="A1" t="s">
        <v>199</v>
      </c>
    </row>
    <row r="2" spans="1:9" ht="15" thickBot="1" x14ac:dyDescent="0.2"/>
    <row r="3" spans="1:9" x14ac:dyDescent="0.15">
      <c r="A3" s="5" t="s">
        <v>200</v>
      </c>
      <c r="B3" s="5"/>
    </row>
    <row r="4" spans="1:9" x14ac:dyDescent="0.15">
      <c r="A4" s="3" t="s">
        <v>201</v>
      </c>
      <c r="B4" s="3">
        <v>0.99444139264706866</v>
      </c>
    </row>
    <row r="5" spans="1:9" x14ac:dyDescent="0.15">
      <c r="A5" s="3" t="s">
        <v>202</v>
      </c>
      <c r="B5" s="3">
        <v>0.98891368340984132</v>
      </c>
    </row>
    <row r="6" spans="1:9" x14ac:dyDescent="0.15">
      <c r="A6" s="3" t="s">
        <v>203</v>
      </c>
      <c r="B6" s="3">
        <v>0.93126406721843846</v>
      </c>
    </row>
    <row r="7" spans="1:9" x14ac:dyDescent="0.15">
      <c r="A7" s="3" t="s">
        <v>75</v>
      </c>
      <c r="B7" s="3">
        <v>2538.54756986446</v>
      </c>
    </row>
    <row r="8" spans="1:9" ht="15" thickBot="1" x14ac:dyDescent="0.2">
      <c r="A8" s="4" t="s">
        <v>204</v>
      </c>
      <c r="B8" s="4">
        <v>50</v>
      </c>
    </row>
    <row r="10" spans="1:9" ht="15" thickBot="1" x14ac:dyDescent="0.2">
      <c r="A10" t="s">
        <v>205</v>
      </c>
    </row>
    <row r="11" spans="1:9" x14ac:dyDescent="0.15">
      <c r="A11" s="12"/>
      <c r="B11" s="12" t="s">
        <v>209</v>
      </c>
      <c r="C11" s="12" t="s">
        <v>210</v>
      </c>
      <c r="D11" s="12" t="s">
        <v>79</v>
      </c>
      <c r="E11" s="12" t="s">
        <v>211</v>
      </c>
      <c r="F11" s="12" t="s">
        <v>212</v>
      </c>
    </row>
    <row r="12" spans="1:9" x14ac:dyDescent="0.15">
      <c r="A12" s="3" t="s">
        <v>206</v>
      </c>
      <c r="B12" s="3">
        <v>14</v>
      </c>
      <c r="C12" s="3">
        <v>21268822452.334797</v>
      </c>
      <c r="D12" s="3">
        <v>1519201603.7381997</v>
      </c>
      <c r="E12" s="3">
        <v>275.03729476332234</v>
      </c>
      <c r="F12" s="3">
        <v>1.7817463499683028E-31</v>
      </c>
    </row>
    <row r="13" spans="1:9" x14ac:dyDescent="0.15">
      <c r="A13" s="3" t="s">
        <v>207</v>
      </c>
      <c r="B13" s="3">
        <v>37</v>
      </c>
      <c r="C13" s="3">
        <v>238436279.28519595</v>
      </c>
      <c r="D13" s="3">
        <v>6444223.7644647555</v>
      </c>
      <c r="E13" s="3"/>
      <c r="F13" s="3"/>
    </row>
    <row r="14" spans="1:9" ht="15" thickBot="1" x14ac:dyDescent="0.2">
      <c r="A14" s="4" t="s">
        <v>85</v>
      </c>
      <c r="B14" s="4">
        <v>51</v>
      </c>
      <c r="C14" s="4">
        <v>21507258731.619991</v>
      </c>
      <c r="D14" s="4"/>
      <c r="E14" s="4"/>
      <c r="F14" s="4"/>
    </row>
    <row r="15" spans="1:9" ht="15" thickBot="1" x14ac:dyDescent="0.2"/>
    <row r="16" spans="1:9" x14ac:dyDescent="0.15">
      <c r="A16" s="12"/>
      <c r="B16" s="12" t="s">
        <v>213</v>
      </c>
      <c r="C16" s="12" t="s">
        <v>75</v>
      </c>
      <c r="D16" s="12" t="s">
        <v>214</v>
      </c>
      <c r="E16" s="12" t="s">
        <v>215</v>
      </c>
      <c r="F16" s="12" t="s">
        <v>216</v>
      </c>
      <c r="G16" s="12" t="s">
        <v>217</v>
      </c>
      <c r="H16" s="12" t="s">
        <v>218</v>
      </c>
      <c r="I16" s="12" t="s">
        <v>219</v>
      </c>
    </row>
    <row r="17" spans="1:9" x14ac:dyDescent="0.15">
      <c r="A17" s="3" t="s">
        <v>208</v>
      </c>
      <c r="B17" s="3">
        <v>703.60046569103201</v>
      </c>
      <c r="C17" s="3">
        <v>661.29953089623564</v>
      </c>
      <c r="D17" s="3">
        <v>1.0639663765335921</v>
      </c>
      <c r="E17" s="3">
        <v>0.2942386335162972</v>
      </c>
      <c r="F17" s="3">
        <v>-636.31965961560741</v>
      </c>
      <c r="G17" s="3">
        <v>2043.5205909976714</v>
      </c>
      <c r="H17" s="3">
        <v>-636.31965961560741</v>
      </c>
      <c r="I17" s="3">
        <v>2043.5205909976714</v>
      </c>
    </row>
    <row r="18" spans="1:9" x14ac:dyDescent="0.15">
      <c r="A18" s="3" t="s">
        <v>168</v>
      </c>
      <c r="B18" s="3">
        <v>0.19385741124636724</v>
      </c>
      <c r="C18" s="3">
        <v>0.8259454646666784</v>
      </c>
      <c r="D18" s="3">
        <v>0.23470969881116915</v>
      </c>
      <c r="E18" s="3">
        <v>0.81572813067708738</v>
      </c>
      <c r="F18" s="3">
        <v>-1.4796670641343335</v>
      </c>
      <c r="G18" s="3">
        <v>1.8673818866270682</v>
      </c>
      <c r="H18" s="3">
        <v>-1.4796670641343335</v>
      </c>
      <c r="I18" s="3">
        <v>1.8673818866270682</v>
      </c>
    </row>
    <row r="19" spans="1:9" x14ac:dyDescent="0.15">
      <c r="A19" s="3" t="s">
        <v>220</v>
      </c>
      <c r="B19" s="3">
        <v>-0.13049993231578555</v>
      </c>
      <c r="C19" s="3">
        <v>0.19830848271268711</v>
      </c>
      <c r="D19" s="3">
        <v>-0.65806530578349587</v>
      </c>
      <c r="E19" s="3">
        <v>0.5145700380074878</v>
      </c>
      <c r="F19" s="3">
        <v>-0.53231108534297089</v>
      </c>
      <c r="G19" s="3">
        <v>0.27131122071139985</v>
      </c>
      <c r="H19" s="3">
        <v>-0.53231108534297089</v>
      </c>
      <c r="I19" s="3">
        <v>0.27131122071139985</v>
      </c>
    </row>
    <row r="20" spans="1:9" x14ac:dyDescent="0.15">
      <c r="A20" s="3" t="s">
        <v>221</v>
      </c>
      <c r="B20" s="3">
        <v>0.12319002248322503</v>
      </c>
      <c r="C20" s="3">
        <v>0.27230269805629637</v>
      </c>
      <c r="D20" s="3">
        <v>0.45240103518091651</v>
      </c>
      <c r="E20" s="3">
        <v>0.65362153002038115</v>
      </c>
      <c r="F20" s="3">
        <v>-0.42854765198093442</v>
      </c>
      <c r="G20" s="3">
        <v>0.67492769694738453</v>
      </c>
      <c r="H20" s="3">
        <v>-0.42854765198093442</v>
      </c>
      <c r="I20" s="3">
        <v>0.67492769694738453</v>
      </c>
    </row>
    <row r="21" spans="1:9" x14ac:dyDescent="0.15">
      <c r="A21" s="3" t="s">
        <v>225</v>
      </c>
      <c r="B21" s="3">
        <v>-44.945797946485804</v>
      </c>
      <c r="C21" s="3">
        <v>16.089298159312943</v>
      </c>
      <c r="D21" s="3">
        <v>-2.7935213519845115</v>
      </c>
      <c r="E21" s="3">
        <v>8.2088374697855074E-3</v>
      </c>
      <c r="F21" s="3">
        <v>-77.545812612313838</v>
      </c>
      <c r="G21" s="3">
        <v>-12.34578328065777</v>
      </c>
      <c r="H21" s="3">
        <v>-77.545812612313838</v>
      </c>
      <c r="I21" s="3">
        <v>-12.34578328065777</v>
      </c>
    </row>
    <row r="22" spans="1:9" x14ac:dyDescent="0.15">
      <c r="A22" s="3" t="s">
        <v>222</v>
      </c>
      <c r="B22" s="3">
        <v>43.959931722965635</v>
      </c>
      <c r="C22" s="3">
        <v>2.9299322794855751</v>
      </c>
      <c r="D22" s="3">
        <v>15.00373644495426</v>
      </c>
      <c r="E22" s="3">
        <v>2.6052994606400039E-17</v>
      </c>
      <c r="F22" s="3">
        <v>38.023325021086258</v>
      </c>
      <c r="G22" s="3">
        <v>49.896538424845012</v>
      </c>
      <c r="H22" s="3">
        <v>38.023325021086258</v>
      </c>
      <c r="I22" s="3">
        <v>49.896538424845012</v>
      </c>
    </row>
    <row r="23" spans="1:9" x14ac:dyDescent="0.15">
      <c r="A23" s="3" t="s">
        <v>223</v>
      </c>
      <c r="B23" s="3">
        <v>5.4326138275509566</v>
      </c>
      <c r="C23" s="3">
        <v>6.3366398563394295</v>
      </c>
      <c r="D23" s="3">
        <v>0.85733353176383398</v>
      </c>
      <c r="E23" s="3">
        <v>0.39677987947465365</v>
      </c>
      <c r="F23" s="3">
        <v>-7.4066380902938649</v>
      </c>
      <c r="G23" s="3">
        <v>18.271865745395779</v>
      </c>
      <c r="H23" s="3">
        <v>-7.4066380902938649</v>
      </c>
      <c r="I23" s="3">
        <v>18.271865745395779</v>
      </c>
    </row>
    <row r="24" spans="1:9" x14ac:dyDescent="0.15">
      <c r="A24" s="3" t="s">
        <v>277</v>
      </c>
      <c r="B24" s="3">
        <v>0</v>
      </c>
      <c r="C24" s="3">
        <v>0</v>
      </c>
      <c r="D24" s="3">
        <v>65535</v>
      </c>
      <c r="E24" s="3" t="e">
        <v>#NUM!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15">
      <c r="A25" s="3" t="s">
        <v>278</v>
      </c>
      <c r="B25" s="3">
        <v>-15.105354677690523</v>
      </c>
      <c r="C25" s="3">
        <v>8.232099094396915</v>
      </c>
      <c r="D25" s="3">
        <v>-1.8349335332918686</v>
      </c>
      <c r="E25" s="3" t="e">
        <v>#NUM!</v>
      </c>
      <c r="F25" s="3">
        <v>-31.785171817666324</v>
      </c>
      <c r="G25" s="3">
        <v>1.5744624622852772</v>
      </c>
      <c r="H25" s="3">
        <v>-31.785171817666324</v>
      </c>
      <c r="I25" s="3">
        <v>1.5744624622852772</v>
      </c>
    </row>
    <row r="26" spans="1:9" x14ac:dyDescent="0.15">
      <c r="A26" s="3" t="s">
        <v>224</v>
      </c>
      <c r="B26" s="3">
        <v>11.998192174460815</v>
      </c>
      <c r="C26" s="3">
        <v>7.7082687302323443</v>
      </c>
      <c r="D26" s="3">
        <v>1.5565352732712996</v>
      </c>
      <c r="E26" s="3">
        <v>0.12809416192344569</v>
      </c>
      <c r="F26" s="3">
        <v>-3.6202438297389374</v>
      </c>
      <c r="G26" s="3">
        <v>27.616628178660569</v>
      </c>
      <c r="H26" s="3">
        <v>-3.6202438297389374</v>
      </c>
      <c r="I26" s="3">
        <v>27.616628178660569</v>
      </c>
    </row>
    <row r="27" spans="1:9" x14ac:dyDescent="0.15">
      <c r="A27" s="3" t="s">
        <v>279</v>
      </c>
      <c r="B27" s="3">
        <v>0</v>
      </c>
      <c r="C27" s="3">
        <v>0</v>
      </c>
      <c r="D27" s="3">
        <v>65535</v>
      </c>
      <c r="E27" s="3" t="e">
        <v>#NUM!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15">
      <c r="A28" s="3" t="s">
        <v>280</v>
      </c>
      <c r="B28" s="3">
        <v>33.458813545371754</v>
      </c>
      <c r="C28" s="3">
        <v>16.94821481144713</v>
      </c>
      <c r="D28" s="3">
        <v>1.9741792228626385</v>
      </c>
      <c r="E28" s="3" t="e">
        <v>#NUM!</v>
      </c>
      <c r="F28" s="3">
        <v>-0.88153156738076888</v>
      </c>
      <c r="G28" s="3">
        <v>67.79915865812427</v>
      </c>
      <c r="H28" s="3">
        <v>-0.88153156738076888</v>
      </c>
      <c r="I28" s="3">
        <v>67.79915865812427</v>
      </c>
    </row>
    <row r="29" spans="1:9" x14ac:dyDescent="0.15">
      <c r="A29" s="3" t="s">
        <v>185</v>
      </c>
      <c r="B29" s="3">
        <v>-28.487010263733112</v>
      </c>
      <c r="C29" s="3">
        <v>16.943255276905624</v>
      </c>
      <c r="D29" s="3">
        <v>-1.6813186013057428</v>
      </c>
      <c r="E29" s="3">
        <v>0.1011247097484779</v>
      </c>
      <c r="F29" s="3">
        <v>-62.817306404977501</v>
      </c>
      <c r="G29" s="3">
        <v>5.8432858775112777</v>
      </c>
      <c r="H29" s="3">
        <v>-62.817306404977501</v>
      </c>
      <c r="I29" s="3">
        <v>5.8432858775112777</v>
      </c>
    </row>
    <row r="30" spans="1:9" x14ac:dyDescent="0.15">
      <c r="A30" s="3" t="s">
        <v>273</v>
      </c>
      <c r="B30" s="3">
        <v>-17.758927986074632</v>
      </c>
      <c r="C30" s="3">
        <v>42.765202613713477</v>
      </c>
      <c r="D30" s="3">
        <v>-0.41526584467484534</v>
      </c>
      <c r="E30" s="3">
        <v>0.68034565725108331</v>
      </c>
      <c r="F30" s="3">
        <v>-104.40945920189372</v>
      </c>
      <c r="G30" s="3">
        <v>68.891603229744447</v>
      </c>
      <c r="H30" s="3">
        <v>-104.40945920189372</v>
      </c>
      <c r="I30" s="3">
        <v>68.891603229744447</v>
      </c>
    </row>
    <row r="31" spans="1:9" ht="15" thickBot="1" x14ac:dyDescent="0.2">
      <c r="A31" s="4" t="s">
        <v>275</v>
      </c>
      <c r="B31" s="4">
        <v>-14.559086299712028</v>
      </c>
      <c r="C31" s="4">
        <v>61.262277544296545</v>
      </c>
      <c r="D31" s="4">
        <v>-0.23765173093972677</v>
      </c>
      <c r="E31" s="4">
        <v>0.81346232588720402</v>
      </c>
      <c r="F31" s="4">
        <v>-138.68825132796326</v>
      </c>
      <c r="G31" s="4">
        <v>109.57007872853919</v>
      </c>
      <c r="H31" s="4">
        <v>-138.68825132796326</v>
      </c>
      <c r="I31" s="4">
        <v>109.57007872853919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85" zoomScaleNormal="85" workbookViewId="0">
      <selection activeCell="B33" sqref="B33"/>
    </sheetView>
  </sheetViews>
  <sheetFormatPr defaultRowHeight="14.25" x14ac:dyDescent="0.15"/>
  <sheetData>
    <row r="1" spans="1:22" x14ac:dyDescent="0.15">
      <c r="A1" s="6" t="s">
        <v>20</v>
      </c>
      <c r="B1" s="6" t="s">
        <v>19</v>
      </c>
      <c r="C1" s="6" t="s">
        <v>176</v>
      </c>
      <c r="D1" s="6" t="s">
        <v>169</v>
      </c>
      <c r="E1" s="6" t="s">
        <v>170</v>
      </c>
      <c r="F1" s="6" t="s">
        <v>171</v>
      </c>
      <c r="G1" s="6" t="s">
        <v>100</v>
      </c>
      <c r="H1" s="6" t="s">
        <v>174</v>
      </c>
      <c r="I1" s="6" t="s">
        <v>175</v>
      </c>
      <c r="J1" s="6" t="s">
        <v>172</v>
      </c>
      <c r="K1" s="6" t="s">
        <v>173</v>
      </c>
      <c r="L1" s="6" t="s">
        <v>184</v>
      </c>
      <c r="M1" s="6" t="s">
        <v>190</v>
      </c>
      <c r="N1" s="6" t="s">
        <v>187</v>
      </c>
      <c r="O1" s="6" t="s">
        <v>186</v>
      </c>
      <c r="P1" s="6" t="s">
        <v>274</v>
      </c>
      <c r="Q1" s="6" t="s">
        <v>276</v>
      </c>
      <c r="R1" s="6" t="s">
        <v>101</v>
      </c>
      <c r="S1" t="s">
        <v>188</v>
      </c>
      <c r="T1" t="s">
        <v>189</v>
      </c>
      <c r="U1" s="23" t="s">
        <v>235</v>
      </c>
      <c r="V1" s="23" t="s">
        <v>244</v>
      </c>
    </row>
    <row r="2" spans="1:22" x14ac:dyDescent="0.15">
      <c r="A2" s="23">
        <v>1</v>
      </c>
      <c r="B2" s="7" t="s">
        <v>22</v>
      </c>
      <c r="C2" s="23">
        <v>75</v>
      </c>
      <c r="D2" s="23">
        <v>40</v>
      </c>
      <c r="E2" s="23">
        <v>447</v>
      </c>
      <c r="F2" s="23">
        <v>93</v>
      </c>
      <c r="G2" s="25">
        <v>2</v>
      </c>
      <c r="H2" s="23">
        <v>5</v>
      </c>
      <c r="I2" s="23">
        <v>3</v>
      </c>
      <c r="J2" s="23">
        <v>0</v>
      </c>
      <c r="K2" s="23">
        <v>0</v>
      </c>
      <c r="L2" s="23">
        <f>SUM(テーブル468[[#This Row],[Open数]:[Closed数]])</f>
        <v>0</v>
      </c>
      <c r="M2" s="23">
        <v>0</v>
      </c>
      <c r="N2" s="23">
        <v>2</v>
      </c>
      <c r="O2" s="23">
        <f>SUM(テーブル468[[#This Row],[Open数2]:[Closed数3]])</f>
        <v>2</v>
      </c>
      <c r="P2" s="23">
        <v>0</v>
      </c>
      <c r="Q2" s="23">
        <v>0</v>
      </c>
      <c r="R2" s="23" t="s">
        <v>102</v>
      </c>
      <c r="S2" s="23" t="s">
        <v>103</v>
      </c>
      <c r="T2" s="23"/>
      <c r="U2" s="23"/>
      <c r="V2" s="23"/>
    </row>
    <row r="3" spans="1:22" x14ac:dyDescent="0.15">
      <c r="A3" s="23">
        <v>2</v>
      </c>
      <c r="B3" s="7" t="s">
        <v>130</v>
      </c>
      <c r="C3" s="23">
        <v>57</v>
      </c>
      <c r="D3" s="23">
        <v>178</v>
      </c>
      <c r="E3" s="23">
        <v>1636</v>
      </c>
      <c r="F3" s="23">
        <v>259</v>
      </c>
      <c r="G3" s="25">
        <v>1</v>
      </c>
      <c r="H3" s="23">
        <v>1</v>
      </c>
      <c r="I3" s="23">
        <v>3</v>
      </c>
      <c r="J3" s="23">
        <v>3</v>
      </c>
      <c r="K3" s="23">
        <v>8</v>
      </c>
      <c r="L3" s="23">
        <f>SUM(テーブル468[[#This Row],[Open数]:[Closed数]])</f>
        <v>11</v>
      </c>
      <c r="M3" s="23">
        <v>2</v>
      </c>
      <c r="N3" s="23">
        <v>5</v>
      </c>
      <c r="O3" s="23">
        <f>SUM(テーブル468[[#This Row],[Open数2]:[Closed数3]])</f>
        <v>7</v>
      </c>
      <c r="P3" s="23">
        <v>0</v>
      </c>
      <c r="Q3" s="23">
        <v>0</v>
      </c>
      <c r="R3" s="23" t="s">
        <v>104</v>
      </c>
      <c r="S3" s="23" t="s">
        <v>105</v>
      </c>
      <c r="T3" s="23"/>
      <c r="U3" s="23"/>
      <c r="V3" s="23"/>
    </row>
    <row r="4" spans="1:22" x14ac:dyDescent="0.15">
      <c r="A4" s="23">
        <v>3</v>
      </c>
      <c r="B4" s="7" t="s">
        <v>36</v>
      </c>
      <c r="C4" s="23">
        <v>221</v>
      </c>
      <c r="D4" s="23">
        <v>178</v>
      </c>
      <c r="E4" s="23">
        <v>2319</v>
      </c>
      <c r="F4" s="23">
        <v>463</v>
      </c>
      <c r="G4" s="23">
        <v>1</v>
      </c>
      <c r="H4" s="23">
        <v>0</v>
      </c>
      <c r="I4" s="23">
        <v>7</v>
      </c>
      <c r="J4" s="23">
        <v>27</v>
      </c>
      <c r="K4" s="23">
        <v>28</v>
      </c>
      <c r="L4" s="23">
        <f>SUM(テーブル468[[#This Row],[Open数]:[Closed数]])</f>
        <v>55</v>
      </c>
      <c r="M4" s="23">
        <v>9</v>
      </c>
      <c r="N4" s="23">
        <v>13</v>
      </c>
      <c r="O4" s="23">
        <f>SUM(テーブル468[[#This Row],[Open数2]:[Closed数3]])</f>
        <v>22</v>
      </c>
      <c r="P4" s="23">
        <v>26</v>
      </c>
      <c r="Q4" s="23">
        <v>7</v>
      </c>
      <c r="R4" s="23" t="s">
        <v>106</v>
      </c>
      <c r="S4" s="23"/>
      <c r="T4" s="23"/>
      <c r="U4" s="23"/>
      <c r="V4" s="23"/>
    </row>
    <row r="5" spans="1:22" x14ac:dyDescent="0.15">
      <c r="A5" s="23">
        <v>4</v>
      </c>
      <c r="B5" s="7" t="s">
        <v>37</v>
      </c>
      <c r="C5" s="23">
        <v>19052</v>
      </c>
      <c r="D5" s="23">
        <v>360</v>
      </c>
      <c r="E5" s="23">
        <v>11741</v>
      </c>
      <c r="F5" s="23">
        <v>4592</v>
      </c>
      <c r="G5" s="23">
        <v>39</v>
      </c>
      <c r="H5" s="23">
        <v>86</v>
      </c>
      <c r="I5" s="23">
        <v>700</v>
      </c>
      <c r="J5" s="23">
        <v>0</v>
      </c>
      <c r="K5" s="23">
        <v>0</v>
      </c>
      <c r="L5" s="23">
        <f>SUM(テーブル468[[#This Row],[Open数]:[Closed数]])</f>
        <v>0</v>
      </c>
      <c r="M5" s="23">
        <v>69</v>
      </c>
      <c r="N5" s="23">
        <v>3403</v>
      </c>
      <c r="O5" s="23">
        <f>SUM(テーブル468[[#This Row],[Open数2]:[Closed数3]])</f>
        <v>3472</v>
      </c>
      <c r="P5" s="23">
        <v>0</v>
      </c>
      <c r="Q5" s="23">
        <v>0</v>
      </c>
      <c r="R5" s="23" t="s">
        <v>107</v>
      </c>
      <c r="S5" s="23" t="s">
        <v>108</v>
      </c>
      <c r="T5" s="23"/>
      <c r="U5" s="23"/>
      <c r="V5" s="23"/>
    </row>
    <row r="6" spans="1:22" x14ac:dyDescent="0.15">
      <c r="A6" s="23">
        <v>5</v>
      </c>
      <c r="B6" s="7" t="s">
        <v>38</v>
      </c>
      <c r="C6" s="23">
        <v>47676</v>
      </c>
      <c r="D6" s="23">
        <v>1648</v>
      </c>
      <c r="E6" s="23">
        <v>23753</v>
      </c>
      <c r="F6" s="23">
        <v>9080</v>
      </c>
      <c r="G6" s="23">
        <v>37</v>
      </c>
      <c r="H6" s="23">
        <v>237</v>
      </c>
      <c r="I6" s="23">
        <v>2465</v>
      </c>
      <c r="J6" s="23">
        <v>327</v>
      </c>
      <c r="K6" s="23">
        <v>5959</v>
      </c>
      <c r="L6" s="23">
        <f>SUM(テーブル468[[#This Row],[Open数]:[Closed数]])</f>
        <v>6286</v>
      </c>
      <c r="M6" s="23">
        <v>437</v>
      </c>
      <c r="N6" s="23">
        <v>10797</v>
      </c>
      <c r="O6" s="23">
        <f>SUM(テーブル468[[#This Row],[Open数2]:[Closed数3]])</f>
        <v>11234</v>
      </c>
      <c r="P6" s="23">
        <v>0</v>
      </c>
      <c r="Q6" s="23">
        <v>29</v>
      </c>
      <c r="R6" s="23" t="s">
        <v>106</v>
      </c>
      <c r="S6" s="23" t="s">
        <v>109</v>
      </c>
      <c r="T6" s="23" t="s">
        <v>110</v>
      </c>
      <c r="U6" s="23"/>
      <c r="V6" s="23"/>
    </row>
    <row r="7" spans="1:22" x14ac:dyDescent="0.15">
      <c r="A7" s="23">
        <v>6</v>
      </c>
      <c r="B7" s="7" t="s">
        <v>259</v>
      </c>
      <c r="C7" s="23">
        <v>17275</v>
      </c>
      <c r="D7" s="23">
        <v>553</v>
      </c>
      <c r="E7" s="23">
        <v>5262</v>
      </c>
      <c r="F7" s="23">
        <v>2315</v>
      </c>
      <c r="G7" s="23">
        <v>12</v>
      </c>
      <c r="H7" s="23">
        <v>121</v>
      </c>
      <c r="I7" s="23">
        <v>285</v>
      </c>
      <c r="J7" s="23">
        <v>110</v>
      </c>
      <c r="K7" s="23">
        <v>1547</v>
      </c>
      <c r="L7" s="23">
        <f>SUM(テーブル468[[#This Row],[Open数]:[Closed数]])</f>
        <v>1657</v>
      </c>
      <c r="M7" s="23">
        <v>17</v>
      </c>
      <c r="N7" s="23">
        <v>3421</v>
      </c>
      <c r="O7" s="23">
        <f>SUM(テーブル468[[#This Row],[Open数2]:[Closed数3]])</f>
        <v>3438</v>
      </c>
      <c r="P7" s="23">
        <v>42</v>
      </c>
      <c r="Q7" s="23">
        <v>5</v>
      </c>
      <c r="R7" s="23" t="s">
        <v>111</v>
      </c>
      <c r="S7" s="23" t="s">
        <v>108</v>
      </c>
      <c r="T7" s="23"/>
      <c r="U7" s="23"/>
      <c r="V7" s="23"/>
    </row>
    <row r="8" spans="1:22" x14ac:dyDescent="0.15">
      <c r="A8" s="23">
        <v>7</v>
      </c>
      <c r="B8" s="7" t="s">
        <v>129</v>
      </c>
      <c r="C8" s="23">
        <v>5881</v>
      </c>
      <c r="D8" s="23">
        <v>424</v>
      </c>
      <c r="E8" s="23">
        <v>4787</v>
      </c>
      <c r="F8" s="23">
        <v>945</v>
      </c>
      <c r="G8" s="23">
        <v>12</v>
      </c>
      <c r="H8" s="23">
        <v>163</v>
      </c>
      <c r="I8" s="23">
        <v>153</v>
      </c>
      <c r="J8" s="23">
        <v>122</v>
      </c>
      <c r="K8" s="23">
        <v>1131</v>
      </c>
      <c r="L8" s="23">
        <f>SUM(テーブル468[[#This Row],[Open数]:[Closed数]])</f>
        <v>1253</v>
      </c>
      <c r="M8" s="23">
        <v>4</v>
      </c>
      <c r="N8" s="23">
        <v>253</v>
      </c>
      <c r="O8" s="23">
        <f>SUM(テーブル468[[#This Row],[Open数2]:[Closed数3]])</f>
        <v>257</v>
      </c>
      <c r="P8" s="23">
        <v>0</v>
      </c>
      <c r="Q8" s="23">
        <v>13</v>
      </c>
      <c r="R8" s="23" t="s">
        <v>106</v>
      </c>
      <c r="S8" s="23" t="s">
        <v>109</v>
      </c>
      <c r="T8" s="23"/>
      <c r="U8" s="23"/>
      <c r="V8" s="23"/>
    </row>
    <row r="9" spans="1:22" x14ac:dyDescent="0.15">
      <c r="A9" s="23">
        <v>8</v>
      </c>
      <c r="B9" s="7" t="s">
        <v>260</v>
      </c>
      <c r="C9" s="23">
        <v>2124</v>
      </c>
      <c r="D9" s="23">
        <v>637</v>
      </c>
      <c r="E9" s="23">
        <v>11276</v>
      </c>
      <c r="F9" s="23">
        <v>2579</v>
      </c>
      <c r="G9" s="25">
        <v>3</v>
      </c>
      <c r="H9" s="23">
        <v>32</v>
      </c>
      <c r="I9" s="23">
        <v>169</v>
      </c>
      <c r="J9" s="23">
        <v>189</v>
      </c>
      <c r="K9" s="23">
        <v>1579</v>
      </c>
      <c r="L9" s="23">
        <f>SUM(テーブル468[[#This Row],[Open数]:[Closed数]])</f>
        <v>1768</v>
      </c>
      <c r="M9" s="23">
        <v>12</v>
      </c>
      <c r="N9" s="23">
        <v>492</v>
      </c>
      <c r="O9" s="23">
        <f>SUM(テーブル468[[#This Row],[Open数2]:[Closed数3]])</f>
        <v>504</v>
      </c>
      <c r="P9" s="23">
        <v>4</v>
      </c>
      <c r="Q9" s="23">
        <v>19</v>
      </c>
      <c r="R9" s="23" t="s">
        <v>110</v>
      </c>
      <c r="S9" s="23" t="s">
        <v>109</v>
      </c>
      <c r="T9" s="23" t="s">
        <v>112</v>
      </c>
      <c r="U9" s="23"/>
      <c r="V9" s="23"/>
    </row>
    <row r="10" spans="1:22" x14ac:dyDescent="0.15">
      <c r="A10" s="23">
        <v>9</v>
      </c>
      <c r="B10" s="7" t="s">
        <v>131</v>
      </c>
      <c r="C10" s="23">
        <v>480</v>
      </c>
      <c r="D10" s="23">
        <v>52</v>
      </c>
      <c r="E10" s="23">
        <v>313</v>
      </c>
      <c r="F10" s="23">
        <v>152</v>
      </c>
      <c r="G10" s="25">
        <v>9</v>
      </c>
      <c r="H10" s="23">
        <v>5</v>
      </c>
      <c r="I10" s="23">
        <v>25</v>
      </c>
      <c r="J10" s="23">
        <v>26</v>
      </c>
      <c r="K10" s="23">
        <v>54</v>
      </c>
      <c r="L10" s="23">
        <f>SUM(テーブル468[[#This Row],[Open数]:[Closed数]])</f>
        <v>80</v>
      </c>
      <c r="M10" s="23">
        <v>17</v>
      </c>
      <c r="N10" s="23">
        <v>41</v>
      </c>
      <c r="O10" s="23">
        <f>SUM(テーブル468[[#This Row],[Open数2]:[Closed数3]])</f>
        <v>58</v>
      </c>
      <c r="P10" s="23">
        <v>3</v>
      </c>
      <c r="Q10" s="23">
        <v>6</v>
      </c>
      <c r="R10" s="23" t="s">
        <v>113</v>
      </c>
      <c r="S10" s="23" t="s">
        <v>115</v>
      </c>
      <c r="T10" s="23"/>
      <c r="U10" s="23"/>
      <c r="V10" s="23"/>
    </row>
    <row r="11" spans="1:22" x14ac:dyDescent="0.15">
      <c r="A11" s="23">
        <v>10</v>
      </c>
      <c r="B11" s="7" t="s">
        <v>261</v>
      </c>
      <c r="C11" s="23">
        <v>139955</v>
      </c>
      <c r="D11" s="23">
        <v>45</v>
      </c>
      <c r="E11" s="23">
        <v>188</v>
      </c>
      <c r="F11" s="23">
        <v>1109</v>
      </c>
      <c r="G11" s="25">
        <v>50</v>
      </c>
      <c r="H11" s="23">
        <v>2610</v>
      </c>
      <c r="I11" s="23">
        <v>286</v>
      </c>
      <c r="J11" s="23">
        <v>24</v>
      </c>
      <c r="K11" s="23">
        <v>173</v>
      </c>
      <c r="L11" s="23">
        <f>SUM(テーブル468[[#This Row],[Open数]:[Closed数]])</f>
        <v>197</v>
      </c>
      <c r="M11" s="23">
        <v>88</v>
      </c>
      <c r="N11" s="23">
        <v>5945</v>
      </c>
      <c r="O11" s="23">
        <f>SUM(テーブル468[[#This Row],[Open数2]:[Closed数3]])</f>
        <v>6033</v>
      </c>
      <c r="P11" s="23">
        <v>0</v>
      </c>
      <c r="Q11" s="23">
        <v>69</v>
      </c>
      <c r="R11" s="23" t="s">
        <v>116</v>
      </c>
      <c r="S11" s="23" t="s">
        <v>113</v>
      </c>
      <c r="T11" s="23" t="s">
        <v>117</v>
      </c>
      <c r="U11" s="23"/>
      <c r="V11" s="23"/>
    </row>
    <row r="12" spans="1:22" x14ac:dyDescent="0.15">
      <c r="A12" s="23">
        <v>11</v>
      </c>
      <c r="B12" s="7" t="s">
        <v>262</v>
      </c>
      <c r="C12" s="29">
        <v>10189</v>
      </c>
      <c r="D12" s="23">
        <v>77</v>
      </c>
      <c r="E12" s="23">
        <v>461</v>
      </c>
      <c r="F12" s="29">
        <v>313</v>
      </c>
      <c r="G12" s="29">
        <v>6</v>
      </c>
      <c r="H12" s="29">
        <v>21</v>
      </c>
      <c r="I12" s="29">
        <v>93</v>
      </c>
      <c r="J12" s="29">
        <v>323</v>
      </c>
      <c r="K12" s="29">
        <v>695</v>
      </c>
      <c r="L12" s="23">
        <f>SUM(テーブル468[[#This Row],[Open数]:[Closed数]])</f>
        <v>1018</v>
      </c>
      <c r="M12" s="29">
        <v>90</v>
      </c>
      <c r="N12" s="29">
        <v>1967</v>
      </c>
      <c r="O12" s="23">
        <f>SUM(テーブル468[[#This Row],[Open数2]:[Closed数3]])</f>
        <v>2057</v>
      </c>
      <c r="P12" s="29">
        <v>58</v>
      </c>
      <c r="Q12" s="29">
        <v>52</v>
      </c>
      <c r="R12" s="29" t="s">
        <v>113</v>
      </c>
      <c r="S12" s="29" t="s">
        <v>118</v>
      </c>
      <c r="T12" s="29" t="s">
        <v>108</v>
      </c>
      <c r="U12" s="23"/>
      <c r="V12" s="23"/>
    </row>
    <row r="13" spans="1:22" x14ac:dyDescent="0.15">
      <c r="A13" s="23">
        <v>12</v>
      </c>
      <c r="B13" s="19">
        <v>2048</v>
      </c>
      <c r="C13" s="23">
        <v>160</v>
      </c>
      <c r="D13" s="23">
        <v>471</v>
      </c>
      <c r="E13" s="23">
        <v>6127</v>
      </c>
      <c r="F13" s="23">
        <v>10970</v>
      </c>
      <c r="G13" s="23">
        <v>2</v>
      </c>
      <c r="H13" s="23">
        <v>0</v>
      </c>
      <c r="I13" s="23">
        <v>21</v>
      </c>
      <c r="J13" s="23">
        <v>56</v>
      </c>
      <c r="K13" s="23">
        <v>43</v>
      </c>
      <c r="L13" s="23">
        <f>SUM(テーブル468[[#This Row],[Open数]:[Closed数]])</f>
        <v>99</v>
      </c>
      <c r="M13" s="23">
        <v>53</v>
      </c>
      <c r="N13" s="23">
        <v>123</v>
      </c>
      <c r="O13" s="23">
        <f>SUM(テーブル468[[#This Row],[Open数2]:[Closed数3]])</f>
        <v>176</v>
      </c>
      <c r="P13" s="23">
        <v>0</v>
      </c>
      <c r="Q13" s="23">
        <v>8</v>
      </c>
      <c r="R13" s="23" t="s">
        <v>109</v>
      </c>
      <c r="S13" s="23" t="s">
        <v>110</v>
      </c>
      <c r="T13" s="23" t="s">
        <v>106</v>
      </c>
      <c r="U13" s="23"/>
      <c r="V13" s="23"/>
    </row>
    <row r="14" spans="1:22" x14ac:dyDescent="0.15">
      <c r="A14" s="23">
        <v>13</v>
      </c>
      <c r="B14" s="7" t="s">
        <v>50</v>
      </c>
      <c r="C14" s="23">
        <v>214</v>
      </c>
      <c r="D14" s="23">
        <v>80</v>
      </c>
      <c r="E14" s="23">
        <v>629</v>
      </c>
      <c r="F14" s="23">
        <v>360</v>
      </c>
      <c r="G14" s="25">
        <v>3</v>
      </c>
      <c r="H14" s="23">
        <v>0</v>
      </c>
      <c r="I14" s="23">
        <v>7</v>
      </c>
      <c r="J14" s="23">
        <v>3</v>
      </c>
      <c r="K14" s="23">
        <v>31</v>
      </c>
      <c r="L14" s="23">
        <f>SUM(テーブル468[[#This Row],[Open数]:[Closed数]])</f>
        <v>34</v>
      </c>
      <c r="M14" s="23">
        <v>0</v>
      </c>
      <c r="N14" s="23">
        <v>20</v>
      </c>
      <c r="O14" s="23">
        <f>SUM(テーブル468[[#This Row],[Open数2]:[Closed数3]])</f>
        <v>20</v>
      </c>
      <c r="P14" s="23">
        <v>0</v>
      </c>
      <c r="Q14" s="23">
        <v>6</v>
      </c>
      <c r="R14" s="23" t="s">
        <v>110</v>
      </c>
      <c r="S14" s="23" t="s">
        <v>109</v>
      </c>
      <c r="T14" s="23"/>
      <c r="U14" s="23"/>
      <c r="V14" s="23"/>
    </row>
    <row r="15" spans="1:22" x14ac:dyDescent="0.15">
      <c r="A15" s="23">
        <v>14</v>
      </c>
      <c r="B15" s="7" t="s">
        <v>132</v>
      </c>
      <c r="C15" s="23">
        <v>153</v>
      </c>
      <c r="D15" s="23">
        <v>321</v>
      </c>
      <c r="E15" s="23">
        <v>4359</v>
      </c>
      <c r="F15" s="23">
        <v>1234</v>
      </c>
      <c r="G15" s="23">
        <v>4</v>
      </c>
      <c r="H15" s="23">
        <v>0</v>
      </c>
      <c r="I15" s="23">
        <v>4</v>
      </c>
      <c r="J15" s="23">
        <v>0</v>
      </c>
      <c r="K15" s="23">
        <v>0</v>
      </c>
      <c r="L15" s="23">
        <f>SUM(テーブル468[[#This Row],[Open数]:[Closed数]])</f>
        <v>0</v>
      </c>
      <c r="M15" s="23">
        <v>0</v>
      </c>
      <c r="N15" s="23">
        <v>27</v>
      </c>
      <c r="O15" s="23">
        <f>SUM(テーブル468[[#This Row],[Open数2]:[Closed数3]])</f>
        <v>27</v>
      </c>
      <c r="P15" s="23">
        <v>3</v>
      </c>
      <c r="Q15" s="23">
        <v>0</v>
      </c>
      <c r="R15" s="23" t="s">
        <v>110</v>
      </c>
      <c r="S15" s="23" t="s">
        <v>120</v>
      </c>
      <c r="T15" s="23"/>
      <c r="U15" s="23"/>
      <c r="V15" s="23"/>
    </row>
    <row r="16" spans="1:22" x14ac:dyDescent="0.15">
      <c r="A16" s="23">
        <v>15</v>
      </c>
      <c r="B16" s="7" t="s">
        <v>89</v>
      </c>
      <c r="C16" s="23">
        <v>3610</v>
      </c>
      <c r="D16" s="23">
        <v>245</v>
      </c>
      <c r="E16" s="23">
        <v>4977</v>
      </c>
      <c r="F16" s="23">
        <v>701</v>
      </c>
      <c r="G16" s="23">
        <v>9</v>
      </c>
      <c r="H16" s="23">
        <v>146</v>
      </c>
      <c r="I16" s="23">
        <v>122</v>
      </c>
      <c r="J16" s="23">
        <v>144</v>
      </c>
      <c r="K16" s="23">
        <v>1132</v>
      </c>
      <c r="L16" s="23">
        <f>SUM(テーブル468[[#This Row],[Open数]:[Closed数]])</f>
        <v>1276</v>
      </c>
      <c r="M16" s="23">
        <v>3</v>
      </c>
      <c r="N16" s="23">
        <v>472</v>
      </c>
      <c r="O16" s="23">
        <f>SUM(テーブル468[[#This Row],[Open数2]:[Closed数3]])</f>
        <v>475</v>
      </c>
      <c r="P16" s="23">
        <v>2</v>
      </c>
      <c r="Q16" s="23">
        <v>19</v>
      </c>
      <c r="R16" s="23" t="s">
        <v>110</v>
      </c>
      <c r="S16" s="23" t="s">
        <v>109</v>
      </c>
      <c r="T16" s="23"/>
      <c r="U16" s="23"/>
      <c r="V16" s="23"/>
    </row>
    <row r="17" spans="1:22" x14ac:dyDescent="0.15">
      <c r="A17" s="23">
        <v>16</v>
      </c>
      <c r="B17" s="7" t="s">
        <v>90</v>
      </c>
      <c r="C17" s="23">
        <v>4107</v>
      </c>
      <c r="D17" s="23">
        <v>195</v>
      </c>
      <c r="E17" s="23">
        <v>3300</v>
      </c>
      <c r="F17" s="23">
        <v>437</v>
      </c>
      <c r="G17" s="23">
        <v>9</v>
      </c>
      <c r="H17" s="23">
        <v>34</v>
      </c>
      <c r="I17" s="23">
        <v>119</v>
      </c>
      <c r="J17" s="23">
        <v>229</v>
      </c>
      <c r="K17" s="23">
        <v>431</v>
      </c>
      <c r="L17" s="23">
        <f>SUM(テーブル468[[#This Row],[Open数]:[Closed数]])</f>
        <v>660</v>
      </c>
      <c r="M17" s="23">
        <v>19</v>
      </c>
      <c r="N17" s="23">
        <v>387</v>
      </c>
      <c r="O17" s="23">
        <f>SUM(テーブル468[[#This Row],[Open数2]:[Closed数3]])</f>
        <v>406</v>
      </c>
      <c r="P17" s="23">
        <v>24</v>
      </c>
      <c r="Q17" s="23">
        <v>10</v>
      </c>
      <c r="R17" s="23" t="s">
        <v>113</v>
      </c>
      <c r="S17" s="23" t="s">
        <v>110</v>
      </c>
      <c r="T17" s="23" t="s">
        <v>108</v>
      </c>
      <c r="U17" s="23"/>
      <c r="V17" s="23"/>
    </row>
    <row r="18" spans="1:22" x14ac:dyDescent="0.15">
      <c r="A18" s="23">
        <v>17</v>
      </c>
      <c r="B18" s="7" t="s">
        <v>55</v>
      </c>
      <c r="C18" s="23">
        <v>1162</v>
      </c>
      <c r="D18" s="23">
        <v>173</v>
      </c>
      <c r="E18" s="23">
        <v>1999</v>
      </c>
      <c r="F18" s="23">
        <v>385</v>
      </c>
      <c r="G18" s="23">
        <v>14</v>
      </c>
      <c r="H18" s="23">
        <v>36</v>
      </c>
      <c r="I18" s="23">
        <v>18</v>
      </c>
      <c r="J18" s="23">
        <v>0</v>
      </c>
      <c r="K18" s="23">
        <v>0</v>
      </c>
      <c r="L18" s="23">
        <f>SUM(テーブル468[[#This Row],[Open数]:[Closed数]])</f>
        <v>0</v>
      </c>
      <c r="M18" s="23">
        <v>10</v>
      </c>
      <c r="N18" s="23">
        <v>44</v>
      </c>
      <c r="O18" s="23">
        <f>SUM(テーブル468[[#This Row],[Open数2]:[Closed数3]])</f>
        <v>54</v>
      </c>
      <c r="P18" s="23">
        <v>0</v>
      </c>
      <c r="Q18" s="23">
        <v>0</v>
      </c>
      <c r="R18" s="23" t="s">
        <v>110</v>
      </c>
      <c r="S18" s="23" t="s">
        <v>109</v>
      </c>
      <c r="T18" s="23" t="s">
        <v>121</v>
      </c>
      <c r="U18" s="23"/>
      <c r="V18" s="23"/>
    </row>
    <row r="19" spans="1:22" x14ac:dyDescent="0.15">
      <c r="A19" s="23">
        <v>18</v>
      </c>
      <c r="B19" s="7" t="s">
        <v>56</v>
      </c>
      <c r="C19" s="23">
        <v>710</v>
      </c>
      <c r="D19" s="23">
        <v>93</v>
      </c>
      <c r="E19" s="23">
        <v>2054</v>
      </c>
      <c r="F19" s="23">
        <v>278</v>
      </c>
      <c r="G19" s="25">
        <v>11</v>
      </c>
      <c r="H19" s="23">
        <v>9</v>
      </c>
      <c r="I19" s="23">
        <v>30</v>
      </c>
      <c r="J19" s="23">
        <v>27</v>
      </c>
      <c r="K19" s="23">
        <v>163</v>
      </c>
      <c r="L19" s="23">
        <f>SUM(テーブル468[[#This Row],[Open数]:[Closed数]])</f>
        <v>190</v>
      </c>
      <c r="M19" s="23">
        <v>9</v>
      </c>
      <c r="N19" s="23">
        <v>179</v>
      </c>
      <c r="O19" s="23">
        <f>SUM(テーブル468[[#This Row],[Open数2]:[Closed数3]])</f>
        <v>188</v>
      </c>
      <c r="P19" s="23">
        <v>3</v>
      </c>
      <c r="Q19" s="23">
        <v>3</v>
      </c>
      <c r="R19" s="23" t="s">
        <v>106</v>
      </c>
      <c r="S19" s="23" t="s">
        <v>110</v>
      </c>
      <c r="T19" s="23" t="s">
        <v>109</v>
      </c>
      <c r="U19" s="23"/>
      <c r="V19" s="23"/>
    </row>
    <row r="20" spans="1:22" x14ac:dyDescent="0.15">
      <c r="A20" s="23">
        <v>19</v>
      </c>
      <c r="B20" s="7" t="s">
        <v>57</v>
      </c>
      <c r="C20" s="23">
        <v>1274</v>
      </c>
      <c r="D20" s="23">
        <v>420</v>
      </c>
      <c r="E20" s="23">
        <v>5809</v>
      </c>
      <c r="F20" s="23">
        <v>1101</v>
      </c>
      <c r="G20" s="23">
        <v>7</v>
      </c>
      <c r="H20" s="23">
        <v>15</v>
      </c>
      <c r="I20" s="23">
        <v>92</v>
      </c>
      <c r="J20" s="23">
        <v>130</v>
      </c>
      <c r="K20" s="23">
        <v>587</v>
      </c>
      <c r="L20" s="23">
        <f>SUM(テーブル468[[#This Row],[Open数]:[Closed数]])</f>
        <v>717</v>
      </c>
      <c r="M20" s="23">
        <v>20</v>
      </c>
      <c r="N20" s="23">
        <v>389</v>
      </c>
      <c r="O20" s="23">
        <f>SUM(テーブル468[[#This Row],[Open数2]:[Closed数3]])</f>
        <v>409</v>
      </c>
      <c r="P20" s="23">
        <v>3</v>
      </c>
      <c r="Q20" s="23">
        <v>12</v>
      </c>
      <c r="R20" s="23" t="s">
        <v>110</v>
      </c>
      <c r="S20" s="23" t="s">
        <v>109</v>
      </c>
      <c r="T20" s="23"/>
      <c r="U20" s="23"/>
      <c r="V20" s="23"/>
    </row>
    <row r="21" spans="1:22" x14ac:dyDescent="0.15">
      <c r="A21" s="23">
        <v>20</v>
      </c>
      <c r="B21" s="7" t="s">
        <v>93</v>
      </c>
      <c r="C21" s="23">
        <v>2544</v>
      </c>
      <c r="D21" s="23">
        <v>547</v>
      </c>
      <c r="E21" s="23">
        <v>6575</v>
      </c>
      <c r="F21" s="23">
        <v>2133</v>
      </c>
      <c r="G21" s="23">
        <v>3</v>
      </c>
      <c r="H21" s="23">
        <v>34</v>
      </c>
      <c r="I21" s="23">
        <v>111</v>
      </c>
      <c r="J21" s="23">
        <v>50</v>
      </c>
      <c r="K21" s="23">
        <v>672</v>
      </c>
      <c r="L21" s="23">
        <f>SUM(テーブル468[[#This Row],[Open数]:[Closed数]])</f>
        <v>722</v>
      </c>
      <c r="M21" s="23">
        <v>5</v>
      </c>
      <c r="N21" s="23">
        <v>567</v>
      </c>
      <c r="O21" s="23">
        <f>SUM(テーブル468[[#This Row],[Open数2]:[Closed数3]])</f>
        <v>572</v>
      </c>
      <c r="P21" s="23">
        <v>14</v>
      </c>
      <c r="Q21" s="23">
        <v>10</v>
      </c>
      <c r="R21" s="23" t="s">
        <v>110</v>
      </c>
      <c r="S21" s="23" t="s">
        <v>109</v>
      </c>
      <c r="T21" s="23" t="s">
        <v>108</v>
      </c>
      <c r="U21" s="23"/>
      <c r="V21" s="23"/>
    </row>
    <row r="22" spans="1:22" x14ac:dyDescent="0.15">
      <c r="A22" s="23">
        <v>21</v>
      </c>
      <c r="B22" s="7" t="s">
        <v>59</v>
      </c>
      <c r="C22" s="23">
        <v>2762</v>
      </c>
      <c r="D22" s="23">
        <v>95</v>
      </c>
      <c r="E22" s="23">
        <v>1178</v>
      </c>
      <c r="F22" s="23">
        <v>278</v>
      </c>
      <c r="G22" s="23">
        <v>4</v>
      </c>
      <c r="H22" s="23">
        <v>20</v>
      </c>
      <c r="I22" s="23">
        <v>26</v>
      </c>
      <c r="J22" s="23">
        <v>92</v>
      </c>
      <c r="K22" s="23">
        <v>366</v>
      </c>
      <c r="L22" s="23">
        <f>SUM(テーブル468[[#This Row],[Open数]:[Closed数]])</f>
        <v>458</v>
      </c>
      <c r="M22" s="23">
        <v>1</v>
      </c>
      <c r="N22" s="23">
        <v>144</v>
      </c>
      <c r="O22" s="23">
        <f>SUM(テーブル468[[#This Row],[Open数2]:[Closed数3]])</f>
        <v>145</v>
      </c>
      <c r="P22" s="23">
        <v>11</v>
      </c>
      <c r="Q22" s="23">
        <v>5</v>
      </c>
      <c r="R22" s="23" t="s">
        <v>110</v>
      </c>
      <c r="S22" s="23" t="s">
        <v>109</v>
      </c>
      <c r="T22" s="23"/>
      <c r="U22" s="23"/>
      <c r="V22" s="23"/>
    </row>
    <row r="23" spans="1:22" x14ac:dyDescent="0.15">
      <c r="A23" s="23">
        <v>22</v>
      </c>
      <c r="B23" s="7" t="s">
        <v>133</v>
      </c>
      <c r="C23" s="23">
        <v>2792</v>
      </c>
      <c r="D23" s="23">
        <v>232</v>
      </c>
      <c r="E23" s="23">
        <v>1852</v>
      </c>
      <c r="F23" s="23">
        <v>283</v>
      </c>
      <c r="G23" s="23">
        <v>166</v>
      </c>
      <c r="H23" s="23">
        <v>178</v>
      </c>
      <c r="I23" s="23">
        <v>63</v>
      </c>
      <c r="J23" s="23">
        <v>54</v>
      </c>
      <c r="K23" s="23">
        <v>198</v>
      </c>
      <c r="L23" s="23">
        <f>SUM(テーブル468[[#This Row],[Open数]:[Closed数]])</f>
        <v>252</v>
      </c>
      <c r="M23" s="23">
        <v>6</v>
      </c>
      <c r="N23" s="23">
        <v>361</v>
      </c>
      <c r="O23" s="23">
        <f>SUM(テーブル468[[#This Row],[Open数2]:[Closed数3]])</f>
        <v>367</v>
      </c>
      <c r="P23" s="23">
        <v>4</v>
      </c>
      <c r="Q23" s="23">
        <v>20</v>
      </c>
      <c r="R23" s="23" t="s">
        <v>120</v>
      </c>
      <c r="S23" s="23" t="s">
        <v>123</v>
      </c>
      <c r="T23" s="23" t="s">
        <v>109</v>
      </c>
      <c r="U23" s="23"/>
      <c r="V23" s="23"/>
    </row>
    <row r="24" spans="1:22" x14ac:dyDescent="0.15">
      <c r="A24" s="23">
        <v>23</v>
      </c>
      <c r="B24" s="7" t="s">
        <v>61</v>
      </c>
      <c r="C24" s="23">
        <v>27747</v>
      </c>
      <c r="D24" s="23">
        <v>559</v>
      </c>
      <c r="E24" s="23">
        <v>5955</v>
      </c>
      <c r="F24" s="23">
        <v>1650</v>
      </c>
      <c r="G24" s="25">
        <v>14</v>
      </c>
      <c r="H24" s="23">
        <v>230</v>
      </c>
      <c r="I24" s="23">
        <v>197</v>
      </c>
      <c r="J24" s="23">
        <v>0</v>
      </c>
      <c r="K24" s="23">
        <v>0</v>
      </c>
      <c r="L24" s="23">
        <f>SUM(テーブル468[[#This Row],[Open数]:[Closed数]])</f>
        <v>0</v>
      </c>
      <c r="M24" s="23">
        <v>16</v>
      </c>
      <c r="N24" s="23">
        <v>847</v>
      </c>
      <c r="O24" s="23">
        <f>SUM(テーブル468[[#This Row],[Open数2]:[Closed数3]])</f>
        <v>863</v>
      </c>
      <c r="P24" s="23">
        <v>0</v>
      </c>
      <c r="Q24" s="23">
        <v>0</v>
      </c>
      <c r="R24" s="23" t="s">
        <v>116</v>
      </c>
      <c r="S24" s="23" t="s">
        <v>118</v>
      </c>
      <c r="T24" s="23" t="s">
        <v>110</v>
      </c>
      <c r="U24" s="23"/>
      <c r="V24" s="23"/>
    </row>
    <row r="25" spans="1:22" x14ac:dyDescent="0.15">
      <c r="A25" s="23">
        <v>24</v>
      </c>
      <c r="B25" s="7" t="s">
        <v>62</v>
      </c>
      <c r="C25" s="23">
        <v>4699</v>
      </c>
      <c r="D25" s="23">
        <v>1085</v>
      </c>
      <c r="E25" s="23">
        <v>10901</v>
      </c>
      <c r="F25" s="23">
        <v>3355</v>
      </c>
      <c r="G25" s="23">
        <v>13</v>
      </c>
      <c r="H25" s="23">
        <v>152</v>
      </c>
      <c r="I25" s="23">
        <v>144</v>
      </c>
      <c r="J25" s="23">
        <v>393</v>
      </c>
      <c r="K25" s="23">
        <v>938</v>
      </c>
      <c r="L25" s="23">
        <f>SUM(テーブル468[[#This Row],[Open数]:[Closed数]])</f>
        <v>1331</v>
      </c>
      <c r="M25" s="23">
        <v>206</v>
      </c>
      <c r="N25" s="23">
        <v>588</v>
      </c>
      <c r="O25" s="23">
        <f>SUM(テーブル468[[#This Row],[Open数2]:[Closed数3]])</f>
        <v>794</v>
      </c>
      <c r="P25" s="23">
        <v>4</v>
      </c>
      <c r="Q25" s="23">
        <v>15</v>
      </c>
      <c r="R25" s="23" t="s">
        <v>118</v>
      </c>
      <c r="S25" s="23" t="s">
        <v>125</v>
      </c>
      <c r="T25" s="23" t="s">
        <v>106</v>
      </c>
      <c r="U25" s="23"/>
      <c r="V25" s="23"/>
    </row>
    <row r="26" spans="1:22" x14ac:dyDescent="0.15">
      <c r="A26" s="23">
        <v>25</v>
      </c>
      <c r="B26" s="7" t="s">
        <v>63</v>
      </c>
      <c r="C26" s="23">
        <v>3196</v>
      </c>
      <c r="D26" s="23">
        <v>97</v>
      </c>
      <c r="E26" s="23">
        <v>800</v>
      </c>
      <c r="F26" s="23">
        <v>165</v>
      </c>
      <c r="G26" s="25">
        <v>1</v>
      </c>
      <c r="H26" s="23">
        <v>2</v>
      </c>
      <c r="I26" s="23">
        <v>54</v>
      </c>
      <c r="J26" s="23">
        <v>30</v>
      </c>
      <c r="K26" s="23">
        <v>432</v>
      </c>
      <c r="L26" s="23">
        <f>SUM(テーブル468[[#This Row],[Open数]:[Closed数]])</f>
        <v>462</v>
      </c>
      <c r="M26" s="23">
        <v>4</v>
      </c>
      <c r="N26" s="23">
        <v>268</v>
      </c>
      <c r="O26" s="23">
        <f>SUM(テーブル468[[#This Row],[Open数2]:[Closed数3]])</f>
        <v>272</v>
      </c>
      <c r="P26" s="23">
        <v>0</v>
      </c>
      <c r="Q26" s="23">
        <v>8</v>
      </c>
      <c r="R26" s="23" t="s">
        <v>114</v>
      </c>
      <c r="S26" s="23" t="s">
        <v>113</v>
      </c>
      <c r="T26" s="23" t="s">
        <v>126</v>
      </c>
      <c r="U26" s="23"/>
      <c r="V26" s="23"/>
    </row>
    <row r="27" spans="1:22" x14ac:dyDescent="0.15">
      <c r="A27" s="23">
        <v>26</v>
      </c>
      <c r="B27" s="7" t="s">
        <v>64</v>
      </c>
      <c r="C27" s="23">
        <v>341</v>
      </c>
      <c r="D27" s="23">
        <v>253</v>
      </c>
      <c r="E27" s="23">
        <v>2055</v>
      </c>
      <c r="F27" s="23">
        <v>1015</v>
      </c>
      <c r="G27" s="23">
        <v>5</v>
      </c>
      <c r="H27" s="23">
        <v>0</v>
      </c>
      <c r="I27" s="23">
        <v>19</v>
      </c>
      <c r="J27" s="23">
        <v>6</v>
      </c>
      <c r="K27" s="23">
        <v>2</v>
      </c>
      <c r="L27" s="23">
        <f>SUM(テーブル468[[#This Row],[Open数]:[Closed数]])</f>
        <v>8</v>
      </c>
      <c r="M27" s="23">
        <v>17</v>
      </c>
      <c r="N27" s="23">
        <v>29</v>
      </c>
      <c r="O27" s="23">
        <f>SUM(テーブル468[[#This Row],[Open数2]:[Closed数3]])</f>
        <v>46</v>
      </c>
      <c r="P27" s="23">
        <v>0</v>
      </c>
      <c r="Q27" s="23">
        <v>0</v>
      </c>
      <c r="R27" s="23" t="s">
        <v>109</v>
      </c>
      <c r="S27" s="23" t="s">
        <v>110</v>
      </c>
      <c r="T27" s="23" t="s">
        <v>111</v>
      </c>
      <c r="U27" s="23"/>
      <c r="V27" s="23"/>
    </row>
    <row r="28" spans="1:22" x14ac:dyDescent="0.15">
      <c r="A28" s="23">
        <v>27</v>
      </c>
      <c r="B28" s="7" t="s">
        <v>134</v>
      </c>
      <c r="C28" s="23">
        <v>1244</v>
      </c>
      <c r="D28" s="23">
        <v>422</v>
      </c>
      <c r="E28" s="23">
        <v>8467</v>
      </c>
      <c r="F28" s="23">
        <v>1337</v>
      </c>
      <c r="G28" s="23">
        <v>5</v>
      </c>
      <c r="H28" s="23">
        <v>3</v>
      </c>
      <c r="I28" s="23">
        <v>187</v>
      </c>
      <c r="J28" s="23">
        <v>34</v>
      </c>
      <c r="K28" s="23">
        <v>181</v>
      </c>
      <c r="L28" s="23">
        <f>SUM(テーブル468[[#This Row],[Open数]:[Closed数]])</f>
        <v>215</v>
      </c>
      <c r="M28" s="23">
        <v>4</v>
      </c>
      <c r="N28" s="23">
        <v>399</v>
      </c>
      <c r="O28" s="23">
        <f>SUM(テーブル468[[#This Row],[Open数2]:[Closed数3]])</f>
        <v>403</v>
      </c>
      <c r="P28" s="23">
        <v>2</v>
      </c>
      <c r="Q28" s="23">
        <v>9</v>
      </c>
      <c r="R28" s="23" t="s">
        <v>110</v>
      </c>
      <c r="S28" s="23" t="s">
        <v>109</v>
      </c>
      <c r="T28" s="23" t="s">
        <v>108</v>
      </c>
      <c r="U28" s="23"/>
      <c r="V28" s="23"/>
    </row>
    <row r="29" spans="1:22" x14ac:dyDescent="0.15">
      <c r="A29" s="23">
        <v>28</v>
      </c>
      <c r="B29" s="7" t="s">
        <v>66</v>
      </c>
      <c r="C29" s="23">
        <v>102</v>
      </c>
      <c r="D29" s="23">
        <v>59</v>
      </c>
      <c r="E29" s="23">
        <v>2271</v>
      </c>
      <c r="F29" s="23">
        <v>233</v>
      </c>
      <c r="G29" s="25">
        <v>3</v>
      </c>
      <c r="H29" s="23">
        <v>9</v>
      </c>
      <c r="I29" s="23">
        <v>22</v>
      </c>
      <c r="J29" s="23">
        <v>15</v>
      </c>
      <c r="K29" s="23">
        <v>42</v>
      </c>
      <c r="L29" s="23">
        <f>SUM(テーブル468[[#This Row],[Open数]:[Closed数]])</f>
        <v>57</v>
      </c>
      <c r="M29" s="23">
        <v>9</v>
      </c>
      <c r="N29" s="23">
        <v>51</v>
      </c>
      <c r="O29" s="23">
        <f>SUM(テーブル468[[#This Row],[Open数2]:[Closed数3]])</f>
        <v>60</v>
      </c>
      <c r="P29" s="23">
        <v>0</v>
      </c>
      <c r="Q29" s="23">
        <v>0</v>
      </c>
      <c r="R29" s="23" t="s">
        <v>106</v>
      </c>
      <c r="S29" s="23" t="s">
        <v>127</v>
      </c>
      <c r="T29" s="23" t="s">
        <v>110</v>
      </c>
      <c r="U29" s="23"/>
      <c r="V29" s="23"/>
    </row>
    <row r="30" spans="1:22" x14ac:dyDescent="0.15">
      <c r="A30" s="23">
        <v>29</v>
      </c>
      <c r="B30" s="7" t="s">
        <v>68</v>
      </c>
      <c r="C30" s="23">
        <v>3453</v>
      </c>
      <c r="D30" s="23">
        <v>71</v>
      </c>
      <c r="E30" s="23">
        <v>1680</v>
      </c>
      <c r="F30" s="23">
        <v>180</v>
      </c>
      <c r="G30" s="23">
        <v>24</v>
      </c>
      <c r="H30" s="23">
        <v>32</v>
      </c>
      <c r="I30" s="23">
        <v>24</v>
      </c>
      <c r="J30" s="23">
        <v>265</v>
      </c>
      <c r="K30" s="23">
        <v>1045</v>
      </c>
      <c r="L30" s="23">
        <f>SUM(テーブル468[[#This Row],[Open数]:[Closed数]])</f>
        <v>1310</v>
      </c>
      <c r="M30" s="23">
        <v>16</v>
      </c>
      <c r="N30" s="23">
        <v>649</v>
      </c>
      <c r="O30" s="23">
        <f>SUM(テーブル468[[#This Row],[Open数2]:[Closed数3]])</f>
        <v>665</v>
      </c>
      <c r="P30" s="23">
        <v>0</v>
      </c>
      <c r="Q30" s="23">
        <v>13</v>
      </c>
      <c r="R30" s="23" t="s">
        <v>128</v>
      </c>
      <c r="S30" s="23" t="s">
        <v>113</v>
      </c>
      <c r="T30" s="23" t="s">
        <v>108</v>
      </c>
      <c r="U30" s="23"/>
      <c r="V30" s="23"/>
    </row>
    <row r="31" spans="1:22" x14ac:dyDescent="0.15">
      <c r="A31" s="23">
        <v>30</v>
      </c>
      <c r="B31" s="7" t="s">
        <v>69</v>
      </c>
      <c r="C31" s="23">
        <v>136</v>
      </c>
      <c r="D31" s="23">
        <v>56</v>
      </c>
      <c r="E31" s="23">
        <v>392</v>
      </c>
      <c r="F31" s="23">
        <v>78</v>
      </c>
      <c r="G31" s="25">
        <v>1</v>
      </c>
      <c r="H31" s="23">
        <v>21</v>
      </c>
      <c r="I31" s="23">
        <v>3</v>
      </c>
      <c r="J31" s="23">
        <v>0</v>
      </c>
      <c r="K31" s="23">
        <v>21</v>
      </c>
      <c r="L31" s="23">
        <f>SUM(テーブル468[[#This Row],[Open数]:[Closed数]])</f>
        <v>21</v>
      </c>
      <c r="M31" s="23">
        <v>1</v>
      </c>
      <c r="N31" s="23">
        <v>8</v>
      </c>
      <c r="O31" s="23">
        <f>SUM(テーブル468[[#This Row],[Open数2]:[Closed数3]])</f>
        <v>9</v>
      </c>
      <c r="P31" s="23">
        <v>0</v>
      </c>
      <c r="Q31" s="23">
        <v>7</v>
      </c>
      <c r="R31" s="23" t="s">
        <v>110</v>
      </c>
      <c r="S31" s="23" t="s">
        <v>109</v>
      </c>
      <c r="T31" s="23"/>
      <c r="U31" s="23"/>
      <c r="V31" s="23"/>
    </row>
    <row r="32" spans="1:22" x14ac:dyDescent="0.15">
      <c r="A32" s="23">
        <v>31</v>
      </c>
      <c r="B32" s="27" t="s">
        <v>263</v>
      </c>
      <c r="C32" s="24">
        <v>12</v>
      </c>
      <c r="D32" s="24">
        <v>450</v>
      </c>
      <c r="E32" s="25">
        <v>1884</v>
      </c>
      <c r="F32" s="24">
        <v>142</v>
      </c>
      <c r="G32" s="24">
        <v>1</v>
      </c>
      <c r="H32" s="24">
        <v>0</v>
      </c>
      <c r="I32" s="24">
        <v>1</v>
      </c>
      <c r="J32" s="24">
        <v>44</v>
      </c>
      <c r="K32" s="25">
        <v>3</v>
      </c>
      <c r="L32" s="23">
        <f>SUM(テーブル468[[#This Row],[Open数]:[Closed数]])</f>
        <v>47</v>
      </c>
      <c r="M32" s="25">
        <v>15</v>
      </c>
      <c r="N32" s="25">
        <v>3</v>
      </c>
      <c r="O32" s="23">
        <f>SUM(テーブル468[[#This Row],[Open数2]:[Closed数3]])</f>
        <v>18</v>
      </c>
      <c r="P32" s="25">
        <v>0</v>
      </c>
      <c r="Q32" s="25">
        <v>0</v>
      </c>
      <c r="R32" s="23" t="s">
        <v>110</v>
      </c>
      <c r="S32" s="25" t="s">
        <v>113</v>
      </c>
      <c r="T32" s="25" t="s">
        <v>120</v>
      </c>
      <c r="U32" s="25"/>
      <c r="V32" s="25"/>
    </row>
    <row r="33" spans="1:22" x14ac:dyDescent="0.15">
      <c r="A33" s="23">
        <v>32</v>
      </c>
      <c r="B33" s="27" t="s">
        <v>230</v>
      </c>
      <c r="C33" s="24">
        <v>569</v>
      </c>
      <c r="D33" s="24">
        <v>197</v>
      </c>
      <c r="E33" s="25">
        <v>1296</v>
      </c>
      <c r="F33" s="24">
        <v>70</v>
      </c>
      <c r="G33" s="24">
        <v>4</v>
      </c>
      <c r="H33" s="24">
        <v>0</v>
      </c>
      <c r="I33" s="24">
        <v>2</v>
      </c>
      <c r="J33" s="24">
        <v>15</v>
      </c>
      <c r="K33" s="25">
        <v>11</v>
      </c>
      <c r="L33" s="23">
        <f>SUM(テーブル468[[#This Row],[Open数]:[Closed数]])</f>
        <v>26</v>
      </c>
      <c r="M33" s="25">
        <v>1</v>
      </c>
      <c r="N33" s="25">
        <v>1</v>
      </c>
      <c r="O33" s="23">
        <f>SUM(テーブル468[[#This Row],[Open数2]:[Closed数3]])</f>
        <v>2</v>
      </c>
      <c r="P33" s="25">
        <v>0</v>
      </c>
      <c r="Q33" s="25">
        <v>4</v>
      </c>
      <c r="R33" s="25"/>
      <c r="S33" s="25"/>
      <c r="T33" s="25"/>
      <c r="U33" s="25"/>
      <c r="V33" s="25"/>
    </row>
    <row r="34" spans="1:22" x14ac:dyDescent="0.15">
      <c r="A34" s="23">
        <v>33</v>
      </c>
      <c r="B34" s="27" t="s">
        <v>231</v>
      </c>
      <c r="C34" s="3">
        <v>238</v>
      </c>
      <c r="D34" s="3">
        <v>160</v>
      </c>
      <c r="E34" s="25">
        <v>1122</v>
      </c>
      <c r="F34" s="3">
        <v>69</v>
      </c>
      <c r="G34" s="3">
        <v>4</v>
      </c>
      <c r="H34" s="25">
        <v>2</v>
      </c>
      <c r="I34" s="3">
        <v>6</v>
      </c>
      <c r="J34" s="3">
        <v>27</v>
      </c>
      <c r="K34" s="25">
        <v>25</v>
      </c>
      <c r="L34" s="23">
        <f>SUM(テーブル468[[#This Row],[Open数]:[Closed数]])</f>
        <v>52</v>
      </c>
      <c r="M34" s="25">
        <v>1</v>
      </c>
      <c r="N34" s="25">
        <v>7</v>
      </c>
      <c r="O34" s="23">
        <f>SUM(テーブル468[[#This Row],[Open数2]:[Closed数3]])</f>
        <v>8</v>
      </c>
      <c r="P34" s="25">
        <v>6</v>
      </c>
      <c r="Q34" s="25">
        <v>5</v>
      </c>
      <c r="R34" s="25" t="s">
        <v>110</v>
      </c>
      <c r="S34" s="25" t="s">
        <v>122</v>
      </c>
      <c r="T34" s="25" t="s">
        <v>109</v>
      </c>
      <c r="U34" s="25" t="s">
        <v>120</v>
      </c>
      <c r="V34" s="25"/>
    </row>
    <row r="35" spans="1:22" x14ac:dyDescent="0.15">
      <c r="A35" s="23">
        <v>34</v>
      </c>
      <c r="B35" s="27" t="s">
        <v>236</v>
      </c>
      <c r="C35" s="3">
        <v>276</v>
      </c>
      <c r="D35" s="3">
        <v>242</v>
      </c>
      <c r="E35" s="25">
        <v>2577</v>
      </c>
      <c r="F35" s="3">
        <v>191</v>
      </c>
      <c r="G35" s="3">
        <v>3</v>
      </c>
      <c r="H35" s="25">
        <v>11</v>
      </c>
      <c r="I35" s="3">
        <v>11</v>
      </c>
      <c r="J35" s="3">
        <v>62</v>
      </c>
      <c r="K35" s="25">
        <v>120</v>
      </c>
      <c r="L35" s="23">
        <f>SUM(テーブル468[[#This Row],[Open数]:[Closed数]])</f>
        <v>182</v>
      </c>
      <c r="M35" s="25">
        <v>4</v>
      </c>
      <c r="N35" s="25">
        <v>36</v>
      </c>
      <c r="O35" s="23">
        <f>SUM(テーブル468[[#This Row],[Open数2]:[Closed数3]])</f>
        <v>40</v>
      </c>
      <c r="P35" s="25">
        <v>17</v>
      </c>
      <c r="Q35" s="25">
        <v>9</v>
      </c>
      <c r="R35" s="25" t="s">
        <v>110</v>
      </c>
      <c r="S35" s="25" t="s">
        <v>237</v>
      </c>
      <c r="T35" s="25"/>
      <c r="U35" s="25"/>
      <c r="V35" s="25"/>
    </row>
    <row r="36" spans="1:22" x14ac:dyDescent="0.15">
      <c r="A36" s="23">
        <v>35</v>
      </c>
      <c r="B36" s="27" t="s">
        <v>264</v>
      </c>
      <c r="C36" s="25">
        <v>434</v>
      </c>
      <c r="D36" s="25">
        <v>121</v>
      </c>
      <c r="E36" s="25">
        <v>457</v>
      </c>
      <c r="F36" s="25">
        <v>45</v>
      </c>
      <c r="G36" s="25">
        <v>25</v>
      </c>
      <c r="H36" s="25">
        <v>16</v>
      </c>
      <c r="I36" s="25">
        <v>7</v>
      </c>
      <c r="J36" s="25">
        <v>13</v>
      </c>
      <c r="K36" s="25">
        <v>109</v>
      </c>
      <c r="L36" s="23">
        <f>SUM(テーブル468[[#This Row],[Open数]:[Closed数]])</f>
        <v>122</v>
      </c>
      <c r="M36" s="25">
        <v>0</v>
      </c>
      <c r="N36" s="25">
        <v>23</v>
      </c>
      <c r="O36" s="23">
        <f>SUM(テーブル468[[#This Row],[Open数2]:[Closed数3]])</f>
        <v>23</v>
      </c>
      <c r="P36" s="25">
        <v>15</v>
      </c>
      <c r="Q36" s="25">
        <v>2</v>
      </c>
      <c r="R36" s="25" t="s">
        <v>110</v>
      </c>
      <c r="S36" s="25"/>
      <c r="T36" s="25"/>
      <c r="U36" s="25"/>
      <c r="V36" s="25"/>
    </row>
    <row r="37" spans="1:22" x14ac:dyDescent="0.15">
      <c r="A37" s="23">
        <v>36</v>
      </c>
      <c r="B37" s="27" t="s">
        <v>238</v>
      </c>
      <c r="C37" s="25">
        <v>3385</v>
      </c>
      <c r="D37" s="24">
        <v>1631</v>
      </c>
      <c r="E37" s="25">
        <v>8991</v>
      </c>
      <c r="F37" s="25">
        <v>526</v>
      </c>
      <c r="G37" s="25">
        <v>14</v>
      </c>
      <c r="H37" s="25">
        <v>22</v>
      </c>
      <c r="I37" s="25">
        <v>169</v>
      </c>
      <c r="J37" s="25">
        <v>159</v>
      </c>
      <c r="K37" s="25">
        <v>1767</v>
      </c>
      <c r="L37" s="23">
        <f>SUM(テーブル468[[#This Row],[Open数]:[Closed数]])</f>
        <v>1926</v>
      </c>
      <c r="M37" s="25">
        <v>32</v>
      </c>
      <c r="N37" s="25">
        <v>1055</v>
      </c>
      <c r="O37" s="23">
        <f>SUM(テーブル468[[#This Row],[Open数2]:[Closed数3]])</f>
        <v>1087</v>
      </c>
      <c r="P37" s="25">
        <v>0</v>
      </c>
      <c r="Q37" s="25">
        <v>20</v>
      </c>
      <c r="R37" s="25" t="s">
        <v>110</v>
      </c>
      <c r="S37" s="25" t="s">
        <v>109</v>
      </c>
      <c r="T37" s="25" t="s">
        <v>120</v>
      </c>
      <c r="U37" s="25"/>
      <c r="V37" s="25"/>
    </row>
    <row r="38" spans="1:22" x14ac:dyDescent="0.15">
      <c r="A38" s="23">
        <v>37</v>
      </c>
      <c r="B38" s="27" t="s">
        <v>239</v>
      </c>
      <c r="C38" s="3">
        <v>13121</v>
      </c>
      <c r="D38" s="3">
        <v>973</v>
      </c>
      <c r="E38" s="3">
        <v>2028</v>
      </c>
      <c r="F38" s="3">
        <v>217</v>
      </c>
      <c r="G38" s="3">
        <v>3</v>
      </c>
      <c r="H38" s="3">
        <v>41</v>
      </c>
      <c r="I38" s="3">
        <v>272</v>
      </c>
      <c r="J38" s="3">
        <v>341</v>
      </c>
      <c r="K38" s="3">
        <v>1243</v>
      </c>
      <c r="L38" s="23">
        <f>SUM(テーブル468[[#This Row],[Open数]:[Closed数]])</f>
        <v>1584</v>
      </c>
      <c r="M38" s="3">
        <v>81</v>
      </c>
      <c r="N38" s="3">
        <v>2118</v>
      </c>
      <c r="O38" s="23">
        <f>SUM(テーブル468[[#This Row],[Open数2]:[Closed数3]])</f>
        <v>2199</v>
      </c>
      <c r="P38" s="25">
        <v>25</v>
      </c>
      <c r="Q38" s="25">
        <v>37</v>
      </c>
      <c r="R38" s="3" t="s">
        <v>113</v>
      </c>
      <c r="S38" s="3" t="s">
        <v>116</v>
      </c>
      <c r="T38" s="3" t="s">
        <v>118</v>
      </c>
      <c r="U38" s="25" t="s">
        <v>128</v>
      </c>
      <c r="V38" s="25" t="s">
        <v>108</v>
      </c>
    </row>
    <row r="39" spans="1:22" x14ac:dyDescent="0.15">
      <c r="A39" s="23">
        <v>38</v>
      </c>
      <c r="B39" s="27" t="s">
        <v>265</v>
      </c>
      <c r="C39" s="3">
        <v>642</v>
      </c>
      <c r="D39" s="3">
        <v>161</v>
      </c>
      <c r="E39" s="3">
        <v>835</v>
      </c>
      <c r="F39" s="3">
        <v>88</v>
      </c>
      <c r="G39" s="3">
        <v>5</v>
      </c>
      <c r="H39" s="3">
        <v>0</v>
      </c>
      <c r="I39" s="3">
        <v>26</v>
      </c>
      <c r="J39" s="3">
        <v>42</v>
      </c>
      <c r="K39" s="3">
        <v>79</v>
      </c>
      <c r="L39" s="23">
        <f>SUM(テーブル468[[#This Row],[Open数]:[Closed数]])</f>
        <v>121</v>
      </c>
      <c r="M39" s="3">
        <v>6</v>
      </c>
      <c r="N39" s="3">
        <v>42</v>
      </c>
      <c r="O39" s="23">
        <f>SUM(テーブル468[[#This Row],[Open数2]:[Closed数3]])</f>
        <v>48</v>
      </c>
      <c r="P39" s="25">
        <v>0</v>
      </c>
      <c r="Q39" s="25">
        <v>4</v>
      </c>
      <c r="R39" s="3" t="s">
        <v>113</v>
      </c>
      <c r="S39" s="3" t="s">
        <v>109</v>
      </c>
      <c r="T39" s="3" t="s">
        <v>110</v>
      </c>
      <c r="U39" s="25" t="s">
        <v>127</v>
      </c>
      <c r="V39" s="25"/>
    </row>
    <row r="40" spans="1:22" x14ac:dyDescent="0.15">
      <c r="A40" s="23">
        <v>39</v>
      </c>
      <c r="B40" s="27" t="s">
        <v>246</v>
      </c>
      <c r="C40" s="25">
        <v>1492</v>
      </c>
      <c r="D40" s="25">
        <v>753</v>
      </c>
      <c r="E40" s="25">
        <v>3396</v>
      </c>
      <c r="F40" s="25">
        <v>227</v>
      </c>
      <c r="G40" s="25">
        <v>5</v>
      </c>
      <c r="H40" s="25">
        <v>23</v>
      </c>
      <c r="I40" s="25">
        <v>54</v>
      </c>
      <c r="J40" s="25">
        <v>167</v>
      </c>
      <c r="K40" s="25">
        <v>375</v>
      </c>
      <c r="L40" s="23">
        <f>SUM(テーブル468[[#This Row],[Open数]:[Closed数]])</f>
        <v>542</v>
      </c>
      <c r="M40" s="25">
        <v>27</v>
      </c>
      <c r="N40" s="25">
        <v>189</v>
      </c>
      <c r="O40" s="23">
        <f>SUM(テーブル468[[#This Row],[Open数2]:[Closed数3]])</f>
        <v>216</v>
      </c>
      <c r="P40" s="25">
        <v>6</v>
      </c>
      <c r="Q40" s="25">
        <v>9</v>
      </c>
      <c r="R40" s="25" t="s">
        <v>110</v>
      </c>
      <c r="S40" s="25" t="s">
        <v>109</v>
      </c>
      <c r="T40" s="25" t="s">
        <v>108</v>
      </c>
      <c r="U40" s="25"/>
      <c r="V40" s="25"/>
    </row>
    <row r="41" spans="1:22" x14ac:dyDescent="0.15">
      <c r="A41" s="23">
        <v>40</v>
      </c>
      <c r="B41" s="27" t="s">
        <v>247</v>
      </c>
      <c r="C41" s="25">
        <v>97</v>
      </c>
      <c r="D41" s="25">
        <v>3543</v>
      </c>
      <c r="E41" s="25">
        <v>12035</v>
      </c>
      <c r="F41" s="25">
        <v>656</v>
      </c>
      <c r="G41" s="25">
        <v>4</v>
      </c>
      <c r="H41" s="25">
        <v>6</v>
      </c>
      <c r="I41" s="25">
        <v>14</v>
      </c>
      <c r="J41" s="25">
        <v>289</v>
      </c>
      <c r="K41" s="25">
        <v>289</v>
      </c>
      <c r="L41" s="23">
        <f>SUM(テーブル468[[#This Row],[Open数]:[Closed数]])</f>
        <v>578</v>
      </c>
      <c r="M41" s="25">
        <v>93</v>
      </c>
      <c r="N41" s="25">
        <v>80</v>
      </c>
      <c r="O41" s="23">
        <f>SUM(テーブル468[[#This Row],[Open数2]:[Closed数3]])</f>
        <v>173</v>
      </c>
      <c r="P41" s="25">
        <v>0</v>
      </c>
      <c r="Q41" s="25">
        <v>11</v>
      </c>
      <c r="R41" s="25" t="s">
        <v>110</v>
      </c>
      <c r="S41" s="25"/>
      <c r="T41" s="25"/>
      <c r="U41" s="25"/>
      <c r="V41" s="25"/>
    </row>
    <row r="42" spans="1:22" x14ac:dyDescent="0.15">
      <c r="A42" s="23">
        <v>41</v>
      </c>
      <c r="B42" s="27" t="s">
        <v>248</v>
      </c>
      <c r="C42" s="25">
        <v>384</v>
      </c>
      <c r="D42" s="25">
        <v>150</v>
      </c>
      <c r="E42" s="25">
        <v>3591</v>
      </c>
      <c r="F42" s="25">
        <v>160</v>
      </c>
      <c r="G42" s="25">
        <v>2</v>
      </c>
      <c r="H42" s="25">
        <v>14</v>
      </c>
      <c r="I42" s="25">
        <v>7</v>
      </c>
      <c r="J42" s="25">
        <v>34</v>
      </c>
      <c r="K42" s="25">
        <v>59</v>
      </c>
      <c r="L42" s="23">
        <f>SUM(テーブル468[[#This Row],[Open数]:[Closed数]])</f>
        <v>93</v>
      </c>
      <c r="M42" s="25">
        <v>0</v>
      </c>
      <c r="N42" s="25">
        <v>48</v>
      </c>
      <c r="O42" s="23">
        <f>SUM(テーブル468[[#This Row],[Open数2]:[Closed数3]])</f>
        <v>48</v>
      </c>
      <c r="P42" s="25">
        <v>0</v>
      </c>
      <c r="Q42" s="25">
        <v>10</v>
      </c>
      <c r="R42" s="25" t="s">
        <v>122</v>
      </c>
      <c r="S42" s="25" t="s">
        <v>109</v>
      </c>
      <c r="T42" s="25" t="s">
        <v>110</v>
      </c>
      <c r="U42" s="25"/>
      <c r="V42" s="25"/>
    </row>
    <row r="43" spans="1:22" x14ac:dyDescent="0.15">
      <c r="A43" s="23">
        <v>42</v>
      </c>
      <c r="B43" s="27" t="s">
        <v>249</v>
      </c>
      <c r="C43" s="25">
        <v>218</v>
      </c>
      <c r="D43" s="25">
        <v>366</v>
      </c>
      <c r="E43" s="25">
        <v>2328</v>
      </c>
      <c r="F43" s="25">
        <v>185</v>
      </c>
      <c r="G43" s="25">
        <v>5</v>
      </c>
      <c r="H43" s="25">
        <v>5</v>
      </c>
      <c r="I43" s="25">
        <v>9</v>
      </c>
      <c r="J43" s="25">
        <v>15</v>
      </c>
      <c r="K43" s="25">
        <v>52</v>
      </c>
      <c r="L43" s="23">
        <f>SUM(テーブル468[[#This Row],[Open数]:[Closed数]])</f>
        <v>67</v>
      </c>
      <c r="M43" s="25">
        <v>4</v>
      </c>
      <c r="N43" s="25">
        <v>9</v>
      </c>
      <c r="O43" s="23">
        <f>SUM(テーブル468[[#This Row],[Open数2]:[Closed数3]])</f>
        <v>13</v>
      </c>
      <c r="P43" s="25">
        <v>13</v>
      </c>
      <c r="Q43" s="25">
        <v>10</v>
      </c>
      <c r="R43" s="25" t="s">
        <v>110</v>
      </c>
      <c r="S43" s="25" t="s">
        <v>109</v>
      </c>
      <c r="T43" s="25"/>
      <c r="U43" s="25"/>
      <c r="V43" s="25"/>
    </row>
    <row r="44" spans="1:22" x14ac:dyDescent="0.15">
      <c r="A44" s="23">
        <v>43</v>
      </c>
      <c r="B44" s="27" t="s">
        <v>266</v>
      </c>
      <c r="C44" s="25">
        <v>365</v>
      </c>
      <c r="D44" s="25">
        <v>232</v>
      </c>
      <c r="E44" s="25">
        <v>4336</v>
      </c>
      <c r="F44" s="25">
        <v>162</v>
      </c>
      <c r="G44" s="25">
        <v>4</v>
      </c>
      <c r="H44" s="25">
        <v>26</v>
      </c>
      <c r="I44" s="25">
        <v>14</v>
      </c>
      <c r="J44" s="25">
        <v>16</v>
      </c>
      <c r="K44" s="25">
        <v>41</v>
      </c>
      <c r="L44" s="23">
        <f>SUM(テーブル468[[#This Row],[Open数]:[Closed数]])</f>
        <v>57</v>
      </c>
      <c r="M44" s="25">
        <v>1</v>
      </c>
      <c r="N44" s="25">
        <v>23</v>
      </c>
      <c r="O44" s="23">
        <f>SUM(テーブル468[[#This Row],[Open数2]:[Closed数3]])</f>
        <v>24</v>
      </c>
      <c r="P44" s="25">
        <v>0</v>
      </c>
      <c r="Q44" s="25">
        <v>6</v>
      </c>
      <c r="R44" s="25" t="s">
        <v>110</v>
      </c>
      <c r="S44" s="25" t="s">
        <v>109</v>
      </c>
      <c r="T44" s="25"/>
      <c r="U44" s="25"/>
      <c r="V44" s="25"/>
    </row>
    <row r="45" spans="1:22" x14ac:dyDescent="0.15">
      <c r="A45" s="23">
        <v>44</v>
      </c>
      <c r="B45" s="27" t="s">
        <v>250</v>
      </c>
      <c r="C45" s="25">
        <v>1184</v>
      </c>
      <c r="D45" s="25">
        <v>1325</v>
      </c>
      <c r="E45" s="25">
        <v>3043</v>
      </c>
      <c r="F45" s="25">
        <v>460</v>
      </c>
      <c r="G45" s="25">
        <v>3</v>
      </c>
      <c r="H45" s="25">
        <v>19</v>
      </c>
      <c r="I45" s="25">
        <v>13</v>
      </c>
      <c r="J45" s="25">
        <v>61</v>
      </c>
      <c r="K45" s="25">
        <v>757</v>
      </c>
      <c r="L45" s="23">
        <f>SUM(テーブル468[[#This Row],[Open数]:[Closed数]])</f>
        <v>818</v>
      </c>
      <c r="M45" s="25">
        <v>1</v>
      </c>
      <c r="N45" s="25">
        <v>59</v>
      </c>
      <c r="O45" s="23">
        <f>SUM(テーブル468[[#This Row],[Open数2]:[Closed数3]])</f>
        <v>60</v>
      </c>
      <c r="P45" s="25">
        <v>5</v>
      </c>
      <c r="Q45" s="25">
        <v>24</v>
      </c>
      <c r="R45" s="25" t="s">
        <v>110</v>
      </c>
      <c r="S45" s="25" t="s">
        <v>109</v>
      </c>
      <c r="T45" s="25"/>
      <c r="U45" s="25"/>
      <c r="V45" s="25"/>
    </row>
    <row r="46" spans="1:22" x14ac:dyDescent="0.15">
      <c r="A46" s="23">
        <v>45</v>
      </c>
      <c r="B46" s="27" t="s">
        <v>251</v>
      </c>
      <c r="C46" s="25">
        <v>2951</v>
      </c>
      <c r="D46" s="25">
        <v>985</v>
      </c>
      <c r="E46" s="25">
        <v>2399</v>
      </c>
      <c r="F46" s="25">
        <v>44</v>
      </c>
      <c r="G46" s="25">
        <v>21</v>
      </c>
      <c r="H46" s="25">
        <v>47</v>
      </c>
      <c r="I46" s="25">
        <v>415</v>
      </c>
      <c r="J46" s="25">
        <v>53</v>
      </c>
      <c r="K46" s="25">
        <v>517</v>
      </c>
      <c r="L46" s="23">
        <f>SUM(テーブル468[[#This Row],[Open数]:[Closed数]])</f>
        <v>570</v>
      </c>
      <c r="M46" s="25">
        <v>40</v>
      </c>
      <c r="N46" s="25">
        <v>1077</v>
      </c>
      <c r="O46" s="23">
        <f>SUM(テーブル468[[#This Row],[Open数2]:[Closed数3]])</f>
        <v>1117</v>
      </c>
      <c r="P46" s="25">
        <v>0</v>
      </c>
      <c r="Q46" s="25">
        <v>13</v>
      </c>
      <c r="R46" s="25" t="s">
        <v>106</v>
      </c>
      <c r="S46" s="25" t="s">
        <v>120</v>
      </c>
      <c r="T46" s="25"/>
      <c r="U46" s="25"/>
      <c r="V46" s="25"/>
    </row>
    <row r="47" spans="1:22" x14ac:dyDescent="0.15">
      <c r="A47" s="23">
        <v>46</v>
      </c>
      <c r="B47" s="27" t="s">
        <v>253</v>
      </c>
      <c r="C47" s="25">
        <v>394</v>
      </c>
      <c r="D47" s="25">
        <v>1136</v>
      </c>
      <c r="E47" s="25">
        <v>10175</v>
      </c>
      <c r="F47" s="25">
        <v>438</v>
      </c>
      <c r="G47" s="25">
        <v>3</v>
      </c>
      <c r="H47" s="25">
        <v>21</v>
      </c>
      <c r="I47" s="25">
        <v>53</v>
      </c>
      <c r="J47" s="25">
        <v>26</v>
      </c>
      <c r="K47" s="25">
        <v>220</v>
      </c>
      <c r="L47" s="23">
        <f>SUM(テーブル468[[#This Row],[Open数]:[Closed数]])</f>
        <v>246</v>
      </c>
      <c r="M47" s="25">
        <v>28</v>
      </c>
      <c r="N47" s="25">
        <v>181</v>
      </c>
      <c r="O47" s="23">
        <f>SUM(テーブル468[[#This Row],[Open数2]:[Closed数3]])</f>
        <v>209</v>
      </c>
      <c r="P47" s="25">
        <v>0</v>
      </c>
      <c r="Q47" s="25">
        <v>3</v>
      </c>
      <c r="R47" s="25" t="s">
        <v>110</v>
      </c>
      <c r="S47" s="25" t="s">
        <v>109</v>
      </c>
      <c r="T47" s="25" t="s">
        <v>108</v>
      </c>
      <c r="U47" s="25"/>
      <c r="V47" s="25"/>
    </row>
    <row r="48" spans="1:22" x14ac:dyDescent="0.15">
      <c r="A48" s="23">
        <v>47</v>
      </c>
      <c r="B48" s="27" t="s">
        <v>254</v>
      </c>
      <c r="C48" s="25">
        <v>3279</v>
      </c>
      <c r="D48" s="25">
        <v>7535</v>
      </c>
      <c r="E48" s="25">
        <v>31413</v>
      </c>
      <c r="F48" s="25">
        <v>714</v>
      </c>
      <c r="G48" s="25">
        <v>35</v>
      </c>
      <c r="H48" s="25">
        <v>175</v>
      </c>
      <c r="I48" s="25">
        <v>81</v>
      </c>
      <c r="J48" s="25">
        <v>147</v>
      </c>
      <c r="K48" s="25">
        <v>1078</v>
      </c>
      <c r="L48" s="23">
        <f>SUM(テーブル468[[#This Row],[Open数]:[Closed数]])</f>
        <v>1225</v>
      </c>
      <c r="M48" s="25">
        <v>66</v>
      </c>
      <c r="N48" s="25">
        <v>813</v>
      </c>
      <c r="O48" s="23">
        <f>SUM(テーブル468[[#This Row],[Open数2]:[Closed数3]])</f>
        <v>879</v>
      </c>
      <c r="P48" s="25">
        <v>67</v>
      </c>
      <c r="Q48" s="25">
        <v>12</v>
      </c>
      <c r="R48" s="25" t="s">
        <v>110</v>
      </c>
      <c r="S48" s="25" t="s">
        <v>109</v>
      </c>
      <c r="T48" s="25"/>
      <c r="U48" s="25"/>
      <c r="V48" s="25"/>
    </row>
    <row r="49" spans="1:22" x14ac:dyDescent="0.15">
      <c r="A49" s="23">
        <v>48</v>
      </c>
      <c r="B49" s="27" t="s">
        <v>255</v>
      </c>
      <c r="C49" s="25">
        <v>269</v>
      </c>
      <c r="D49" s="25">
        <v>226</v>
      </c>
      <c r="E49" s="25">
        <v>2672</v>
      </c>
      <c r="F49" s="25">
        <v>94</v>
      </c>
      <c r="G49" s="25">
        <v>4</v>
      </c>
      <c r="H49" s="25">
        <v>27</v>
      </c>
      <c r="I49" s="25">
        <v>6</v>
      </c>
      <c r="J49" s="25">
        <v>1</v>
      </c>
      <c r="K49" s="25">
        <v>27</v>
      </c>
      <c r="L49" s="23">
        <f>SUM(テーブル468[[#This Row],[Open数]:[Closed数]])</f>
        <v>28</v>
      </c>
      <c r="M49" s="25">
        <v>1</v>
      </c>
      <c r="N49" s="25">
        <v>19</v>
      </c>
      <c r="O49" s="23">
        <f>SUM(テーブル468[[#This Row],[Open数2]:[Closed数3]])</f>
        <v>20</v>
      </c>
      <c r="P49" s="25">
        <v>0</v>
      </c>
      <c r="Q49" s="25">
        <v>0</v>
      </c>
      <c r="R49" s="25" t="s">
        <v>110</v>
      </c>
      <c r="S49" s="25" t="s">
        <v>109</v>
      </c>
      <c r="T49" s="25" t="s">
        <v>106</v>
      </c>
      <c r="U49" s="25"/>
      <c r="V49" s="25"/>
    </row>
    <row r="50" spans="1:22" x14ac:dyDescent="0.15">
      <c r="A50" s="23">
        <v>49</v>
      </c>
      <c r="B50" s="27" t="s">
        <v>256</v>
      </c>
      <c r="C50" s="25">
        <v>1299</v>
      </c>
      <c r="D50" s="25">
        <v>246</v>
      </c>
      <c r="E50" s="25">
        <v>1464</v>
      </c>
      <c r="F50" s="25">
        <v>110</v>
      </c>
      <c r="G50" s="25">
        <v>17</v>
      </c>
      <c r="H50" s="25">
        <v>6</v>
      </c>
      <c r="I50" s="25">
        <v>41</v>
      </c>
      <c r="J50" s="25">
        <v>40</v>
      </c>
      <c r="K50" s="25">
        <v>302</v>
      </c>
      <c r="L50" s="23">
        <f>SUM(テーブル468[[#This Row],[Open数]:[Closed数]])</f>
        <v>342</v>
      </c>
      <c r="M50" s="25">
        <v>1</v>
      </c>
      <c r="N50" s="25">
        <v>111</v>
      </c>
      <c r="O50" s="23">
        <f>SUM(テーブル468[[#This Row],[Open数2]:[Closed数3]])</f>
        <v>112</v>
      </c>
      <c r="P50" s="25">
        <v>2</v>
      </c>
      <c r="Q50" s="25">
        <v>10</v>
      </c>
      <c r="R50" s="25" t="s">
        <v>110</v>
      </c>
      <c r="S50" s="25" t="s">
        <v>109</v>
      </c>
      <c r="T50" s="25" t="s">
        <v>113</v>
      </c>
      <c r="U50" s="25"/>
      <c r="V50" s="25"/>
    </row>
    <row r="51" spans="1:22" x14ac:dyDescent="0.15">
      <c r="A51" s="23">
        <v>50</v>
      </c>
      <c r="B51" s="27" t="s">
        <v>257</v>
      </c>
      <c r="C51" s="25">
        <v>613</v>
      </c>
      <c r="D51" s="25">
        <v>574</v>
      </c>
      <c r="E51" s="25">
        <v>4122</v>
      </c>
      <c r="F51" s="25">
        <v>227</v>
      </c>
      <c r="G51" s="25">
        <v>8</v>
      </c>
      <c r="H51" s="25">
        <v>4</v>
      </c>
      <c r="I51" s="25">
        <v>32</v>
      </c>
      <c r="J51" s="25">
        <v>104</v>
      </c>
      <c r="K51" s="25">
        <v>226</v>
      </c>
      <c r="L51" s="23">
        <f>SUM(テーブル468[[#This Row],[Open数]:[Closed数]])</f>
        <v>330</v>
      </c>
      <c r="M51" s="25">
        <v>8</v>
      </c>
      <c r="N51" s="25">
        <v>97</v>
      </c>
      <c r="O51" s="23">
        <f>SUM(テーブル468[[#This Row],[Open数2]:[Closed数3]])</f>
        <v>105</v>
      </c>
      <c r="P51" s="25">
        <v>5</v>
      </c>
      <c r="Q51" s="25">
        <v>11</v>
      </c>
      <c r="R51" s="25" t="s">
        <v>110</v>
      </c>
      <c r="S51" s="25" t="s">
        <v>109</v>
      </c>
      <c r="T51" s="25"/>
      <c r="U51" s="25"/>
      <c r="V51" s="25"/>
    </row>
  </sheetData>
  <phoneticPr fontId="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display="https://github.com/gabrielecirulli/2048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 display="https://github.com/samizdatco/arbor"/>
    <hyperlink ref="B33" r:id="rId32" display="https://github.com/HumbleSoftware/envisionjs"/>
    <hyperlink ref="B34" r:id="rId33" display="https://github.com/kartograph/kartograph.js"/>
    <hyperlink ref="B35" r:id="rId34" display="https://github.com/trifacta/vega"/>
    <hyperlink ref="B36" r:id="rId35" display="https://github.com/stamen/modestmaps-js"/>
    <hyperlink ref="B37" r:id="rId36" display="https://github.com/Leaflet/Leaflet"/>
    <hyperlink ref="B38" r:id="rId37" display="https://github.com/matplotlib/matplotlib"/>
    <hyperlink ref="B39" r:id="rId38" display="https://github.com/Kozea/pygal"/>
    <hyperlink ref="B40" r:id="rId39" display="https://github.com/dc-js/dc.js"/>
    <hyperlink ref="B41" r:id="rId40" display="https://github.com/nnnick/Chart.js"/>
    <hyperlink ref="B42" r:id="rId41" display="https://github.com/fastly/epoch"/>
    <hyperlink ref="B43" r:id="rId42" display="https://github.com/densitydesign/raw"/>
    <hyperlink ref="B44" r:id="rId43" display="https://github.com/gionkunz/chartist-js"/>
    <hyperlink ref="B45" r:id="rId44" display="https://github.com/ecomfe/echarts"/>
    <hyperlink ref="B46" r:id="rId45" display="https://github.com/github/linguist"/>
    <hyperlink ref="B47" r:id="rId46" display="https://github.com/defunkt/jquery-pjax"/>
    <hyperlink ref="B48" r:id="rId47" display="https://github.com/mbostock/d3"/>
    <hyperlink ref="B49" r:id="rId48" display="https://github.com/benpickles/peity"/>
    <hyperlink ref="B50" r:id="rId49" display="https://github.com/okfn/recline"/>
    <hyperlink ref="B51" r:id="rId50" display="https://github.com/jacomyal/sigma.js"/>
  </hyperlinks>
  <pageMargins left="0.7" right="0.7" top="0.75" bottom="0.75" header="0.3" footer="0.3"/>
  <tableParts count="1">
    <tablePart r:id="rId5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I34" workbookViewId="0">
      <selection activeCell="W1" sqref="W1:AD77"/>
    </sheetView>
  </sheetViews>
  <sheetFormatPr defaultRowHeight="14.25" x14ac:dyDescent="0.15"/>
  <sheetData>
    <row r="1" spans="1:25" x14ac:dyDescent="0.15">
      <c r="A1" s="6" t="s">
        <v>20</v>
      </c>
      <c r="B1" s="6" t="s">
        <v>19</v>
      </c>
      <c r="C1" s="6" t="s">
        <v>176</v>
      </c>
      <c r="D1" s="6" t="s">
        <v>169</v>
      </c>
      <c r="E1" s="6" t="s">
        <v>170</v>
      </c>
      <c r="F1" s="6" t="s">
        <v>171</v>
      </c>
      <c r="G1" s="6" t="s">
        <v>100</v>
      </c>
      <c r="H1" s="6" t="s">
        <v>174</v>
      </c>
      <c r="I1" s="6" t="s">
        <v>175</v>
      </c>
      <c r="J1" s="6" t="s">
        <v>172</v>
      </c>
      <c r="K1" s="6" t="s">
        <v>173</v>
      </c>
      <c r="L1" s="6" t="s">
        <v>184</v>
      </c>
      <c r="M1" s="6" t="s">
        <v>190</v>
      </c>
      <c r="N1" s="6" t="s">
        <v>187</v>
      </c>
      <c r="O1" s="6" t="s">
        <v>186</v>
      </c>
      <c r="P1" s="6" t="s">
        <v>274</v>
      </c>
      <c r="Q1" s="6" t="s">
        <v>276</v>
      </c>
      <c r="R1" s="6" t="s">
        <v>101</v>
      </c>
      <c r="S1" t="s">
        <v>188</v>
      </c>
      <c r="T1" t="s">
        <v>189</v>
      </c>
      <c r="U1" s="23" t="s">
        <v>235</v>
      </c>
      <c r="V1" s="23" t="s">
        <v>244</v>
      </c>
    </row>
    <row r="2" spans="1:25" x14ac:dyDescent="0.15">
      <c r="A2" s="23">
        <v>1</v>
      </c>
      <c r="B2" s="7" t="s">
        <v>22</v>
      </c>
      <c r="C2" s="23">
        <v>75</v>
      </c>
      <c r="D2" s="23">
        <v>40</v>
      </c>
      <c r="E2" s="23">
        <v>447</v>
      </c>
      <c r="F2" s="23">
        <v>93</v>
      </c>
      <c r="G2" s="25">
        <v>2</v>
      </c>
      <c r="H2" s="23">
        <v>5</v>
      </c>
      <c r="I2" s="23">
        <v>3</v>
      </c>
      <c r="J2" s="23">
        <v>0</v>
      </c>
      <c r="K2" s="23">
        <v>0</v>
      </c>
      <c r="L2" s="23">
        <f>SUM(テーブル46812[[#This Row],[Open数]:[Closed数]])</f>
        <v>0</v>
      </c>
      <c r="M2" s="23">
        <v>0</v>
      </c>
      <c r="N2" s="23">
        <v>2</v>
      </c>
      <c r="O2" s="23">
        <f>SUM(テーブル46812[[#This Row],[Open数2]:[Closed数3]])</f>
        <v>2</v>
      </c>
      <c r="P2" s="23">
        <v>0</v>
      </c>
      <c r="Q2" s="23">
        <v>0</v>
      </c>
      <c r="R2" s="23" t="s">
        <v>102</v>
      </c>
      <c r="S2" s="23" t="s">
        <v>103</v>
      </c>
      <c r="T2" s="23"/>
      <c r="U2" s="23"/>
      <c r="V2" s="23"/>
    </row>
    <row r="3" spans="1:25" x14ac:dyDescent="0.15">
      <c r="A3" s="23">
        <v>2</v>
      </c>
      <c r="B3" s="7" t="s">
        <v>130</v>
      </c>
      <c r="C3" s="23">
        <v>57</v>
      </c>
      <c r="D3" s="23">
        <v>178</v>
      </c>
      <c r="E3" s="23">
        <v>1636</v>
      </c>
      <c r="F3" s="23">
        <v>259</v>
      </c>
      <c r="G3" s="25">
        <v>1</v>
      </c>
      <c r="H3" s="23">
        <v>1</v>
      </c>
      <c r="I3" s="23">
        <v>3</v>
      </c>
      <c r="J3" s="23">
        <v>3</v>
      </c>
      <c r="K3" s="23">
        <v>8</v>
      </c>
      <c r="L3" s="23">
        <f>SUM(テーブル46812[[#This Row],[Open数]:[Closed数]])</f>
        <v>11</v>
      </c>
      <c r="M3" s="23">
        <v>2</v>
      </c>
      <c r="N3" s="23">
        <v>5</v>
      </c>
      <c r="O3" s="23">
        <f>SUM(テーブル46812[[#This Row],[Open数2]:[Closed数3]])</f>
        <v>7</v>
      </c>
      <c r="P3" s="23">
        <v>0</v>
      </c>
      <c r="Q3" s="23">
        <v>0</v>
      </c>
      <c r="R3" s="23" t="s">
        <v>104</v>
      </c>
      <c r="S3" s="23" t="s">
        <v>105</v>
      </c>
      <c r="T3" s="23"/>
      <c r="U3" s="23"/>
      <c r="V3" s="23"/>
    </row>
    <row r="4" spans="1:25" x14ac:dyDescent="0.15">
      <c r="A4" s="23">
        <v>3</v>
      </c>
      <c r="B4" s="7" t="s">
        <v>36</v>
      </c>
      <c r="C4" s="23">
        <v>221</v>
      </c>
      <c r="D4" s="23">
        <v>178</v>
      </c>
      <c r="E4" s="23">
        <v>2319</v>
      </c>
      <c r="F4" s="23">
        <v>463</v>
      </c>
      <c r="G4" s="23">
        <v>1</v>
      </c>
      <c r="H4" s="23">
        <v>0</v>
      </c>
      <c r="I4" s="23">
        <v>7</v>
      </c>
      <c r="J4" s="23">
        <v>27</v>
      </c>
      <c r="K4" s="23">
        <v>28</v>
      </c>
      <c r="L4" s="23">
        <f>SUM(テーブル46812[[#This Row],[Open数]:[Closed数]])</f>
        <v>55</v>
      </c>
      <c r="M4" s="23">
        <v>9</v>
      </c>
      <c r="N4" s="23">
        <v>13</v>
      </c>
      <c r="O4" s="23">
        <f>SUM(テーブル46812[[#This Row],[Open数2]:[Closed数3]])</f>
        <v>22</v>
      </c>
      <c r="P4" s="23">
        <v>26</v>
      </c>
      <c r="Q4" s="23">
        <v>7</v>
      </c>
      <c r="R4" s="23" t="s">
        <v>106</v>
      </c>
      <c r="S4" s="23"/>
      <c r="T4" s="23"/>
      <c r="U4" s="23"/>
      <c r="V4" s="23"/>
    </row>
    <row r="5" spans="1:25" x14ac:dyDescent="0.15">
      <c r="A5" s="23">
        <v>4</v>
      </c>
      <c r="B5" s="7" t="s">
        <v>37</v>
      </c>
      <c r="C5" s="23">
        <v>19052</v>
      </c>
      <c r="D5" s="23">
        <v>360</v>
      </c>
      <c r="E5" s="23">
        <v>11741</v>
      </c>
      <c r="F5" s="23">
        <v>4592</v>
      </c>
      <c r="G5" s="23">
        <v>39</v>
      </c>
      <c r="H5" s="23">
        <v>86</v>
      </c>
      <c r="I5" s="23">
        <v>700</v>
      </c>
      <c r="J5" s="23">
        <v>0</v>
      </c>
      <c r="K5" s="23">
        <v>0</v>
      </c>
      <c r="L5" s="23">
        <f>SUM(テーブル46812[[#This Row],[Open数]:[Closed数]])</f>
        <v>0</v>
      </c>
      <c r="M5" s="23">
        <v>69</v>
      </c>
      <c r="N5" s="23">
        <v>3403</v>
      </c>
      <c r="O5" s="23">
        <f>SUM(テーブル46812[[#This Row],[Open数2]:[Closed数3]])</f>
        <v>3472</v>
      </c>
      <c r="P5" s="23">
        <v>0</v>
      </c>
      <c r="Q5" s="23">
        <v>0</v>
      </c>
      <c r="R5" s="23" t="s">
        <v>107</v>
      </c>
      <c r="S5" s="23" t="s">
        <v>108</v>
      </c>
      <c r="T5" s="23"/>
      <c r="U5" s="23"/>
      <c r="V5" s="23"/>
    </row>
    <row r="6" spans="1:25" x14ac:dyDescent="0.15">
      <c r="A6" s="23">
        <v>5</v>
      </c>
      <c r="B6" s="7" t="s">
        <v>38</v>
      </c>
      <c r="C6" s="23">
        <v>47676</v>
      </c>
      <c r="D6" s="23">
        <v>1648</v>
      </c>
      <c r="E6" s="23">
        <v>23753</v>
      </c>
      <c r="F6" s="23">
        <v>9080</v>
      </c>
      <c r="G6" s="23">
        <v>37</v>
      </c>
      <c r="H6" s="23">
        <v>237</v>
      </c>
      <c r="I6" s="23">
        <v>2465</v>
      </c>
      <c r="J6" s="23">
        <v>327</v>
      </c>
      <c r="K6" s="23">
        <v>5959</v>
      </c>
      <c r="L6" s="23">
        <f>SUM(テーブル46812[[#This Row],[Open数]:[Closed数]])</f>
        <v>6286</v>
      </c>
      <c r="M6" s="23">
        <v>437</v>
      </c>
      <c r="N6" s="23">
        <v>10797</v>
      </c>
      <c r="O6" s="23">
        <f>SUM(テーブル46812[[#This Row],[Open数2]:[Closed数3]])</f>
        <v>11234</v>
      </c>
      <c r="P6" s="23">
        <v>0</v>
      </c>
      <c r="Q6" s="23">
        <v>29</v>
      </c>
      <c r="R6" s="23" t="s">
        <v>106</v>
      </c>
      <c r="S6" s="23" t="s">
        <v>109</v>
      </c>
      <c r="T6" s="23" t="s">
        <v>110</v>
      </c>
      <c r="U6" s="23"/>
      <c r="V6" s="23"/>
    </row>
    <row r="7" spans="1:25" x14ac:dyDescent="0.15">
      <c r="A7" s="23">
        <v>6</v>
      </c>
      <c r="B7" s="7" t="s">
        <v>259</v>
      </c>
      <c r="C7" s="23">
        <v>17275</v>
      </c>
      <c r="D7" s="23">
        <v>553</v>
      </c>
      <c r="E7" s="23">
        <v>5262</v>
      </c>
      <c r="F7" s="23">
        <v>2315</v>
      </c>
      <c r="G7" s="23">
        <v>12</v>
      </c>
      <c r="H7" s="23">
        <v>121</v>
      </c>
      <c r="I7" s="23">
        <v>285</v>
      </c>
      <c r="J7" s="23">
        <v>110</v>
      </c>
      <c r="K7" s="23">
        <v>1547</v>
      </c>
      <c r="L7" s="23">
        <f>SUM(テーブル46812[[#This Row],[Open数]:[Closed数]])</f>
        <v>1657</v>
      </c>
      <c r="M7" s="23">
        <v>17</v>
      </c>
      <c r="N7" s="23">
        <v>3421</v>
      </c>
      <c r="O7" s="23">
        <f>SUM(テーブル46812[[#This Row],[Open数2]:[Closed数3]])</f>
        <v>3438</v>
      </c>
      <c r="P7" s="23">
        <v>42</v>
      </c>
      <c r="Q7" s="23">
        <v>5</v>
      </c>
      <c r="R7" s="23" t="s">
        <v>111</v>
      </c>
      <c r="S7" s="23" t="s">
        <v>108</v>
      </c>
      <c r="T7" s="23"/>
      <c r="U7" s="23"/>
      <c r="V7" s="23"/>
    </row>
    <row r="8" spans="1:25" x14ac:dyDescent="0.15">
      <c r="A8" s="23">
        <v>7</v>
      </c>
      <c r="B8" s="7" t="s">
        <v>129</v>
      </c>
      <c r="C8" s="23">
        <v>5881</v>
      </c>
      <c r="D8" s="23">
        <v>424</v>
      </c>
      <c r="E8" s="23">
        <v>4787</v>
      </c>
      <c r="F8" s="23">
        <v>945</v>
      </c>
      <c r="G8" s="23">
        <v>12</v>
      </c>
      <c r="H8" s="23">
        <v>163</v>
      </c>
      <c r="I8" s="23">
        <v>153</v>
      </c>
      <c r="J8" s="23">
        <v>122</v>
      </c>
      <c r="K8" s="23">
        <v>1131</v>
      </c>
      <c r="L8" s="23">
        <f>SUM(テーブル46812[[#This Row],[Open数]:[Closed数]])</f>
        <v>1253</v>
      </c>
      <c r="M8" s="23">
        <v>4</v>
      </c>
      <c r="N8" s="23">
        <v>253</v>
      </c>
      <c r="O8" s="23">
        <f>SUM(テーブル46812[[#This Row],[Open数2]:[Closed数3]])</f>
        <v>257</v>
      </c>
      <c r="P8" s="23">
        <v>0</v>
      </c>
      <c r="Q8" s="23">
        <v>13</v>
      </c>
      <c r="R8" s="23" t="s">
        <v>106</v>
      </c>
      <c r="S8" s="23" t="s">
        <v>109</v>
      </c>
      <c r="T8" s="23"/>
      <c r="U8" s="23"/>
      <c r="V8" s="23"/>
    </row>
    <row r="9" spans="1:25" x14ac:dyDescent="0.15">
      <c r="A9" s="23">
        <v>8</v>
      </c>
      <c r="B9" s="7" t="s">
        <v>260</v>
      </c>
      <c r="C9" s="23">
        <v>2124</v>
      </c>
      <c r="D9" s="23">
        <v>637</v>
      </c>
      <c r="E9" s="23">
        <v>11276</v>
      </c>
      <c r="F9" s="23">
        <v>2579</v>
      </c>
      <c r="G9" s="25">
        <v>3</v>
      </c>
      <c r="H9" s="23">
        <v>32</v>
      </c>
      <c r="I9" s="23">
        <v>169</v>
      </c>
      <c r="J9" s="23">
        <v>189</v>
      </c>
      <c r="K9" s="23">
        <v>1579</v>
      </c>
      <c r="L9" s="23">
        <f>SUM(テーブル46812[[#This Row],[Open数]:[Closed数]])</f>
        <v>1768</v>
      </c>
      <c r="M9" s="23">
        <v>12</v>
      </c>
      <c r="N9" s="23">
        <v>492</v>
      </c>
      <c r="O9" s="23">
        <f>SUM(テーブル46812[[#This Row],[Open数2]:[Closed数3]])</f>
        <v>504</v>
      </c>
      <c r="P9" s="23">
        <v>4</v>
      </c>
      <c r="Q9" s="23">
        <v>19</v>
      </c>
      <c r="R9" s="23" t="s">
        <v>110</v>
      </c>
      <c r="S9" s="23" t="s">
        <v>109</v>
      </c>
      <c r="T9" s="23" t="s">
        <v>112</v>
      </c>
      <c r="U9" s="23"/>
      <c r="V9" s="23"/>
    </row>
    <row r="10" spans="1:25" x14ac:dyDescent="0.15">
      <c r="A10" s="23">
        <v>9</v>
      </c>
      <c r="B10" s="7" t="s">
        <v>131</v>
      </c>
      <c r="C10" s="23">
        <v>480</v>
      </c>
      <c r="D10" s="23">
        <v>52</v>
      </c>
      <c r="E10" s="23">
        <v>313</v>
      </c>
      <c r="F10" s="23">
        <v>152</v>
      </c>
      <c r="G10" s="25">
        <v>9</v>
      </c>
      <c r="H10" s="23">
        <v>5</v>
      </c>
      <c r="I10" s="23">
        <v>25</v>
      </c>
      <c r="J10" s="23">
        <v>26</v>
      </c>
      <c r="K10" s="23">
        <v>54</v>
      </c>
      <c r="L10" s="23">
        <f>SUM(テーブル46812[[#This Row],[Open数]:[Closed数]])</f>
        <v>80</v>
      </c>
      <c r="M10" s="23">
        <v>17</v>
      </c>
      <c r="N10" s="23">
        <v>41</v>
      </c>
      <c r="O10" s="23">
        <f>SUM(テーブル46812[[#This Row],[Open数2]:[Closed数3]])</f>
        <v>58</v>
      </c>
      <c r="P10" s="23">
        <v>3</v>
      </c>
      <c r="Q10" s="23">
        <v>6</v>
      </c>
      <c r="R10" s="23" t="s">
        <v>113</v>
      </c>
      <c r="S10" s="23" t="s">
        <v>115</v>
      </c>
      <c r="T10" s="23"/>
      <c r="U10" s="23"/>
      <c r="V10" s="23"/>
    </row>
    <row r="11" spans="1:25" ht="15" thickBot="1" x14ac:dyDescent="0.2">
      <c r="A11" s="23">
        <v>10</v>
      </c>
      <c r="B11" s="7" t="s">
        <v>261</v>
      </c>
      <c r="C11" s="23">
        <v>139955</v>
      </c>
      <c r="D11" s="23">
        <v>45</v>
      </c>
      <c r="E11" s="23">
        <v>188</v>
      </c>
      <c r="F11" s="23">
        <v>1109</v>
      </c>
      <c r="G11" s="25">
        <v>50</v>
      </c>
      <c r="H11" s="23">
        <v>2610</v>
      </c>
      <c r="I11" s="23">
        <v>286</v>
      </c>
      <c r="J11" s="23">
        <v>24</v>
      </c>
      <c r="K11" s="23">
        <v>173</v>
      </c>
      <c r="L11" s="23">
        <f>SUM(テーブル46812[[#This Row],[Open数]:[Closed数]])</f>
        <v>197</v>
      </c>
      <c r="M11" s="23">
        <v>88</v>
      </c>
      <c r="N11" s="23">
        <v>5945</v>
      </c>
      <c r="O11" s="23">
        <f>SUM(テーブル46812[[#This Row],[Open数2]:[Closed数3]])</f>
        <v>6033</v>
      </c>
      <c r="P11" s="23">
        <v>0</v>
      </c>
      <c r="Q11" s="23">
        <v>69</v>
      </c>
      <c r="R11" s="23" t="s">
        <v>116</v>
      </c>
      <c r="S11" s="23" t="s">
        <v>113</v>
      </c>
      <c r="T11" s="23" t="s">
        <v>117</v>
      </c>
      <c r="U11" s="23"/>
      <c r="V11" s="23"/>
    </row>
    <row r="12" spans="1:25" x14ac:dyDescent="0.15">
      <c r="A12" s="23">
        <v>11</v>
      </c>
      <c r="B12" s="7" t="s">
        <v>262</v>
      </c>
      <c r="C12" s="29">
        <v>10189</v>
      </c>
      <c r="D12" s="23">
        <v>77</v>
      </c>
      <c r="E12" s="23">
        <v>461</v>
      </c>
      <c r="F12" s="29">
        <v>313</v>
      </c>
      <c r="G12" s="29">
        <v>6</v>
      </c>
      <c r="H12" s="29">
        <v>21</v>
      </c>
      <c r="I12" s="29">
        <v>93</v>
      </c>
      <c r="J12" s="29">
        <v>323</v>
      </c>
      <c r="K12" s="29">
        <v>695</v>
      </c>
      <c r="L12" s="23">
        <f>SUM(テーブル46812[[#This Row],[Open数]:[Closed数]])</f>
        <v>1018</v>
      </c>
      <c r="M12" s="29">
        <v>90</v>
      </c>
      <c r="N12" s="29">
        <v>1967</v>
      </c>
      <c r="O12" s="23">
        <f>SUM(テーブル46812[[#This Row],[Open数2]:[Closed数3]])</f>
        <v>2057</v>
      </c>
      <c r="P12" s="29">
        <v>58</v>
      </c>
      <c r="Q12" s="29">
        <v>52</v>
      </c>
      <c r="R12" s="29" t="s">
        <v>113</v>
      </c>
      <c r="S12" s="29" t="s">
        <v>118</v>
      </c>
      <c r="T12" s="29" t="s">
        <v>108</v>
      </c>
      <c r="U12" s="23"/>
      <c r="V12" s="23"/>
      <c r="W12" s="12" t="s">
        <v>79</v>
      </c>
      <c r="X12" s="12" t="s">
        <v>211</v>
      </c>
      <c r="Y12" s="12" t="s">
        <v>212</v>
      </c>
    </row>
    <row r="13" spans="1:25" x14ac:dyDescent="0.15">
      <c r="A13" s="23">
        <v>12</v>
      </c>
      <c r="B13" s="19">
        <v>2048</v>
      </c>
      <c r="C13" s="23">
        <v>160</v>
      </c>
      <c r="D13" s="23">
        <v>471</v>
      </c>
      <c r="E13" s="23">
        <v>6127</v>
      </c>
      <c r="F13" s="23">
        <v>10970</v>
      </c>
      <c r="G13" s="23">
        <v>2</v>
      </c>
      <c r="H13" s="23">
        <v>0</v>
      </c>
      <c r="I13" s="23">
        <v>21</v>
      </c>
      <c r="J13" s="23">
        <v>56</v>
      </c>
      <c r="K13" s="23">
        <v>43</v>
      </c>
      <c r="L13" s="23">
        <f>SUM(テーブル46812[[#This Row],[Open数]:[Closed数]])</f>
        <v>99</v>
      </c>
      <c r="M13" s="23">
        <v>53</v>
      </c>
      <c r="N13" s="23">
        <v>123</v>
      </c>
      <c r="O13" s="23">
        <f>SUM(テーブル46812[[#This Row],[Open数2]:[Closed数3]])</f>
        <v>176</v>
      </c>
      <c r="P13" s="23">
        <v>0</v>
      </c>
      <c r="Q13" s="23">
        <v>8</v>
      </c>
      <c r="R13" s="23" t="s">
        <v>109</v>
      </c>
      <c r="S13" s="23" t="s">
        <v>110</v>
      </c>
      <c r="T13" s="23" t="s">
        <v>106</v>
      </c>
      <c r="U13" s="23"/>
      <c r="V13" s="23"/>
      <c r="W13" s="3">
        <v>1519201603.7381997</v>
      </c>
      <c r="X13" s="3">
        <v>275.03729476332234</v>
      </c>
      <c r="Y13" s="3">
        <v>1.7817463499683028E-31</v>
      </c>
    </row>
    <row r="14" spans="1:25" x14ac:dyDescent="0.15">
      <c r="A14" s="23">
        <v>13</v>
      </c>
      <c r="B14" s="7" t="s">
        <v>50</v>
      </c>
      <c r="C14" s="23">
        <v>214</v>
      </c>
      <c r="D14" s="23">
        <v>80</v>
      </c>
      <c r="E14" s="23">
        <v>629</v>
      </c>
      <c r="F14" s="23">
        <v>360</v>
      </c>
      <c r="G14" s="25">
        <v>3</v>
      </c>
      <c r="H14" s="23">
        <v>0</v>
      </c>
      <c r="I14" s="23">
        <v>7</v>
      </c>
      <c r="J14" s="23">
        <v>3</v>
      </c>
      <c r="K14" s="23">
        <v>31</v>
      </c>
      <c r="L14" s="23">
        <f>SUM(テーブル46812[[#This Row],[Open数]:[Closed数]])</f>
        <v>34</v>
      </c>
      <c r="M14" s="23">
        <v>0</v>
      </c>
      <c r="N14" s="23">
        <v>20</v>
      </c>
      <c r="O14" s="23">
        <f>SUM(テーブル46812[[#This Row],[Open数2]:[Closed数3]])</f>
        <v>20</v>
      </c>
      <c r="P14" s="23">
        <v>0</v>
      </c>
      <c r="Q14" s="23">
        <v>6</v>
      </c>
      <c r="R14" s="23" t="s">
        <v>110</v>
      </c>
      <c r="S14" s="23" t="s">
        <v>109</v>
      </c>
      <c r="T14" s="23"/>
      <c r="U14" s="23"/>
      <c r="V14" s="23"/>
      <c r="W14" s="3">
        <v>6444223.7644647555</v>
      </c>
      <c r="X14" s="3"/>
      <c r="Y14" s="3"/>
    </row>
    <row r="15" spans="1:25" ht="15" thickBot="1" x14ac:dyDescent="0.2">
      <c r="A15" s="23">
        <v>14</v>
      </c>
      <c r="B15" s="7" t="s">
        <v>132</v>
      </c>
      <c r="C15" s="23">
        <v>153</v>
      </c>
      <c r="D15" s="23">
        <v>321</v>
      </c>
      <c r="E15" s="23">
        <v>4359</v>
      </c>
      <c r="F15" s="23">
        <v>1234</v>
      </c>
      <c r="G15" s="23">
        <v>4</v>
      </c>
      <c r="H15" s="23">
        <v>0</v>
      </c>
      <c r="I15" s="23">
        <v>4</v>
      </c>
      <c r="J15" s="23">
        <v>0</v>
      </c>
      <c r="K15" s="23">
        <v>0</v>
      </c>
      <c r="L15" s="23">
        <f>SUM(テーブル46812[[#This Row],[Open数]:[Closed数]])</f>
        <v>0</v>
      </c>
      <c r="M15" s="23">
        <v>0</v>
      </c>
      <c r="N15" s="23">
        <v>27</v>
      </c>
      <c r="O15" s="23">
        <f>SUM(テーブル46812[[#This Row],[Open数2]:[Closed数3]])</f>
        <v>27</v>
      </c>
      <c r="P15" s="23">
        <v>3</v>
      </c>
      <c r="Q15" s="23">
        <v>0</v>
      </c>
      <c r="R15" s="23" t="s">
        <v>110</v>
      </c>
      <c r="S15" s="23" t="s">
        <v>120</v>
      </c>
      <c r="T15" s="23"/>
      <c r="U15" s="23"/>
      <c r="V15" s="23"/>
      <c r="W15" s="4"/>
      <c r="X15" s="4"/>
      <c r="Y15" s="4"/>
    </row>
    <row r="16" spans="1:25" ht="15" thickBot="1" x14ac:dyDescent="0.2">
      <c r="A16" s="23">
        <v>15</v>
      </c>
      <c r="B16" s="7" t="s">
        <v>89</v>
      </c>
      <c r="C16" s="23">
        <v>3610</v>
      </c>
      <c r="D16" s="23">
        <v>245</v>
      </c>
      <c r="E16" s="23">
        <v>4977</v>
      </c>
      <c r="F16" s="23">
        <v>701</v>
      </c>
      <c r="G16" s="23">
        <v>9</v>
      </c>
      <c r="H16" s="23">
        <v>146</v>
      </c>
      <c r="I16" s="23">
        <v>122</v>
      </c>
      <c r="J16" s="23">
        <v>144</v>
      </c>
      <c r="K16" s="23">
        <v>1132</v>
      </c>
      <c r="L16" s="23">
        <f>SUM(テーブル46812[[#This Row],[Open数]:[Closed数]])</f>
        <v>1276</v>
      </c>
      <c r="M16" s="23">
        <v>3</v>
      </c>
      <c r="N16" s="23">
        <v>472</v>
      </c>
      <c r="O16" s="23">
        <f>SUM(テーブル46812[[#This Row],[Open数2]:[Closed数3]])</f>
        <v>475</v>
      </c>
      <c r="P16" s="23">
        <v>2</v>
      </c>
      <c r="Q16" s="23">
        <v>19</v>
      </c>
      <c r="R16" s="23" t="s">
        <v>110</v>
      </c>
      <c r="S16" s="23" t="s">
        <v>109</v>
      </c>
      <c r="T16" s="23"/>
      <c r="U16" s="23"/>
      <c r="V16" s="23"/>
    </row>
    <row r="17" spans="1:28" x14ac:dyDescent="0.15">
      <c r="A17" s="23">
        <v>16</v>
      </c>
      <c r="B17" s="7" t="s">
        <v>90</v>
      </c>
      <c r="C17" s="23">
        <v>4107</v>
      </c>
      <c r="D17" s="23">
        <v>195</v>
      </c>
      <c r="E17" s="23">
        <v>3300</v>
      </c>
      <c r="F17" s="23">
        <v>437</v>
      </c>
      <c r="G17" s="23">
        <v>9</v>
      </c>
      <c r="H17" s="23">
        <v>34</v>
      </c>
      <c r="I17" s="23">
        <v>119</v>
      </c>
      <c r="J17" s="23">
        <v>229</v>
      </c>
      <c r="K17" s="23">
        <v>431</v>
      </c>
      <c r="L17" s="23">
        <f>SUM(テーブル46812[[#This Row],[Open数]:[Closed数]])</f>
        <v>660</v>
      </c>
      <c r="M17" s="23">
        <v>19</v>
      </c>
      <c r="N17" s="23">
        <v>387</v>
      </c>
      <c r="O17" s="23">
        <f>SUM(テーブル46812[[#This Row],[Open数2]:[Closed数3]])</f>
        <v>406</v>
      </c>
      <c r="P17" s="23">
        <v>24</v>
      </c>
      <c r="Q17" s="23">
        <v>10</v>
      </c>
      <c r="R17" s="23" t="s">
        <v>113</v>
      </c>
      <c r="S17" s="23" t="s">
        <v>110</v>
      </c>
      <c r="T17" s="23" t="s">
        <v>108</v>
      </c>
      <c r="U17" s="23"/>
      <c r="V17" s="23"/>
      <c r="W17" s="12" t="s">
        <v>214</v>
      </c>
      <c r="X17" s="12" t="s">
        <v>215</v>
      </c>
      <c r="Y17" s="12" t="s">
        <v>216</v>
      </c>
      <c r="Z17" s="12" t="s">
        <v>217</v>
      </c>
      <c r="AA17" s="12" t="s">
        <v>218</v>
      </c>
      <c r="AB17" s="12" t="s">
        <v>219</v>
      </c>
    </row>
    <row r="18" spans="1:28" x14ac:dyDescent="0.15">
      <c r="A18" s="23">
        <v>17</v>
      </c>
      <c r="B18" s="7" t="s">
        <v>55</v>
      </c>
      <c r="C18" s="23">
        <v>1162</v>
      </c>
      <c r="D18" s="23">
        <v>173</v>
      </c>
      <c r="E18" s="23">
        <v>1999</v>
      </c>
      <c r="F18" s="23">
        <v>385</v>
      </c>
      <c r="G18" s="23">
        <v>14</v>
      </c>
      <c r="H18" s="23">
        <v>36</v>
      </c>
      <c r="I18" s="23">
        <v>18</v>
      </c>
      <c r="J18" s="23">
        <v>0</v>
      </c>
      <c r="K18" s="23">
        <v>0</v>
      </c>
      <c r="L18" s="23">
        <f>SUM(テーブル46812[[#This Row],[Open数]:[Closed数]])</f>
        <v>0</v>
      </c>
      <c r="M18" s="23">
        <v>10</v>
      </c>
      <c r="N18" s="23">
        <v>44</v>
      </c>
      <c r="O18" s="23">
        <f>SUM(テーブル46812[[#This Row],[Open数2]:[Closed数3]])</f>
        <v>54</v>
      </c>
      <c r="P18" s="23">
        <v>0</v>
      </c>
      <c r="Q18" s="23">
        <v>0</v>
      </c>
      <c r="R18" s="23" t="s">
        <v>110</v>
      </c>
      <c r="S18" s="23" t="s">
        <v>109</v>
      </c>
      <c r="T18" s="23" t="s">
        <v>121</v>
      </c>
      <c r="U18" s="23"/>
      <c r="V18" s="23"/>
      <c r="W18" s="3">
        <v>1.0639663765335921</v>
      </c>
      <c r="X18" s="3">
        <v>0.2942386335162972</v>
      </c>
      <c r="Y18" s="3">
        <v>-636.31965961560741</v>
      </c>
      <c r="Z18" s="3">
        <v>2043.5205909976714</v>
      </c>
      <c r="AA18" s="3">
        <v>-636.31965961560741</v>
      </c>
      <c r="AB18" s="3">
        <v>2043.5205909976714</v>
      </c>
    </row>
    <row r="19" spans="1:28" x14ac:dyDescent="0.15">
      <c r="A19" s="23">
        <v>18</v>
      </c>
      <c r="B19" s="7" t="s">
        <v>56</v>
      </c>
      <c r="C19" s="23">
        <v>710</v>
      </c>
      <c r="D19" s="23">
        <v>93</v>
      </c>
      <c r="E19" s="23">
        <v>2054</v>
      </c>
      <c r="F19" s="23">
        <v>278</v>
      </c>
      <c r="G19" s="25">
        <v>11</v>
      </c>
      <c r="H19" s="23">
        <v>9</v>
      </c>
      <c r="I19" s="23">
        <v>30</v>
      </c>
      <c r="J19" s="23">
        <v>27</v>
      </c>
      <c r="K19" s="23">
        <v>163</v>
      </c>
      <c r="L19" s="23">
        <f>SUM(テーブル46812[[#This Row],[Open数]:[Closed数]])</f>
        <v>190</v>
      </c>
      <c r="M19" s="23">
        <v>9</v>
      </c>
      <c r="N19" s="23">
        <v>179</v>
      </c>
      <c r="O19" s="23">
        <f>SUM(テーブル46812[[#This Row],[Open数2]:[Closed数3]])</f>
        <v>188</v>
      </c>
      <c r="P19" s="23">
        <v>3</v>
      </c>
      <c r="Q19" s="23">
        <v>3</v>
      </c>
      <c r="R19" s="23" t="s">
        <v>106</v>
      </c>
      <c r="S19" s="23" t="s">
        <v>110</v>
      </c>
      <c r="T19" s="23" t="s">
        <v>109</v>
      </c>
      <c r="U19" s="23"/>
      <c r="V19" s="23"/>
      <c r="W19" s="3">
        <v>0.23470969881116915</v>
      </c>
      <c r="X19" s="3">
        <v>0.81572813067708738</v>
      </c>
      <c r="Y19" s="3">
        <v>-1.4796670641343335</v>
      </c>
      <c r="Z19" s="3">
        <v>1.8673818866270682</v>
      </c>
      <c r="AA19" s="3">
        <v>-1.4796670641343335</v>
      </c>
      <c r="AB19" s="3">
        <v>1.8673818866270682</v>
      </c>
    </row>
    <row r="20" spans="1:28" x14ac:dyDescent="0.15">
      <c r="A20" s="23">
        <v>19</v>
      </c>
      <c r="B20" s="7" t="s">
        <v>57</v>
      </c>
      <c r="C20" s="23">
        <v>1274</v>
      </c>
      <c r="D20" s="23">
        <v>420</v>
      </c>
      <c r="E20" s="23">
        <v>5809</v>
      </c>
      <c r="F20" s="23">
        <v>1101</v>
      </c>
      <c r="G20" s="23">
        <v>7</v>
      </c>
      <c r="H20" s="23">
        <v>15</v>
      </c>
      <c r="I20" s="23">
        <v>92</v>
      </c>
      <c r="J20" s="23">
        <v>130</v>
      </c>
      <c r="K20" s="23">
        <v>587</v>
      </c>
      <c r="L20" s="23">
        <f>SUM(テーブル46812[[#This Row],[Open数]:[Closed数]])</f>
        <v>717</v>
      </c>
      <c r="M20" s="23">
        <v>20</v>
      </c>
      <c r="N20" s="23">
        <v>389</v>
      </c>
      <c r="O20" s="23">
        <f>SUM(テーブル46812[[#This Row],[Open数2]:[Closed数3]])</f>
        <v>409</v>
      </c>
      <c r="P20" s="23">
        <v>3</v>
      </c>
      <c r="Q20" s="23">
        <v>12</v>
      </c>
      <c r="R20" s="23" t="s">
        <v>110</v>
      </c>
      <c r="S20" s="23" t="s">
        <v>109</v>
      </c>
      <c r="T20" s="23"/>
      <c r="U20" s="23"/>
      <c r="V20" s="23"/>
      <c r="W20" s="3">
        <v>-0.65806530578349587</v>
      </c>
      <c r="X20" s="3">
        <v>0.5145700380074878</v>
      </c>
      <c r="Y20" s="3">
        <v>-0.53231108534297089</v>
      </c>
      <c r="Z20" s="3">
        <v>0.27131122071139985</v>
      </c>
      <c r="AA20" s="3">
        <v>-0.53231108534297089</v>
      </c>
      <c r="AB20" s="3">
        <v>0.27131122071139985</v>
      </c>
    </row>
    <row r="21" spans="1:28" x14ac:dyDescent="0.15">
      <c r="A21" s="23">
        <v>20</v>
      </c>
      <c r="B21" s="7" t="s">
        <v>93</v>
      </c>
      <c r="C21" s="23">
        <v>2544</v>
      </c>
      <c r="D21" s="23">
        <v>547</v>
      </c>
      <c r="E21" s="23">
        <v>6575</v>
      </c>
      <c r="F21" s="23">
        <v>2133</v>
      </c>
      <c r="G21" s="23">
        <v>3</v>
      </c>
      <c r="H21" s="23">
        <v>34</v>
      </c>
      <c r="I21" s="23">
        <v>111</v>
      </c>
      <c r="J21" s="23">
        <v>50</v>
      </c>
      <c r="K21" s="23">
        <v>672</v>
      </c>
      <c r="L21" s="23">
        <f>SUM(テーブル46812[[#This Row],[Open数]:[Closed数]])</f>
        <v>722</v>
      </c>
      <c r="M21" s="23">
        <v>5</v>
      </c>
      <c r="N21" s="23">
        <v>567</v>
      </c>
      <c r="O21" s="23">
        <f>SUM(テーブル46812[[#This Row],[Open数2]:[Closed数3]])</f>
        <v>572</v>
      </c>
      <c r="P21" s="23">
        <v>14</v>
      </c>
      <c r="Q21" s="23">
        <v>10</v>
      </c>
      <c r="R21" s="23" t="s">
        <v>110</v>
      </c>
      <c r="S21" s="23" t="s">
        <v>109</v>
      </c>
      <c r="T21" s="23" t="s">
        <v>108</v>
      </c>
      <c r="U21" s="23"/>
      <c r="V21" s="23"/>
      <c r="W21" s="3">
        <v>0.45240103518091651</v>
      </c>
      <c r="X21" s="3">
        <v>0.65362153002038115</v>
      </c>
      <c r="Y21" s="3">
        <v>-0.42854765198093442</v>
      </c>
      <c r="Z21" s="3">
        <v>0.67492769694738453</v>
      </c>
      <c r="AA21" s="3">
        <v>-0.42854765198093442</v>
      </c>
      <c r="AB21" s="3">
        <v>0.67492769694738453</v>
      </c>
    </row>
    <row r="22" spans="1:28" x14ac:dyDescent="0.15">
      <c r="A22" s="23">
        <v>21</v>
      </c>
      <c r="B22" s="7" t="s">
        <v>59</v>
      </c>
      <c r="C22" s="23">
        <v>2762</v>
      </c>
      <c r="D22" s="23">
        <v>95</v>
      </c>
      <c r="E22" s="23">
        <v>1178</v>
      </c>
      <c r="F22" s="23">
        <v>278</v>
      </c>
      <c r="G22" s="23">
        <v>4</v>
      </c>
      <c r="H22" s="23">
        <v>20</v>
      </c>
      <c r="I22" s="23">
        <v>26</v>
      </c>
      <c r="J22" s="23">
        <v>92</v>
      </c>
      <c r="K22" s="23">
        <v>366</v>
      </c>
      <c r="L22" s="23">
        <f>SUM(テーブル46812[[#This Row],[Open数]:[Closed数]])</f>
        <v>458</v>
      </c>
      <c r="M22" s="23">
        <v>1</v>
      </c>
      <c r="N22" s="23">
        <v>144</v>
      </c>
      <c r="O22" s="23">
        <f>SUM(テーブル46812[[#This Row],[Open数2]:[Closed数3]])</f>
        <v>145</v>
      </c>
      <c r="P22" s="23">
        <v>11</v>
      </c>
      <c r="Q22" s="23">
        <v>5</v>
      </c>
      <c r="R22" s="23" t="s">
        <v>110</v>
      </c>
      <c r="S22" s="23" t="s">
        <v>109</v>
      </c>
      <c r="T22" s="23"/>
      <c r="U22" s="23"/>
      <c r="V22" s="23"/>
      <c r="W22" s="3">
        <v>-2.7935213519845115</v>
      </c>
      <c r="X22" s="3">
        <v>8.2088374697855074E-3</v>
      </c>
      <c r="Y22" s="3">
        <v>-77.545812612313838</v>
      </c>
      <c r="Z22" s="3">
        <v>-12.34578328065777</v>
      </c>
      <c r="AA22" s="3">
        <v>-77.545812612313838</v>
      </c>
      <c r="AB22" s="3">
        <v>-12.34578328065777</v>
      </c>
    </row>
    <row r="23" spans="1:28" x14ac:dyDescent="0.15">
      <c r="A23" s="23">
        <v>22</v>
      </c>
      <c r="B23" s="7" t="s">
        <v>133</v>
      </c>
      <c r="C23" s="23">
        <v>2792</v>
      </c>
      <c r="D23" s="23">
        <v>232</v>
      </c>
      <c r="E23" s="23">
        <v>1852</v>
      </c>
      <c r="F23" s="23">
        <v>283</v>
      </c>
      <c r="G23" s="23">
        <v>166</v>
      </c>
      <c r="H23" s="23">
        <v>178</v>
      </c>
      <c r="I23" s="23">
        <v>63</v>
      </c>
      <c r="J23" s="23">
        <v>54</v>
      </c>
      <c r="K23" s="23">
        <v>198</v>
      </c>
      <c r="L23" s="23">
        <f>SUM(テーブル46812[[#This Row],[Open数]:[Closed数]])</f>
        <v>252</v>
      </c>
      <c r="M23" s="23">
        <v>6</v>
      </c>
      <c r="N23" s="23">
        <v>361</v>
      </c>
      <c r="O23" s="23">
        <f>SUM(テーブル46812[[#This Row],[Open数2]:[Closed数3]])</f>
        <v>367</v>
      </c>
      <c r="P23" s="23">
        <v>4</v>
      </c>
      <c r="Q23" s="23">
        <v>20</v>
      </c>
      <c r="R23" s="23" t="s">
        <v>120</v>
      </c>
      <c r="S23" s="23" t="s">
        <v>123</v>
      </c>
      <c r="T23" s="23" t="s">
        <v>109</v>
      </c>
      <c r="U23" s="23"/>
      <c r="V23" s="23"/>
      <c r="W23" s="3">
        <v>15.00373644495426</v>
      </c>
      <c r="X23" s="3">
        <v>2.6052994606400039E-17</v>
      </c>
      <c r="Y23" s="3">
        <v>38.023325021086258</v>
      </c>
      <c r="Z23" s="3">
        <v>49.896538424845012</v>
      </c>
      <c r="AA23" s="3">
        <v>38.023325021086258</v>
      </c>
      <c r="AB23" s="3">
        <v>49.896538424845012</v>
      </c>
    </row>
    <row r="24" spans="1:28" x14ac:dyDescent="0.15">
      <c r="A24" s="23">
        <v>23</v>
      </c>
      <c r="B24" s="7" t="s">
        <v>61</v>
      </c>
      <c r="C24" s="23">
        <v>27747</v>
      </c>
      <c r="D24" s="23">
        <v>559</v>
      </c>
      <c r="E24" s="23">
        <v>5955</v>
      </c>
      <c r="F24" s="23">
        <v>1650</v>
      </c>
      <c r="G24" s="25">
        <v>14</v>
      </c>
      <c r="H24" s="23">
        <v>230</v>
      </c>
      <c r="I24" s="23">
        <v>197</v>
      </c>
      <c r="J24" s="23">
        <v>0</v>
      </c>
      <c r="K24" s="23">
        <v>0</v>
      </c>
      <c r="L24" s="23">
        <f>SUM(テーブル46812[[#This Row],[Open数]:[Closed数]])</f>
        <v>0</v>
      </c>
      <c r="M24" s="23">
        <v>16</v>
      </c>
      <c r="N24" s="23">
        <v>847</v>
      </c>
      <c r="O24" s="23">
        <f>SUM(テーブル46812[[#This Row],[Open数2]:[Closed数3]])</f>
        <v>863</v>
      </c>
      <c r="P24" s="23">
        <v>0</v>
      </c>
      <c r="Q24" s="23">
        <v>0</v>
      </c>
      <c r="R24" s="23" t="s">
        <v>116</v>
      </c>
      <c r="S24" s="23" t="s">
        <v>118</v>
      </c>
      <c r="T24" s="23" t="s">
        <v>110</v>
      </c>
      <c r="U24" s="23"/>
      <c r="V24" s="23"/>
      <c r="W24" s="3">
        <v>0.85733353176383398</v>
      </c>
      <c r="X24" s="3">
        <v>0.39677987947465365</v>
      </c>
      <c r="Y24" s="3">
        <v>-7.4066380902938649</v>
      </c>
      <c r="Z24" s="3">
        <v>18.271865745395779</v>
      </c>
      <c r="AA24" s="3">
        <v>-7.4066380902938649</v>
      </c>
      <c r="AB24" s="3">
        <v>18.271865745395779</v>
      </c>
    </row>
    <row r="25" spans="1:28" x14ac:dyDescent="0.15">
      <c r="A25" s="23">
        <v>24</v>
      </c>
      <c r="B25" s="7" t="s">
        <v>62</v>
      </c>
      <c r="C25" s="23">
        <v>4699</v>
      </c>
      <c r="D25" s="23">
        <v>1085</v>
      </c>
      <c r="E25" s="23">
        <v>10901</v>
      </c>
      <c r="F25" s="23">
        <v>3355</v>
      </c>
      <c r="G25" s="23">
        <v>13</v>
      </c>
      <c r="H25" s="23">
        <v>152</v>
      </c>
      <c r="I25" s="23">
        <v>144</v>
      </c>
      <c r="J25" s="23">
        <v>393</v>
      </c>
      <c r="K25" s="23">
        <v>938</v>
      </c>
      <c r="L25" s="23">
        <f>SUM(テーブル46812[[#This Row],[Open数]:[Closed数]])</f>
        <v>1331</v>
      </c>
      <c r="M25" s="23">
        <v>206</v>
      </c>
      <c r="N25" s="23">
        <v>588</v>
      </c>
      <c r="O25" s="23">
        <f>SUM(テーブル46812[[#This Row],[Open数2]:[Closed数3]])</f>
        <v>794</v>
      </c>
      <c r="P25" s="23">
        <v>4</v>
      </c>
      <c r="Q25" s="23">
        <v>15</v>
      </c>
      <c r="R25" s="23" t="s">
        <v>118</v>
      </c>
      <c r="S25" s="23" t="s">
        <v>125</v>
      </c>
      <c r="T25" s="23" t="s">
        <v>106</v>
      </c>
      <c r="U25" s="23"/>
      <c r="V25" s="23"/>
      <c r="W25" s="3">
        <v>65535</v>
      </c>
      <c r="X25" s="3" t="e">
        <v>#NUM!</v>
      </c>
      <c r="Y25" s="3">
        <v>0</v>
      </c>
      <c r="Z25" s="3">
        <v>0</v>
      </c>
      <c r="AA25" s="3">
        <v>0</v>
      </c>
      <c r="AB25" s="3">
        <v>0</v>
      </c>
    </row>
    <row r="26" spans="1:28" x14ac:dyDescent="0.15">
      <c r="A26" s="23">
        <v>25</v>
      </c>
      <c r="B26" s="7" t="s">
        <v>63</v>
      </c>
      <c r="C26" s="23">
        <v>3196</v>
      </c>
      <c r="D26" s="23">
        <v>97</v>
      </c>
      <c r="E26" s="23">
        <v>800</v>
      </c>
      <c r="F26" s="23">
        <v>165</v>
      </c>
      <c r="G26" s="25">
        <v>1</v>
      </c>
      <c r="H26" s="23">
        <v>2</v>
      </c>
      <c r="I26" s="23">
        <v>54</v>
      </c>
      <c r="J26" s="23">
        <v>30</v>
      </c>
      <c r="K26" s="23">
        <v>432</v>
      </c>
      <c r="L26" s="23">
        <f>SUM(テーブル46812[[#This Row],[Open数]:[Closed数]])</f>
        <v>462</v>
      </c>
      <c r="M26" s="23">
        <v>4</v>
      </c>
      <c r="N26" s="23">
        <v>268</v>
      </c>
      <c r="O26" s="23">
        <f>SUM(テーブル46812[[#This Row],[Open数2]:[Closed数3]])</f>
        <v>272</v>
      </c>
      <c r="P26" s="23">
        <v>0</v>
      </c>
      <c r="Q26" s="23">
        <v>8</v>
      </c>
      <c r="R26" s="23" t="s">
        <v>114</v>
      </c>
      <c r="S26" s="23" t="s">
        <v>113</v>
      </c>
      <c r="T26" s="23" t="s">
        <v>126</v>
      </c>
      <c r="U26" s="23"/>
      <c r="V26" s="23"/>
      <c r="W26" s="3">
        <v>-1.8349335332918686</v>
      </c>
      <c r="X26" s="3" t="e">
        <v>#NUM!</v>
      </c>
      <c r="Y26" s="3">
        <v>-31.785171817666324</v>
      </c>
      <c r="Z26" s="3">
        <v>1.5744624622852772</v>
      </c>
      <c r="AA26" s="3">
        <v>-31.785171817666324</v>
      </c>
      <c r="AB26" s="3">
        <v>1.5744624622852772</v>
      </c>
    </row>
    <row r="27" spans="1:28" x14ac:dyDescent="0.15">
      <c r="A27" s="23">
        <v>26</v>
      </c>
      <c r="B27" s="7" t="s">
        <v>64</v>
      </c>
      <c r="C27" s="23">
        <v>341</v>
      </c>
      <c r="D27" s="23">
        <v>253</v>
      </c>
      <c r="E27" s="23">
        <v>2055</v>
      </c>
      <c r="F27" s="23">
        <v>1015</v>
      </c>
      <c r="G27" s="23">
        <v>5</v>
      </c>
      <c r="H27" s="23">
        <v>0</v>
      </c>
      <c r="I27" s="23">
        <v>19</v>
      </c>
      <c r="J27" s="23">
        <v>6</v>
      </c>
      <c r="K27" s="23">
        <v>2</v>
      </c>
      <c r="L27" s="23">
        <f>SUM(テーブル46812[[#This Row],[Open数]:[Closed数]])</f>
        <v>8</v>
      </c>
      <c r="M27" s="23">
        <v>17</v>
      </c>
      <c r="N27" s="23">
        <v>29</v>
      </c>
      <c r="O27" s="23">
        <f>SUM(テーブル46812[[#This Row],[Open数2]:[Closed数3]])</f>
        <v>46</v>
      </c>
      <c r="P27" s="23">
        <v>0</v>
      </c>
      <c r="Q27" s="23">
        <v>0</v>
      </c>
      <c r="R27" s="23" t="s">
        <v>109</v>
      </c>
      <c r="S27" s="23" t="s">
        <v>110</v>
      </c>
      <c r="T27" s="23" t="s">
        <v>111</v>
      </c>
      <c r="U27" s="23"/>
      <c r="V27" s="23"/>
      <c r="W27" s="3">
        <v>1.5565352732712996</v>
      </c>
      <c r="X27" s="3">
        <v>0.12809416192344569</v>
      </c>
      <c r="Y27" s="3">
        <v>-3.6202438297389374</v>
      </c>
      <c r="Z27" s="3">
        <v>27.616628178660569</v>
      </c>
      <c r="AA27" s="3">
        <v>-3.6202438297389374</v>
      </c>
      <c r="AB27" s="3">
        <v>27.616628178660569</v>
      </c>
    </row>
    <row r="28" spans="1:28" x14ac:dyDescent="0.15">
      <c r="A28" s="23">
        <v>27</v>
      </c>
      <c r="B28" s="7" t="s">
        <v>134</v>
      </c>
      <c r="C28" s="23">
        <v>1244</v>
      </c>
      <c r="D28" s="23">
        <v>422</v>
      </c>
      <c r="E28" s="23">
        <v>8467</v>
      </c>
      <c r="F28" s="23">
        <v>1337</v>
      </c>
      <c r="G28" s="23">
        <v>5</v>
      </c>
      <c r="H28" s="23">
        <v>3</v>
      </c>
      <c r="I28" s="23">
        <v>187</v>
      </c>
      <c r="J28" s="23">
        <v>34</v>
      </c>
      <c r="K28" s="23">
        <v>181</v>
      </c>
      <c r="L28" s="23">
        <f>SUM(テーブル46812[[#This Row],[Open数]:[Closed数]])</f>
        <v>215</v>
      </c>
      <c r="M28" s="23">
        <v>4</v>
      </c>
      <c r="N28" s="23">
        <v>399</v>
      </c>
      <c r="O28" s="23">
        <f>SUM(テーブル46812[[#This Row],[Open数2]:[Closed数3]])</f>
        <v>403</v>
      </c>
      <c r="P28" s="23">
        <v>2</v>
      </c>
      <c r="Q28" s="23">
        <v>9</v>
      </c>
      <c r="R28" s="23" t="s">
        <v>110</v>
      </c>
      <c r="S28" s="23" t="s">
        <v>109</v>
      </c>
      <c r="T28" s="23" t="s">
        <v>108</v>
      </c>
      <c r="U28" s="23"/>
      <c r="V28" s="23"/>
      <c r="W28" s="3">
        <v>65535</v>
      </c>
      <c r="X28" s="3" t="e">
        <v>#NUM!</v>
      </c>
      <c r="Y28" s="3">
        <v>0</v>
      </c>
      <c r="Z28" s="3">
        <v>0</v>
      </c>
      <c r="AA28" s="3">
        <v>0</v>
      </c>
      <c r="AB28" s="3">
        <v>0</v>
      </c>
    </row>
    <row r="29" spans="1:28" x14ac:dyDescent="0.15">
      <c r="A29" s="23">
        <v>28</v>
      </c>
      <c r="B29" s="7" t="s">
        <v>66</v>
      </c>
      <c r="C29" s="23">
        <v>102</v>
      </c>
      <c r="D29" s="23">
        <v>59</v>
      </c>
      <c r="E29" s="23">
        <v>2271</v>
      </c>
      <c r="F29" s="23">
        <v>233</v>
      </c>
      <c r="G29" s="25">
        <v>3</v>
      </c>
      <c r="H29" s="23">
        <v>9</v>
      </c>
      <c r="I29" s="23">
        <v>22</v>
      </c>
      <c r="J29" s="23">
        <v>15</v>
      </c>
      <c r="K29" s="23">
        <v>42</v>
      </c>
      <c r="L29" s="23">
        <f>SUM(テーブル46812[[#This Row],[Open数]:[Closed数]])</f>
        <v>57</v>
      </c>
      <c r="M29" s="23">
        <v>9</v>
      </c>
      <c r="N29" s="23">
        <v>51</v>
      </c>
      <c r="O29" s="23">
        <f>SUM(テーブル46812[[#This Row],[Open数2]:[Closed数3]])</f>
        <v>60</v>
      </c>
      <c r="P29" s="23">
        <v>0</v>
      </c>
      <c r="Q29" s="23">
        <v>0</v>
      </c>
      <c r="R29" s="23" t="s">
        <v>106</v>
      </c>
      <c r="S29" s="23" t="s">
        <v>127</v>
      </c>
      <c r="T29" s="23" t="s">
        <v>110</v>
      </c>
      <c r="U29" s="23"/>
      <c r="V29" s="23"/>
      <c r="W29" s="3">
        <v>1.9741792228626385</v>
      </c>
      <c r="X29" s="3" t="e">
        <v>#NUM!</v>
      </c>
      <c r="Y29" s="3">
        <v>-0.88153156738076888</v>
      </c>
      <c r="Z29" s="3">
        <v>67.79915865812427</v>
      </c>
      <c r="AA29" s="3">
        <v>-0.88153156738076888</v>
      </c>
      <c r="AB29" s="3">
        <v>67.79915865812427</v>
      </c>
    </row>
    <row r="30" spans="1:28" x14ac:dyDescent="0.15">
      <c r="A30" s="23">
        <v>29</v>
      </c>
      <c r="B30" s="7" t="s">
        <v>68</v>
      </c>
      <c r="C30" s="23">
        <v>3453</v>
      </c>
      <c r="D30" s="23">
        <v>71</v>
      </c>
      <c r="E30" s="23">
        <v>1680</v>
      </c>
      <c r="F30" s="23">
        <v>180</v>
      </c>
      <c r="G30" s="23">
        <v>24</v>
      </c>
      <c r="H30" s="23">
        <v>32</v>
      </c>
      <c r="I30" s="23">
        <v>24</v>
      </c>
      <c r="J30" s="23">
        <v>265</v>
      </c>
      <c r="K30" s="23">
        <v>1045</v>
      </c>
      <c r="L30" s="23">
        <f>SUM(テーブル46812[[#This Row],[Open数]:[Closed数]])</f>
        <v>1310</v>
      </c>
      <c r="M30" s="23">
        <v>16</v>
      </c>
      <c r="N30" s="23">
        <v>649</v>
      </c>
      <c r="O30" s="23">
        <f>SUM(テーブル46812[[#This Row],[Open数2]:[Closed数3]])</f>
        <v>665</v>
      </c>
      <c r="P30" s="23">
        <v>0</v>
      </c>
      <c r="Q30" s="23">
        <v>13</v>
      </c>
      <c r="R30" s="23" t="s">
        <v>128</v>
      </c>
      <c r="S30" s="23" t="s">
        <v>113</v>
      </c>
      <c r="T30" s="23" t="s">
        <v>108</v>
      </c>
      <c r="U30" s="23"/>
      <c r="V30" s="23"/>
      <c r="W30" s="3">
        <v>-1.6813186013057428</v>
      </c>
      <c r="X30" s="3">
        <v>0.1011247097484779</v>
      </c>
      <c r="Y30" s="3">
        <v>-62.817306404977501</v>
      </c>
      <c r="Z30" s="3">
        <v>5.8432858775112777</v>
      </c>
      <c r="AA30" s="3">
        <v>-62.817306404977501</v>
      </c>
      <c r="AB30" s="3">
        <v>5.8432858775112777</v>
      </c>
    </row>
    <row r="31" spans="1:28" x14ac:dyDescent="0.15">
      <c r="A31" s="23">
        <v>30</v>
      </c>
      <c r="B31" s="7" t="s">
        <v>69</v>
      </c>
      <c r="C31" s="23">
        <v>136</v>
      </c>
      <c r="D31" s="23">
        <v>56</v>
      </c>
      <c r="E31" s="23">
        <v>392</v>
      </c>
      <c r="F31" s="23">
        <v>78</v>
      </c>
      <c r="G31" s="25">
        <v>1</v>
      </c>
      <c r="H31" s="23">
        <v>21</v>
      </c>
      <c r="I31" s="23">
        <v>3</v>
      </c>
      <c r="J31" s="23">
        <v>0</v>
      </c>
      <c r="K31" s="23">
        <v>21</v>
      </c>
      <c r="L31" s="23">
        <f>SUM(テーブル46812[[#This Row],[Open数]:[Closed数]])</f>
        <v>21</v>
      </c>
      <c r="M31" s="23">
        <v>1</v>
      </c>
      <c r="N31" s="23">
        <v>8</v>
      </c>
      <c r="O31" s="23">
        <f>SUM(テーブル46812[[#This Row],[Open数2]:[Closed数3]])</f>
        <v>9</v>
      </c>
      <c r="P31" s="23">
        <v>0</v>
      </c>
      <c r="Q31" s="23">
        <v>7</v>
      </c>
      <c r="R31" s="23" t="s">
        <v>110</v>
      </c>
      <c r="S31" s="23" t="s">
        <v>109</v>
      </c>
      <c r="T31" s="23"/>
      <c r="U31" s="23"/>
      <c r="V31" s="23"/>
      <c r="W31" s="3">
        <v>-0.41526584467484534</v>
      </c>
      <c r="X31" s="3">
        <v>0.68034565725108331</v>
      </c>
      <c r="Y31" s="3">
        <v>-104.40945920189372</v>
      </c>
      <c r="Z31" s="3">
        <v>68.891603229744447</v>
      </c>
      <c r="AA31" s="3">
        <v>-104.40945920189372</v>
      </c>
      <c r="AB31" s="3">
        <v>68.891603229744447</v>
      </c>
    </row>
    <row r="32" spans="1:28" ht="15" thickBot="1" x14ac:dyDescent="0.2">
      <c r="A32" s="23">
        <v>31</v>
      </c>
      <c r="B32" s="27" t="s">
        <v>263</v>
      </c>
      <c r="C32" s="24">
        <v>12</v>
      </c>
      <c r="D32" s="24">
        <v>450</v>
      </c>
      <c r="E32" s="25">
        <v>1884</v>
      </c>
      <c r="F32" s="24">
        <v>142</v>
      </c>
      <c r="G32" s="24">
        <v>1</v>
      </c>
      <c r="H32" s="24">
        <v>0</v>
      </c>
      <c r="I32" s="24">
        <v>1</v>
      </c>
      <c r="J32" s="24">
        <v>44</v>
      </c>
      <c r="K32" s="25">
        <v>3</v>
      </c>
      <c r="L32" s="23">
        <f>SUM(テーブル46812[[#This Row],[Open数]:[Closed数]])</f>
        <v>47</v>
      </c>
      <c r="M32" s="25">
        <v>15</v>
      </c>
      <c r="N32" s="25">
        <v>3</v>
      </c>
      <c r="O32" s="23">
        <f>SUM(テーブル46812[[#This Row],[Open数2]:[Closed数3]])</f>
        <v>18</v>
      </c>
      <c r="P32" s="25">
        <v>0</v>
      </c>
      <c r="Q32" s="25">
        <v>0</v>
      </c>
      <c r="R32" s="23" t="s">
        <v>110</v>
      </c>
      <c r="S32" s="25" t="s">
        <v>113</v>
      </c>
      <c r="T32" s="25" t="s">
        <v>120</v>
      </c>
      <c r="U32" s="25"/>
      <c r="V32" s="25"/>
      <c r="W32" s="4">
        <v>-0.23765173093972677</v>
      </c>
      <c r="X32" s="4">
        <v>0.81346232588720402</v>
      </c>
      <c r="Y32" s="4">
        <v>-138.68825132796326</v>
      </c>
      <c r="Z32" s="4">
        <v>109.57007872853919</v>
      </c>
      <c r="AA32" s="4">
        <v>-138.68825132796326</v>
      </c>
      <c r="AB32" s="4">
        <v>109.57007872853919</v>
      </c>
    </row>
    <row r="33" spans="1:25" x14ac:dyDescent="0.15">
      <c r="A33" s="23">
        <v>32</v>
      </c>
      <c r="B33" s="27" t="s">
        <v>230</v>
      </c>
      <c r="C33" s="24">
        <v>569</v>
      </c>
      <c r="D33" s="24">
        <v>197</v>
      </c>
      <c r="E33" s="25">
        <v>1296</v>
      </c>
      <c r="F33" s="24">
        <v>70</v>
      </c>
      <c r="G33" s="24">
        <v>4</v>
      </c>
      <c r="H33" s="24">
        <v>0</v>
      </c>
      <c r="I33" s="24">
        <v>2</v>
      </c>
      <c r="J33" s="24">
        <v>15</v>
      </c>
      <c r="K33" s="25">
        <v>11</v>
      </c>
      <c r="L33" s="23">
        <f>SUM(テーブル46812[[#This Row],[Open数]:[Closed数]])</f>
        <v>26</v>
      </c>
      <c r="M33" s="25">
        <v>1</v>
      </c>
      <c r="N33" s="25">
        <v>1</v>
      </c>
      <c r="O33" s="23">
        <f>SUM(テーブル46812[[#This Row],[Open数2]:[Closed数3]])</f>
        <v>2</v>
      </c>
      <c r="P33" s="25">
        <v>0</v>
      </c>
      <c r="Q33" s="25">
        <v>4</v>
      </c>
      <c r="R33" s="25"/>
      <c r="S33" s="25"/>
      <c r="T33" s="25"/>
      <c r="U33" s="25"/>
      <c r="V33" s="25"/>
    </row>
    <row r="34" spans="1:25" x14ac:dyDescent="0.15">
      <c r="A34" s="23">
        <v>33</v>
      </c>
      <c r="B34" s="27" t="s">
        <v>231</v>
      </c>
      <c r="C34" s="3">
        <v>238</v>
      </c>
      <c r="D34" s="3">
        <v>160</v>
      </c>
      <c r="E34" s="25">
        <v>1122</v>
      </c>
      <c r="F34" s="3">
        <v>69</v>
      </c>
      <c r="G34" s="3">
        <v>4</v>
      </c>
      <c r="H34" s="25">
        <v>2</v>
      </c>
      <c r="I34" s="3">
        <v>6</v>
      </c>
      <c r="J34" s="3">
        <v>27</v>
      </c>
      <c r="K34" s="25">
        <v>25</v>
      </c>
      <c r="L34" s="23">
        <f>SUM(テーブル46812[[#This Row],[Open数]:[Closed数]])</f>
        <v>52</v>
      </c>
      <c r="M34" s="25">
        <v>1</v>
      </c>
      <c r="N34" s="25">
        <v>7</v>
      </c>
      <c r="O34" s="23">
        <f>SUM(テーブル46812[[#This Row],[Open数2]:[Closed数3]])</f>
        <v>8</v>
      </c>
      <c r="P34" s="25">
        <v>6</v>
      </c>
      <c r="Q34" s="25">
        <v>5</v>
      </c>
      <c r="R34" s="25" t="s">
        <v>110</v>
      </c>
      <c r="S34" s="25" t="s">
        <v>122</v>
      </c>
      <c r="T34" s="25" t="s">
        <v>109</v>
      </c>
      <c r="U34" s="25" t="s">
        <v>120</v>
      </c>
      <c r="V34" s="25"/>
    </row>
    <row r="35" spans="1:25" x14ac:dyDescent="0.15">
      <c r="A35" s="23">
        <v>34</v>
      </c>
      <c r="B35" s="27" t="s">
        <v>236</v>
      </c>
      <c r="C35" s="3">
        <v>276</v>
      </c>
      <c r="D35" s="3">
        <v>242</v>
      </c>
      <c r="E35" s="25">
        <v>2577</v>
      </c>
      <c r="F35" s="3">
        <v>191</v>
      </c>
      <c r="G35" s="3">
        <v>3</v>
      </c>
      <c r="H35" s="25">
        <v>11</v>
      </c>
      <c r="I35" s="3">
        <v>11</v>
      </c>
      <c r="J35" s="3">
        <v>62</v>
      </c>
      <c r="K35" s="25">
        <v>120</v>
      </c>
      <c r="L35" s="23">
        <f>SUM(テーブル46812[[#This Row],[Open数]:[Closed数]])</f>
        <v>182</v>
      </c>
      <c r="M35" s="25">
        <v>4</v>
      </c>
      <c r="N35" s="25">
        <v>36</v>
      </c>
      <c r="O35" s="23">
        <f>SUM(テーブル46812[[#This Row],[Open数2]:[Closed数3]])</f>
        <v>40</v>
      </c>
      <c r="P35" s="25">
        <v>17</v>
      </c>
      <c r="Q35" s="25">
        <v>9</v>
      </c>
      <c r="R35" s="25" t="s">
        <v>110</v>
      </c>
      <c r="S35" s="25" t="s">
        <v>237</v>
      </c>
      <c r="T35" s="25"/>
      <c r="U35" s="25"/>
      <c r="V35" s="25"/>
    </row>
    <row r="36" spans="1:25" x14ac:dyDescent="0.15">
      <c r="A36" s="23">
        <v>35</v>
      </c>
      <c r="B36" s="27" t="s">
        <v>264</v>
      </c>
      <c r="C36" s="25">
        <v>434</v>
      </c>
      <c r="D36" s="25">
        <v>121</v>
      </c>
      <c r="E36" s="25">
        <v>457</v>
      </c>
      <c r="F36" s="25">
        <v>45</v>
      </c>
      <c r="G36" s="25">
        <v>25</v>
      </c>
      <c r="H36" s="25">
        <v>16</v>
      </c>
      <c r="I36" s="25">
        <v>7</v>
      </c>
      <c r="J36" s="25">
        <v>13</v>
      </c>
      <c r="K36" s="25">
        <v>109</v>
      </c>
      <c r="L36" s="23">
        <f>SUM(テーブル46812[[#This Row],[Open数]:[Closed数]])</f>
        <v>122</v>
      </c>
      <c r="M36" s="25">
        <v>0</v>
      </c>
      <c r="N36" s="25">
        <v>23</v>
      </c>
      <c r="O36" s="23">
        <f>SUM(テーブル46812[[#This Row],[Open数2]:[Closed数3]])</f>
        <v>23</v>
      </c>
      <c r="P36" s="25">
        <v>15</v>
      </c>
      <c r="Q36" s="25">
        <v>2</v>
      </c>
      <c r="R36" s="25" t="s">
        <v>110</v>
      </c>
      <c r="S36" s="25"/>
      <c r="T36" s="25"/>
      <c r="U36" s="25"/>
      <c r="V36" s="25"/>
    </row>
    <row r="37" spans="1:25" x14ac:dyDescent="0.15">
      <c r="A37" s="23">
        <v>36</v>
      </c>
      <c r="B37" s="27" t="s">
        <v>238</v>
      </c>
      <c r="C37" s="25">
        <v>3385</v>
      </c>
      <c r="D37" s="24">
        <v>1631</v>
      </c>
      <c r="E37" s="25">
        <v>8991</v>
      </c>
      <c r="F37" s="25">
        <v>526</v>
      </c>
      <c r="G37" s="25">
        <v>14</v>
      </c>
      <c r="H37" s="25">
        <v>22</v>
      </c>
      <c r="I37" s="25">
        <v>169</v>
      </c>
      <c r="J37" s="25">
        <v>159</v>
      </c>
      <c r="K37" s="25">
        <v>1767</v>
      </c>
      <c r="L37" s="23">
        <f>SUM(テーブル46812[[#This Row],[Open数]:[Closed数]])</f>
        <v>1926</v>
      </c>
      <c r="M37" s="25">
        <v>32</v>
      </c>
      <c r="N37" s="25">
        <v>1055</v>
      </c>
      <c r="O37" s="23">
        <f>SUM(テーブル46812[[#This Row],[Open数2]:[Closed数3]])</f>
        <v>1087</v>
      </c>
      <c r="P37" s="25">
        <v>0</v>
      </c>
      <c r="Q37" s="25">
        <v>20</v>
      </c>
      <c r="R37" s="25" t="s">
        <v>110</v>
      </c>
      <c r="S37" s="25" t="s">
        <v>109</v>
      </c>
      <c r="T37" s="25" t="s">
        <v>120</v>
      </c>
      <c r="U37" s="25"/>
      <c r="V37" s="25"/>
    </row>
    <row r="38" spans="1:25" x14ac:dyDescent="0.15">
      <c r="A38" s="23">
        <v>37</v>
      </c>
      <c r="B38" s="27" t="s">
        <v>239</v>
      </c>
      <c r="C38" s="3">
        <v>13121</v>
      </c>
      <c r="D38" s="3">
        <v>973</v>
      </c>
      <c r="E38" s="3">
        <v>2028</v>
      </c>
      <c r="F38" s="3">
        <v>217</v>
      </c>
      <c r="G38" s="3">
        <v>3</v>
      </c>
      <c r="H38" s="3">
        <v>41</v>
      </c>
      <c r="I38" s="3">
        <v>272</v>
      </c>
      <c r="J38" s="3">
        <v>341</v>
      </c>
      <c r="K38" s="3">
        <v>1243</v>
      </c>
      <c r="L38" s="23">
        <f>SUM(テーブル46812[[#This Row],[Open数]:[Closed数]])</f>
        <v>1584</v>
      </c>
      <c r="M38" s="3">
        <v>81</v>
      </c>
      <c r="N38" s="3">
        <v>2118</v>
      </c>
      <c r="O38" s="23">
        <f>SUM(テーブル46812[[#This Row],[Open数2]:[Closed数3]])</f>
        <v>2199</v>
      </c>
      <c r="P38" s="25">
        <v>25</v>
      </c>
      <c r="Q38" s="25">
        <v>37</v>
      </c>
      <c r="R38" s="3" t="s">
        <v>113</v>
      </c>
      <c r="S38" s="3" t="s">
        <v>116</v>
      </c>
      <c r="T38" s="3" t="s">
        <v>118</v>
      </c>
      <c r="U38" s="25" t="s">
        <v>128</v>
      </c>
      <c r="V38" s="25" t="s">
        <v>108</v>
      </c>
    </row>
    <row r="39" spans="1:25" x14ac:dyDescent="0.15">
      <c r="A39" s="23">
        <v>38</v>
      </c>
      <c r="B39" s="27" t="s">
        <v>265</v>
      </c>
      <c r="C39" s="3">
        <v>642</v>
      </c>
      <c r="D39" s="3">
        <v>161</v>
      </c>
      <c r="E39" s="3">
        <v>835</v>
      </c>
      <c r="F39" s="3">
        <v>88</v>
      </c>
      <c r="G39" s="3">
        <v>5</v>
      </c>
      <c r="H39" s="3">
        <v>0</v>
      </c>
      <c r="I39" s="3">
        <v>26</v>
      </c>
      <c r="J39" s="3">
        <v>42</v>
      </c>
      <c r="K39" s="3">
        <v>79</v>
      </c>
      <c r="L39" s="23">
        <f>SUM(テーブル46812[[#This Row],[Open数]:[Closed数]])</f>
        <v>121</v>
      </c>
      <c r="M39" s="3">
        <v>6</v>
      </c>
      <c r="N39" s="3">
        <v>42</v>
      </c>
      <c r="O39" s="23">
        <f>SUM(テーブル46812[[#This Row],[Open数2]:[Closed数3]])</f>
        <v>48</v>
      </c>
      <c r="P39" s="25">
        <v>0</v>
      </c>
      <c r="Q39" s="25">
        <v>4</v>
      </c>
      <c r="R39" s="3" t="s">
        <v>113</v>
      </c>
      <c r="S39" s="3" t="s">
        <v>109</v>
      </c>
      <c r="T39" s="3" t="s">
        <v>110</v>
      </c>
      <c r="U39" s="25" t="s">
        <v>127</v>
      </c>
      <c r="V39" s="25"/>
    </row>
    <row r="40" spans="1:25" x14ac:dyDescent="0.15">
      <c r="A40" s="23">
        <v>39</v>
      </c>
      <c r="B40" s="27" t="s">
        <v>246</v>
      </c>
      <c r="C40" s="25">
        <v>1492</v>
      </c>
      <c r="D40" s="25">
        <v>753</v>
      </c>
      <c r="E40" s="25">
        <v>3396</v>
      </c>
      <c r="F40" s="25">
        <v>227</v>
      </c>
      <c r="G40" s="25">
        <v>5</v>
      </c>
      <c r="H40" s="25">
        <v>23</v>
      </c>
      <c r="I40" s="25">
        <v>54</v>
      </c>
      <c r="J40" s="25">
        <v>167</v>
      </c>
      <c r="K40" s="25">
        <v>375</v>
      </c>
      <c r="L40" s="23">
        <f>SUM(テーブル46812[[#This Row],[Open数]:[Closed数]])</f>
        <v>542</v>
      </c>
      <c r="M40" s="25">
        <v>27</v>
      </c>
      <c r="N40" s="25">
        <v>189</v>
      </c>
      <c r="O40" s="23">
        <f>SUM(テーブル46812[[#This Row],[Open数2]:[Closed数3]])</f>
        <v>216</v>
      </c>
      <c r="P40" s="25">
        <v>6</v>
      </c>
      <c r="Q40" s="25">
        <v>9</v>
      </c>
      <c r="R40" s="25" t="s">
        <v>110</v>
      </c>
      <c r="S40" s="25" t="s">
        <v>109</v>
      </c>
      <c r="T40" s="25" t="s">
        <v>108</v>
      </c>
      <c r="U40" s="25"/>
      <c r="V40" s="25"/>
    </row>
    <row r="41" spans="1:25" x14ac:dyDescent="0.15">
      <c r="A41" s="23">
        <v>40</v>
      </c>
      <c r="B41" s="27" t="s">
        <v>247</v>
      </c>
      <c r="C41" s="25">
        <v>97</v>
      </c>
      <c r="D41" s="25">
        <v>3543</v>
      </c>
      <c r="E41" s="25">
        <v>12035</v>
      </c>
      <c r="F41" s="25">
        <v>656</v>
      </c>
      <c r="G41" s="25">
        <v>4</v>
      </c>
      <c r="H41" s="25">
        <v>6</v>
      </c>
      <c r="I41" s="25">
        <v>14</v>
      </c>
      <c r="J41" s="25">
        <v>289</v>
      </c>
      <c r="K41" s="25">
        <v>289</v>
      </c>
      <c r="L41" s="23">
        <f>SUM(テーブル46812[[#This Row],[Open数]:[Closed数]])</f>
        <v>578</v>
      </c>
      <c r="M41" s="25">
        <v>93</v>
      </c>
      <c r="N41" s="25">
        <v>80</v>
      </c>
      <c r="O41" s="23">
        <f>SUM(テーブル46812[[#This Row],[Open数2]:[Closed数3]])</f>
        <v>173</v>
      </c>
      <c r="P41" s="25">
        <v>0</v>
      </c>
      <c r="Q41" s="25">
        <v>11</v>
      </c>
      <c r="R41" s="25" t="s">
        <v>110</v>
      </c>
      <c r="S41" s="25"/>
      <c r="T41" s="25"/>
      <c r="U41" s="25"/>
      <c r="V41" s="25"/>
    </row>
    <row r="42" spans="1:25" x14ac:dyDescent="0.15">
      <c r="A42" s="23">
        <v>41</v>
      </c>
      <c r="B42" s="27" t="s">
        <v>248</v>
      </c>
      <c r="C42" s="25">
        <v>384</v>
      </c>
      <c r="D42" s="25">
        <v>150</v>
      </c>
      <c r="E42" s="25">
        <v>3591</v>
      </c>
      <c r="F42" s="25">
        <v>160</v>
      </c>
      <c r="G42" s="25">
        <v>2</v>
      </c>
      <c r="H42" s="25">
        <v>14</v>
      </c>
      <c r="I42" s="25">
        <v>7</v>
      </c>
      <c r="J42" s="25">
        <v>34</v>
      </c>
      <c r="K42" s="25">
        <v>59</v>
      </c>
      <c r="L42" s="23">
        <f>SUM(テーブル46812[[#This Row],[Open数]:[Closed数]])</f>
        <v>93</v>
      </c>
      <c r="M42" s="25">
        <v>0</v>
      </c>
      <c r="N42" s="25">
        <v>48</v>
      </c>
      <c r="O42" s="23">
        <f>SUM(テーブル46812[[#This Row],[Open数2]:[Closed数3]])</f>
        <v>48</v>
      </c>
      <c r="P42" s="25">
        <v>0</v>
      </c>
      <c r="Q42" s="25">
        <v>10</v>
      </c>
      <c r="R42" s="25" t="s">
        <v>122</v>
      </c>
      <c r="S42" s="25" t="s">
        <v>109</v>
      </c>
      <c r="T42" s="25" t="s">
        <v>110</v>
      </c>
      <c r="U42" s="25"/>
      <c r="V42" s="25"/>
    </row>
    <row r="43" spans="1:25" x14ac:dyDescent="0.15">
      <c r="A43" s="23">
        <v>42</v>
      </c>
      <c r="B43" s="27" t="s">
        <v>249</v>
      </c>
      <c r="C43" s="25">
        <v>218</v>
      </c>
      <c r="D43" s="25">
        <v>366</v>
      </c>
      <c r="E43" s="25">
        <v>2328</v>
      </c>
      <c r="F43" s="25">
        <v>185</v>
      </c>
      <c r="G43" s="25">
        <v>5</v>
      </c>
      <c r="H43" s="25">
        <v>5</v>
      </c>
      <c r="I43" s="25">
        <v>9</v>
      </c>
      <c r="J43" s="25">
        <v>15</v>
      </c>
      <c r="K43" s="25">
        <v>52</v>
      </c>
      <c r="L43" s="23">
        <f>SUM(テーブル46812[[#This Row],[Open数]:[Closed数]])</f>
        <v>67</v>
      </c>
      <c r="M43" s="25">
        <v>4</v>
      </c>
      <c r="N43" s="25">
        <v>9</v>
      </c>
      <c r="O43" s="23">
        <f>SUM(テーブル46812[[#This Row],[Open数2]:[Closed数3]])</f>
        <v>13</v>
      </c>
      <c r="P43" s="25">
        <v>13</v>
      </c>
      <c r="Q43" s="25">
        <v>10</v>
      </c>
      <c r="R43" s="25" t="s">
        <v>110</v>
      </c>
      <c r="S43" s="25" t="s">
        <v>109</v>
      </c>
      <c r="T43" s="25"/>
      <c r="U43" s="25"/>
      <c r="V43" s="25"/>
    </row>
    <row r="44" spans="1:25" x14ac:dyDescent="0.15">
      <c r="A44" s="23">
        <v>43</v>
      </c>
      <c r="B44" s="27" t="s">
        <v>266</v>
      </c>
      <c r="C44" s="25">
        <v>365</v>
      </c>
      <c r="D44" s="25">
        <v>232</v>
      </c>
      <c r="E44" s="25">
        <v>4336</v>
      </c>
      <c r="F44" s="25">
        <v>162</v>
      </c>
      <c r="G44" s="25">
        <v>4</v>
      </c>
      <c r="H44" s="25">
        <v>26</v>
      </c>
      <c r="I44" s="25">
        <v>14</v>
      </c>
      <c r="J44" s="25">
        <v>16</v>
      </c>
      <c r="K44" s="25">
        <v>41</v>
      </c>
      <c r="L44" s="23">
        <f>SUM(テーブル46812[[#This Row],[Open数]:[Closed数]])</f>
        <v>57</v>
      </c>
      <c r="M44" s="25">
        <v>1</v>
      </c>
      <c r="N44" s="25">
        <v>23</v>
      </c>
      <c r="O44" s="23">
        <f>SUM(テーブル46812[[#This Row],[Open数2]:[Closed数3]])</f>
        <v>24</v>
      </c>
      <c r="P44" s="25">
        <v>0</v>
      </c>
      <c r="Q44" s="25">
        <v>6</v>
      </c>
      <c r="R44" s="25" t="s">
        <v>110</v>
      </c>
      <c r="S44" s="25" t="s">
        <v>109</v>
      </c>
      <c r="T44" s="25"/>
      <c r="U44" s="25"/>
      <c r="V44" s="25"/>
    </row>
    <row r="45" spans="1:25" ht="15" thickBot="1" x14ac:dyDescent="0.2">
      <c r="A45" s="23">
        <v>44</v>
      </c>
      <c r="B45" s="27" t="s">
        <v>250</v>
      </c>
      <c r="C45" s="25">
        <v>1184</v>
      </c>
      <c r="D45" s="25">
        <v>1325</v>
      </c>
      <c r="E45" s="25">
        <v>3043</v>
      </c>
      <c r="F45" s="25">
        <v>460</v>
      </c>
      <c r="G45" s="25">
        <v>3</v>
      </c>
      <c r="H45" s="25">
        <v>19</v>
      </c>
      <c r="I45" s="25">
        <v>13</v>
      </c>
      <c r="J45" s="25">
        <v>61</v>
      </c>
      <c r="K45" s="25">
        <v>757</v>
      </c>
      <c r="L45" s="23">
        <f>SUM(テーブル46812[[#This Row],[Open数]:[Closed数]])</f>
        <v>818</v>
      </c>
      <c r="M45" s="25">
        <v>1</v>
      </c>
      <c r="N45" s="25">
        <v>59</v>
      </c>
      <c r="O45" s="23">
        <f>SUM(テーブル46812[[#This Row],[Open数2]:[Closed数3]])</f>
        <v>60</v>
      </c>
      <c r="P45" s="25">
        <v>5</v>
      </c>
      <c r="Q45" s="25">
        <v>24</v>
      </c>
      <c r="R45" s="25" t="s">
        <v>110</v>
      </c>
      <c r="S45" s="25" t="s">
        <v>109</v>
      </c>
      <c r="T45" s="25"/>
      <c r="U45" s="25"/>
      <c r="V45" s="25"/>
    </row>
    <row r="46" spans="1:25" x14ac:dyDescent="0.15">
      <c r="A46" s="23">
        <v>45</v>
      </c>
      <c r="B46" s="27" t="s">
        <v>251</v>
      </c>
      <c r="C46" s="25">
        <v>2951</v>
      </c>
      <c r="D46" s="25">
        <v>985</v>
      </c>
      <c r="E46" s="25">
        <v>2399</v>
      </c>
      <c r="F46" s="25">
        <v>44</v>
      </c>
      <c r="G46" s="25">
        <v>21</v>
      </c>
      <c r="H46" s="25">
        <v>47</v>
      </c>
      <c r="I46" s="25">
        <v>415</v>
      </c>
      <c r="J46" s="25">
        <v>53</v>
      </c>
      <c r="K46" s="25">
        <v>517</v>
      </c>
      <c r="L46" s="23">
        <f>SUM(テーブル46812[[#This Row],[Open数]:[Closed数]])</f>
        <v>570</v>
      </c>
      <c r="M46" s="25">
        <v>40</v>
      </c>
      <c r="N46" s="25">
        <v>1077</v>
      </c>
      <c r="O46" s="23">
        <f>SUM(テーブル46812[[#This Row],[Open数2]:[Closed数3]])</f>
        <v>1117</v>
      </c>
      <c r="P46" s="25">
        <v>0</v>
      </c>
      <c r="Q46" s="25">
        <v>13</v>
      </c>
      <c r="R46" s="25" t="s">
        <v>106</v>
      </c>
      <c r="S46" s="25" t="s">
        <v>120</v>
      </c>
      <c r="T46" s="25"/>
      <c r="U46" s="25"/>
      <c r="V46" s="25"/>
      <c r="W46" s="12" t="s">
        <v>79</v>
      </c>
      <c r="X46" s="12" t="s">
        <v>211</v>
      </c>
      <c r="Y46" s="12" t="s">
        <v>212</v>
      </c>
    </row>
    <row r="47" spans="1:25" x14ac:dyDescent="0.15">
      <c r="A47" s="23">
        <v>46</v>
      </c>
      <c r="B47" s="27" t="s">
        <v>253</v>
      </c>
      <c r="C47" s="25">
        <v>394</v>
      </c>
      <c r="D47" s="25">
        <v>1136</v>
      </c>
      <c r="E47" s="25">
        <v>10175</v>
      </c>
      <c r="F47" s="25">
        <v>438</v>
      </c>
      <c r="G47" s="25">
        <v>3</v>
      </c>
      <c r="H47" s="25">
        <v>21</v>
      </c>
      <c r="I47" s="25">
        <v>53</v>
      </c>
      <c r="J47" s="25">
        <v>26</v>
      </c>
      <c r="K47" s="25">
        <v>220</v>
      </c>
      <c r="L47" s="23">
        <f>SUM(テーブル46812[[#This Row],[Open数]:[Closed数]])</f>
        <v>246</v>
      </c>
      <c r="M47" s="25">
        <v>28</v>
      </c>
      <c r="N47" s="25">
        <v>181</v>
      </c>
      <c r="O47" s="23">
        <f>SUM(テーブル46812[[#This Row],[Open数2]:[Closed数3]])</f>
        <v>209</v>
      </c>
      <c r="P47" s="25">
        <v>0</v>
      </c>
      <c r="Q47" s="25">
        <v>3</v>
      </c>
      <c r="R47" s="25" t="s">
        <v>110</v>
      </c>
      <c r="S47" s="25" t="s">
        <v>109</v>
      </c>
      <c r="T47" s="25" t="s">
        <v>108</v>
      </c>
      <c r="U47" s="25"/>
      <c r="V47" s="25"/>
      <c r="W47" s="3">
        <v>1772401871.0278997</v>
      </c>
      <c r="X47" s="3">
        <v>275.03729476332234</v>
      </c>
      <c r="Y47" s="3">
        <v>2.4204824303707005E-32</v>
      </c>
    </row>
    <row r="48" spans="1:25" x14ac:dyDescent="0.15">
      <c r="A48" s="23">
        <v>47</v>
      </c>
      <c r="B48" s="27" t="s">
        <v>254</v>
      </c>
      <c r="C48" s="25">
        <v>3279</v>
      </c>
      <c r="D48" s="25">
        <v>7535</v>
      </c>
      <c r="E48" s="25">
        <v>31413</v>
      </c>
      <c r="F48" s="25">
        <v>714</v>
      </c>
      <c r="G48" s="25">
        <v>35</v>
      </c>
      <c r="H48" s="25">
        <v>175</v>
      </c>
      <c r="I48" s="25">
        <v>81</v>
      </c>
      <c r="J48" s="25">
        <v>147</v>
      </c>
      <c r="K48" s="25">
        <v>1078</v>
      </c>
      <c r="L48" s="23">
        <f>SUM(テーブル46812[[#This Row],[Open数]:[Closed数]])</f>
        <v>1225</v>
      </c>
      <c r="M48" s="25">
        <v>66</v>
      </c>
      <c r="N48" s="25">
        <v>813</v>
      </c>
      <c r="O48" s="23">
        <f>SUM(テーブル46812[[#This Row],[Open数2]:[Closed数3]])</f>
        <v>879</v>
      </c>
      <c r="P48" s="25">
        <v>67</v>
      </c>
      <c r="Q48" s="25">
        <v>12</v>
      </c>
      <c r="R48" s="25" t="s">
        <v>110</v>
      </c>
      <c r="S48" s="25" t="s">
        <v>109</v>
      </c>
      <c r="T48" s="25"/>
      <c r="U48" s="25"/>
      <c r="V48" s="25"/>
      <c r="W48" s="3">
        <v>6444223.7644647555</v>
      </c>
      <c r="X48" s="3"/>
      <c r="Y48" s="3"/>
    </row>
    <row r="49" spans="1:28" ht="15" thickBot="1" x14ac:dyDescent="0.2">
      <c r="A49" s="23">
        <v>48</v>
      </c>
      <c r="B49" s="27" t="s">
        <v>255</v>
      </c>
      <c r="C49" s="25">
        <v>269</v>
      </c>
      <c r="D49" s="25">
        <v>226</v>
      </c>
      <c r="E49" s="25">
        <v>2672</v>
      </c>
      <c r="F49" s="25">
        <v>94</v>
      </c>
      <c r="G49" s="25">
        <v>4</v>
      </c>
      <c r="H49" s="25">
        <v>27</v>
      </c>
      <c r="I49" s="25">
        <v>6</v>
      </c>
      <c r="J49" s="25">
        <v>1</v>
      </c>
      <c r="K49" s="25">
        <v>27</v>
      </c>
      <c r="L49" s="23">
        <f>SUM(テーブル46812[[#This Row],[Open数]:[Closed数]])</f>
        <v>28</v>
      </c>
      <c r="M49" s="25">
        <v>1</v>
      </c>
      <c r="N49" s="25">
        <v>19</v>
      </c>
      <c r="O49" s="23">
        <f>SUM(テーブル46812[[#This Row],[Open数2]:[Closed数3]])</f>
        <v>20</v>
      </c>
      <c r="P49" s="25">
        <v>0</v>
      </c>
      <c r="Q49" s="25">
        <v>0</v>
      </c>
      <c r="R49" s="25" t="s">
        <v>110</v>
      </c>
      <c r="S49" s="25" t="s">
        <v>109</v>
      </c>
      <c r="T49" s="25" t="s">
        <v>106</v>
      </c>
      <c r="U49" s="25"/>
      <c r="V49" s="25"/>
      <c r="W49" s="4"/>
      <c r="X49" s="4"/>
      <c r="Y49" s="4"/>
    </row>
    <row r="50" spans="1:28" ht="15" thickBot="1" x14ac:dyDescent="0.2">
      <c r="A50" s="23">
        <v>49</v>
      </c>
      <c r="B50" s="27" t="s">
        <v>256</v>
      </c>
      <c r="C50" s="25">
        <v>1299</v>
      </c>
      <c r="D50" s="25">
        <v>246</v>
      </c>
      <c r="E50" s="25">
        <v>1464</v>
      </c>
      <c r="F50" s="25">
        <v>110</v>
      </c>
      <c r="G50" s="25">
        <v>17</v>
      </c>
      <c r="H50" s="25">
        <v>6</v>
      </c>
      <c r="I50" s="25">
        <v>41</v>
      </c>
      <c r="J50" s="25">
        <v>40</v>
      </c>
      <c r="K50" s="25">
        <v>302</v>
      </c>
      <c r="L50" s="23">
        <f>SUM(テーブル46812[[#This Row],[Open数]:[Closed数]])</f>
        <v>342</v>
      </c>
      <c r="M50" s="25">
        <v>1</v>
      </c>
      <c r="N50" s="25">
        <v>111</v>
      </c>
      <c r="O50" s="23">
        <f>SUM(テーブル46812[[#This Row],[Open数2]:[Closed数3]])</f>
        <v>112</v>
      </c>
      <c r="P50" s="25">
        <v>2</v>
      </c>
      <c r="Q50" s="25">
        <v>10</v>
      </c>
      <c r="R50" s="25" t="s">
        <v>110</v>
      </c>
      <c r="S50" s="25" t="s">
        <v>109</v>
      </c>
      <c r="T50" s="25" t="s">
        <v>113</v>
      </c>
      <c r="U50" s="25"/>
      <c r="V50" s="25"/>
    </row>
    <row r="51" spans="1:28" x14ac:dyDescent="0.15">
      <c r="A51" s="23">
        <v>50</v>
      </c>
      <c r="B51" s="27" t="s">
        <v>257</v>
      </c>
      <c r="C51" s="25">
        <v>613</v>
      </c>
      <c r="D51" s="25">
        <v>574</v>
      </c>
      <c r="E51" s="25">
        <v>4122</v>
      </c>
      <c r="F51" s="25">
        <v>227</v>
      </c>
      <c r="G51" s="25">
        <v>8</v>
      </c>
      <c r="H51" s="25">
        <v>4</v>
      </c>
      <c r="I51" s="25">
        <v>32</v>
      </c>
      <c r="J51" s="25">
        <v>104</v>
      </c>
      <c r="K51" s="25">
        <v>226</v>
      </c>
      <c r="L51" s="23">
        <f>SUM(テーブル46812[[#This Row],[Open数]:[Closed数]])</f>
        <v>330</v>
      </c>
      <c r="M51" s="25">
        <v>8</v>
      </c>
      <c r="N51" s="25">
        <v>97</v>
      </c>
      <c r="O51" s="23">
        <f>SUM(テーブル46812[[#This Row],[Open数2]:[Closed数3]])</f>
        <v>105</v>
      </c>
      <c r="P51" s="25">
        <v>5</v>
      </c>
      <c r="Q51" s="25">
        <v>11</v>
      </c>
      <c r="R51" s="25" t="s">
        <v>110</v>
      </c>
      <c r="S51" s="25" t="s">
        <v>109</v>
      </c>
      <c r="T51" s="25"/>
      <c r="U51" s="25"/>
      <c r="V51" s="25"/>
      <c r="W51" s="12" t="s">
        <v>214</v>
      </c>
      <c r="X51" s="12" t="s">
        <v>215</v>
      </c>
      <c r="Y51" s="12" t="s">
        <v>216</v>
      </c>
      <c r="Z51" s="12" t="s">
        <v>217</v>
      </c>
      <c r="AA51" s="12" t="s">
        <v>218</v>
      </c>
      <c r="AB51" s="12" t="s">
        <v>219</v>
      </c>
    </row>
    <row r="52" spans="1:28" x14ac:dyDescent="0.15">
      <c r="T52" s="3" t="s">
        <v>208</v>
      </c>
      <c r="U52" s="3">
        <v>703.60046569103201</v>
      </c>
      <c r="V52" s="3">
        <v>661.29953089623564</v>
      </c>
      <c r="W52" s="3">
        <v>1.0639663765335921</v>
      </c>
      <c r="X52" s="3">
        <v>0.2942386335162972</v>
      </c>
      <c r="Y52" s="3">
        <v>-636.31965961560741</v>
      </c>
      <c r="Z52" s="3">
        <v>2043.5205909976714</v>
      </c>
      <c r="AA52" s="3">
        <v>-636.31965961560741</v>
      </c>
      <c r="AB52" s="3">
        <v>2043.5205909976714</v>
      </c>
    </row>
    <row r="53" spans="1:28" x14ac:dyDescent="0.15">
      <c r="T53" s="3" t="s">
        <v>168</v>
      </c>
      <c r="U53" s="3">
        <v>0.19385741124636724</v>
      </c>
      <c r="V53" s="3">
        <v>0.8259454646666784</v>
      </c>
      <c r="W53" s="3">
        <v>0.23470969881116915</v>
      </c>
      <c r="X53" s="3">
        <v>0.81572813067708738</v>
      </c>
      <c r="Y53" s="3">
        <v>-1.4796670641343335</v>
      </c>
      <c r="Z53" s="3">
        <v>1.8673818866270682</v>
      </c>
      <c r="AA53" s="3">
        <v>-1.4796670641343335</v>
      </c>
      <c r="AB53" s="3">
        <v>1.8673818866270682</v>
      </c>
    </row>
    <row r="54" spans="1:28" x14ac:dyDescent="0.15">
      <c r="A54" t="s">
        <v>199</v>
      </c>
      <c r="T54" s="3" t="s">
        <v>220</v>
      </c>
      <c r="U54" s="3">
        <v>-0.13049993231578555</v>
      </c>
      <c r="V54" s="3">
        <v>0.19830848271268711</v>
      </c>
      <c r="W54" s="3">
        <v>-0.65806530578349587</v>
      </c>
      <c r="X54" s="3">
        <v>0.5145700380074878</v>
      </c>
      <c r="Y54" s="3">
        <v>-0.53231108534297089</v>
      </c>
      <c r="Z54" s="3">
        <v>0.27131122071139985</v>
      </c>
      <c r="AA54" s="3">
        <v>-0.53231108534297089</v>
      </c>
      <c r="AB54" s="3">
        <v>0.27131122071139985</v>
      </c>
    </row>
    <row r="55" spans="1:28" ht="15" thickBot="1" x14ac:dyDescent="0.2">
      <c r="T55" s="3" t="s">
        <v>221</v>
      </c>
      <c r="U55" s="3">
        <v>0.12319002248322503</v>
      </c>
      <c r="V55" s="3">
        <v>0.27230269805629637</v>
      </c>
      <c r="W55" s="3">
        <v>0.45240103518091651</v>
      </c>
      <c r="X55" s="3">
        <v>0.65362153002038115</v>
      </c>
      <c r="Y55" s="3">
        <v>-0.42854765198093442</v>
      </c>
      <c r="Z55" s="3">
        <v>0.67492769694738453</v>
      </c>
      <c r="AA55" s="3">
        <v>-0.42854765198093442</v>
      </c>
      <c r="AB55" s="3">
        <v>0.67492769694738453</v>
      </c>
    </row>
    <row r="56" spans="1:28" x14ac:dyDescent="0.15">
      <c r="A56" s="5" t="s">
        <v>200</v>
      </c>
      <c r="B56" s="5"/>
      <c r="T56" s="3" t="s">
        <v>225</v>
      </c>
      <c r="U56" s="3">
        <v>-44.945797946485804</v>
      </c>
      <c r="V56" s="3">
        <v>16.089298159312943</v>
      </c>
      <c r="W56" s="3">
        <v>-2.7935213519845115</v>
      </c>
      <c r="X56" s="3">
        <v>8.2088374697855074E-3</v>
      </c>
      <c r="Y56" s="3">
        <v>-77.545812612313838</v>
      </c>
      <c r="Z56" s="3">
        <v>-12.34578328065777</v>
      </c>
      <c r="AA56" s="3">
        <v>-77.545812612313838</v>
      </c>
      <c r="AB56" s="3">
        <v>-12.34578328065777</v>
      </c>
    </row>
    <row r="57" spans="1:28" x14ac:dyDescent="0.15">
      <c r="A57" s="3" t="s">
        <v>201</v>
      </c>
      <c r="B57" s="3">
        <v>0.99396233066959172</v>
      </c>
      <c r="T57" s="3" t="s">
        <v>222</v>
      </c>
      <c r="U57" s="3">
        <v>43.959931722965635</v>
      </c>
      <c r="V57" s="3">
        <v>2.9299322794855751</v>
      </c>
      <c r="W57" s="3">
        <v>15.00373644495426</v>
      </c>
      <c r="X57" s="3">
        <v>2.6052994606400039E-17</v>
      </c>
      <c r="Y57" s="3">
        <v>38.023325021086258</v>
      </c>
      <c r="Z57" s="3">
        <v>49.896538424845012</v>
      </c>
      <c r="AA57" s="3">
        <v>38.023325021086258</v>
      </c>
      <c r="AB57" s="3">
        <v>49.896538424845012</v>
      </c>
    </row>
    <row r="58" spans="1:28" x14ac:dyDescent="0.15">
      <c r="A58" s="3" t="s">
        <v>202</v>
      </c>
      <c r="B58" s="3">
        <v>0.98796111479012683</v>
      </c>
      <c r="T58" s="3" t="s">
        <v>223</v>
      </c>
      <c r="U58" s="3">
        <v>5.4326138275509566</v>
      </c>
      <c r="V58" s="3">
        <v>6.3366398563394295</v>
      </c>
      <c r="W58" s="3">
        <v>0.85733353176383398</v>
      </c>
      <c r="X58" s="3">
        <v>0.39677987947465365</v>
      </c>
      <c r="Y58" s="3">
        <v>-7.4066380902938649</v>
      </c>
      <c r="Z58" s="3">
        <v>18.271865745395779</v>
      </c>
      <c r="AA58" s="3">
        <v>-7.4066380902938649</v>
      </c>
      <c r="AB58" s="3">
        <v>18.271865745395779</v>
      </c>
    </row>
    <row r="59" spans="1:28" x14ac:dyDescent="0.15">
      <c r="A59" s="3" t="s">
        <v>203</v>
      </c>
      <c r="B59" s="3">
        <v>0.98487422114656964</v>
      </c>
      <c r="T59" s="3" t="s">
        <v>278</v>
      </c>
      <c r="U59" s="3">
        <v>-15.105354677690523</v>
      </c>
      <c r="V59" s="3">
        <v>8.232099094396915</v>
      </c>
      <c r="W59" s="3">
        <v>-1.8349335332918686</v>
      </c>
      <c r="X59" s="3">
        <v>7.4565092783959813E-2</v>
      </c>
      <c r="Y59" s="3">
        <v>-31.785171817666324</v>
      </c>
      <c r="Z59" s="3">
        <v>1.5744624622852772</v>
      </c>
      <c r="AA59" s="3">
        <v>-31.785171817666324</v>
      </c>
      <c r="AB59" s="3">
        <v>1.5744624622852772</v>
      </c>
    </row>
    <row r="60" spans="1:28" x14ac:dyDescent="0.15">
      <c r="A60" s="3" t="s">
        <v>75</v>
      </c>
      <c r="B60" s="3">
        <v>2576.6377368380363</v>
      </c>
      <c r="T60" s="3" t="s">
        <v>224</v>
      </c>
      <c r="U60" s="3">
        <v>11.998192174460815</v>
      </c>
      <c r="V60" s="3">
        <v>7.7082687302323443</v>
      </c>
      <c r="W60" s="3">
        <v>1.5565352732712996</v>
      </c>
      <c r="X60" s="3">
        <v>0.12809416192344569</v>
      </c>
      <c r="Y60" s="3">
        <v>-3.6202438297389374</v>
      </c>
      <c r="Z60" s="3">
        <v>27.616628178660569</v>
      </c>
      <c r="AA60" s="3">
        <v>-3.6202438297389374</v>
      </c>
      <c r="AB60" s="3">
        <v>27.616628178660569</v>
      </c>
    </row>
    <row r="61" spans="1:28" ht="15" thickBot="1" x14ac:dyDescent="0.2">
      <c r="A61" s="4" t="s">
        <v>204</v>
      </c>
      <c r="B61" s="4">
        <v>50</v>
      </c>
      <c r="T61" s="3" t="s">
        <v>280</v>
      </c>
      <c r="U61" s="3">
        <v>33.458813545371754</v>
      </c>
      <c r="V61" s="3">
        <v>16.94821481144713</v>
      </c>
      <c r="W61" s="3">
        <v>1.9741792228626385</v>
      </c>
      <c r="X61" s="3">
        <v>5.5861941285027937E-2</v>
      </c>
      <c r="Y61" s="3">
        <v>-0.88153156738076888</v>
      </c>
      <c r="Z61" s="3">
        <v>67.79915865812427</v>
      </c>
      <c r="AA61" s="3">
        <v>-0.88153156738076888</v>
      </c>
      <c r="AB61" s="3">
        <v>67.79915865812427</v>
      </c>
    </row>
    <row r="62" spans="1:28" x14ac:dyDescent="0.15">
      <c r="T62" s="3" t="s">
        <v>185</v>
      </c>
      <c r="U62" s="3">
        <v>-28.487010263733112</v>
      </c>
      <c r="V62" s="3">
        <v>16.943255276905624</v>
      </c>
      <c r="W62" s="3">
        <v>-1.6813186013057428</v>
      </c>
      <c r="X62" s="3">
        <v>0.1011247097484779</v>
      </c>
      <c r="Y62" s="3">
        <v>-62.817306404977501</v>
      </c>
      <c r="Z62" s="3">
        <v>5.8432858775112777</v>
      </c>
      <c r="AA62" s="3">
        <v>-62.817306404977501</v>
      </c>
      <c r="AB62" s="3">
        <v>5.8432858775112777</v>
      </c>
    </row>
    <row r="63" spans="1:28" ht="15" thickBot="1" x14ac:dyDescent="0.2">
      <c r="A63" t="s">
        <v>205</v>
      </c>
      <c r="T63" s="3" t="s">
        <v>273</v>
      </c>
      <c r="U63" s="3">
        <v>-17.758927986074632</v>
      </c>
      <c r="V63" s="3">
        <v>42.765202613713477</v>
      </c>
      <c r="W63" s="3">
        <v>-0.41526584467484534</v>
      </c>
      <c r="X63" s="3">
        <v>0.68034565725108331</v>
      </c>
      <c r="Y63" s="3">
        <v>-104.40945920189372</v>
      </c>
      <c r="Z63" s="3">
        <v>68.891603229744447</v>
      </c>
      <c r="AA63" s="3">
        <v>-104.40945920189372</v>
      </c>
      <c r="AB63" s="3">
        <v>68.891603229744447</v>
      </c>
    </row>
    <row r="64" spans="1:28" ht="15" thickBot="1" x14ac:dyDescent="0.2">
      <c r="A64" s="12"/>
      <c r="B64" s="12" t="s">
        <v>209</v>
      </c>
      <c r="C64" s="12" t="s">
        <v>210</v>
      </c>
      <c r="D64" s="12" t="s">
        <v>79</v>
      </c>
      <c r="E64" s="12" t="s">
        <v>211</v>
      </c>
      <c r="F64" s="12" t="s">
        <v>212</v>
      </c>
      <c r="T64" s="4" t="s">
        <v>275</v>
      </c>
      <c r="U64" s="4">
        <v>-14.559086299712028</v>
      </c>
      <c r="V64" s="4">
        <v>61.262277544296545</v>
      </c>
      <c r="W64" s="4">
        <v>-0.23765173093972677</v>
      </c>
      <c r="X64" s="4">
        <v>0.81346232588720402</v>
      </c>
      <c r="Y64" s="4">
        <v>-138.68825132796326</v>
      </c>
      <c r="Z64" s="4">
        <v>109.57007872853919</v>
      </c>
      <c r="AA64" s="4">
        <v>-138.68825132796326</v>
      </c>
      <c r="AB64" s="4">
        <v>109.57007872853919</v>
      </c>
    </row>
    <row r="65" spans="1:9" x14ac:dyDescent="0.15">
      <c r="A65" s="3" t="s">
        <v>206</v>
      </c>
      <c r="B65" s="3">
        <v>10</v>
      </c>
      <c r="C65" s="3">
        <v>21248335312.570976</v>
      </c>
      <c r="D65" s="3">
        <v>2124833531.2570977</v>
      </c>
      <c r="E65" s="3">
        <v>320.05026051096348</v>
      </c>
      <c r="F65" s="3">
        <v>3.456657404689187E-34</v>
      </c>
    </row>
    <row r="66" spans="1:9" x14ac:dyDescent="0.15">
      <c r="A66" s="3" t="s">
        <v>207</v>
      </c>
      <c r="B66" s="3">
        <v>39</v>
      </c>
      <c r="C66" s="3">
        <v>258923419.04901561</v>
      </c>
      <c r="D66" s="3">
        <v>6639062.0268978365</v>
      </c>
      <c r="E66" s="3"/>
      <c r="F66" s="3"/>
    </row>
    <row r="67" spans="1:9" ht="15" thickBot="1" x14ac:dyDescent="0.2">
      <c r="A67" s="4" t="s">
        <v>85</v>
      </c>
      <c r="B67" s="4">
        <v>49</v>
      </c>
      <c r="C67" s="4">
        <v>21507258731.619991</v>
      </c>
      <c r="D67" s="4"/>
      <c r="E67" s="4"/>
      <c r="F67" s="4"/>
    </row>
    <row r="69" spans="1:9" x14ac:dyDescent="0.15">
      <c r="B69" t="s">
        <v>213</v>
      </c>
      <c r="C69" t="s">
        <v>75</v>
      </c>
      <c r="D69" t="s">
        <v>214</v>
      </c>
      <c r="E69" t="s">
        <v>215</v>
      </c>
      <c r="F69" t="s">
        <v>216</v>
      </c>
      <c r="G69" t="s">
        <v>217</v>
      </c>
      <c r="H69" t="s">
        <v>218</v>
      </c>
      <c r="I69" t="s">
        <v>219</v>
      </c>
    </row>
    <row r="70" spans="1:9" x14ac:dyDescent="0.15">
      <c r="A70" t="s">
        <v>208</v>
      </c>
      <c r="B70">
        <v>1025.725156024032</v>
      </c>
      <c r="C70">
        <v>645.31319787740711</v>
      </c>
      <c r="D70">
        <v>1.5894997334594936</v>
      </c>
      <c r="E70">
        <v>0.12002255274178614</v>
      </c>
      <c r="F70">
        <v>-279.5439899024841</v>
      </c>
      <c r="G70">
        <v>2330.9943019505481</v>
      </c>
      <c r="H70">
        <v>-279.5439899024841</v>
      </c>
      <c r="I70">
        <v>2330.9943019505481</v>
      </c>
    </row>
    <row r="71" spans="1:9" x14ac:dyDescent="0.15">
      <c r="A71" t="s">
        <v>168</v>
      </c>
      <c r="B71">
        <v>-0.16651273908831909</v>
      </c>
      <c r="C71">
        <v>0.80771649509767229</v>
      </c>
      <c r="D71">
        <v>-0.20615245584180339</v>
      </c>
      <c r="E71">
        <v>0.83774425843046985</v>
      </c>
      <c r="F71">
        <v>-1.8002735596862967</v>
      </c>
      <c r="G71">
        <v>1.4672480815096582</v>
      </c>
      <c r="H71">
        <v>-1.8002735596862967</v>
      </c>
      <c r="I71">
        <v>1.4672480815096582</v>
      </c>
    </row>
    <row r="72" spans="1:9" x14ac:dyDescent="0.15">
      <c r="A72" t="s">
        <v>220</v>
      </c>
      <c r="B72">
        <v>-7.4513139809552362E-2</v>
      </c>
      <c r="C72">
        <v>0.19840782236914714</v>
      </c>
      <c r="D72">
        <v>-0.37555545401288232</v>
      </c>
      <c r="E72">
        <v>0.70928240143938748</v>
      </c>
      <c r="F72">
        <v>-0.47583084057989256</v>
      </c>
      <c r="G72">
        <v>0.3268045609607878</v>
      </c>
      <c r="H72">
        <v>-0.47583084057989256</v>
      </c>
      <c r="I72">
        <v>0.3268045609607878</v>
      </c>
    </row>
    <row r="73" spans="1:9" x14ac:dyDescent="0.15">
      <c r="A73" t="s">
        <v>221</v>
      </c>
      <c r="B73">
        <v>-2.1009468707258814E-2</v>
      </c>
      <c r="C73">
        <v>0.26073167513545087</v>
      </c>
      <c r="D73">
        <v>-8.0578888991313893E-2</v>
      </c>
      <c r="E73">
        <v>0.9361889466334965</v>
      </c>
      <c r="F73">
        <v>-0.54838906056970949</v>
      </c>
      <c r="G73">
        <v>0.50637012315519181</v>
      </c>
      <c r="H73">
        <v>-0.54838906056970949</v>
      </c>
      <c r="I73">
        <v>0.50637012315519181</v>
      </c>
    </row>
    <row r="74" spans="1:9" x14ac:dyDescent="0.15">
      <c r="A74" t="s">
        <v>225</v>
      </c>
      <c r="B74">
        <v>-42.954535585555803</v>
      </c>
      <c r="C74">
        <v>16.209634137817815</v>
      </c>
      <c r="D74">
        <v>-2.6499386241754164</v>
      </c>
      <c r="E74">
        <v>1.156866367147889E-2</v>
      </c>
      <c r="F74">
        <v>-75.741615373237778</v>
      </c>
      <c r="G74">
        <v>-10.167455797873821</v>
      </c>
      <c r="H74">
        <v>-75.741615373237778</v>
      </c>
      <c r="I74">
        <v>-10.167455797873821</v>
      </c>
    </row>
    <row r="75" spans="1:9" x14ac:dyDescent="0.15">
      <c r="A75" t="s">
        <v>222</v>
      </c>
      <c r="B75">
        <v>42.580094610793545</v>
      </c>
      <c r="C75">
        <v>2.774144364259572</v>
      </c>
      <c r="D75">
        <v>15.348910878384769</v>
      </c>
      <c r="E75">
        <v>4.0419204983994121E-18</v>
      </c>
      <c r="F75">
        <v>36.968857994334556</v>
      </c>
      <c r="G75">
        <v>48.191331227252533</v>
      </c>
      <c r="H75">
        <v>36.968857994334556</v>
      </c>
      <c r="I75">
        <v>48.191331227252533</v>
      </c>
    </row>
    <row r="76" spans="1:9" x14ac:dyDescent="0.15">
      <c r="A76" t="s">
        <v>223</v>
      </c>
      <c r="B76">
        <v>-0.14349851152998158</v>
      </c>
      <c r="C76">
        <v>5.5937954387732312</v>
      </c>
      <c r="D76">
        <v>-2.5653156805721892E-2</v>
      </c>
      <c r="E76">
        <v>0.97966480270066691</v>
      </c>
      <c r="F76">
        <v>-11.458017754079638</v>
      </c>
      <c r="G76">
        <v>11.171020731019674</v>
      </c>
      <c r="H76">
        <v>-11.458017754079638</v>
      </c>
      <c r="I76">
        <v>11.171020731019674</v>
      </c>
    </row>
    <row r="77" spans="1:9" x14ac:dyDescent="0.15">
      <c r="A77" t="s">
        <v>278</v>
      </c>
      <c r="B77">
        <v>-2.3690498102395257</v>
      </c>
      <c r="C77">
        <v>1.0108269897292275</v>
      </c>
      <c r="D77">
        <v>-2.3436748665309466</v>
      </c>
      <c r="E77">
        <v>2.4285294105903361E-2</v>
      </c>
      <c r="F77">
        <v>-4.4136403840929255</v>
      </c>
      <c r="G77">
        <v>-0.32445923638612628</v>
      </c>
      <c r="H77">
        <v>-4.4136403840929255</v>
      </c>
      <c r="I77">
        <v>-0.32445923638612628</v>
      </c>
    </row>
    <row r="78" spans="1:9" x14ac:dyDescent="0.15">
      <c r="A78" t="s">
        <v>280</v>
      </c>
      <c r="B78">
        <v>5.0999037413704977</v>
      </c>
      <c r="C78">
        <v>1.2150852354183534</v>
      </c>
      <c r="D78">
        <v>4.1971571974657422</v>
      </c>
      <c r="E78">
        <v>1.5120209323169121E-4</v>
      </c>
      <c r="F78">
        <v>2.6421618686190658</v>
      </c>
      <c r="G78">
        <v>7.5576456141219293</v>
      </c>
      <c r="H78">
        <v>2.6421618686190658</v>
      </c>
      <c r="I78">
        <v>7.5576456141219293</v>
      </c>
    </row>
    <row r="79" spans="1:9" x14ac:dyDescent="0.15">
      <c r="A79" t="s">
        <v>273</v>
      </c>
      <c r="B79">
        <v>-13.464011133339595</v>
      </c>
      <c r="C79">
        <v>43.148998122001117</v>
      </c>
      <c r="D79">
        <v>-0.31203531296997761</v>
      </c>
      <c r="E79">
        <v>0.75667588561649302</v>
      </c>
      <c r="F79">
        <v>-100.74109784339444</v>
      </c>
      <c r="G79">
        <v>73.813075576715249</v>
      </c>
      <c r="H79">
        <v>-100.74109784339444</v>
      </c>
      <c r="I79">
        <v>73.813075576715249</v>
      </c>
    </row>
    <row r="80" spans="1:9" x14ac:dyDescent="0.15">
      <c r="A80" t="s">
        <v>275</v>
      </c>
      <c r="B80">
        <v>12.934464102142924</v>
      </c>
      <c r="C80">
        <v>52.607103894220067</v>
      </c>
      <c r="D80">
        <v>0.24586915349210148</v>
      </c>
      <c r="E80">
        <v>0.80707290885494565</v>
      </c>
      <c r="F80">
        <v>-93.473447274126457</v>
      </c>
      <c r="G80">
        <v>119.34237547841231</v>
      </c>
      <c r="H80">
        <v>-93.473447274126457</v>
      </c>
      <c r="I80">
        <v>119.34237547841231</v>
      </c>
    </row>
  </sheetData>
  <phoneticPr fontId="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display="https://github.com/gabrielecirulli/2048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 display="https://github.com/samizdatco/arbor"/>
    <hyperlink ref="B33" r:id="rId32" display="https://github.com/HumbleSoftware/envisionjs"/>
    <hyperlink ref="B34" r:id="rId33" display="https://github.com/kartograph/kartograph.js"/>
    <hyperlink ref="B35" r:id="rId34" display="https://github.com/trifacta/vega"/>
    <hyperlink ref="B36" r:id="rId35" display="https://github.com/stamen/modestmaps-js"/>
    <hyperlink ref="B37" r:id="rId36" display="https://github.com/Leaflet/Leaflet"/>
    <hyperlink ref="B38" r:id="rId37" display="https://github.com/matplotlib/matplotlib"/>
    <hyperlink ref="B39" r:id="rId38" display="https://github.com/Kozea/pygal"/>
    <hyperlink ref="B40" r:id="rId39" display="https://github.com/dc-js/dc.js"/>
    <hyperlink ref="B41" r:id="rId40" display="https://github.com/nnnick/Chart.js"/>
    <hyperlink ref="B42" r:id="rId41" display="https://github.com/fastly/epoch"/>
    <hyperlink ref="B43" r:id="rId42" display="https://github.com/densitydesign/raw"/>
    <hyperlink ref="B44" r:id="rId43" display="https://github.com/gionkunz/chartist-js"/>
    <hyperlink ref="B45" r:id="rId44" display="https://github.com/ecomfe/echarts"/>
    <hyperlink ref="B46" r:id="rId45" display="https://github.com/github/linguist"/>
    <hyperlink ref="B47" r:id="rId46" display="https://github.com/defunkt/jquery-pjax"/>
    <hyperlink ref="B48" r:id="rId47" display="https://github.com/mbostock/d3"/>
    <hyperlink ref="B49" r:id="rId48" display="https://github.com/benpickles/peity"/>
    <hyperlink ref="B50" r:id="rId49" display="https://github.com/okfn/recline"/>
    <hyperlink ref="B51" r:id="rId50" display="https://github.com/jacomyal/sigma.js"/>
  </hyperlinks>
  <pageMargins left="0.7" right="0.7" top="0.75" bottom="0.75" header="0.3" footer="0.3"/>
  <tableParts count="1">
    <tablePart r:id="rId5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opLeftCell="L1" zoomScale="85" zoomScaleNormal="85" workbookViewId="0">
      <selection activeCell="AI52" sqref="A1:XFD1048576"/>
    </sheetView>
  </sheetViews>
  <sheetFormatPr defaultRowHeight="14.25" x14ac:dyDescent="0.15"/>
  <sheetData>
    <row r="1" spans="1:36" x14ac:dyDescent="0.15">
      <c r="A1" s="6" t="s">
        <v>20</v>
      </c>
      <c r="B1" s="6" t="s">
        <v>19</v>
      </c>
      <c r="C1" s="6" t="s">
        <v>176</v>
      </c>
      <c r="D1" s="6" t="s">
        <v>169</v>
      </c>
      <c r="E1" s="6" t="s">
        <v>170</v>
      </c>
      <c r="F1" s="6" t="s">
        <v>171</v>
      </c>
      <c r="G1" s="6" t="s">
        <v>100</v>
      </c>
      <c r="H1" s="6" t="s">
        <v>174</v>
      </c>
      <c r="I1" s="6" t="s">
        <v>175</v>
      </c>
      <c r="J1" s="6" t="s">
        <v>172</v>
      </c>
      <c r="K1" s="6" t="s">
        <v>173</v>
      </c>
      <c r="L1" s="6" t="s">
        <v>184</v>
      </c>
      <c r="M1" s="6" t="s">
        <v>190</v>
      </c>
      <c r="N1" s="6" t="s">
        <v>187</v>
      </c>
      <c r="O1" s="6" t="s">
        <v>186</v>
      </c>
      <c r="P1" s="6" t="s">
        <v>274</v>
      </c>
      <c r="Q1" s="6" t="s">
        <v>276</v>
      </c>
      <c r="R1" t="s">
        <v>281</v>
      </c>
      <c r="S1" t="s">
        <v>295</v>
      </c>
      <c r="T1" s="23" t="s">
        <v>282</v>
      </c>
      <c r="U1" s="23" t="s">
        <v>283</v>
      </c>
      <c r="V1" s="23" t="s">
        <v>284</v>
      </c>
      <c r="W1" s="23" t="s">
        <v>285</v>
      </c>
      <c r="X1" s="23" t="s">
        <v>299</v>
      </c>
      <c r="Y1" s="23" t="s">
        <v>286</v>
      </c>
      <c r="Z1" s="23" t="s">
        <v>287</v>
      </c>
      <c r="AA1" s="23" t="s">
        <v>288</v>
      </c>
      <c r="AB1" s="23" t="s">
        <v>289</v>
      </c>
      <c r="AC1" s="23" t="s">
        <v>290</v>
      </c>
      <c r="AD1" s="23" t="s">
        <v>291</v>
      </c>
      <c r="AE1" s="23" t="s">
        <v>292</v>
      </c>
      <c r="AF1" s="23" t="s">
        <v>293</v>
      </c>
      <c r="AG1" s="23" t="s">
        <v>296</v>
      </c>
      <c r="AH1" s="23" t="s">
        <v>297</v>
      </c>
      <c r="AI1" s="23" t="s">
        <v>298</v>
      </c>
      <c r="AJ1" s="23" t="s">
        <v>294</v>
      </c>
    </row>
    <row r="2" spans="1:36" x14ac:dyDescent="0.15">
      <c r="A2" s="23">
        <v>1</v>
      </c>
      <c r="B2" s="7" t="s">
        <v>22</v>
      </c>
      <c r="C2" s="23">
        <v>75</v>
      </c>
      <c r="D2" s="23">
        <v>40</v>
      </c>
      <c r="E2" s="23">
        <v>447</v>
      </c>
      <c r="F2" s="23">
        <v>93</v>
      </c>
      <c r="G2" s="25">
        <v>2</v>
      </c>
      <c r="H2" s="23">
        <v>5</v>
      </c>
      <c r="I2" s="23">
        <v>3</v>
      </c>
      <c r="J2" s="23">
        <v>0</v>
      </c>
      <c r="K2" s="23">
        <v>0</v>
      </c>
      <c r="L2" s="23">
        <f>SUM(テーブル46813[[#This Row],[Open数]:[Closed数]])</f>
        <v>0</v>
      </c>
      <c r="M2" s="23">
        <v>0</v>
      </c>
      <c r="N2" s="23">
        <v>2</v>
      </c>
      <c r="O2" s="23">
        <f>SUM(テーブル46813[[#This Row],[Open数2]:[Closed数3]])</f>
        <v>2</v>
      </c>
      <c r="P2" s="23">
        <v>0</v>
      </c>
      <c r="Q2" s="23">
        <v>0</v>
      </c>
      <c r="R2" s="23">
        <v>1</v>
      </c>
      <c r="S2" s="23">
        <v>1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</row>
    <row r="3" spans="1:36" x14ac:dyDescent="0.15">
      <c r="A3" s="23">
        <v>2</v>
      </c>
      <c r="B3" s="7" t="s">
        <v>130</v>
      </c>
      <c r="C3" s="23">
        <v>57</v>
      </c>
      <c r="D3" s="23">
        <v>178</v>
      </c>
      <c r="E3" s="23">
        <v>1636</v>
      </c>
      <c r="F3" s="23">
        <v>259</v>
      </c>
      <c r="G3" s="25">
        <v>1</v>
      </c>
      <c r="H3" s="23">
        <v>1</v>
      </c>
      <c r="I3" s="23">
        <v>3</v>
      </c>
      <c r="J3" s="23">
        <v>3</v>
      </c>
      <c r="K3" s="23">
        <v>8</v>
      </c>
      <c r="L3" s="23">
        <f>SUM(テーブル46813[[#This Row],[Open数]:[Closed数]])</f>
        <v>11</v>
      </c>
      <c r="M3" s="23">
        <v>2</v>
      </c>
      <c r="N3" s="23">
        <v>5</v>
      </c>
      <c r="O3" s="23">
        <f>SUM(テーブル46813[[#This Row],[Open数2]:[Closed数3]])</f>
        <v>7</v>
      </c>
      <c r="P3" s="23">
        <v>0</v>
      </c>
      <c r="Q3" s="23">
        <v>0</v>
      </c>
      <c r="R3" s="23">
        <v>0</v>
      </c>
      <c r="S3" s="23">
        <v>0</v>
      </c>
      <c r="T3" s="23">
        <v>1</v>
      </c>
      <c r="U3" s="23">
        <v>1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</row>
    <row r="4" spans="1:36" x14ac:dyDescent="0.15">
      <c r="A4" s="23">
        <v>3</v>
      </c>
      <c r="B4" s="7" t="s">
        <v>36</v>
      </c>
      <c r="C4" s="23">
        <v>221</v>
      </c>
      <c r="D4" s="23">
        <v>178</v>
      </c>
      <c r="E4" s="23">
        <v>2319</v>
      </c>
      <c r="F4" s="23">
        <v>463</v>
      </c>
      <c r="G4" s="23">
        <v>1</v>
      </c>
      <c r="H4" s="23">
        <v>0</v>
      </c>
      <c r="I4" s="23">
        <v>7</v>
      </c>
      <c r="J4" s="23">
        <v>27</v>
      </c>
      <c r="K4" s="23">
        <v>28</v>
      </c>
      <c r="L4" s="23">
        <f>SUM(テーブル46813[[#This Row],[Open数]:[Closed数]])</f>
        <v>55</v>
      </c>
      <c r="M4" s="23">
        <v>9</v>
      </c>
      <c r="N4" s="23">
        <v>13</v>
      </c>
      <c r="O4" s="23">
        <f>SUM(テーブル46813[[#This Row],[Open数2]:[Closed数3]])</f>
        <v>22</v>
      </c>
      <c r="P4" s="23">
        <v>26</v>
      </c>
      <c r="Q4" s="23">
        <v>7</v>
      </c>
      <c r="R4" s="23">
        <v>0</v>
      </c>
      <c r="S4" s="23">
        <v>1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</row>
    <row r="5" spans="1:36" x14ac:dyDescent="0.15">
      <c r="A5" s="23">
        <v>4</v>
      </c>
      <c r="B5" s="7" t="s">
        <v>37</v>
      </c>
      <c r="C5" s="23">
        <v>19052</v>
      </c>
      <c r="D5" s="23">
        <v>360</v>
      </c>
      <c r="E5" s="23">
        <v>11741</v>
      </c>
      <c r="F5" s="23">
        <v>4592</v>
      </c>
      <c r="G5" s="23">
        <v>39</v>
      </c>
      <c r="H5" s="23">
        <v>86</v>
      </c>
      <c r="I5" s="23">
        <v>700</v>
      </c>
      <c r="J5" s="23">
        <v>0</v>
      </c>
      <c r="K5" s="23">
        <v>0</v>
      </c>
      <c r="L5" s="23">
        <f>SUM(テーブル46813[[#This Row],[Open数]:[Closed数]])</f>
        <v>0</v>
      </c>
      <c r="M5" s="23">
        <v>69</v>
      </c>
      <c r="N5" s="23">
        <v>3403</v>
      </c>
      <c r="O5" s="23">
        <f>SUM(テーブル46813[[#This Row],[Open数2]:[Closed数3]])</f>
        <v>3472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1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1</v>
      </c>
    </row>
    <row r="6" spans="1:36" x14ac:dyDescent="0.15">
      <c r="A6" s="23">
        <v>5</v>
      </c>
      <c r="B6" s="7" t="s">
        <v>38</v>
      </c>
      <c r="C6" s="23">
        <v>47676</v>
      </c>
      <c r="D6" s="23">
        <v>1648</v>
      </c>
      <c r="E6" s="23">
        <v>23753</v>
      </c>
      <c r="F6" s="23">
        <v>9080</v>
      </c>
      <c r="G6" s="23">
        <v>37</v>
      </c>
      <c r="H6" s="23">
        <v>237</v>
      </c>
      <c r="I6" s="23">
        <v>2465</v>
      </c>
      <c r="J6" s="23">
        <v>327</v>
      </c>
      <c r="K6" s="23">
        <v>5959</v>
      </c>
      <c r="L6" s="23">
        <f>SUM(テーブル46813[[#This Row],[Open数]:[Closed数]])</f>
        <v>6286</v>
      </c>
      <c r="M6" s="23">
        <v>437</v>
      </c>
      <c r="N6" s="23">
        <v>10797</v>
      </c>
      <c r="O6" s="23">
        <f>SUM(テーブル46813[[#This Row],[Open数2]:[Closed数3]])</f>
        <v>11234</v>
      </c>
      <c r="P6" s="23">
        <v>0</v>
      </c>
      <c r="Q6" s="23">
        <v>29</v>
      </c>
      <c r="R6" s="23">
        <v>0</v>
      </c>
      <c r="S6" s="23">
        <v>1</v>
      </c>
      <c r="T6" s="23">
        <v>1</v>
      </c>
      <c r="U6" s="23">
        <v>1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</row>
    <row r="7" spans="1:36" x14ac:dyDescent="0.15">
      <c r="A7" s="23">
        <v>6</v>
      </c>
      <c r="B7" s="7" t="s">
        <v>259</v>
      </c>
      <c r="C7" s="23">
        <v>17275</v>
      </c>
      <c r="D7" s="23">
        <v>553</v>
      </c>
      <c r="E7" s="23">
        <v>5262</v>
      </c>
      <c r="F7" s="23">
        <v>2315</v>
      </c>
      <c r="G7" s="23">
        <v>12</v>
      </c>
      <c r="H7" s="23">
        <v>121</v>
      </c>
      <c r="I7" s="23">
        <v>285</v>
      </c>
      <c r="J7" s="23">
        <v>110</v>
      </c>
      <c r="K7" s="23">
        <v>1547</v>
      </c>
      <c r="L7" s="23">
        <f>SUM(テーブル46813[[#This Row],[Open数]:[Closed数]])</f>
        <v>1657</v>
      </c>
      <c r="M7" s="23">
        <v>17</v>
      </c>
      <c r="N7" s="23">
        <v>3421</v>
      </c>
      <c r="O7" s="23">
        <f>SUM(テーブル46813[[#This Row],[Open数2]:[Closed数3]])</f>
        <v>3438</v>
      </c>
      <c r="P7" s="23">
        <v>42</v>
      </c>
      <c r="Q7" s="23">
        <v>5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1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1</v>
      </c>
    </row>
    <row r="8" spans="1:36" x14ac:dyDescent="0.15">
      <c r="A8" s="23">
        <v>7</v>
      </c>
      <c r="B8" s="7" t="s">
        <v>129</v>
      </c>
      <c r="C8" s="23">
        <v>5881</v>
      </c>
      <c r="D8" s="23">
        <v>424</v>
      </c>
      <c r="E8" s="23">
        <v>4787</v>
      </c>
      <c r="F8" s="23">
        <v>945</v>
      </c>
      <c r="G8" s="23">
        <v>12</v>
      </c>
      <c r="H8" s="23">
        <v>163</v>
      </c>
      <c r="I8" s="23">
        <v>153</v>
      </c>
      <c r="J8" s="23">
        <v>122</v>
      </c>
      <c r="K8" s="23">
        <v>1131</v>
      </c>
      <c r="L8" s="23">
        <f>SUM(テーブル46813[[#This Row],[Open数]:[Closed数]])</f>
        <v>1253</v>
      </c>
      <c r="M8" s="23">
        <v>4</v>
      </c>
      <c r="N8" s="23">
        <v>253</v>
      </c>
      <c r="O8" s="23">
        <f>SUM(テーブル46813[[#This Row],[Open数2]:[Closed数3]])</f>
        <v>257</v>
      </c>
      <c r="P8" s="23">
        <v>0</v>
      </c>
      <c r="Q8" s="23">
        <v>13</v>
      </c>
      <c r="R8" s="23">
        <v>0</v>
      </c>
      <c r="S8" s="23">
        <v>1</v>
      </c>
      <c r="T8" s="23">
        <v>0</v>
      </c>
      <c r="U8" s="23">
        <v>1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</row>
    <row r="9" spans="1:36" x14ac:dyDescent="0.15">
      <c r="A9" s="23">
        <v>8</v>
      </c>
      <c r="B9" s="7" t="s">
        <v>260</v>
      </c>
      <c r="C9" s="23">
        <v>2124</v>
      </c>
      <c r="D9" s="23">
        <v>637</v>
      </c>
      <c r="E9" s="23">
        <v>11276</v>
      </c>
      <c r="F9" s="23">
        <v>2579</v>
      </c>
      <c r="G9" s="25">
        <v>3</v>
      </c>
      <c r="H9" s="23">
        <v>32</v>
      </c>
      <c r="I9" s="23">
        <v>169</v>
      </c>
      <c r="J9" s="23">
        <v>189</v>
      </c>
      <c r="K9" s="23">
        <v>1579</v>
      </c>
      <c r="L9" s="23">
        <f>SUM(テーブル46813[[#This Row],[Open数]:[Closed数]])</f>
        <v>1768</v>
      </c>
      <c r="M9" s="23">
        <v>12</v>
      </c>
      <c r="N9" s="23">
        <v>492</v>
      </c>
      <c r="O9" s="23">
        <f>SUM(テーブル46813[[#This Row],[Open数2]:[Closed数3]])</f>
        <v>504</v>
      </c>
      <c r="P9" s="23">
        <v>4</v>
      </c>
      <c r="Q9" s="23">
        <v>19</v>
      </c>
      <c r="R9" s="23">
        <v>0</v>
      </c>
      <c r="S9" s="23">
        <v>0</v>
      </c>
      <c r="T9" s="23">
        <v>1</v>
      </c>
      <c r="U9" s="23">
        <v>1</v>
      </c>
      <c r="V9" s="23">
        <v>0</v>
      </c>
      <c r="W9" s="23">
        <v>0</v>
      </c>
      <c r="X9" s="23">
        <v>0</v>
      </c>
      <c r="Y9" s="23">
        <v>1</v>
      </c>
      <c r="Z9" s="23"/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</row>
    <row r="10" spans="1:36" x14ac:dyDescent="0.15">
      <c r="A10" s="23">
        <v>9</v>
      </c>
      <c r="B10" s="7" t="s">
        <v>131</v>
      </c>
      <c r="C10" s="23">
        <v>480</v>
      </c>
      <c r="D10" s="23">
        <v>52</v>
      </c>
      <c r="E10" s="23">
        <v>313</v>
      </c>
      <c r="F10" s="23">
        <v>152</v>
      </c>
      <c r="G10" s="25">
        <v>9</v>
      </c>
      <c r="H10" s="23">
        <v>5</v>
      </c>
      <c r="I10" s="23">
        <v>25</v>
      </c>
      <c r="J10" s="23">
        <v>26</v>
      </c>
      <c r="K10" s="23">
        <v>54</v>
      </c>
      <c r="L10" s="23">
        <f>SUM(テーブル46813[[#This Row],[Open数]:[Closed数]])</f>
        <v>80</v>
      </c>
      <c r="M10" s="23">
        <v>17</v>
      </c>
      <c r="N10" s="23">
        <v>41</v>
      </c>
      <c r="O10" s="23">
        <f>SUM(テーブル46813[[#This Row],[Open数2]:[Closed数3]])</f>
        <v>58</v>
      </c>
      <c r="P10" s="23">
        <v>3</v>
      </c>
      <c r="Q10" s="23">
        <v>6</v>
      </c>
      <c r="R10" s="23">
        <v>0</v>
      </c>
      <c r="S10" s="23">
        <v>0</v>
      </c>
      <c r="T10" s="23">
        <v>0</v>
      </c>
      <c r="U10" s="23">
        <v>0</v>
      </c>
      <c r="V10" s="23">
        <v>1</v>
      </c>
      <c r="W10" s="23">
        <v>0</v>
      </c>
      <c r="X10" s="23">
        <v>0</v>
      </c>
      <c r="Y10" s="23">
        <v>0</v>
      </c>
      <c r="Z10" s="23">
        <v>1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</row>
    <row r="11" spans="1:36" x14ac:dyDescent="0.15">
      <c r="A11" s="23">
        <v>10</v>
      </c>
      <c r="B11" s="7" t="s">
        <v>261</v>
      </c>
      <c r="C11" s="23">
        <v>139955</v>
      </c>
      <c r="D11" s="23">
        <v>45</v>
      </c>
      <c r="E11" s="23">
        <v>188</v>
      </c>
      <c r="F11" s="23">
        <v>1109</v>
      </c>
      <c r="G11" s="25">
        <v>50</v>
      </c>
      <c r="H11" s="23">
        <v>2610</v>
      </c>
      <c r="I11" s="23">
        <v>286</v>
      </c>
      <c r="J11" s="23">
        <v>24</v>
      </c>
      <c r="K11" s="23">
        <v>173</v>
      </c>
      <c r="L11" s="23">
        <f>SUM(テーブル46813[[#This Row],[Open数]:[Closed数]])</f>
        <v>197</v>
      </c>
      <c r="M11" s="23">
        <v>88</v>
      </c>
      <c r="N11" s="23">
        <v>5945</v>
      </c>
      <c r="O11" s="23">
        <f>SUM(テーブル46813[[#This Row],[Open数2]:[Closed数3]])</f>
        <v>6033</v>
      </c>
      <c r="P11" s="23">
        <v>0</v>
      </c>
      <c r="Q11" s="23">
        <v>69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0</v>
      </c>
      <c r="X11" s="23">
        <v>0</v>
      </c>
      <c r="Y11" s="23">
        <v>0</v>
      </c>
      <c r="Z11" s="23">
        <v>0</v>
      </c>
      <c r="AA11" s="23">
        <v>1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1</v>
      </c>
      <c r="AH11" s="23">
        <v>0</v>
      </c>
      <c r="AI11" s="23">
        <v>0</v>
      </c>
      <c r="AJ11" s="23">
        <v>0</v>
      </c>
    </row>
    <row r="12" spans="1:36" x14ac:dyDescent="0.15">
      <c r="A12" s="23">
        <v>11</v>
      </c>
      <c r="B12" s="7" t="s">
        <v>262</v>
      </c>
      <c r="C12" s="29">
        <v>10189</v>
      </c>
      <c r="D12" s="23">
        <v>77</v>
      </c>
      <c r="E12" s="23">
        <v>461</v>
      </c>
      <c r="F12" s="29">
        <v>313</v>
      </c>
      <c r="G12" s="29">
        <v>6</v>
      </c>
      <c r="H12" s="29">
        <v>21</v>
      </c>
      <c r="I12" s="29">
        <v>93</v>
      </c>
      <c r="J12" s="29">
        <v>323</v>
      </c>
      <c r="K12" s="29">
        <v>695</v>
      </c>
      <c r="L12" s="23">
        <f>SUM(テーブル46813[[#This Row],[Open数]:[Closed数]])</f>
        <v>1018</v>
      </c>
      <c r="M12" s="29">
        <v>90</v>
      </c>
      <c r="N12" s="29">
        <v>1967</v>
      </c>
      <c r="O12" s="23">
        <f>SUM(テーブル46813[[#This Row],[Open数2]:[Closed数3]])</f>
        <v>2057</v>
      </c>
      <c r="P12" s="29">
        <v>58</v>
      </c>
      <c r="Q12" s="29">
        <v>52</v>
      </c>
      <c r="R12" s="23">
        <v>0</v>
      </c>
      <c r="S12" s="29">
        <v>0</v>
      </c>
      <c r="T12" s="23">
        <v>0</v>
      </c>
      <c r="U12" s="23">
        <v>0</v>
      </c>
      <c r="V12" s="23">
        <v>1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1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1</v>
      </c>
    </row>
    <row r="13" spans="1:36" x14ac:dyDescent="0.15">
      <c r="A13" s="23">
        <v>12</v>
      </c>
      <c r="B13" s="19">
        <v>2048</v>
      </c>
      <c r="C13" s="23">
        <v>160</v>
      </c>
      <c r="D13" s="23">
        <v>471</v>
      </c>
      <c r="E13" s="23">
        <v>6127</v>
      </c>
      <c r="F13" s="23">
        <v>10970</v>
      </c>
      <c r="G13" s="23">
        <v>2</v>
      </c>
      <c r="H13" s="23">
        <v>0</v>
      </c>
      <c r="I13" s="23">
        <v>21</v>
      </c>
      <c r="J13" s="23">
        <v>56</v>
      </c>
      <c r="K13" s="23">
        <v>43</v>
      </c>
      <c r="L13" s="23">
        <f>SUM(テーブル46813[[#This Row],[Open数]:[Closed数]])</f>
        <v>99</v>
      </c>
      <c r="M13" s="23">
        <v>53</v>
      </c>
      <c r="N13" s="23">
        <v>123</v>
      </c>
      <c r="O13" s="23">
        <f>SUM(テーブル46813[[#This Row],[Open数2]:[Closed数3]])</f>
        <v>176</v>
      </c>
      <c r="P13" s="23">
        <v>0</v>
      </c>
      <c r="Q13" s="23">
        <v>8</v>
      </c>
      <c r="R13" s="23">
        <v>0</v>
      </c>
      <c r="S13" s="23">
        <v>1</v>
      </c>
      <c r="T13" s="23">
        <v>1</v>
      </c>
      <c r="U13" s="23">
        <v>1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</row>
    <row r="14" spans="1:36" x14ac:dyDescent="0.15">
      <c r="A14" s="23">
        <v>13</v>
      </c>
      <c r="B14" s="7" t="s">
        <v>50</v>
      </c>
      <c r="C14" s="23">
        <v>214</v>
      </c>
      <c r="D14" s="23">
        <v>80</v>
      </c>
      <c r="E14" s="23">
        <v>629</v>
      </c>
      <c r="F14" s="23">
        <v>360</v>
      </c>
      <c r="G14" s="25">
        <v>3</v>
      </c>
      <c r="H14" s="23">
        <v>0</v>
      </c>
      <c r="I14" s="23">
        <v>7</v>
      </c>
      <c r="J14" s="23">
        <v>3</v>
      </c>
      <c r="K14" s="23">
        <v>31</v>
      </c>
      <c r="L14" s="23">
        <f>SUM(テーブル46813[[#This Row],[Open数]:[Closed数]])</f>
        <v>34</v>
      </c>
      <c r="M14" s="23">
        <v>0</v>
      </c>
      <c r="N14" s="23">
        <v>20</v>
      </c>
      <c r="O14" s="23">
        <f>SUM(テーブル46813[[#This Row],[Open数2]:[Closed数3]])</f>
        <v>20</v>
      </c>
      <c r="P14" s="23">
        <v>0</v>
      </c>
      <c r="Q14" s="23">
        <v>6</v>
      </c>
      <c r="R14" s="23">
        <v>0</v>
      </c>
      <c r="S14" s="23">
        <v>0</v>
      </c>
      <c r="T14" s="23">
        <v>1</v>
      </c>
      <c r="U14" s="23">
        <v>1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</row>
    <row r="15" spans="1:36" x14ac:dyDescent="0.15">
      <c r="A15" s="23">
        <v>14</v>
      </c>
      <c r="B15" s="7" t="s">
        <v>132</v>
      </c>
      <c r="C15" s="23">
        <v>153</v>
      </c>
      <c r="D15" s="23">
        <v>321</v>
      </c>
      <c r="E15" s="23">
        <v>4359</v>
      </c>
      <c r="F15" s="23">
        <v>1234</v>
      </c>
      <c r="G15" s="23">
        <v>4</v>
      </c>
      <c r="H15" s="23">
        <v>0</v>
      </c>
      <c r="I15" s="23">
        <v>4</v>
      </c>
      <c r="J15" s="23">
        <v>0</v>
      </c>
      <c r="K15" s="23">
        <v>0</v>
      </c>
      <c r="L15" s="23">
        <f>SUM(テーブル46813[[#This Row],[Open数]:[Closed数]])</f>
        <v>0</v>
      </c>
      <c r="M15" s="23">
        <v>0</v>
      </c>
      <c r="N15" s="23">
        <v>27</v>
      </c>
      <c r="O15" s="23">
        <f>SUM(テーブル46813[[#This Row],[Open数2]:[Closed数3]])</f>
        <v>27</v>
      </c>
      <c r="P15" s="23">
        <v>3</v>
      </c>
      <c r="Q15" s="23">
        <v>0</v>
      </c>
      <c r="R15" s="23">
        <v>0</v>
      </c>
      <c r="S15" s="23">
        <v>0</v>
      </c>
      <c r="T15" s="23">
        <v>1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1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</row>
    <row r="16" spans="1:36" x14ac:dyDescent="0.15">
      <c r="A16" s="23">
        <v>15</v>
      </c>
      <c r="B16" s="7" t="s">
        <v>89</v>
      </c>
      <c r="C16" s="23">
        <v>3610</v>
      </c>
      <c r="D16" s="23">
        <v>245</v>
      </c>
      <c r="E16" s="23">
        <v>4977</v>
      </c>
      <c r="F16" s="23">
        <v>701</v>
      </c>
      <c r="G16" s="23">
        <v>9</v>
      </c>
      <c r="H16" s="23">
        <v>146</v>
      </c>
      <c r="I16" s="23">
        <v>122</v>
      </c>
      <c r="J16" s="23">
        <v>144</v>
      </c>
      <c r="K16" s="23">
        <v>1132</v>
      </c>
      <c r="L16" s="23">
        <f>SUM(テーブル46813[[#This Row],[Open数]:[Closed数]])</f>
        <v>1276</v>
      </c>
      <c r="M16" s="23">
        <v>3</v>
      </c>
      <c r="N16" s="23">
        <v>472</v>
      </c>
      <c r="O16" s="23">
        <f>SUM(テーブル46813[[#This Row],[Open数2]:[Closed数3]])</f>
        <v>475</v>
      </c>
      <c r="P16" s="23">
        <v>2</v>
      </c>
      <c r="Q16" s="23">
        <v>19</v>
      </c>
      <c r="R16" s="23">
        <v>0</v>
      </c>
      <c r="S16" s="23">
        <v>0</v>
      </c>
      <c r="T16" s="23">
        <v>1</v>
      </c>
      <c r="U16" s="23">
        <v>1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</row>
    <row r="17" spans="1:36" x14ac:dyDescent="0.15">
      <c r="A17" s="23">
        <v>16</v>
      </c>
      <c r="B17" s="7" t="s">
        <v>90</v>
      </c>
      <c r="C17" s="23">
        <v>4107</v>
      </c>
      <c r="D17" s="23">
        <v>195</v>
      </c>
      <c r="E17" s="23">
        <v>3300</v>
      </c>
      <c r="F17" s="23">
        <v>437</v>
      </c>
      <c r="G17" s="23">
        <v>9</v>
      </c>
      <c r="H17" s="23">
        <v>34</v>
      </c>
      <c r="I17" s="23">
        <v>119</v>
      </c>
      <c r="J17" s="23">
        <v>229</v>
      </c>
      <c r="K17" s="23">
        <v>431</v>
      </c>
      <c r="L17" s="23">
        <f>SUM(テーブル46813[[#This Row],[Open数]:[Closed数]])</f>
        <v>660</v>
      </c>
      <c r="M17" s="23">
        <v>19</v>
      </c>
      <c r="N17" s="23">
        <v>387</v>
      </c>
      <c r="O17" s="23">
        <f>SUM(テーブル46813[[#This Row],[Open数2]:[Closed数3]])</f>
        <v>406</v>
      </c>
      <c r="P17" s="23">
        <v>24</v>
      </c>
      <c r="Q17" s="23">
        <v>10</v>
      </c>
      <c r="R17" s="23">
        <v>0</v>
      </c>
      <c r="S17" s="23">
        <v>0</v>
      </c>
      <c r="T17" s="23">
        <v>1</v>
      </c>
      <c r="U17" s="23">
        <v>0</v>
      </c>
      <c r="V17" s="23">
        <v>1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1</v>
      </c>
    </row>
    <row r="18" spans="1:36" x14ac:dyDescent="0.15">
      <c r="A18" s="23">
        <v>17</v>
      </c>
      <c r="B18" s="7" t="s">
        <v>55</v>
      </c>
      <c r="C18" s="23">
        <v>1162</v>
      </c>
      <c r="D18" s="23">
        <v>173</v>
      </c>
      <c r="E18" s="23">
        <v>1999</v>
      </c>
      <c r="F18" s="23">
        <v>385</v>
      </c>
      <c r="G18" s="23">
        <v>14</v>
      </c>
      <c r="H18" s="23">
        <v>36</v>
      </c>
      <c r="I18" s="23">
        <v>18</v>
      </c>
      <c r="J18" s="23">
        <v>0</v>
      </c>
      <c r="K18" s="23">
        <v>0</v>
      </c>
      <c r="L18" s="23">
        <f>SUM(テーブル46813[[#This Row],[Open数]:[Closed数]])</f>
        <v>0</v>
      </c>
      <c r="M18" s="23">
        <v>10</v>
      </c>
      <c r="N18" s="23">
        <v>44</v>
      </c>
      <c r="O18" s="23">
        <f>SUM(テーブル46813[[#This Row],[Open数2]:[Closed数3]])</f>
        <v>54</v>
      </c>
      <c r="P18" s="23">
        <v>0</v>
      </c>
      <c r="Q18" s="23">
        <v>0</v>
      </c>
      <c r="R18" s="23">
        <v>0</v>
      </c>
      <c r="S18" s="23">
        <v>0</v>
      </c>
      <c r="T18" s="23">
        <v>1</v>
      </c>
      <c r="U18" s="23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1</v>
      </c>
      <c r="AI18" s="23">
        <v>0</v>
      </c>
      <c r="AJ18" s="23">
        <v>0</v>
      </c>
    </row>
    <row r="19" spans="1:36" x14ac:dyDescent="0.15">
      <c r="A19" s="23">
        <v>18</v>
      </c>
      <c r="B19" s="7" t="s">
        <v>56</v>
      </c>
      <c r="C19" s="23">
        <v>710</v>
      </c>
      <c r="D19" s="23">
        <v>93</v>
      </c>
      <c r="E19" s="23">
        <v>2054</v>
      </c>
      <c r="F19" s="23">
        <v>278</v>
      </c>
      <c r="G19" s="25">
        <v>11</v>
      </c>
      <c r="H19" s="23">
        <v>9</v>
      </c>
      <c r="I19" s="23">
        <v>30</v>
      </c>
      <c r="J19" s="23">
        <v>27</v>
      </c>
      <c r="K19" s="23">
        <v>163</v>
      </c>
      <c r="L19" s="23">
        <f>SUM(テーブル46813[[#This Row],[Open数]:[Closed数]])</f>
        <v>190</v>
      </c>
      <c r="M19" s="23">
        <v>9</v>
      </c>
      <c r="N19" s="23">
        <v>179</v>
      </c>
      <c r="O19" s="23">
        <f>SUM(テーブル46813[[#This Row],[Open数2]:[Closed数3]])</f>
        <v>188</v>
      </c>
      <c r="P19" s="23">
        <v>3</v>
      </c>
      <c r="Q19" s="23">
        <v>3</v>
      </c>
      <c r="R19" s="23">
        <v>0</v>
      </c>
      <c r="S19" s="23">
        <v>1</v>
      </c>
      <c r="T19" s="23">
        <v>1</v>
      </c>
      <c r="U19" s="23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</row>
    <row r="20" spans="1:36" x14ac:dyDescent="0.15">
      <c r="A20" s="23">
        <v>19</v>
      </c>
      <c r="B20" s="7" t="s">
        <v>57</v>
      </c>
      <c r="C20" s="23">
        <v>1274</v>
      </c>
      <c r="D20" s="23">
        <v>420</v>
      </c>
      <c r="E20" s="23">
        <v>5809</v>
      </c>
      <c r="F20" s="23">
        <v>1101</v>
      </c>
      <c r="G20" s="23">
        <v>7</v>
      </c>
      <c r="H20" s="23">
        <v>15</v>
      </c>
      <c r="I20" s="23">
        <v>92</v>
      </c>
      <c r="J20" s="23">
        <v>130</v>
      </c>
      <c r="K20" s="23">
        <v>587</v>
      </c>
      <c r="L20" s="23">
        <f>SUM(テーブル46813[[#This Row],[Open数]:[Closed数]])</f>
        <v>717</v>
      </c>
      <c r="M20" s="23">
        <v>20</v>
      </c>
      <c r="N20" s="23">
        <v>389</v>
      </c>
      <c r="O20" s="23">
        <f>SUM(テーブル46813[[#This Row],[Open数2]:[Closed数3]])</f>
        <v>409</v>
      </c>
      <c r="P20" s="23">
        <v>3</v>
      </c>
      <c r="Q20" s="23">
        <v>12</v>
      </c>
      <c r="R20" s="23">
        <v>0</v>
      </c>
      <c r="S20" s="23">
        <v>0</v>
      </c>
      <c r="T20" s="23">
        <v>1</v>
      </c>
      <c r="U20" s="23">
        <v>1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</row>
    <row r="21" spans="1:36" x14ac:dyDescent="0.15">
      <c r="A21" s="23">
        <v>20</v>
      </c>
      <c r="B21" s="7" t="s">
        <v>93</v>
      </c>
      <c r="C21" s="23">
        <v>2544</v>
      </c>
      <c r="D21" s="23">
        <v>547</v>
      </c>
      <c r="E21" s="23">
        <v>6575</v>
      </c>
      <c r="F21" s="23">
        <v>2133</v>
      </c>
      <c r="G21" s="23">
        <v>3</v>
      </c>
      <c r="H21" s="23">
        <v>34</v>
      </c>
      <c r="I21" s="23">
        <v>111</v>
      </c>
      <c r="J21" s="23">
        <v>50</v>
      </c>
      <c r="K21" s="23">
        <v>672</v>
      </c>
      <c r="L21" s="23">
        <f>SUM(テーブル46813[[#This Row],[Open数]:[Closed数]])</f>
        <v>722</v>
      </c>
      <c r="M21" s="23">
        <v>5</v>
      </c>
      <c r="N21" s="23">
        <v>567</v>
      </c>
      <c r="O21" s="23">
        <f>SUM(テーブル46813[[#This Row],[Open数2]:[Closed数3]])</f>
        <v>572</v>
      </c>
      <c r="P21" s="23">
        <v>14</v>
      </c>
      <c r="Q21" s="23">
        <v>10</v>
      </c>
      <c r="R21" s="23">
        <v>0</v>
      </c>
      <c r="S21" s="23">
        <v>0</v>
      </c>
      <c r="T21" s="23">
        <v>1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1</v>
      </c>
    </row>
    <row r="22" spans="1:36" x14ac:dyDescent="0.15">
      <c r="A22" s="23">
        <v>21</v>
      </c>
      <c r="B22" s="7" t="s">
        <v>59</v>
      </c>
      <c r="C22" s="23">
        <v>2762</v>
      </c>
      <c r="D22" s="23">
        <v>95</v>
      </c>
      <c r="E22" s="23">
        <v>1178</v>
      </c>
      <c r="F22" s="23">
        <v>278</v>
      </c>
      <c r="G22" s="23">
        <v>4</v>
      </c>
      <c r="H22" s="23">
        <v>20</v>
      </c>
      <c r="I22" s="23">
        <v>26</v>
      </c>
      <c r="J22" s="23">
        <v>92</v>
      </c>
      <c r="K22" s="23">
        <v>366</v>
      </c>
      <c r="L22" s="23">
        <f>SUM(テーブル46813[[#This Row],[Open数]:[Closed数]])</f>
        <v>458</v>
      </c>
      <c r="M22" s="23">
        <v>1</v>
      </c>
      <c r="N22" s="23">
        <v>144</v>
      </c>
      <c r="O22" s="23">
        <f>SUM(テーブル46813[[#This Row],[Open数2]:[Closed数3]])</f>
        <v>145</v>
      </c>
      <c r="P22" s="23">
        <v>11</v>
      </c>
      <c r="Q22" s="23">
        <v>5</v>
      </c>
      <c r="R22" s="23">
        <v>0</v>
      </c>
      <c r="S22" s="23">
        <v>0</v>
      </c>
      <c r="T22" s="23">
        <v>1</v>
      </c>
      <c r="U22" s="23">
        <v>1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</row>
    <row r="23" spans="1:36" x14ac:dyDescent="0.15">
      <c r="A23" s="23">
        <v>22</v>
      </c>
      <c r="B23" s="7" t="s">
        <v>133</v>
      </c>
      <c r="C23" s="23">
        <v>2792</v>
      </c>
      <c r="D23" s="23">
        <v>232</v>
      </c>
      <c r="E23" s="23">
        <v>1852</v>
      </c>
      <c r="F23" s="23">
        <v>283</v>
      </c>
      <c r="G23" s="23">
        <v>166</v>
      </c>
      <c r="H23" s="23">
        <v>178</v>
      </c>
      <c r="I23" s="23">
        <v>63</v>
      </c>
      <c r="J23" s="23">
        <v>54</v>
      </c>
      <c r="K23" s="23">
        <v>198</v>
      </c>
      <c r="L23" s="23">
        <f>SUM(テーブル46813[[#This Row],[Open数]:[Closed数]])</f>
        <v>252</v>
      </c>
      <c r="M23" s="23">
        <v>6</v>
      </c>
      <c r="N23" s="23">
        <v>361</v>
      </c>
      <c r="O23" s="23">
        <f>SUM(テーブル46813[[#This Row],[Open数2]:[Closed数3]])</f>
        <v>367</v>
      </c>
      <c r="P23" s="23">
        <v>4</v>
      </c>
      <c r="Q23" s="23">
        <v>20</v>
      </c>
      <c r="R23" s="23">
        <v>0</v>
      </c>
      <c r="S23" s="23">
        <v>0</v>
      </c>
      <c r="T23" s="23">
        <v>0</v>
      </c>
      <c r="U23" s="23">
        <v>1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1</v>
      </c>
      <c r="AC23" s="23">
        <v>1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</row>
    <row r="24" spans="1:36" x14ac:dyDescent="0.15">
      <c r="A24" s="23">
        <v>23</v>
      </c>
      <c r="B24" s="7" t="s">
        <v>61</v>
      </c>
      <c r="C24" s="23">
        <v>27747</v>
      </c>
      <c r="D24" s="23">
        <v>559</v>
      </c>
      <c r="E24" s="23">
        <v>5955</v>
      </c>
      <c r="F24" s="23">
        <v>1650</v>
      </c>
      <c r="G24" s="25">
        <v>14</v>
      </c>
      <c r="H24" s="23">
        <v>230</v>
      </c>
      <c r="I24" s="23">
        <v>197</v>
      </c>
      <c r="J24" s="23">
        <v>0</v>
      </c>
      <c r="K24" s="23">
        <v>0</v>
      </c>
      <c r="L24" s="23">
        <f>SUM(テーブル46813[[#This Row],[Open数]:[Closed数]])</f>
        <v>0</v>
      </c>
      <c r="M24" s="23">
        <v>16</v>
      </c>
      <c r="N24" s="23">
        <v>847</v>
      </c>
      <c r="O24" s="23">
        <f>SUM(テーブル46813[[#This Row],[Open数2]:[Closed数3]])</f>
        <v>863</v>
      </c>
      <c r="P24" s="23">
        <v>0</v>
      </c>
      <c r="Q24" s="23">
        <v>0</v>
      </c>
      <c r="R24" s="23">
        <v>0</v>
      </c>
      <c r="S24" s="23">
        <v>0</v>
      </c>
      <c r="T24" s="23">
        <v>1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1</v>
      </c>
      <c r="AB24" s="23">
        <v>0</v>
      </c>
      <c r="AC24" s="23">
        <v>0</v>
      </c>
      <c r="AD24" s="23">
        <v>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</row>
    <row r="25" spans="1:36" x14ac:dyDescent="0.15">
      <c r="A25" s="23">
        <v>24</v>
      </c>
      <c r="B25" s="7" t="s">
        <v>62</v>
      </c>
      <c r="C25" s="23">
        <v>4699</v>
      </c>
      <c r="D25" s="23">
        <v>1085</v>
      </c>
      <c r="E25" s="23">
        <v>10901</v>
      </c>
      <c r="F25" s="23">
        <v>3355</v>
      </c>
      <c r="G25" s="23">
        <v>13</v>
      </c>
      <c r="H25" s="23">
        <v>152</v>
      </c>
      <c r="I25" s="23">
        <v>144</v>
      </c>
      <c r="J25" s="23">
        <v>393</v>
      </c>
      <c r="K25" s="23">
        <v>938</v>
      </c>
      <c r="L25" s="23">
        <f>SUM(テーブル46813[[#This Row],[Open数]:[Closed数]])</f>
        <v>1331</v>
      </c>
      <c r="M25" s="23">
        <v>206</v>
      </c>
      <c r="N25" s="23">
        <v>588</v>
      </c>
      <c r="O25" s="23">
        <f>SUM(テーブル46813[[#This Row],[Open数2]:[Closed数3]])</f>
        <v>794</v>
      </c>
      <c r="P25" s="23">
        <v>4</v>
      </c>
      <c r="Q25" s="23">
        <v>15</v>
      </c>
      <c r="R25" s="23">
        <v>0</v>
      </c>
      <c r="S25" s="23">
        <v>1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1</v>
      </c>
      <c r="AE25" s="23">
        <v>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</row>
    <row r="26" spans="1:36" x14ac:dyDescent="0.15">
      <c r="A26" s="23">
        <v>25</v>
      </c>
      <c r="B26" s="7" t="s">
        <v>63</v>
      </c>
      <c r="C26" s="23">
        <v>3196</v>
      </c>
      <c r="D26" s="23">
        <v>97</v>
      </c>
      <c r="E26" s="23">
        <v>800</v>
      </c>
      <c r="F26" s="23">
        <v>165</v>
      </c>
      <c r="G26" s="25">
        <v>1</v>
      </c>
      <c r="H26" s="23">
        <v>2</v>
      </c>
      <c r="I26" s="23">
        <v>54</v>
      </c>
      <c r="J26" s="23">
        <v>30</v>
      </c>
      <c r="K26" s="23">
        <v>432</v>
      </c>
      <c r="L26" s="23">
        <f>SUM(テーブル46813[[#This Row],[Open数]:[Closed数]])</f>
        <v>462</v>
      </c>
      <c r="M26" s="23">
        <v>4</v>
      </c>
      <c r="N26" s="23">
        <v>268</v>
      </c>
      <c r="O26" s="23">
        <f>SUM(テーブル46813[[#This Row],[Open数2]:[Closed数3]])</f>
        <v>272</v>
      </c>
      <c r="P26" s="23">
        <v>0</v>
      </c>
      <c r="Q26" s="23">
        <v>8</v>
      </c>
      <c r="R26" s="23">
        <v>0</v>
      </c>
      <c r="S26" s="23">
        <v>0</v>
      </c>
      <c r="T26" s="23">
        <v>0</v>
      </c>
      <c r="U26" s="23">
        <v>0</v>
      </c>
      <c r="V26" s="23">
        <v>1</v>
      </c>
      <c r="W26" s="23">
        <v>0</v>
      </c>
      <c r="X26" s="23">
        <v>0</v>
      </c>
      <c r="Y26" s="23">
        <v>0</v>
      </c>
      <c r="Z26" s="23">
        <v>1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1</v>
      </c>
      <c r="AJ26" s="23">
        <v>0</v>
      </c>
    </row>
    <row r="27" spans="1:36" x14ac:dyDescent="0.15">
      <c r="A27" s="23">
        <v>26</v>
      </c>
      <c r="B27" s="7" t="s">
        <v>64</v>
      </c>
      <c r="C27" s="23">
        <v>341</v>
      </c>
      <c r="D27" s="23">
        <v>253</v>
      </c>
      <c r="E27" s="23">
        <v>2055</v>
      </c>
      <c r="F27" s="23">
        <v>1015</v>
      </c>
      <c r="G27" s="23">
        <v>5</v>
      </c>
      <c r="H27" s="23">
        <v>0</v>
      </c>
      <c r="I27" s="23">
        <v>19</v>
      </c>
      <c r="J27" s="23">
        <v>6</v>
      </c>
      <c r="K27" s="23">
        <v>2</v>
      </c>
      <c r="L27" s="23">
        <f>SUM(テーブル46813[[#This Row],[Open数]:[Closed数]])</f>
        <v>8</v>
      </c>
      <c r="M27" s="23">
        <v>17</v>
      </c>
      <c r="N27" s="23">
        <v>29</v>
      </c>
      <c r="O27" s="23">
        <f>SUM(テーブル46813[[#This Row],[Open数2]:[Closed数3]])</f>
        <v>46</v>
      </c>
      <c r="P27" s="23">
        <v>0</v>
      </c>
      <c r="Q27" s="23">
        <v>0</v>
      </c>
      <c r="R27" s="23">
        <v>0</v>
      </c>
      <c r="S27" s="23">
        <v>0</v>
      </c>
      <c r="T27" s="23">
        <v>1</v>
      </c>
      <c r="U27" s="23">
        <v>1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</row>
    <row r="28" spans="1:36" x14ac:dyDescent="0.15">
      <c r="A28" s="23">
        <v>27</v>
      </c>
      <c r="B28" s="7" t="s">
        <v>134</v>
      </c>
      <c r="C28" s="23">
        <v>1244</v>
      </c>
      <c r="D28" s="23">
        <v>422</v>
      </c>
      <c r="E28" s="23">
        <v>8467</v>
      </c>
      <c r="F28" s="23">
        <v>1337</v>
      </c>
      <c r="G28" s="23">
        <v>5</v>
      </c>
      <c r="H28" s="23">
        <v>3</v>
      </c>
      <c r="I28" s="23">
        <v>187</v>
      </c>
      <c r="J28" s="23">
        <v>34</v>
      </c>
      <c r="K28" s="23">
        <v>181</v>
      </c>
      <c r="L28" s="23">
        <f>SUM(テーブル46813[[#This Row],[Open数]:[Closed数]])</f>
        <v>215</v>
      </c>
      <c r="M28" s="23">
        <v>4</v>
      </c>
      <c r="N28" s="23">
        <v>399</v>
      </c>
      <c r="O28" s="23">
        <f>SUM(テーブル46813[[#This Row],[Open数2]:[Closed数3]])</f>
        <v>403</v>
      </c>
      <c r="P28" s="23">
        <v>2</v>
      </c>
      <c r="Q28" s="23">
        <v>9</v>
      </c>
      <c r="R28" s="23">
        <v>0</v>
      </c>
      <c r="S28" s="23">
        <v>0</v>
      </c>
      <c r="T28" s="23">
        <v>1</v>
      </c>
      <c r="U28" s="23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1</v>
      </c>
    </row>
    <row r="29" spans="1:36" x14ac:dyDescent="0.15">
      <c r="A29" s="23">
        <v>28</v>
      </c>
      <c r="B29" s="7" t="s">
        <v>66</v>
      </c>
      <c r="C29" s="23">
        <v>102</v>
      </c>
      <c r="D29" s="23">
        <v>59</v>
      </c>
      <c r="E29" s="23">
        <v>2271</v>
      </c>
      <c r="F29" s="23">
        <v>233</v>
      </c>
      <c r="G29" s="25">
        <v>3</v>
      </c>
      <c r="H29" s="23">
        <v>9</v>
      </c>
      <c r="I29" s="23">
        <v>22</v>
      </c>
      <c r="J29" s="23">
        <v>15</v>
      </c>
      <c r="K29" s="23">
        <v>42</v>
      </c>
      <c r="L29" s="23">
        <f>SUM(テーブル46813[[#This Row],[Open数]:[Closed数]])</f>
        <v>57</v>
      </c>
      <c r="M29" s="23">
        <v>9</v>
      </c>
      <c r="N29" s="23">
        <v>51</v>
      </c>
      <c r="O29" s="23">
        <f>SUM(テーブル46813[[#This Row],[Open数2]:[Closed数3]])</f>
        <v>60</v>
      </c>
      <c r="P29" s="23">
        <v>0</v>
      </c>
      <c r="Q29" s="23">
        <v>0</v>
      </c>
      <c r="R29" s="23">
        <v>0</v>
      </c>
      <c r="S29" s="23">
        <v>1</v>
      </c>
      <c r="T29" s="23">
        <v>1</v>
      </c>
      <c r="U29" s="23">
        <v>0</v>
      </c>
      <c r="V29" s="23">
        <v>0</v>
      </c>
      <c r="W29" s="23">
        <v>0</v>
      </c>
      <c r="X29" s="23">
        <v>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</row>
    <row r="30" spans="1:36" x14ac:dyDescent="0.15">
      <c r="A30" s="23">
        <v>29</v>
      </c>
      <c r="B30" s="7" t="s">
        <v>68</v>
      </c>
      <c r="C30" s="23">
        <v>3453</v>
      </c>
      <c r="D30" s="23">
        <v>71</v>
      </c>
      <c r="E30" s="23">
        <v>1680</v>
      </c>
      <c r="F30" s="23">
        <v>180</v>
      </c>
      <c r="G30" s="23">
        <v>24</v>
      </c>
      <c r="H30" s="23">
        <v>32</v>
      </c>
      <c r="I30" s="23">
        <v>24</v>
      </c>
      <c r="J30" s="23">
        <v>265</v>
      </c>
      <c r="K30" s="23">
        <v>1045</v>
      </c>
      <c r="L30" s="23">
        <f>SUM(テーブル46813[[#This Row],[Open数]:[Closed数]])</f>
        <v>1310</v>
      </c>
      <c r="M30" s="23">
        <v>16</v>
      </c>
      <c r="N30" s="23">
        <v>649</v>
      </c>
      <c r="O30" s="23">
        <f>SUM(テーブル46813[[#This Row],[Open数2]:[Closed数3]])</f>
        <v>665</v>
      </c>
      <c r="P30" s="23">
        <v>0</v>
      </c>
      <c r="Q30" s="23">
        <v>13</v>
      </c>
      <c r="R30" s="23">
        <v>1</v>
      </c>
      <c r="S30" s="23">
        <v>0</v>
      </c>
      <c r="T30" s="23">
        <v>0</v>
      </c>
      <c r="U30" s="23">
        <v>0</v>
      </c>
      <c r="V30" s="23">
        <v>1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1</v>
      </c>
    </row>
    <row r="31" spans="1:36" x14ac:dyDescent="0.15">
      <c r="A31" s="23">
        <v>30</v>
      </c>
      <c r="B31" s="7" t="s">
        <v>69</v>
      </c>
      <c r="C31" s="23">
        <v>136</v>
      </c>
      <c r="D31" s="23">
        <v>56</v>
      </c>
      <c r="E31" s="23">
        <v>392</v>
      </c>
      <c r="F31" s="23">
        <v>78</v>
      </c>
      <c r="G31" s="25">
        <v>1</v>
      </c>
      <c r="H31" s="23">
        <v>21</v>
      </c>
      <c r="I31" s="23">
        <v>3</v>
      </c>
      <c r="J31" s="23">
        <v>0</v>
      </c>
      <c r="K31" s="23">
        <v>21</v>
      </c>
      <c r="L31" s="23">
        <f>SUM(テーブル46813[[#This Row],[Open数]:[Closed数]])</f>
        <v>21</v>
      </c>
      <c r="M31" s="23">
        <v>1</v>
      </c>
      <c r="N31" s="23">
        <v>8</v>
      </c>
      <c r="O31" s="23">
        <f>SUM(テーブル46813[[#This Row],[Open数2]:[Closed数3]])</f>
        <v>9</v>
      </c>
      <c r="P31" s="23">
        <v>0</v>
      </c>
      <c r="Q31" s="23">
        <v>7</v>
      </c>
      <c r="R31" s="23">
        <v>0</v>
      </c>
      <c r="S31" s="23">
        <v>0</v>
      </c>
      <c r="T31" s="23">
        <v>1</v>
      </c>
      <c r="U31" s="23">
        <v>1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</row>
    <row r="32" spans="1:36" x14ac:dyDescent="0.15">
      <c r="A32" s="23">
        <v>31</v>
      </c>
      <c r="B32" s="27" t="s">
        <v>263</v>
      </c>
      <c r="C32" s="24">
        <v>12</v>
      </c>
      <c r="D32" s="24">
        <v>450</v>
      </c>
      <c r="E32" s="25">
        <v>1884</v>
      </c>
      <c r="F32" s="24">
        <v>142</v>
      </c>
      <c r="G32" s="24">
        <v>1</v>
      </c>
      <c r="H32" s="24">
        <v>0</v>
      </c>
      <c r="I32" s="24">
        <v>1</v>
      </c>
      <c r="J32" s="24">
        <v>44</v>
      </c>
      <c r="K32" s="25">
        <v>3</v>
      </c>
      <c r="L32" s="23">
        <f>SUM(テーブル46813[[#This Row],[Open数]:[Closed数]])</f>
        <v>47</v>
      </c>
      <c r="M32" s="25">
        <v>15</v>
      </c>
      <c r="N32" s="25">
        <v>3</v>
      </c>
      <c r="O32" s="23">
        <f>SUM(テーブル46813[[#This Row],[Open数2]:[Closed数3]])</f>
        <v>18</v>
      </c>
      <c r="P32" s="25">
        <v>0</v>
      </c>
      <c r="Q32" s="25">
        <v>0</v>
      </c>
      <c r="R32" s="23">
        <v>0</v>
      </c>
      <c r="S32" s="23">
        <v>0</v>
      </c>
      <c r="T32" s="25">
        <v>1</v>
      </c>
      <c r="U32" s="25">
        <v>0</v>
      </c>
      <c r="V32" s="23">
        <v>1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</row>
    <row r="33" spans="1:36" x14ac:dyDescent="0.15">
      <c r="A33" s="23">
        <v>32</v>
      </c>
      <c r="B33" s="27" t="s">
        <v>230</v>
      </c>
      <c r="C33" s="24">
        <v>569</v>
      </c>
      <c r="D33" s="24">
        <v>197</v>
      </c>
      <c r="E33" s="25">
        <v>1296</v>
      </c>
      <c r="F33" s="24">
        <v>70</v>
      </c>
      <c r="G33" s="24">
        <v>4</v>
      </c>
      <c r="H33" s="24">
        <v>0</v>
      </c>
      <c r="I33" s="24">
        <v>2</v>
      </c>
      <c r="J33" s="24">
        <v>15</v>
      </c>
      <c r="K33" s="25">
        <v>11</v>
      </c>
      <c r="L33" s="23">
        <f>SUM(テーブル46813[[#This Row],[Open数]:[Closed数]])</f>
        <v>26</v>
      </c>
      <c r="M33" s="25">
        <v>1</v>
      </c>
      <c r="N33" s="25">
        <v>1</v>
      </c>
      <c r="O33" s="23">
        <f>SUM(テーブル46813[[#This Row],[Open数2]:[Closed数3]])</f>
        <v>2</v>
      </c>
      <c r="P33" s="25">
        <v>0</v>
      </c>
      <c r="Q33" s="25">
        <v>4</v>
      </c>
      <c r="R33" s="23">
        <v>0</v>
      </c>
      <c r="S33" s="23">
        <v>0</v>
      </c>
      <c r="T33" s="25">
        <v>1</v>
      </c>
      <c r="U33" s="25">
        <v>0</v>
      </c>
      <c r="V33" s="23">
        <v>0</v>
      </c>
      <c r="W33" s="23">
        <v>1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</row>
    <row r="34" spans="1:36" x14ac:dyDescent="0.15">
      <c r="A34" s="23">
        <v>33</v>
      </c>
      <c r="B34" s="27" t="s">
        <v>231</v>
      </c>
      <c r="C34" s="3">
        <v>238</v>
      </c>
      <c r="D34" s="3">
        <v>160</v>
      </c>
      <c r="E34" s="25">
        <v>1122</v>
      </c>
      <c r="F34" s="3">
        <v>69</v>
      </c>
      <c r="G34" s="3">
        <v>4</v>
      </c>
      <c r="H34" s="25">
        <v>2</v>
      </c>
      <c r="I34" s="3">
        <v>6</v>
      </c>
      <c r="J34" s="3">
        <v>27</v>
      </c>
      <c r="K34" s="25">
        <v>25</v>
      </c>
      <c r="L34" s="23">
        <f>SUM(テーブル46813[[#This Row],[Open数]:[Closed数]])</f>
        <v>52</v>
      </c>
      <c r="M34" s="25">
        <v>1</v>
      </c>
      <c r="N34" s="25">
        <v>7</v>
      </c>
      <c r="O34" s="23">
        <f>SUM(テーブル46813[[#This Row],[Open数2]:[Closed数3]])</f>
        <v>8</v>
      </c>
      <c r="P34" s="25">
        <v>6</v>
      </c>
      <c r="Q34" s="25">
        <v>5</v>
      </c>
      <c r="R34" s="23">
        <v>0</v>
      </c>
      <c r="S34" s="23">
        <v>0</v>
      </c>
      <c r="T34" s="25">
        <v>1</v>
      </c>
      <c r="U34" s="25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1</v>
      </c>
      <c r="AC34" s="23">
        <v>0</v>
      </c>
      <c r="AD34" s="23">
        <v>0</v>
      </c>
      <c r="AE34" s="23">
        <v>0</v>
      </c>
      <c r="AF34" s="23">
        <v>1</v>
      </c>
      <c r="AG34" s="23">
        <v>0</v>
      </c>
      <c r="AH34" s="23">
        <v>0</v>
      </c>
      <c r="AI34" s="23">
        <v>0</v>
      </c>
      <c r="AJ34" s="23">
        <v>0</v>
      </c>
    </row>
    <row r="35" spans="1:36" x14ac:dyDescent="0.15">
      <c r="A35" s="23">
        <v>34</v>
      </c>
      <c r="B35" s="27" t="s">
        <v>236</v>
      </c>
      <c r="C35" s="3">
        <v>276</v>
      </c>
      <c r="D35" s="3">
        <v>242</v>
      </c>
      <c r="E35" s="25">
        <v>2577</v>
      </c>
      <c r="F35" s="3">
        <v>191</v>
      </c>
      <c r="G35" s="3">
        <v>3</v>
      </c>
      <c r="H35" s="25">
        <v>11</v>
      </c>
      <c r="I35" s="3">
        <v>11</v>
      </c>
      <c r="J35" s="3">
        <v>62</v>
      </c>
      <c r="K35" s="25">
        <v>120</v>
      </c>
      <c r="L35" s="23">
        <f>SUM(テーブル46813[[#This Row],[Open数]:[Closed数]])</f>
        <v>182</v>
      </c>
      <c r="M35" s="25">
        <v>4</v>
      </c>
      <c r="N35" s="25">
        <v>36</v>
      </c>
      <c r="O35" s="23">
        <f>SUM(テーブル46813[[#This Row],[Open数2]:[Closed数3]])</f>
        <v>40</v>
      </c>
      <c r="P35" s="25">
        <v>17</v>
      </c>
      <c r="Q35" s="25">
        <v>9</v>
      </c>
      <c r="R35" s="23">
        <v>0</v>
      </c>
      <c r="S35" s="23">
        <v>0</v>
      </c>
      <c r="T35" s="25">
        <v>1</v>
      </c>
      <c r="U35" s="25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1</v>
      </c>
    </row>
    <row r="36" spans="1:36" x14ac:dyDescent="0.15">
      <c r="A36" s="23">
        <v>35</v>
      </c>
      <c r="B36" s="27" t="s">
        <v>264</v>
      </c>
      <c r="C36" s="25">
        <v>434</v>
      </c>
      <c r="D36" s="25">
        <v>121</v>
      </c>
      <c r="E36" s="25">
        <v>457</v>
      </c>
      <c r="F36" s="25">
        <v>45</v>
      </c>
      <c r="G36" s="25">
        <v>25</v>
      </c>
      <c r="H36" s="25">
        <v>16</v>
      </c>
      <c r="I36" s="25">
        <v>7</v>
      </c>
      <c r="J36" s="25">
        <v>13</v>
      </c>
      <c r="K36" s="25">
        <v>109</v>
      </c>
      <c r="L36" s="23">
        <f>SUM(テーブル46813[[#This Row],[Open数]:[Closed数]])</f>
        <v>122</v>
      </c>
      <c r="M36" s="25">
        <v>0</v>
      </c>
      <c r="N36" s="25">
        <v>23</v>
      </c>
      <c r="O36" s="23">
        <f>SUM(テーブル46813[[#This Row],[Open数2]:[Closed数3]])</f>
        <v>23</v>
      </c>
      <c r="P36" s="25">
        <v>15</v>
      </c>
      <c r="Q36" s="25">
        <v>2</v>
      </c>
      <c r="R36" s="23">
        <v>0</v>
      </c>
      <c r="S36" s="23">
        <v>0</v>
      </c>
      <c r="T36" s="25">
        <v>1</v>
      </c>
      <c r="U36" s="25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</row>
    <row r="37" spans="1:36" x14ac:dyDescent="0.15">
      <c r="A37" s="23">
        <v>36</v>
      </c>
      <c r="B37" s="27" t="s">
        <v>238</v>
      </c>
      <c r="C37" s="25">
        <v>3385</v>
      </c>
      <c r="D37" s="24">
        <v>1631</v>
      </c>
      <c r="E37" s="25">
        <v>8991</v>
      </c>
      <c r="F37" s="25">
        <v>526</v>
      </c>
      <c r="G37" s="25">
        <v>14</v>
      </c>
      <c r="H37" s="25">
        <v>22</v>
      </c>
      <c r="I37" s="25">
        <v>169</v>
      </c>
      <c r="J37" s="25">
        <v>159</v>
      </c>
      <c r="K37" s="25">
        <v>1767</v>
      </c>
      <c r="L37" s="23">
        <f>SUM(テーブル46813[[#This Row],[Open数]:[Closed数]])</f>
        <v>1926</v>
      </c>
      <c r="M37" s="25">
        <v>32</v>
      </c>
      <c r="N37" s="25">
        <v>1055</v>
      </c>
      <c r="O37" s="23">
        <f>SUM(テーブル46813[[#This Row],[Open数2]:[Closed数3]])</f>
        <v>1087</v>
      </c>
      <c r="P37" s="25">
        <v>0</v>
      </c>
      <c r="Q37" s="25">
        <v>20</v>
      </c>
      <c r="R37" s="23">
        <v>0</v>
      </c>
      <c r="S37" s="23">
        <v>0</v>
      </c>
      <c r="T37" s="25">
        <v>1</v>
      </c>
      <c r="U37" s="25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1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  <row r="38" spans="1:36" x14ac:dyDescent="0.15">
      <c r="A38" s="23">
        <v>37</v>
      </c>
      <c r="B38" s="27" t="s">
        <v>239</v>
      </c>
      <c r="C38" s="3">
        <v>13121</v>
      </c>
      <c r="D38" s="3">
        <v>973</v>
      </c>
      <c r="E38" s="3">
        <v>2028</v>
      </c>
      <c r="F38" s="3">
        <v>217</v>
      </c>
      <c r="G38" s="3">
        <v>3</v>
      </c>
      <c r="H38" s="3">
        <v>41</v>
      </c>
      <c r="I38" s="3">
        <v>272</v>
      </c>
      <c r="J38" s="3">
        <v>341</v>
      </c>
      <c r="K38" s="3">
        <v>1243</v>
      </c>
      <c r="L38" s="23">
        <f>SUM(テーブル46813[[#This Row],[Open数]:[Closed数]])</f>
        <v>1584</v>
      </c>
      <c r="M38" s="3">
        <v>81</v>
      </c>
      <c r="N38" s="3">
        <v>2118</v>
      </c>
      <c r="O38" s="23">
        <f>SUM(テーブル46813[[#This Row],[Open数2]:[Closed数3]])</f>
        <v>2199</v>
      </c>
      <c r="P38" s="25">
        <v>25</v>
      </c>
      <c r="Q38" s="25">
        <v>37</v>
      </c>
      <c r="R38" s="3">
        <v>1</v>
      </c>
      <c r="S38" s="23">
        <v>0</v>
      </c>
      <c r="T38" s="25">
        <v>0</v>
      </c>
      <c r="U38" s="25">
        <v>0</v>
      </c>
      <c r="V38" s="23">
        <v>1</v>
      </c>
      <c r="W38" s="23">
        <v>0</v>
      </c>
      <c r="X38" s="23">
        <v>0</v>
      </c>
      <c r="Y38" s="23">
        <v>0</v>
      </c>
      <c r="Z38" s="23">
        <v>0</v>
      </c>
      <c r="AA38" s="23">
        <v>1</v>
      </c>
      <c r="AB38" s="23">
        <v>0</v>
      </c>
      <c r="AC38" s="23">
        <v>0</v>
      </c>
      <c r="AD38" s="23">
        <v>1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1</v>
      </c>
    </row>
    <row r="39" spans="1:36" x14ac:dyDescent="0.15">
      <c r="A39" s="23">
        <v>38</v>
      </c>
      <c r="B39" s="27" t="s">
        <v>265</v>
      </c>
      <c r="C39" s="3">
        <v>642</v>
      </c>
      <c r="D39" s="3">
        <v>161</v>
      </c>
      <c r="E39" s="3">
        <v>835</v>
      </c>
      <c r="F39" s="3">
        <v>88</v>
      </c>
      <c r="G39" s="3">
        <v>5</v>
      </c>
      <c r="H39" s="3">
        <v>0</v>
      </c>
      <c r="I39" s="3">
        <v>26</v>
      </c>
      <c r="J39" s="3">
        <v>42</v>
      </c>
      <c r="K39" s="3">
        <v>79</v>
      </c>
      <c r="L39" s="23">
        <f>SUM(テーブル46813[[#This Row],[Open数]:[Closed数]])</f>
        <v>121</v>
      </c>
      <c r="M39" s="3">
        <v>6</v>
      </c>
      <c r="N39" s="3">
        <v>42</v>
      </c>
      <c r="O39" s="23">
        <f>SUM(テーブル46813[[#This Row],[Open数2]:[Closed数3]])</f>
        <v>48</v>
      </c>
      <c r="P39" s="25">
        <v>0</v>
      </c>
      <c r="Q39" s="25">
        <v>4</v>
      </c>
      <c r="R39" s="3">
        <v>0</v>
      </c>
      <c r="S39" s="23">
        <v>0</v>
      </c>
      <c r="T39" s="25">
        <v>1</v>
      </c>
      <c r="U39" s="25">
        <v>1</v>
      </c>
      <c r="V39" s="23">
        <v>1</v>
      </c>
      <c r="W39" s="23">
        <v>0</v>
      </c>
      <c r="X39" s="23">
        <v>1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</row>
    <row r="40" spans="1:36" x14ac:dyDescent="0.15">
      <c r="A40" s="23">
        <v>39</v>
      </c>
      <c r="B40" s="27" t="s">
        <v>246</v>
      </c>
      <c r="C40" s="25">
        <v>1492</v>
      </c>
      <c r="D40" s="25">
        <v>753</v>
      </c>
      <c r="E40" s="25">
        <v>3396</v>
      </c>
      <c r="F40" s="25">
        <v>227</v>
      </c>
      <c r="G40" s="25">
        <v>5</v>
      </c>
      <c r="H40" s="25">
        <v>23</v>
      </c>
      <c r="I40" s="25">
        <v>54</v>
      </c>
      <c r="J40" s="25">
        <v>167</v>
      </c>
      <c r="K40" s="25">
        <v>375</v>
      </c>
      <c r="L40" s="23">
        <f>SUM(テーブル46813[[#This Row],[Open数]:[Closed数]])</f>
        <v>542</v>
      </c>
      <c r="M40" s="25">
        <v>27</v>
      </c>
      <c r="N40" s="25">
        <v>189</v>
      </c>
      <c r="O40" s="23">
        <f>SUM(テーブル46813[[#This Row],[Open数2]:[Closed数3]])</f>
        <v>216</v>
      </c>
      <c r="P40" s="25">
        <v>6</v>
      </c>
      <c r="Q40" s="25">
        <v>9</v>
      </c>
      <c r="R40" s="3">
        <v>0</v>
      </c>
      <c r="S40" s="23">
        <v>0</v>
      </c>
      <c r="T40" s="25">
        <v>1</v>
      </c>
      <c r="U40" s="25">
        <v>1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</v>
      </c>
    </row>
    <row r="41" spans="1:36" x14ac:dyDescent="0.15">
      <c r="A41" s="23">
        <v>40</v>
      </c>
      <c r="B41" s="27" t="s">
        <v>247</v>
      </c>
      <c r="C41" s="25">
        <v>97</v>
      </c>
      <c r="D41" s="25">
        <v>3543</v>
      </c>
      <c r="E41" s="25">
        <v>12035</v>
      </c>
      <c r="F41" s="25">
        <v>656</v>
      </c>
      <c r="G41" s="25">
        <v>4</v>
      </c>
      <c r="H41" s="25">
        <v>6</v>
      </c>
      <c r="I41" s="25">
        <v>14</v>
      </c>
      <c r="J41" s="25">
        <v>289</v>
      </c>
      <c r="K41" s="25">
        <v>289</v>
      </c>
      <c r="L41" s="23">
        <f>SUM(テーブル46813[[#This Row],[Open数]:[Closed数]])</f>
        <v>578</v>
      </c>
      <c r="M41" s="25">
        <v>93</v>
      </c>
      <c r="N41" s="25">
        <v>80</v>
      </c>
      <c r="O41" s="23">
        <f>SUM(テーブル46813[[#This Row],[Open数2]:[Closed数3]])</f>
        <v>173</v>
      </c>
      <c r="P41" s="25">
        <v>0</v>
      </c>
      <c r="Q41" s="25">
        <v>11</v>
      </c>
      <c r="R41" s="3">
        <v>0</v>
      </c>
      <c r="S41" s="23">
        <v>0</v>
      </c>
      <c r="T41" s="25">
        <v>1</v>
      </c>
      <c r="U41" s="25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</row>
    <row r="42" spans="1:36" x14ac:dyDescent="0.15">
      <c r="A42" s="23">
        <v>41</v>
      </c>
      <c r="B42" s="27" t="s">
        <v>248</v>
      </c>
      <c r="C42" s="25">
        <v>384</v>
      </c>
      <c r="D42" s="25">
        <v>150</v>
      </c>
      <c r="E42" s="25">
        <v>3591</v>
      </c>
      <c r="F42" s="25">
        <v>160</v>
      </c>
      <c r="G42" s="25">
        <v>2</v>
      </c>
      <c r="H42" s="25">
        <v>14</v>
      </c>
      <c r="I42" s="25">
        <v>7</v>
      </c>
      <c r="J42" s="25">
        <v>34</v>
      </c>
      <c r="K42" s="25">
        <v>59</v>
      </c>
      <c r="L42" s="23">
        <f>SUM(テーブル46813[[#This Row],[Open数]:[Closed数]])</f>
        <v>93</v>
      </c>
      <c r="M42" s="25">
        <v>0</v>
      </c>
      <c r="N42" s="25">
        <v>48</v>
      </c>
      <c r="O42" s="23">
        <f>SUM(テーブル46813[[#This Row],[Open数2]:[Closed数3]])</f>
        <v>48</v>
      </c>
      <c r="P42" s="25">
        <v>0</v>
      </c>
      <c r="Q42" s="25">
        <v>10</v>
      </c>
      <c r="R42" s="3">
        <v>0</v>
      </c>
      <c r="S42" s="23">
        <v>0</v>
      </c>
      <c r="T42" s="25">
        <v>1</v>
      </c>
      <c r="U42" s="25">
        <v>1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1</v>
      </c>
      <c r="AG42" s="23">
        <v>0</v>
      </c>
      <c r="AH42" s="23">
        <v>0</v>
      </c>
      <c r="AI42" s="23">
        <v>0</v>
      </c>
      <c r="AJ42" s="23">
        <v>0</v>
      </c>
    </row>
    <row r="43" spans="1:36" x14ac:dyDescent="0.15">
      <c r="A43" s="23">
        <v>42</v>
      </c>
      <c r="B43" s="27" t="s">
        <v>249</v>
      </c>
      <c r="C43" s="25">
        <v>218</v>
      </c>
      <c r="D43" s="25">
        <v>366</v>
      </c>
      <c r="E43" s="25">
        <v>2328</v>
      </c>
      <c r="F43" s="25">
        <v>185</v>
      </c>
      <c r="G43" s="25">
        <v>5</v>
      </c>
      <c r="H43" s="25">
        <v>5</v>
      </c>
      <c r="I43" s="25">
        <v>9</v>
      </c>
      <c r="J43" s="25">
        <v>15</v>
      </c>
      <c r="K43" s="25">
        <v>52</v>
      </c>
      <c r="L43" s="23">
        <f>SUM(テーブル46813[[#This Row],[Open数]:[Closed数]])</f>
        <v>67</v>
      </c>
      <c r="M43" s="25">
        <v>4</v>
      </c>
      <c r="N43" s="25">
        <v>9</v>
      </c>
      <c r="O43" s="23">
        <f>SUM(テーブル46813[[#This Row],[Open数2]:[Closed数3]])</f>
        <v>13</v>
      </c>
      <c r="P43" s="25">
        <v>13</v>
      </c>
      <c r="Q43" s="25">
        <v>10</v>
      </c>
      <c r="R43" s="3">
        <v>0</v>
      </c>
      <c r="S43" s="23">
        <v>0</v>
      </c>
      <c r="T43" s="25">
        <v>1</v>
      </c>
      <c r="U43" s="25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</row>
    <row r="44" spans="1:36" x14ac:dyDescent="0.15">
      <c r="A44" s="23">
        <v>43</v>
      </c>
      <c r="B44" s="27" t="s">
        <v>266</v>
      </c>
      <c r="C44" s="25">
        <v>365</v>
      </c>
      <c r="D44" s="25">
        <v>232</v>
      </c>
      <c r="E44" s="25">
        <v>4336</v>
      </c>
      <c r="F44" s="25">
        <v>162</v>
      </c>
      <c r="G44" s="25">
        <v>4</v>
      </c>
      <c r="H44" s="25">
        <v>26</v>
      </c>
      <c r="I44" s="25">
        <v>14</v>
      </c>
      <c r="J44" s="25">
        <v>16</v>
      </c>
      <c r="K44" s="25">
        <v>41</v>
      </c>
      <c r="L44" s="23">
        <f>SUM(テーブル46813[[#This Row],[Open数]:[Closed数]])</f>
        <v>57</v>
      </c>
      <c r="M44" s="25">
        <v>1</v>
      </c>
      <c r="N44" s="25">
        <v>23</v>
      </c>
      <c r="O44" s="23">
        <f>SUM(テーブル46813[[#This Row],[Open数2]:[Closed数3]])</f>
        <v>24</v>
      </c>
      <c r="P44" s="25">
        <v>0</v>
      </c>
      <c r="Q44" s="25">
        <v>6</v>
      </c>
      <c r="R44" s="3">
        <v>0</v>
      </c>
      <c r="S44" s="23">
        <v>0</v>
      </c>
      <c r="T44" s="25">
        <v>1</v>
      </c>
      <c r="U44" s="25">
        <v>1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</row>
    <row r="45" spans="1:36" x14ac:dyDescent="0.15">
      <c r="A45" s="23">
        <v>44</v>
      </c>
      <c r="B45" s="27" t="s">
        <v>250</v>
      </c>
      <c r="C45" s="25">
        <v>1184</v>
      </c>
      <c r="D45" s="25">
        <v>1325</v>
      </c>
      <c r="E45" s="25">
        <v>3043</v>
      </c>
      <c r="F45" s="25">
        <v>460</v>
      </c>
      <c r="G45" s="25">
        <v>3</v>
      </c>
      <c r="H45" s="25">
        <v>19</v>
      </c>
      <c r="I45" s="25">
        <v>13</v>
      </c>
      <c r="J45" s="25">
        <v>61</v>
      </c>
      <c r="K45" s="25">
        <v>757</v>
      </c>
      <c r="L45" s="23">
        <f>SUM(テーブル46813[[#This Row],[Open数]:[Closed数]])</f>
        <v>818</v>
      </c>
      <c r="M45" s="25">
        <v>1</v>
      </c>
      <c r="N45" s="25">
        <v>59</v>
      </c>
      <c r="O45" s="23">
        <f>SUM(テーブル46813[[#This Row],[Open数2]:[Closed数3]])</f>
        <v>60</v>
      </c>
      <c r="P45" s="25">
        <v>5</v>
      </c>
      <c r="Q45" s="25">
        <v>24</v>
      </c>
      <c r="R45" s="3">
        <v>0</v>
      </c>
      <c r="S45" s="23">
        <v>0</v>
      </c>
      <c r="T45" s="25">
        <v>1</v>
      </c>
      <c r="U45" s="25">
        <v>1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</row>
    <row r="46" spans="1:36" x14ac:dyDescent="0.15">
      <c r="A46" s="23">
        <v>45</v>
      </c>
      <c r="B46" s="27" t="s">
        <v>251</v>
      </c>
      <c r="C46" s="25">
        <v>2951</v>
      </c>
      <c r="D46" s="25">
        <v>985</v>
      </c>
      <c r="E46" s="25">
        <v>2399</v>
      </c>
      <c r="F46" s="25">
        <v>44</v>
      </c>
      <c r="G46" s="25">
        <v>21</v>
      </c>
      <c r="H46" s="25">
        <v>47</v>
      </c>
      <c r="I46" s="25">
        <v>415</v>
      </c>
      <c r="J46" s="25">
        <v>53</v>
      </c>
      <c r="K46" s="25">
        <v>517</v>
      </c>
      <c r="L46" s="23">
        <f>SUM(テーブル46813[[#This Row],[Open数]:[Closed数]])</f>
        <v>570</v>
      </c>
      <c r="M46" s="25">
        <v>40</v>
      </c>
      <c r="N46" s="25">
        <v>1077</v>
      </c>
      <c r="O46" s="23">
        <f>SUM(テーブル46813[[#This Row],[Open数2]:[Closed数3]])</f>
        <v>1117</v>
      </c>
      <c r="P46" s="25">
        <v>0</v>
      </c>
      <c r="Q46" s="25">
        <v>13</v>
      </c>
      <c r="R46" s="3">
        <v>0</v>
      </c>
      <c r="S46" s="25">
        <v>1</v>
      </c>
      <c r="T46" s="25">
        <v>0</v>
      </c>
      <c r="U46" s="25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1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</row>
    <row r="47" spans="1:36" x14ac:dyDescent="0.15">
      <c r="A47" s="23">
        <v>46</v>
      </c>
      <c r="B47" s="27" t="s">
        <v>253</v>
      </c>
      <c r="C47" s="25">
        <v>394</v>
      </c>
      <c r="D47" s="25">
        <v>1136</v>
      </c>
      <c r="E47" s="25">
        <v>10175</v>
      </c>
      <c r="F47" s="25">
        <v>438</v>
      </c>
      <c r="G47" s="25">
        <v>3</v>
      </c>
      <c r="H47" s="25">
        <v>21</v>
      </c>
      <c r="I47" s="25">
        <v>53</v>
      </c>
      <c r="J47" s="25">
        <v>26</v>
      </c>
      <c r="K47" s="25">
        <v>220</v>
      </c>
      <c r="L47" s="23">
        <f>SUM(テーブル46813[[#This Row],[Open数]:[Closed数]])</f>
        <v>246</v>
      </c>
      <c r="M47" s="25">
        <v>28</v>
      </c>
      <c r="N47" s="25">
        <v>181</v>
      </c>
      <c r="O47" s="23">
        <f>SUM(テーブル46813[[#This Row],[Open数2]:[Closed数3]])</f>
        <v>209</v>
      </c>
      <c r="P47" s="25">
        <v>0</v>
      </c>
      <c r="Q47" s="25">
        <v>3</v>
      </c>
      <c r="R47" s="3">
        <v>0</v>
      </c>
      <c r="S47" s="25">
        <v>0</v>
      </c>
      <c r="T47" s="25">
        <v>1</v>
      </c>
      <c r="U47" s="25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1</v>
      </c>
    </row>
    <row r="48" spans="1:36" x14ac:dyDescent="0.15">
      <c r="A48" s="23">
        <v>47</v>
      </c>
      <c r="B48" s="27" t="s">
        <v>254</v>
      </c>
      <c r="C48" s="25">
        <v>3279</v>
      </c>
      <c r="D48" s="25">
        <v>7535</v>
      </c>
      <c r="E48" s="25">
        <v>31413</v>
      </c>
      <c r="F48" s="25">
        <v>714</v>
      </c>
      <c r="G48" s="25">
        <v>35</v>
      </c>
      <c r="H48" s="25">
        <v>175</v>
      </c>
      <c r="I48" s="25">
        <v>81</v>
      </c>
      <c r="J48" s="25">
        <v>147</v>
      </c>
      <c r="K48" s="25">
        <v>1078</v>
      </c>
      <c r="L48" s="23">
        <f>SUM(テーブル46813[[#This Row],[Open数]:[Closed数]])</f>
        <v>1225</v>
      </c>
      <c r="M48" s="25">
        <v>66</v>
      </c>
      <c r="N48" s="25">
        <v>813</v>
      </c>
      <c r="O48" s="23">
        <f>SUM(テーブル46813[[#This Row],[Open数2]:[Closed数3]])</f>
        <v>879</v>
      </c>
      <c r="P48" s="25">
        <v>67</v>
      </c>
      <c r="Q48" s="25">
        <v>12</v>
      </c>
      <c r="R48" s="3">
        <v>0</v>
      </c>
      <c r="S48" s="25">
        <v>0</v>
      </c>
      <c r="T48" s="25">
        <v>1</v>
      </c>
      <c r="U48" s="25">
        <v>1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36" x14ac:dyDescent="0.15">
      <c r="A49" s="23">
        <v>48</v>
      </c>
      <c r="B49" s="27" t="s">
        <v>255</v>
      </c>
      <c r="C49" s="25">
        <v>269</v>
      </c>
      <c r="D49" s="25">
        <v>226</v>
      </c>
      <c r="E49" s="25">
        <v>2672</v>
      </c>
      <c r="F49" s="25">
        <v>94</v>
      </c>
      <c r="G49" s="25">
        <v>4</v>
      </c>
      <c r="H49" s="25">
        <v>27</v>
      </c>
      <c r="I49" s="25">
        <v>6</v>
      </c>
      <c r="J49" s="25">
        <v>1</v>
      </c>
      <c r="K49" s="25">
        <v>27</v>
      </c>
      <c r="L49" s="23">
        <f>SUM(テーブル46813[[#This Row],[Open数]:[Closed数]])</f>
        <v>28</v>
      </c>
      <c r="M49" s="25">
        <v>1</v>
      </c>
      <c r="N49" s="25">
        <v>19</v>
      </c>
      <c r="O49" s="23">
        <f>SUM(テーブル46813[[#This Row],[Open数2]:[Closed数3]])</f>
        <v>20</v>
      </c>
      <c r="P49" s="25">
        <v>0</v>
      </c>
      <c r="Q49" s="25">
        <v>0</v>
      </c>
      <c r="R49" s="3">
        <v>0</v>
      </c>
      <c r="S49" s="25">
        <v>1</v>
      </c>
      <c r="T49" s="25">
        <v>1</v>
      </c>
      <c r="U49" s="25">
        <v>1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</row>
    <row r="50" spans="1:36" x14ac:dyDescent="0.15">
      <c r="A50" s="23">
        <v>49</v>
      </c>
      <c r="B50" s="27" t="s">
        <v>256</v>
      </c>
      <c r="C50" s="25">
        <v>1299</v>
      </c>
      <c r="D50" s="25">
        <v>246</v>
      </c>
      <c r="E50" s="25">
        <v>1464</v>
      </c>
      <c r="F50" s="25">
        <v>110</v>
      </c>
      <c r="G50" s="25">
        <v>17</v>
      </c>
      <c r="H50" s="25">
        <v>6</v>
      </c>
      <c r="I50" s="25">
        <v>41</v>
      </c>
      <c r="J50" s="25">
        <v>40</v>
      </c>
      <c r="K50" s="25">
        <v>302</v>
      </c>
      <c r="L50" s="23">
        <f>SUM(テーブル46813[[#This Row],[Open数]:[Closed数]])</f>
        <v>342</v>
      </c>
      <c r="M50" s="25">
        <v>1</v>
      </c>
      <c r="N50" s="25">
        <v>111</v>
      </c>
      <c r="O50" s="23">
        <f>SUM(テーブル46813[[#This Row],[Open数2]:[Closed数3]])</f>
        <v>112</v>
      </c>
      <c r="P50" s="25">
        <v>2</v>
      </c>
      <c r="Q50" s="25">
        <v>10</v>
      </c>
      <c r="R50" s="3">
        <v>0</v>
      </c>
      <c r="S50" s="25">
        <v>0</v>
      </c>
      <c r="T50" s="25">
        <v>1</v>
      </c>
      <c r="U50" s="25">
        <v>1</v>
      </c>
      <c r="V50" s="23">
        <v>1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</row>
    <row r="51" spans="1:36" x14ac:dyDescent="0.15">
      <c r="A51" s="23">
        <v>50</v>
      </c>
      <c r="B51" s="27" t="s">
        <v>257</v>
      </c>
      <c r="C51" s="25">
        <v>613</v>
      </c>
      <c r="D51" s="25">
        <v>574</v>
      </c>
      <c r="E51" s="25">
        <v>4122</v>
      </c>
      <c r="F51" s="25">
        <v>227</v>
      </c>
      <c r="G51" s="25">
        <v>8</v>
      </c>
      <c r="H51" s="25">
        <v>4</v>
      </c>
      <c r="I51" s="25">
        <v>32</v>
      </c>
      <c r="J51" s="25">
        <v>104</v>
      </c>
      <c r="K51" s="25">
        <v>226</v>
      </c>
      <c r="L51" s="23">
        <f>SUM(テーブル46813[[#This Row],[Open数]:[Closed数]])</f>
        <v>330</v>
      </c>
      <c r="M51" s="25">
        <v>8</v>
      </c>
      <c r="N51" s="25">
        <v>97</v>
      </c>
      <c r="O51" s="23">
        <f>SUM(テーブル46813[[#This Row],[Open数2]:[Closed数3]])</f>
        <v>105</v>
      </c>
      <c r="P51" s="25">
        <v>5</v>
      </c>
      <c r="Q51" s="25">
        <v>11</v>
      </c>
      <c r="R51" s="3">
        <v>0</v>
      </c>
      <c r="S51" s="25">
        <v>0</v>
      </c>
      <c r="T51" s="25">
        <v>1</v>
      </c>
      <c r="U51" s="25">
        <v>1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</row>
    <row r="52" spans="1:36" x14ac:dyDescent="0.15">
      <c r="A52" s="23"/>
      <c r="B52" s="31"/>
      <c r="C52" s="32">
        <f>SUM(テーブル46813[コミット数])</f>
        <v>334613</v>
      </c>
      <c r="D52" s="32">
        <f>SUM(テーブル46813[Fork数])</f>
        <v>30672</v>
      </c>
      <c r="E52" s="32">
        <f>SUM(テーブル46813[Star数])</f>
        <v>233727</v>
      </c>
      <c r="F52" s="32">
        <f>SUM(テーブル46813[Watch数])</f>
        <v>52898</v>
      </c>
      <c r="G52" s="32">
        <f>SUM(テーブル46813[branch数])</f>
        <v>640</v>
      </c>
      <c r="H52" s="32">
        <f>SUM(テーブル46813[リリース数])</f>
        <v>4667</v>
      </c>
      <c r="I52" s="32">
        <f>SUM(テーブル46813[contribution数])</f>
        <v>6685</v>
      </c>
      <c r="J52" s="32">
        <f>SUM(テーブル46813[Open数])</f>
        <v>4335</v>
      </c>
      <c r="K52" s="32">
        <f>SUM(テーブル46813[Closed数])</f>
        <v>24758</v>
      </c>
      <c r="L52" s="32">
        <f>SUM(テーブル46813[Issues計])</f>
        <v>29093</v>
      </c>
      <c r="M52" s="32">
        <f>SUM(テーブル46813[Open数2])</f>
        <v>1554</v>
      </c>
      <c r="N52" s="32">
        <f>SUM(テーブル46813[Closed数3])</f>
        <v>37882</v>
      </c>
      <c r="O52" s="32">
        <f>SUM(テーブル46813[PullRequest計])</f>
        <v>39436</v>
      </c>
      <c r="P52" s="32">
        <f>SUM(テーブル46813[Wiki数])</f>
        <v>364</v>
      </c>
      <c r="Q52" s="32">
        <f>SUM(テーブル46813[タグ数])</f>
        <v>545</v>
      </c>
      <c r="R52" s="32">
        <f>SUM(テーブル46813[obejectivi-c])</f>
        <v>3</v>
      </c>
      <c r="S52" s="32">
        <f>SUM(テーブル46813[Ruby])</f>
        <v>10</v>
      </c>
      <c r="T52" s="32">
        <f>SUM(テーブル46813[JavaScript])</f>
        <v>36</v>
      </c>
      <c r="U52" s="32">
        <f>SUM(テーブル46813[CSS])</f>
        <v>28</v>
      </c>
      <c r="V52" s="32">
        <f>SUM(テーブル46813[Python])</f>
        <v>11</v>
      </c>
      <c r="W52" s="32">
        <f>SUM(テーブル46813[PHP])</f>
        <v>3</v>
      </c>
      <c r="X52" s="32">
        <f>SUM(テーブル46813[Perl])</f>
        <v>2</v>
      </c>
      <c r="Y52" s="32">
        <f>SUM(テーブル46813[Groovy])</f>
        <v>1</v>
      </c>
      <c r="Z52" s="32">
        <f>SUM(テーブル46813[TeX])</f>
        <v>2</v>
      </c>
      <c r="AA52" s="32">
        <f>SUM(テーブル46813[C++])</f>
        <v>3</v>
      </c>
      <c r="AB52" s="32">
        <f>SUM(テーブル46813[Shell])</f>
        <v>5</v>
      </c>
      <c r="AC52" s="32">
        <f>SUM(テーブル46813[Erlang])</f>
        <v>1</v>
      </c>
      <c r="AD52" s="32">
        <f>SUM(テーブル46813[C])</f>
        <v>4</v>
      </c>
      <c r="AE52" s="32">
        <f>SUM(テーブル46813[Tcl])</f>
        <v>1</v>
      </c>
      <c r="AF52" s="32">
        <f>SUM(テーブル46813[CoffeeScript])</f>
        <v>2</v>
      </c>
      <c r="AG52" s="32">
        <f>SUM(テーブル46813[FORTRAN])</f>
        <v>1</v>
      </c>
      <c r="AH52" s="32">
        <f>SUM(テーブル46813[ActionScript])</f>
        <v>1</v>
      </c>
      <c r="AI52" s="32">
        <f>SUM(テーブル46813[Coq])</f>
        <v>1</v>
      </c>
      <c r="AJ52" s="32">
        <f>SUM(テーブル46813[Other])</f>
        <v>11</v>
      </c>
    </row>
  </sheetData>
  <phoneticPr fontId="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display="https://github.com/gabrielecirulli/2048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 display="https://github.com/samizdatco/arbor"/>
    <hyperlink ref="B33" r:id="rId32" display="https://github.com/HumbleSoftware/envisionjs"/>
    <hyperlink ref="B34" r:id="rId33" display="https://github.com/kartograph/kartograph.js"/>
    <hyperlink ref="B35" r:id="rId34" display="https://github.com/trifacta/vega"/>
    <hyperlink ref="B36" r:id="rId35" display="https://github.com/stamen/modestmaps-js"/>
    <hyperlink ref="B37" r:id="rId36" display="https://github.com/Leaflet/Leaflet"/>
    <hyperlink ref="B38" r:id="rId37" display="https://github.com/matplotlib/matplotlib"/>
    <hyperlink ref="B39" r:id="rId38" display="https://github.com/Kozea/pygal"/>
    <hyperlink ref="B40" r:id="rId39" display="https://github.com/dc-js/dc.js"/>
    <hyperlink ref="B41" r:id="rId40" display="https://github.com/nnnick/Chart.js"/>
    <hyperlink ref="B42" r:id="rId41" display="https://github.com/fastly/epoch"/>
    <hyperlink ref="B43" r:id="rId42" display="https://github.com/densitydesign/raw"/>
    <hyperlink ref="B44" r:id="rId43" display="https://github.com/gionkunz/chartist-js"/>
    <hyperlink ref="B45" r:id="rId44" display="https://github.com/ecomfe/echarts"/>
    <hyperlink ref="B46" r:id="rId45" display="https://github.com/github/linguist"/>
    <hyperlink ref="B47" r:id="rId46" display="https://github.com/defunkt/jquery-pjax"/>
    <hyperlink ref="B48" r:id="rId47" display="https://github.com/mbostock/d3"/>
    <hyperlink ref="B49" r:id="rId48" display="https://github.com/benpickles/peity"/>
    <hyperlink ref="B50" r:id="rId49" display="https://github.com/okfn/recline"/>
    <hyperlink ref="B51" r:id="rId50" display="https://github.com/jacomyal/sigma.js"/>
  </hyperlinks>
  <pageMargins left="0.7" right="0.7" top="0.75" bottom="0.75" header="0.3" footer="0.3"/>
  <tableParts count="1">
    <tablePart r:id="rId5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opLeftCell="L1" workbookViewId="0">
      <selection activeCell="AB55" sqref="AB55"/>
    </sheetView>
  </sheetViews>
  <sheetFormatPr defaultRowHeight="14.25" x14ac:dyDescent="0.15"/>
  <sheetData>
    <row r="1" spans="1:36" x14ac:dyDescent="0.15">
      <c r="A1" s="6" t="s">
        <v>20</v>
      </c>
      <c r="B1" s="6" t="s">
        <v>19</v>
      </c>
      <c r="C1" s="6" t="s">
        <v>176</v>
      </c>
      <c r="D1" s="6" t="s">
        <v>169</v>
      </c>
      <c r="E1" s="6" t="s">
        <v>170</v>
      </c>
      <c r="F1" s="6" t="s">
        <v>171</v>
      </c>
      <c r="G1" s="6" t="s">
        <v>100</v>
      </c>
      <c r="H1" s="6" t="s">
        <v>174</v>
      </c>
      <c r="I1" s="6" t="s">
        <v>175</v>
      </c>
      <c r="J1" s="6" t="s">
        <v>172</v>
      </c>
      <c r="K1" s="6" t="s">
        <v>173</v>
      </c>
      <c r="L1" s="6" t="s">
        <v>184</v>
      </c>
      <c r="M1" s="6" t="s">
        <v>190</v>
      </c>
      <c r="N1" s="6" t="s">
        <v>187</v>
      </c>
      <c r="O1" s="6" t="s">
        <v>186</v>
      </c>
      <c r="P1" s="6" t="s">
        <v>274</v>
      </c>
      <c r="Q1" s="6" t="s">
        <v>276</v>
      </c>
      <c r="R1" t="s">
        <v>281</v>
      </c>
      <c r="S1" t="s">
        <v>295</v>
      </c>
      <c r="T1" s="23" t="s">
        <v>282</v>
      </c>
      <c r="U1" s="23" t="s">
        <v>283</v>
      </c>
      <c r="V1" s="23" t="s">
        <v>284</v>
      </c>
      <c r="W1" s="23" t="s">
        <v>285</v>
      </c>
      <c r="X1" s="23" t="s">
        <v>299</v>
      </c>
      <c r="Y1" s="23" t="s">
        <v>286</v>
      </c>
      <c r="Z1" s="23" t="s">
        <v>287</v>
      </c>
      <c r="AA1" s="23" t="s">
        <v>288</v>
      </c>
      <c r="AB1" s="23" t="s">
        <v>289</v>
      </c>
      <c r="AC1" s="23" t="s">
        <v>290</v>
      </c>
      <c r="AD1" s="23" t="s">
        <v>291</v>
      </c>
      <c r="AE1" s="23" t="s">
        <v>292</v>
      </c>
      <c r="AF1" s="23" t="s">
        <v>293</v>
      </c>
      <c r="AG1" s="23" t="s">
        <v>296</v>
      </c>
      <c r="AH1" s="23" t="s">
        <v>297</v>
      </c>
      <c r="AI1" s="23" t="s">
        <v>298</v>
      </c>
      <c r="AJ1" s="23" t="s">
        <v>294</v>
      </c>
    </row>
    <row r="2" spans="1:36" x14ac:dyDescent="0.15">
      <c r="A2" s="23">
        <v>1</v>
      </c>
      <c r="B2" s="7" t="s">
        <v>22</v>
      </c>
      <c r="C2" s="23">
        <v>75</v>
      </c>
      <c r="D2" s="23">
        <v>40</v>
      </c>
      <c r="E2" s="23">
        <v>447</v>
      </c>
      <c r="F2" s="23">
        <v>93</v>
      </c>
      <c r="G2" s="25">
        <v>2</v>
      </c>
      <c r="H2" s="23">
        <v>5</v>
      </c>
      <c r="I2" s="23">
        <v>3</v>
      </c>
      <c r="J2" s="23">
        <v>0</v>
      </c>
      <c r="K2" s="23">
        <v>0</v>
      </c>
      <c r="L2" s="23">
        <f>SUM(テーブル4681314[[#This Row],[Open数]:[Closed数]])</f>
        <v>0</v>
      </c>
      <c r="M2" s="23">
        <v>0</v>
      </c>
      <c r="N2" s="23">
        <v>2</v>
      </c>
      <c r="O2" s="23">
        <f>SUM(テーブル4681314[[#This Row],[Open数2]:[Closed数3]])</f>
        <v>2</v>
      </c>
      <c r="P2" s="23">
        <v>0</v>
      </c>
      <c r="Q2" s="23">
        <v>0</v>
      </c>
      <c r="R2" s="23">
        <v>1</v>
      </c>
      <c r="S2" s="23">
        <v>1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</row>
    <row r="3" spans="1:36" x14ac:dyDescent="0.15">
      <c r="A3" s="23">
        <v>2</v>
      </c>
      <c r="B3" s="7" t="s">
        <v>130</v>
      </c>
      <c r="C3" s="23">
        <v>57</v>
      </c>
      <c r="D3" s="23">
        <v>178</v>
      </c>
      <c r="E3" s="23">
        <v>1636</v>
      </c>
      <c r="F3" s="23">
        <v>259</v>
      </c>
      <c r="G3" s="25">
        <v>1</v>
      </c>
      <c r="H3" s="23">
        <v>1</v>
      </c>
      <c r="I3" s="23">
        <v>3</v>
      </c>
      <c r="J3" s="23">
        <v>3</v>
      </c>
      <c r="K3" s="23">
        <v>8</v>
      </c>
      <c r="L3" s="23">
        <f>SUM(テーブル4681314[[#This Row],[Open数]:[Closed数]])</f>
        <v>11</v>
      </c>
      <c r="M3" s="23">
        <v>2</v>
      </c>
      <c r="N3" s="23">
        <v>5</v>
      </c>
      <c r="O3" s="23">
        <f>SUM(テーブル4681314[[#This Row],[Open数2]:[Closed数3]])</f>
        <v>7</v>
      </c>
      <c r="P3" s="23">
        <v>0</v>
      </c>
      <c r="Q3" s="23">
        <v>0</v>
      </c>
      <c r="R3" s="23">
        <v>0</v>
      </c>
      <c r="S3" s="23">
        <v>0</v>
      </c>
      <c r="T3" s="23">
        <v>1</v>
      </c>
      <c r="U3" s="23">
        <v>1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</row>
    <row r="4" spans="1:36" x14ac:dyDescent="0.15">
      <c r="A4" s="23">
        <v>3</v>
      </c>
      <c r="B4" s="7" t="s">
        <v>36</v>
      </c>
      <c r="C4" s="23">
        <v>221</v>
      </c>
      <c r="D4" s="23">
        <v>178</v>
      </c>
      <c r="E4" s="23">
        <v>2319</v>
      </c>
      <c r="F4" s="23">
        <v>463</v>
      </c>
      <c r="G4" s="23">
        <v>1</v>
      </c>
      <c r="H4" s="23">
        <v>0</v>
      </c>
      <c r="I4" s="23">
        <v>7</v>
      </c>
      <c r="J4" s="23">
        <v>27</v>
      </c>
      <c r="K4" s="23">
        <v>28</v>
      </c>
      <c r="L4" s="23">
        <f>SUM(テーブル4681314[[#This Row],[Open数]:[Closed数]])</f>
        <v>55</v>
      </c>
      <c r="M4" s="23">
        <v>9</v>
      </c>
      <c r="N4" s="23">
        <v>13</v>
      </c>
      <c r="O4" s="23">
        <f>SUM(テーブル4681314[[#This Row],[Open数2]:[Closed数3]])</f>
        <v>22</v>
      </c>
      <c r="P4" s="23">
        <v>26</v>
      </c>
      <c r="Q4" s="23">
        <v>7</v>
      </c>
      <c r="R4" s="23">
        <v>0</v>
      </c>
      <c r="S4" s="23">
        <v>1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</row>
    <row r="5" spans="1:36" x14ac:dyDescent="0.15">
      <c r="A5" s="23">
        <v>4</v>
      </c>
      <c r="B5" s="7" t="s">
        <v>37</v>
      </c>
      <c r="C5" s="23">
        <v>19052</v>
      </c>
      <c r="D5" s="23">
        <v>360</v>
      </c>
      <c r="E5" s="23">
        <v>11741</v>
      </c>
      <c r="F5" s="23">
        <v>4592</v>
      </c>
      <c r="G5" s="23">
        <v>39</v>
      </c>
      <c r="H5" s="23">
        <v>86</v>
      </c>
      <c r="I5" s="23">
        <v>700</v>
      </c>
      <c r="J5" s="23">
        <v>0</v>
      </c>
      <c r="K5" s="23">
        <v>0</v>
      </c>
      <c r="L5" s="23">
        <f>SUM(テーブル4681314[[#This Row],[Open数]:[Closed数]])</f>
        <v>0</v>
      </c>
      <c r="M5" s="23">
        <v>69</v>
      </c>
      <c r="N5" s="23">
        <v>3403</v>
      </c>
      <c r="O5" s="23">
        <f>SUM(テーブル4681314[[#This Row],[Open数2]:[Closed数3]])</f>
        <v>3472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1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1</v>
      </c>
    </row>
    <row r="6" spans="1:36" x14ac:dyDescent="0.15">
      <c r="A6" s="23">
        <v>5</v>
      </c>
      <c r="B6" s="7" t="s">
        <v>38</v>
      </c>
      <c r="C6" s="23">
        <v>47676</v>
      </c>
      <c r="D6" s="23">
        <v>1648</v>
      </c>
      <c r="E6" s="23">
        <v>23753</v>
      </c>
      <c r="F6" s="23">
        <v>9080</v>
      </c>
      <c r="G6" s="23">
        <v>37</v>
      </c>
      <c r="H6" s="23">
        <v>237</v>
      </c>
      <c r="I6" s="23">
        <v>2465</v>
      </c>
      <c r="J6" s="23">
        <v>327</v>
      </c>
      <c r="K6" s="23">
        <v>5959</v>
      </c>
      <c r="L6" s="23">
        <f>SUM(テーブル4681314[[#This Row],[Open数]:[Closed数]])</f>
        <v>6286</v>
      </c>
      <c r="M6" s="23">
        <v>437</v>
      </c>
      <c r="N6" s="23">
        <v>10797</v>
      </c>
      <c r="O6" s="23">
        <f>SUM(テーブル4681314[[#This Row],[Open数2]:[Closed数3]])</f>
        <v>11234</v>
      </c>
      <c r="P6" s="23">
        <v>0</v>
      </c>
      <c r="Q6" s="23">
        <v>29</v>
      </c>
      <c r="R6" s="23">
        <v>0</v>
      </c>
      <c r="S6" s="23">
        <v>1</v>
      </c>
      <c r="T6" s="23">
        <v>1</v>
      </c>
      <c r="U6" s="23">
        <v>1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</row>
    <row r="7" spans="1:36" x14ac:dyDescent="0.15">
      <c r="A7" s="23">
        <v>6</v>
      </c>
      <c r="B7" s="7" t="s">
        <v>259</v>
      </c>
      <c r="C7" s="23">
        <v>17275</v>
      </c>
      <c r="D7" s="23">
        <v>553</v>
      </c>
      <c r="E7" s="23">
        <v>5262</v>
      </c>
      <c r="F7" s="23">
        <v>2315</v>
      </c>
      <c r="G7" s="23">
        <v>12</v>
      </c>
      <c r="H7" s="23">
        <v>121</v>
      </c>
      <c r="I7" s="23">
        <v>285</v>
      </c>
      <c r="J7" s="23">
        <v>110</v>
      </c>
      <c r="K7" s="23">
        <v>1547</v>
      </c>
      <c r="L7" s="23">
        <f>SUM(テーブル4681314[[#This Row],[Open数]:[Closed数]])</f>
        <v>1657</v>
      </c>
      <c r="M7" s="23">
        <v>17</v>
      </c>
      <c r="N7" s="23">
        <v>3421</v>
      </c>
      <c r="O7" s="23">
        <f>SUM(テーブル4681314[[#This Row],[Open数2]:[Closed数3]])</f>
        <v>3438</v>
      </c>
      <c r="P7" s="23">
        <v>42</v>
      </c>
      <c r="Q7" s="23">
        <v>5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1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1</v>
      </c>
    </row>
    <row r="8" spans="1:36" x14ac:dyDescent="0.15">
      <c r="A8" s="23">
        <v>7</v>
      </c>
      <c r="B8" s="7" t="s">
        <v>129</v>
      </c>
      <c r="C8" s="23">
        <v>5881</v>
      </c>
      <c r="D8" s="23">
        <v>424</v>
      </c>
      <c r="E8" s="23">
        <v>4787</v>
      </c>
      <c r="F8" s="23">
        <v>945</v>
      </c>
      <c r="G8" s="23">
        <v>12</v>
      </c>
      <c r="H8" s="23">
        <v>163</v>
      </c>
      <c r="I8" s="23">
        <v>153</v>
      </c>
      <c r="J8" s="23">
        <v>122</v>
      </c>
      <c r="K8" s="23">
        <v>1131</v>
      </c>
      <c r="L8" s="23">
        <f>SUM(テーブル4681314[[#This Row],[Open数]:[Closed数]])</f>
        <v>1253</v>
      </c>
      <c r="M8" s="23">
        <v>4</v>
      </c>
      <c r="N8" s="23">
        <v>253</v>
      </c>
      <c r="O8" s="23">
        <f>SUM(テーブル4681314[[#This Row],[Open数2]:[Closed数3]])</f>
        <v>257</v>
      </c>
      <c r="P8" s="23">
        <v>0</v>
      </c>
      <c r="Q8" s="23">
        <v>13</v>
      </c>
      <c r="R8" s="23">
        <v>0</v>
      </c>
      <c r="S8" s="23">
        <v>1</v>
      </c>
      <c r="T8" s="23">
        <v>0</v>
      </c>
      <c r="U8" s="23">
        <v>1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</row>
    <row r="9" spans="1:36" x14ac:dyDescent="0.15">
      <c r="A9" s="23">
        <v>8</v>
      </c>
      <c r="B9" s="7" t="s">
        <v>260</v>
      </c>
      <c r="C9" s="23">
        <v>2124</v>
      </c>
      <c r="D9" s="23">
        <v>637</v>
      </c>
      <c r="E9" s="23">
        <v>11276</v>
      </c>
      <c r="F9" s="23">
        <v>2579</v>
      </c>
      <c r="G9" s="25">
        <v>3</v>
      </c>
      <c r="H9" s="23">
        <v>32</v>
      </c>
      <c r="I9" s="23">
        <v>169</v>
      </c>
      <c r="J9" s="23">
        <v>189</v>
      </c>
      <c r="K9" s="23">
        <v>1579</v>
      </c>
      <c r="L9" s="23">
        <f>SUM(テーブル4681314[[#This Row],[Open数]:[Closed数]])</f>
        <v>1768</v>
      </c>
      <c r="M9" s="23">
        <v>12</v>
      </c>
      <c r="N9" s="23">
        <v>492</v>
      </c>
      <c r="O9" s="23">
        <f>SUM(テーブル4681314[[#This Row],[Open数2]:[Closed数3]])</f>
        <v>504</v>
      </c>
      <c r="P9" s="23">
        <v>4</v>
      </c>
      <c r="Q9" s="23">
        <v>19</v>
      </c>
      <c r="R9" s="23">
        <v>0</v>
      </c>
      <c r="S9" s="23">
        <v>0</v>
      </c>
      <c r="T9" s="23">
        <v>1</v>
      </c>
      <c r="U9" s="23">
        <v>1</v>
      </c>
      <c r="V9" s="23">
        <v>0</v>
      </c>
      <c r="W9" s="23">
        <v>0</v>
      </c>
      <c r="X9" s="23">
        <v>0</v>
      </c>
      <c r="Y9" s="23">
        <v>1</v>
      </c>
      <c r="Z9" s="23"/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</row>
    <row r="10" spans="1:36" x14ac:dyDescent="0.15">
      <c r="A10" s="23">
        <v>9</v>
      </c>
      <c r="B10" s="7" t="s">
        <v>131</v>
      </c>
      <c r="C10" s="23">
        <v>480</v>
      </c>
      <c r="D10" s="23">
        <v>52</v>
      </c>
      <c r="E10" s="23">
        <v>313</v>
      </c>
      <c r="F10" s="23">
        <v>152</v>
      </c>
      <c r="G10" s="25">
        <v>9</v>
      </c>
      <c r="H10" s="23">
        <v>5</v>
      </c>
      <c r="I10" s="23">
        <v>25</v>
      </c>
      <c r="J10" s="23">
        <v>26</v>
      </c>
      <c r="K10" s="23">
        <v>54</v>
      </c>
      <c r="L10" s="23">
        <f>SUM(テーブル4681314[[#This Row],[Open数]:[Closed数]])</f>
        <v>80</v>
      </c>
      <c r="M10" s="23">
        <v>17</v>
      </c>
      <c r="N10" s="23">
        <v>41</v>
      </c>
      <c r="O10" s="23">
        <f>SUM(テーブル4681314[[#This Row],[Open数2]:[Closed数3]])</f>
        <v>58</v>
      </c>
      <c r="P10" s="23">
        <v>3</v>
      </c>
      <c r="Q10" s="23">
        <v>6</v>
      </c>
      <c r="R10" s="23">
        <v>0</v>
      </c>
      <c r="S10" s="23">
        <v>0</v>
      </c>
      <c r="T10" s="23">
        <v>0</v>
      </c>
      <c r="U10" s="23">
        <v>0</v>
      </c>
      <c r="V10" s="23">
        <v>1</v>
      </c>
      <c r="W10" s="23">
        <v>0</v>
      </c>
      <c r="X10" s="23">
        <v>0</v>
      </c>
      <c r="Y10" s="23">
        <v>0</v>
      </c>
      <c r="Z10" s="23">
        <v>1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</row>
    <row r="11" spans="1:36" x14ac:dyDescent="0.15">
      <c r="A11" s="23">
        <v>10</v>
      </c>
      <c r="B11" s="7" t="s">
        <v>261</v>
      </c>
      <c r="C11" s="23">
        <v>139955</v>
      </c>
      <c r="D11" s="23">
        <v>45</v>
      </c>
      <c r="E11" s="23">
        <v>188</v>
      </c>
      <c r="F11" s="23">
        <v>1109</v>
      </c>
      <c r="G11" s="25">
        <v>50</v>
      </c>
      <c r="H11" s="23">
        <v>2610</v>
      </c>
      <c r="I11" s="23">
        <v>286</v>
      </c>
      <c r="J11" s="23">
        <v>24</v>
      </c>
      <c r="K11" s="23">
        <v>173</v>
      </c>
      <c r="L11" s="23">
        <f>SUM(テーブル4681314[[#This Row],[Open数]:[Closed数]])</f>
        <v>197</v>
      </c>
      <c r="M11" s="23">
        <v>88</v>
      </c>
      <c r="N11" s="23">
        <v>5945</v>
      </c>
      <c r="O11" s="23">
        <f>SUM(テーブル4681314[[#This Row],[Open数2]:[Closed数3]])</f>
        <v>6033</v>
      </c>
      <c r="P11" s="23">
        <v>0</v>
      </c>
      <c r="Q11" s="23">
        <v>69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0</v>
      </c>
      <c r="X11" s="23">
        <v>0</v>
      </c>
      <c r="Y11" s="23">
        <v>0</v>
      </c>
      <c r="Z11" s="23">
        <v>0</v>
      </c>
      <c r="AA11" s="23">
        <v>1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1</v>
      </c>
      <c r="AH11" s="23">
        <v>0</v>
      </c>
      <c r="AI11" s="23">
        <v>0</v>
      </c>
      <c r="AJ11" s="23">
        <v>0</v>
      </c>
    </row>
    <row r="12" spans="1:36" x14ac:dyDescent="0.15">
      <c r="A12" s="23">
        <v>11</v>
      </c>
      <c r="B12" s="7" t="s">
        <v>262</v>
      </c>
      <c r="C12" s="29">
        <v>10189</v>
      </c>
      <c r="D12" s="23">
        <v>77</v>
      </c>
      <c r="E12" s="23">
        <v>461</v>
      </c>
      <c r="F12" s="29">
        <v>313</v>
      </c>
      <c r="G12" s="29">
        <v>6</v>
      </c>
      <c r="H12" s="29">
        <v>21</v>
      </c>
      <c r="I12" s="29">
        <v>93</v>
      </c>
      <c r="J12" s="29">
        <v>323</v>
      </c>
      <c r="K12" s="29">
        <v>695</v>
      </c>
      <c r="L12" s="23">
        <f>SUM(テーブル4681314[[#This Row],[Open数]:[Closed数]])</f>
        <v>1018</v>
      </c>
      <c r="M12" s="29">
        <v>90</v>
      </c>
      <c r="N12" s="29">
        <v>1967</v>
      </c>
      <c r="O12" s="23">
        <f>SUM(テーブル4681314[[#This Row],[Open数2]:[Closed数3]])</f>
        <v>2057</v>
      </c>
      <c r="P12" s="29">
        <v>58</v>
      </c>
      <c r="Q12" s="29">
        <v>52</v>
      </c>
      <c r="R12" s="23">
        <v>0</v>
      </c>
      <c r="S12" s="29">
        <v>0</v>
      </c>
      <c r="T12" s="23">
        <v>0</v>
      </c>
      <c r="U12" s="23">
        <v>0</v>
      </c>
      <c r="V12" s="23">
        <v>1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1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1</v>
      </c>
    </row>
    <row r="13" spans="1:36" x14ac:dyDescent="0.15">
      <c r="A13" s="23">
        <v>12</v>
      </c>
      <c r="B13" s="19">
        <v>2048</v>
      </c>
      <c r="C13" s="23">
        <v>160</v>
      </c>
      <c r="D13" s="23">
        <v>471</v>
      </c>
      <c r="E13" s="23">
        <v>6127</v>
      </c>
      <c r="F13" s="23">
        <v>10970</v>
      </c>
      <c r="G13" s="23">
        <v>2</v>
      </c>
      <c r="H13" s="23">
        <v>0</v>
      </c>
      <c r="I13" s="23">
        <v>21</v>
      </c>
      <c r="J13" s="23">
        <v>56</v>
      </c>
      <c r="K13" s="23">
        <v>43</v>
      </c>
      <c r="L13" s="23">
        <f>SUM(テーブル4681314[[#This Row],[Open数]:[Closed数]])</f>
        <v>99</v>
      </c>
      <c r="M13" s="23">
        <v>53</v>
      </c>
      <c r="N13" s="23">
        <v>123</v>
      </c>
      <c r="O13" s="23">
        <f>SUM(テーブル4681314[[#This Row],[Open数2]:[Closed数3]])</f>
        <v>176</v>
      </c>
      <c r="P13" s="23">
        <v>0</v>
      </c>
      <c r="Q13" s="23">
        <v>8</v>
      </c>
      <c r="R13" s="23">
        <v>0</v>
      </c>
      <c r="S13" s="23">
        <v>1</v>
      </c>
      <c r="T13" s="23">
        <v>1</v>
      </c>
      <c r="U13" s="23">
        <v>1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</row>
    <row r="14" spans="1:36" x14ac:dyDescent="0.15">
      <c r="A14" s="23">
        <v>13</v>
      </c>
      <c r="B14" s="7" t="s">
        <v>50</v>
      </c>
      <c r="C14" s="23">
        <v>214</v>
      </c>
      <c r="D14" s="23">
        <v>80</v>
      </c>
      <c r="E14" s="23">
        <v>629</v>
      </c>
      <c r="F14" s="23">
        <v>360</v>
      </c>
      <c r="G14" s="25">
        <v>3</v>
      </c>
      <c r="H14" s="23">
        <v>0</v>
      </c>
      <c r="I14" s="23">
        <v>7</v>
      </c>
      <c r="J14" s="23">
        <v>3</v>
      </c>
      <c r="K14" s="23">
        <v>31</v>
      </c>
      <c r="L14" s="23">
        <f>SUM(テーブル4681314[[#This Row],[Open数]:[Closed数]])</f>
        <v>34</v>
      </c>
      <c r="M14" s="23">
        <v>0</v>
      </c>
      <c r="N14" s="23">
        <v>20</v>
      </c>
      <c r="O14" s="23">
        <f>SUM(テーブル4681314[[#This Row],[Open数2]:[Closed数3]])</f>
        <v>20</v>
      </c>
      <c r="P14" s="23">
        <v>0</v>
      </c>
      <c r="Q14" s="23">
        <v>6</v>
      </c>
      <c r="R14" s="23">
        <v>0</v>
      </c>
      <c r="S14" s="23">
        <v>0</v>
      </c>
      <c r="T14" s="23">
        <v>1</v>
      </c>
      <c r="U14" s="23">
        <v>1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</row>
    <row r="15" spans="1:36" x14ac:dyDescent="0.15">
      <c r="A15" s="23">
        <v>14</v>
      </c>
      <c r="B15" s="7" t="s">
        <v>132</v>
      </c>
      <c r="C15" s="23">
        <v>153</v>
      </c>
      <c r="D15" s="23">
        <v>321</v>
      </c>
      <c r="E15" s="23">
        <v>4359</v>
      </c>
      <c r="F15" s="23">
        <v>1234</v>
      </c>
      <c r="G15" s="23">
        <v>4</v>
      </c>
      <c r="H15" s="23">
        <v>0</v>
      </c>
      <c r="I15" s="23">
        <v>4</v>
      </c>
      <c r="J15" s="23">
        <v>0</v>
      </c>
      <c r="K15" s="23">
        <v>0</v>
      </c>
      <c r="L15" s="23">
        <f>SUM(テーブル4681314[[#This Row],[Open数]:[Closed数]])</f>
        <v>0</v>
      </c>
      <c r="M15" s="23">
        <v>0</v>
      </c>
      <c r="N15" s="23">
        <v>27</v>
      </c>
      <c r="O15" s="23">
        <f>SUM(テーブル4681314[[#This Row],[Open数2]:[Closed数3]])</f>
        <v>27</v>
      </c>
      <c r="P15" s="23">
        <v>3</v>
      </c>
      <c r="Q15" s="23">
        <v>0</v>
      </c>
      <c r="R15" s="23">
        <v>0</v>
      </c>
      <c r="S15" s="23">
        <v>0</v>
      </c>
      <c r="T15" s="23">
        <v>1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1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</row>
    <row r="16" spans="1:36" x14ac:dyDescent="0.15">
      <c r="A16" s="23">
        <v>15</v>
      </c>
      <c r="B16" s="7" t="s">
        <v>89</v>
      </c>
      <c r="C16" s="23">
        <v>3610</v>
      </c>
      <c r="D16" s="23">
        <v>245</v>
      </c>
      <c r="E16" s="23">
        <v>4977</v>
      </c>
      <c r="F16" s="23">
        <v>701</v>
      </c>
      <c r="G16" s="23">
        <v>9</v>
      </c>
      <c r="H16" s="23">
        <v>146</v>
      </c>
      <c r="I16" s="23">
        <v>122</v>
      </c>
      <c r="J16" s="23">
        <v>144</v>
      </c>
      <c r="K16" s="23">
        <v>1132</v>
      </c>
      <c r="L16" s="23">
        <f>SUM(テーブル4681314[[#This Row],[Open数]:[Closed数]])</f>
        <v>1276</v>
      </c>
      <c r="M16" s="23">
        <v>3</v>
      </c>
      <c r="N16" s="23">
        <v>472</v>
      </c>
      <c r="O16" s="23">
        <f>SUM(テーブル4681314[[#This Row],[Open数2]:[Closed数3]])</f>
        <v>475</v>
      </c>
      <c r="P16" s="23">
        <v>2</v>
      </c>
      <c r="Q16" s="23">
        <v>19</v>
      </c>
      <c r="R16" s="23">
        <v>0</v>
      </c>
      <c r="S16" s="23">
        <v>0</v>
      </c>
      <c r="T16" s="23">
        <v>1</v>
      </c>
      <c r="U16" s="23">
        <v>1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</row>
    <row r="17" spans="1:36" x14ac:dyDescent="0.15">
      <c r="A17" s="23">
        <v>16</v>
      </c>
      <c r="B17" s="7" t="s">
        <v>90</v>
      </c>
      <c r="C17" s="23">
        <v>4107</v>
      </c>
      <c r="D17" s="23">
        <v>195</v>
      </c>
      <c r="E17" s="23">
        <v>3300</v>
      </c>
      <c r="F17" s="23">
        <v>437</v>
      </c>
      <c r="G17" s="23">
        <v>9</v>
      </c>
      <c r="H17" s="23">
        <v>34</v>
      </c>
      <c r="I17" s="23">
        <v>119</v>
      </c>
      <c r="J17" s="23">
        <v>229</v>
      </c>
      <c r="K17" s="23">
        <v>431</v>
      </c>
      <c r="L17" s="23">
        <f>SUM(テーブル4681314[[#This Row],[Open数]:[Closed数]])</f>
        <v>660</v>
      </c>
      <c r="M17" s="23">
        <v>19</v>
      </c>
      <c r="N17" s="23">
        <v>387</v>
      </c>
      <c r="O17" s="23">
        <f>SUM(テーブル4681314[[#This Row],[Open数2]:[Closed数3]])</f>
        <v>406</v>
      </c>
      <c r="P17" s="23">
        <v>24</v>
      </c>
      <c r="Q17" s="23">
        <v>10</v>
      </c>
      <c r="R17" s="23">
        <v>0</v>
      </c>
      <c r="S17" s="23">
        <v>0</v>
      </c>
      <c r="T17" s="23">
        <v>1</v>
      </c>
      <c r="U17" s="23">
        <v>0</v>
      </c>
      <c r="V17" s="23">
        <v>1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1</v>
      </c>
    </row>
    <row r="18" spans="1:36" x14ac:dyDescent="0.15">
      <c r="A18" s="23">
        <v>17</v>
      </c>
      <c r="B18" s="7" t="s">
        <v>55</v>
      </c>
      <c r="C18" s="23">
        <v>1162</v>
      </c>
      <c r="D18" s="23">
        <v>173</v>
      </c>
      <c r="E18" s="23">
        <v>1999</v>
      </c>
      <c r="F18" s="23">
        <v>385</v>
      </c>
      <c r="G18" s="23">
        <v>14</v>
      </c>
      <c r="H18" s="23">
        <v>36</v>
      </c>
      <c r="I18" s="23">
        <v>18</v>
      </c>
      <c r="J18" s="23">
        <v>0</v>
      </c>
      <c r="K18" s="23">
        <v>0</v>
      </c>
      <c r="L18" s="23">
        <f>SUM(テーブル4681314[[#This Row],[Open数]:[Closed数]])</f>
        <v>0</v>
      </c>
      <c r="M18" s="23">
        <v>10</v>
      </c>
      <c r="N18" s="23">
        <v>44</v>
      </c>
      <c r="O18" s="23">
        <f>SUM(テーブル4681314[[#This Row],[Open数2]:[Closed数3]])</f>
        <v>54</v>
      </c>
      <c r="P18" s="23">
        <v>0</v>
      </c>
      <c r="Q18" s="23">
        <v>0</v>
      </c>
      <c r="R18" s="23">
        <v>0</v>
      </c>
      <c r="S18" s="23">
        <v>0</v>
      </c>
      <c r="T18" s="23">
        <v>1</v>
      </c>
      <c r="U18" s="23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1</v>
      </c>
      <c r="AI18" s="23">
        <v>0</v>
      </c>
      <c r="AJ18" s="23">
        <v>0</v>
      </c>
    </row>
    <row r="19" spans="1:36" x14ac:dyDescent="0.15">
      <c r="A19" s="23">
        <v>18</v>
      </c>
      <c r="B19" s="7" t="s">
        <v>56</v>
      </c>
      <c r="C19" s="23">
        <v>710</v>
      </c>
      <c r="D19" s="23">
        <v>93</v>
      </c>
      <c r="E19" s="23">
        <v>2054</v>
      </c>
      <c r="F19" s="23">
        <v>278</v>
      </c>
      <c r="G19" s="25">
        <v>11</v>
      </c>
      <c r="H19" s="23">
        <v>9</v>
      </c>
      <c r="I19" s="23">
        <v>30</v>
      </c>
      <c r="J19" s="23">
        <v>27</v>
      </c>
      <c r="K19" s="23">
        <v>163</v>
      </c>
      <c r="L19" s="23">
        <f>SUM(テーブル4681314[[#This Row],[Open数]:[Closed数]])</f>
        <v>190</v>
      </c>
      <c r="M19" s="23">
        <v>9</v>
      </c>
      <c r="N19" s="23">
        <v>179</v>
      </c>
      <c r="O19" s="23">
        <f>SUM(テーブル4681314[[#This Row],[Open数2]:[Closed数3]])</f>
        <v>188</v>
      </c>
      <c r="P19" s="23">
        <v>3</v>
      </c>
      <c r="Q19" s="23">
        <v>3</v>
      </c>
      <c r="R19" s="23">
        <v>0</v>
      </c>
      <c r="S19" s="23">
        <v>1</v>
      </c>
      <c r="T19" s="23">
        <v>1</v>
      </c>
      <c r="U19" s="23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</row>
    <row r="20" spans="1:36" x14ac:dyDescent="0.15">
      <c r="A20" s="23">
        <v>19</v>
      </c>
      <c r="B20" s="7" t="s">
        <v>57</v>
      </c>
      <c r="C20" s="23">
        <v>1274</v>
      </c>
      <c r="D20" s="23">
        <v>420</v>
      </c>
      <c r="E20" s="23">
        <v>5809</v>
      </c>
      <c r="F20" s="23">
        <v>1101</v>
      </c>
      <c r="G20" s="23">
        <v>7</v>
      </c>
      <c r="H20" s="23">
        <v>15</v>
      </c>
      <c r="I20" s="23">
        <v>92</v>
      </c>
      <c r="J20" s="23">
        <v>130</v>
      </c>
      <c r="K20" s="23">
        <v>587</v>
      </c>
      <c r="L20" s="23">
        <f>SUM(テーブル4681314[[#This Row],[Open数]:[Closed数]])</f>
        <v>717</v>
      </c>
      <c r="M20" s="23">
        <v>20</v>
      </c>
      <c r="N20" s="23">
        <v>389</v>
      </c>
      <c r="O20" s="23">
        <f>SUM(テーブル4681314[[#This Row],[Open数2]:[Closed数3]])</f>
        <v>409</v>
      </c>
      <c r="P20" s="23">
        <v>3</v>
      </c>
      <c r="Q20" s="23">
        <v>12</v>
      </c>
      <c r="R20" s="23">
        <v>0</v>
      </c>
      <c r="S20" s="23">
        <v>0</v>
      </c>
      <c r="T20" s="23">
        <v>1</v>
      </c>
      <c r="U20" s="23">
        <v>1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</row>
    <row r="21" spans="1:36" x14ac:dyDescent="0.15">
      <c r="A21" s="23">
        <v>20</v>
      </c>
      <c r="B21" s="7" t="s">
        <v>93</v>
      </c>
      <c r="C21" s="23">
        <v>2544</v>
      </c>
      <c r="D21" s="23">
        <v>547</v>
      </c>
      <c r="E21" s="23">
        <v>6575</v>
      </c>
      <c r="F21" s="23">
        <v>2133</v>
      </c>
      <c r="G21" s="23">
        <v>3</v>
      </c>
      <c r="H21" s="23">
        <v>34</v>
      </c>
      <c r="I21" s="23">
        <v>111</v>
      </c>
      <c r="J21" s="23">
        <v>50</v>
      </c>
      <c r="K21" s="23">
        <v>672</v>
      </c>
      <c r="L21" s="23">
        <f>SUM(テーブル4681314[[#This Row],[Open数]:[Closed数]])</f>
        <v>722</v>
      </c>
      <c r="M21" s="23">
        <v>5</v>
      </c>
      <c r="N21" s="23">
        <v>567</v>
      </c>
      <c r="O21" s="23">
        <f>SUM(テーブル4681314[[#This Row],[Open数2]:[Closed数3]])</f>
        <v>572</v>
      </c>
      <c r="P21" s="23">
        <v>14</v>
      </c>
      <c r="Q21" s="23">
        <v>10</v>
      </c>
      <c r="R21" s="23">
        <v>0</v>
      </c>
      <c r="S21" s="23">
        <v>0</v>
      </c>
      <c r="T21" s="23">
        <v>1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1</v>
      </c>
    </row>
    <row r="22" spans="1:36" x14ac:dyDescent="0.15">
      <c r="A22" s="23">
        <v>21</v>
      </c>
      <c r="B22" s="7" t="s">
        <v>59</v>
      </c>
      <c r="C22" s="23">
        <v>2762</v>
      </c>
      <c r="D22" s="23">
        <v>95</v>
      </c>
      <c r="E22" s="23">
        <v>1178</v>
      </c>
      <c r="F22" s="23">
        <v>278</v>
      </c>
      <c r="G22" s="23">
        <v>4</v>
      </c>
      <c r="H22" s="23">
        <v>20</v>
      </c>
      <c r="I22" s="23">
        <v>26</v>
      </c>
      <c r="J22" s="23">
        <v>92</v>
      </c>
      <c r="K22" s="23">
        <v>366</v>
      </c>
      <c r="L22" s="23">
        <f>SUM(テーブル4681314[[#This Row],[Open数]:[Closed数]])</f>
        <v>458</v>
      </c>
      <c r="M22" s="23">
        <v>1</v>
      </c>
      <c r="N22" s="23">
        <v>144</v>
      </c>
      <c r="O22" s="23">
        <f>SUM(テーブル4681314[[#This Row],[Open数2]:[Closed数3]])</f>
        <v>145</v>
      </c>
      <c r="P22" s="23">
        <v>11</v>
      </c>
      <c r="Q22" s="23">
        <v>5</v>
      </c>
      <c r="R22" s="23">
        <v>0</v>
      </c>
      <c r="S22" s="23">
        <v>0</v>
      </c>
      <c r="T22" s="23">
        <v>1</v>
      </c>
      <c r="U22" s="23">
        <v>1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</row>
    <row r="23" spans="1:36" x14ac:dyDescent="0.15">
      <c r="A23" s="23">
        <v>22</v>
      </c>
      <c r="B23" s="7" t="s">
        <v>133</v>
      </c>
      <c r="C23" s="23">
        <v>2792</v>
      </c>
      <c r="D23" s="23">
        <v>232</v>
      </c>
      <c r="E23" s="23">
        <v>1852</v>
      </c>
      <c r="F23" s="23">
        <v>283</v>
      </c>
      <c r="G23" s="23">
        <v>166</v>
      </c>
      <c r="H23" s="23">
        <v>178</v>
      </c>
      <c r="I23" s="23">
        <v>63</v>
      </c>
      <c r="J23" s="23">
        <v>54</v>
      </c>
      <c r="K23" s="23">
        <v>198</v>
      </c>
      <c r="L23" s="23">
        <f>SUM(テーブル4681314[[#This Row],[Open数]:[Closed数]])</f>
        <v>252</v>
      </c>
      <c r="M23" s="23">
        <v>6</v>
      </c>
      <c r="N23" s="23">
        <v>361</v>
      </c>
      <c r="O23" s="23">
        <f>SUM(テーブル4681314[[#This Row],[Open数2]:[Closed数3]])</f>
        <v>367</v>
      </c>
      <c r="P23" s="23">
        <v>4</v>
      </c>
      <c r="Q23" s="23">
        <v>20</v>
      </c>
      <c r="R23" s="23">
        <v>0</v>
      </c>
      <c r="S23" s="23">
        <v>0</v>
      </c>
      <c r="T23" s="23">
        <v>0</v>
      </c>
      <c r="U23" s="23">
        <v>1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1</v>
      </c>
      <c r="AC23" s="23">
        <v>1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</row>
    <row r="24" spans="1:36" x14ac:dyDescent="0.15">
      <c r="A24" s="23">
        <v>23</v>
      </c>
      <c r="B24" s="7" t="s">
        <v>61</v>
      </c>
      <c r="C24" s="23">
        <v>27747</v>
      </c>
      <c r="D24" s="23">
        <v>559</v>
      </c>
      <c r="E24" s="23">
        <v>5955</v>
      </c>
      <c r="F24" s="23">
        <v>1650</v>
      </c>
      <c r="G24" s="25">
        <v>14</v>
      </c>
      <c r="H24" s="23">
        <v>230</v>
      </c>
      <c r="I24" s="23">
        <v>197</v>
      </c>
      <c r="J24" s="23">
        <v>0</v>
      </c>
      <c r="K24" s="23">
        <v>0</v>
      </c>
      <c r="L24" s="23">
        <f>SUM(テーブル4681314[[#This Row],[Open数]:[Closed数]])</f>
        <v>0</v>
      </c>
      <c r="M24" s="23">
        <v>16</v>
      </c>
      <c r="N24" s="23">
        <v>847</v>
      </c>
      <c r="O24" s="23">
        <f>SUM(テーブル4681314[[#This Row],[Open数2]:[Closed数3]])</f>
        <v>863</v>
      </c>
      <c r="P24" s="23">
        <v>0</v>
      </c>
      <c r="Q24" s="23">
        <v>0</v>
      </c>
      <c r="R24" s="23">
        <v>0</v>
      </c>
      <c r="S24" s="23">
        <v>0</v>
      </c>
      <c r="T24" s="23">
        <v>1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1</v>
      </c>
      <c r="AB24" s="23">
        <v>0</v>
      </c>
      <c r="AC24" s="23">
        <v>0</v>
      </c>
      <c r="AD24" s="23">
        <v>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</row>
    <row r="25" spans="1:36" x14ac:dyDescent="0.15">
      <c r="A25" s="23">
        <v>24</v>
      </c>
      <c r="B25" s="7" t="s">
        <v>62</v>
      </c>
      <c r="C25" s="23">
        <v>4699</v>
      </c>
      <c r="D25" s="23">
        <v>1085</v>
      </c>
      <c r="E25" s="23">
        <v>10901</v>
      </c>
      <c r="F25" s="23">
        <v>3355</v>
      </c>
      <c r="G25" s="23">
        <v>13</v>
      </c>
      <c r="H25" s="23">
        <v>152</v>
      </c>
      <c r="I25" s="23">
        <v>144</v>
      </c>
      <c r="J25" s="23">
        <v>393</v>
      </c>
      <c r="K25" s="23">
        <v>938</v>
      </c>
      <c r="L25" s="23">
        <f>SUM(テーブル4681314[[#This Row],[Open数]:[Closed数]])</f>
        <v>1331</v>
      </c>
      <c r="M25" s="23">
        <v>206</v>
      </c>
      <c r="N25" s="23">
        <v>588</v>
      </c>
      <c r="O25" s="23">
        <f>SUM(テーブル4681314[[#This Row],[Open数2]:[Closed数3]])</f>
        <v>794</v>
      </c>
      <c r="P25" s="23">
        <v>4</v>
      </c>
      <c r="Q25" s="23">
        <v>15</v>
      </c>
      <c r="R25" s="23">
        <v>0</v>
      </c>
      <c r="S25" s="23">
        <v>1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1</v>
      </c>
      <c r="AE25" s="23">
        <v>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</row>
    <row r="26" spans="1:36" x14ac:dyDescent="0.15">
      <c r="A26" s="23">
        <v>25</v>
      </c>
      <c r="B26" s="7" t="s">
        <v>63</v>
      </c>
      <c r="C26" s="23">
        <v>3196</v>
      </c>
      <c r="D26" s="23">
        <v>97</v>
      </c>
      <c r="E26" s="23">
        <v>800</v>
      </c>
      <c r="F26" s="23">
        <v>165</v>
      </c>
      <c r="G26" s="25">
        <v>1</v>
      </c>
      <c r="H26" s="23">
        <v>2</v>
      </c>
      <c r="I26" s="23">
        <v>54</v>
      </c>
      <c r="J26" s="23">
        <v>30</v>
      </c>
      <c r="K26" s="23">
        <v>432</v>
      </c>
      <c r="L26" s="23">
        <f>SUM(テーブル4681314[[#This Row],[Open数]:[Closed数]])</f>
        <v>462</v>
      </c>
      <c r="M26" s="23">
        <v>4</v>
      </c>
      <c r="N26" s="23">
        <v>268</v>
      </c>
      <c r="O26" s="23">
        <f>SUM(テーブル4681314[[#This Row],[Open数2]:[Closed数3]])</f>
        <v>272</v>
      </c>
      <c r="P26" s="23">
        <v>0</v>
      </c>
      <c r="Q26" s="23">
        <v>8</v>
      </c>
      <c r="R26" s="23">
        <v>0</v>
      </c>
      <c r="S26" s="23">
        <v>0</v>
      </c>
      <c r="T26" s="23">
        <v>0</v>
      </c>
      <c r="U26" s="23">
        <v>0</v>
      </c>
      <c r="V26" s="23">
        <v>1</v>
      </c>
      <c r="W26" s="23">
        <v>0</v>
      </c>
      <c r="X26" s="23">
        <v>0</v>
      </c>
      <c r="Y26" s="23">
        <v>0</v>
      </c>
      <c r="Z26" s="23">
        <v>1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1</v>
      </c>
      <c r="AJ26" s="23">
        <v>0</v>
      </c>
    </row>
    <row r="27" spans="1:36" x14ac:dyDescent="0.15">
      <c r="A27" s="23">
        <v>26</v>
      </c>
      <c r="B27" s="7" t="s">
        <v>64</v>
      </c>
      <c r="C27" s="23">
        <v>341</v>
      </c>
      <c r="D27" s="23">
        <v>253</v>
      </c>
      <c r="E27" s="23">
        <v>2055</v>
      </c>
      <c r="F27" s="23">
        <v>1015</v>
      </c>
      <c r="G27" s="23">
        <v>5</v>
      </c>
      <c r="H27" s="23">
        <v>0</v>
      </c>
      <c r="I27" s="23">
        <v>19</v>
      </c>
      <c r="J27" s="23">
        <v>6</v>
      </c>
      <c r="K27" s="23">
        <v>2</v>
      </c>
      <c r="L27" s="23">
        <f>SUM(テーブル4681314[[#This Row],[Open数]:[Closed数]])</f>
        <v>8</v>
      </c>
      <c r="M27" s="23">
        <v>17</v>
      </c>
      <c r="N27" s="23">
        <v>29</v>
      </c>
      <c r="O27" s="23">
        <f>SUM(テーブル4681314[[#This Row],[Open数2]:[Closed数3]])</f>
        <v>46</v>
      </c>
      <c r="P27" s="23">
        <v>0</v>
      </c>
      <c r="Q27" s="23">
        <v>0</v>
      </c>
      <c r="R27" s="23">
        <v>0</v>
      </c>
      <c r="S27" s="23">
        <v>0</v>
      </c>
      <c r="T27" s="23">
        <v>1</v>
      </c>
      <c r="U27" s="23">
        <v>1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</row>
    <row r="28" spans="1:36" x14ac:dyDescent="0.15">
      <c r="A28" s="23">
        <v>27</v>
      </c>
      <c r="B28" s="7" t="s">
        <v>134</v>
      </c>
      <c r="C28" s="23">
        <v>1244</v>
      </c>
      <c r="D28" s="23">
        <v>422</v>
      </c>
      <c r="E28" s="23">
        <v>8467</v>
      </c>
      <c r="F28" s="23">
        <v>1337</v>
      </c>
      <c r="G28" s="23">
        <v>5</v>
      </c>
      <c r="H28" s="23">
        <v>3</v>
      </c>
      <c r="I28" s="23">
        <v>187</v>
      </c>
      <c r="J28" s="23">
        <v>34</v>
      </c>
      <c r="K28" s="23">
        <v>181</v>
      </c>
      <c r="L28" s="23">
        <f>SUM(テーブル4681314[[#This Row],[Open数]:[Closed数]])</f>
        <v>215</v>
      </c>
      <c r="M28" s="23">
        <v>4</v>
      </c>
      <c r="N28" s="23">
        <v>399</v>
      </c>
      <c r="O28" s="23">
        <f>SUM(テーブル4681314[[#This Row],[Open数2]:[Closed数3]])</f>
        <v>403</v>
      </c>
      <c r="P28" s="23">
        <v>2</v>
      </c>
      <c r="Q28" s="23">
        <v>9</v>
      </c>
      <c r="R28" s="23">
        <v>0</v>
      </c>
      <c r="S28" s="23">
        <v>0</v>
      </c>
      <c r="T28" s="23">
        <v>1</v>
      </c>
      <c r="U28" s="23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1</v>
      </c>
    </row>
    <row r="29" spans="1:36" x14ac:dyDescent="0.15">
      <c r="A29" s="23">
        <v>28</v>
      </c>
      <c r="B29" s="7" t="s">
        <v>66</v>
      </c>
      <c r="C29" s="23">
        <v>102</v>
      </c>
      <c r="D29" s="23">
        <v>59</v>
      </c>
      <c r="E29" s="23">
        <v>2271</v>
      </c>
      <c r="F29" s="23">
        <v>233</v>
      </c>
      <c r="G29" s="25">
        <v>3</v>
      </c>
      <c r="H29" s="23">
        <v>9</v>
      </c>
      <c r="I29" s="23">
        <v>22</v>
      </c>
      <c r="J29" s="23">
        <v>15</v>
      </c>
      <c r="K29" s="23">
        <v>42</v>
      </c>
      <c r="L29" s="23">
        <f>SUM(テーブル4681314[[#This Row],[Open数]:[Closed数]])</f>
        <v>57</v>
      </c>
      <c r="M29" s="23">
        <v>9</v>
      </c>
      <c r="N29" s="23">
        <v>51</v>
      </c>
      <c r="O29" s="23">
        <f>SUM(テーブル4681314[[#This Row],[Open数2]:[Closed数3]])</f>
        <v>60</v>
      </c>
      <c r="P29" s="23">
        <v>0</v>
      </c>
      <c r="Q29" s="23">
        <v>0</v>
      </c>
      <c r="R29" s="23">
        <v>0</v>
      </c>
      <c r="S29" s="23">
        <v>1</v>
      </c>
      <c r="T29" s="23">
        <v>1</v>
      </c>
      <c r="U29" s="23">
        <v>0</v>
      </c>
      <c r="V29" s="23">
        <v>0</v>
      </c>
      <c r="W29" s="23">
        <v>0</v>
      </c>
      <c r="X29" s="23">
        <v>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</row>
    <row r="30" spans="1:36" x14ac:dyDescent="0.15">
      <c r="A30" s="23">
        <v>29</v>
      </c>
      <c r="B30" s="7" t="s">
        <v>68</v>
      </c>
      <c r="C30" s="23">
        <v>3453</v>
      </c>
      <c r="D30" s="23">
        <v>71</v>
      </c>
      <c r="E30" s="23">
        <v>1680</v>
      </c>
      <c r="F30" s="23">
        <v>180</v>
      </c>
      <c r="G30" s="23">
        <v>24</v>
      </c>
      <c r="H30" s="23">
        <v>32</v>
      </c>
      <c r="I30" s="23">
        <v>24</v>
      </c>
      <c r="J30" s="23">
        <v>265</v>
      </c>
      <c r="K30" s="23">
        <v>1045</v>
      </c>
      <c r="L30" s="23">
        <f>SUM(テーブル4681314[[#This Row],[Open数]:[Closed数]])</f>
        <v>1310</v>
      </c>
      <c r="M30" s="23">
        <v>16</v>
      </c>
      <c r="N30" s="23">
        <v>649</v>
      </c>
      <c r="O30" s="23">
        <f>SUM(テーブル4681314[[#This Row],[Open数2]:[Closed数3]])</f>
        <v>665</v>
      </c>
      <c r="P30" s="23">
        <v>0</v>
      </c>
      <c r="Q30" s="23">
        <v>13</v>
      </c>
      <c r="R30" s="23">
        <v>1</v>
      </c>
      <c r="S30" s="23">
        <v>0</v>
      </c>
      <c r="T30" s="23">
        <v>0</v>
      </c>
      <c r="U30" s="23">
        <v>0</v>
      </c>
      <c r="V30" s="23">
        <v>1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1</v>
      </c>
    </row>
    <row r="31" spans="1:36" x14ac:dyDescent="0.15">
      <c r="A31" s="23">
        <v>30</v>
      </c>
      <c r="B31" s="7" t="s">
        <v>69</v>
      </c>
      <c r="C31" s="23">
        <v>136</v>
      </c>
      <c r="D31" s="23">
        <v>56</v>
      </c>
      <c r="E31" s="23">
        <v>392</v>
      </c>
      <c r="F31" s="23">
        <v>78</v>
      </c>
      <c r="G31" s="25">
        <v>1</v>
      </c>
      <c r="H31" s="23">
        <v>21</v>
      </c>
      <c r="I31" s="23">
        <v>3</v>
      </c>
      <c r="J31" s="23">
        <v>0</v>
      </c>
      <c r="K31" s="23">
        <v>21</v>
      </c>
      <c r="L31" s="23">
        <f>SUM(テーブル4681314[[#This Row],[Open数]:[Closed数]])</f>
        <v>21</v>
      </c>
      <c r="M31" s="23">
        <v>1</v>
      </c>
      <c r="N31" s="23">
        <v>8</v>
      </c>
      <c r="O31" s="23">
        <f>SUM(テーブル4681314[[#This Row],[Open数2]:[Closed数3]])</f>
        <v>9</v>
      </c>
      <c r="P31" s="23">
        <v>0</v>
      </c>
      <c r="Q31" s="23">
        <v>7</v>
      </c>
      <c r="R31" s="23">
        <v>0</v>
      </c>
      <c r="S31" s="23">
        <v>0</v>
      </c>
      <c r="T31" s="23">
        <v>1</v>
      </c>
      <c r="U31" s="23">
        <v>1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</row>
    <row r="32" spans="1:36" x14ac:dyDescent="0.15">
      <c r="A32" s="23">
        <v>31</v>
      </c>
      <c r="B32" s="27" t="s">
        <v>263</v>
      </c>
      <c r="C32" s="24">
        <v>12</v>
      </c>
      <c r="D32" s="24">
        <v>450</v>
      </c>
      <c r="E32" s="25">
        <v>1884</v>
      </c>
      <c r="F32" s="24">
        <v>142</v>
      </c>
      <c r="G32" s="24">
        <v>1</v>
      </c>
      <c r="H32" s="24">
        <v>0</v>
      </c>
      <c r="I32" s="24">
        <v>1</v>
      </c>
      <c r="J32" s="24">
        <v>44</v>
      </c>
      <c r="K32" s="25">
        <v>3</v>
      </c>
      <c r="L32" s="23">
        <f>SUM(テーブル4681314[[#This Row],[Open数]:[Closed数]])</f>
        <v>47</v>
      </c>
      <c r="M32" s="25">
        <v>15</v>
      </c>
      <c r="N32" s="25">
        <v>3</v>
      </c>
      <c r="O32" s="23">
        <f>SUM(テーブル4681314[[#This Row],[Open数2]:[Closed数3]])</f>
        <v>18</v>
      </c>
      <c r="P32" s="25">
        <v>0</v>
      </c>
      <c r="Q32" s="25">
        <v>0</v>
      </c>
      <c r="R32" s="23">
        <v>0</v>
      </c>
      <c r="S32" s="23">
        <v>0</v>
      </c>
      <c r="T32" s="25">
        <v>1</v>
      </c>
      <c r="U32" s="25">
        <v>0</v>
      </c>
      <c r="V32" s="23">
        <v>1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</row>
    <row r="33" spans="1:36" x14ac:dyDescent="0.15">
      <c r="A33" s="23">
        <v>32</v>
      </c>
      <c r="B33" s="27" t="s">
        <v>230</v>
      </c>
      <c r="C33" s="24">
        <v>569</v>
      </c>
      <c r="D33" s="24">
        <v>197</v>
      </c>
      <c r="E33" s="25">
        <v>1296</v>
      </c>
      <c r="F33" s="24">
        <v>70</v>
      </c>
      <c r="G33" s="24">
        <v>4</v>
      </c>
      <c r="H33" s="24">
        <v>0</v>
      </c>
      <c r="I33" s="24">
        <v>2</v>
      </c>
      <c r="J33" s="24">
        <v>15</v>
      </c>
      <c r="K33" s="25">
        <v>11</v>
      </c>
      <c r="L33" s="23">
        <f>SUM(テーブル4681314[[#This Row],[Open数]:[Closed数]])</f>
        <v>26</v>
      </c>
      <c r="M33" s="25">
        <v>1</v>
      </c>
      <c r="N33" s="25">
        <v>1</v>
      </c>
      <c r="O33" s="23">
        <f>SUM(テーブル4681314[[#This Row],[Open数2]:[Closed数3]])</f>
        <v>2</v>
      </c>
      <c r="P33" s="25">
        <v>0</v>
      </c>
      <c r="Q33" s="25">
        <v>4</v>
      </c>
      <c r="R33" s="23">
        <v>0</v>
      </c>
      <c r="S33" s="23">
        <v>0</v>
      </c>
      <c r="T33" s="25">
        <v>1</v>
      </c>
      <c r="U33" s="25">
        <v>0</v>
      </c>
      <c r="V33" s="23">
        <v>0</v>
      </c>
      <c r="W33" s="23">
        <v>1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</row>
    <row r="34" spans="1:36" x14ac:dyDescent="0.15">
      <c r="A34" s="23">
        <v>33</v>
      </c>
      <c r="B34" s="27" t="s">
        <v>231</v>
      </c>
      <c r="C34" s="3">
        <v>238</v>
      </c>
      <c r="D34" s="3">
        <v>160</v>
      </c>
      <c r="E34" s="25">
        <v>1122</v>
      </c>
      <c r="F34" s="3">
        <v>69</v>
      </c>
      <c r="G34" s="3">
        <v>4</v>
      </c>
      <c r="H34" s="25">
        <v>2</v>
      </c>
      <c r="I34" s="3">
        <v>6</v>
      </c>
      <c r="J34" s="3">
        <v>27</v>
      </c>
      <c r="K34" s="25">
        <v>25</v>
      </c>
      <c r="L34" s="23">
        <f>SUM(テーブル4681314[[#This Row],[Open数]:[Closed数]])</f>
        <v>52</v>
      </c>
      <c r="M34" s="25">
        <v>1</v>
      </c>
      <c r="N34" s="25">
        <v>7</v>
      </c>
      <c r="O34" s="23">
        <f>SUM(テーブル4681314[[#This Row],[Open数2]:[Closed数3]])</f>
        <v>8</v>
      </c>
      <c r="P34" s="25">
        <v>6</v>
      </c>
      <c r="Q34" s="25">
        <v>5</v>
      </c>
      <c r="R34" s="23">
        <v>0</v>
      </c>
      <c r="S34" s="23">
        <v>0</v>
      </c>
      <c r="T34" s="25">
        <v>1</v>
      </c>
      <c r="U34" s="25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1</v>
      </c>
      <c r="AC34" s="23">
        <v>0</v>
      </c>
      <c r="AD34" s="23">
        <v>0</v>
      </c>
      <c r="AE34" s="23">
        <v>0</v>
      </c>
      <c r="AF34" s="23">
        <v>1</v>
      </c>
      <c r="AG34" s="23">
        <v>0</v>
      </c>
      <c r="AH34" s="23">
        <v>0</v>
      </c>
      <c r="AI34" s="23">
        <v>0</v>
      </c>
      <c r="AJ34" s="23">
        <v>0</v>
      </c>
    </row>
    <row r="35" spans="1:36" x14ac:dyDescent="0.15">
      <c r="A35" s="23">
        <v>34</v>
      </c>
      <c r="B35" s="27" t="s">
        <v>236</v>
      </c>
      <c r="C35" s="3">
        <v>276</v>
      </c>
      <c r="D35" s="3">
        <v>242</v>
      </c>
      <c r="E35" s="25">
        <v>2577</v>
      </c>
      <c r="F35" s="3">
        <v>191</v>
      </c>
      <c r="G35" s="3">
        <v>3</v>
      </c>
      <c r="H35" s="25">
        <v>11</v>
      </c>
      <c r="I35" s="3">
        <v>11</v>
      </c>
      <c r="J35" s="3">
        <v>62</v>
      </c>
      <c r="K35" s="25">
        <v>120</v>
      </c>
      <c r="L35" s="23">
        <f>SUM(テーブル4681314[[#This Row],[Open数]:[Closed数]])</f>
        <v>182</v>
      </c>
      <c r="M35" s="25">
        <v>4</v>
      </c>
      <c r="N35" s="25">
        <v>36</v>
      </c>
      <c r="O35" s="23">
        <f>SUM(テーブル4681314[[#This Row],[Open数2]:[Closed数3]])</f>
        <v>40</v>
      </c>
      <c r="P35" s="25">
        <v>17</v>
      </c>
      <c r="Q35" s="25">
        <v>9</v>
      </c>
      <c r="R35" s="23">
        <v>0</v>
      </c>
      <c r="S35" s="23">
        <v>0</v>
      </c>
      <c r="T35" s="25">
        <v>1</v>
      </c>
      <c r="U35" s="25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1</v>
      </c>
    </row>
    <row r="36" spans="1:36" x14ac:dyDescent="0.15">
      <c r="A36" s="23">
        <v>35</v>
      </c>
      <c r="B36" s="27" t="s">
        <v>264</v>
      </c>
      <c r="C36" s="25">
        <v>434</v>
      </c>
      <c r="D36" s="25">
        <v>121</v>
      </c>
      <c r="E36" s="25">
        <v>457</v>
      </c>
      <c r="F36" s="25">
        <v>45</v>
      </c>
      <c r="G36" s="25">
        <v>25</v>
      </c>
      <c r="H36" s="25">
        <v>16</v>
      </c>
      <c r="I36" s="25">
        <v>7</v>
      </c>
      <c r="J36" s="25">
        <v>13</v>
      </c>
      <c r="K36" s="25">
        <v>109</v>
      </c>
      <c r="L36" s="23">
        <f>SUM(テーブル4681314[[#This Row],[Open数]:[Closed数]])</f>
        <v>122</v>
      </c>
      <c r="M36" s="25">
        <v>0</v>
      </c>
      <c r="N36" s="25">
        <v>23</v>
      </c>
      <c r="O36" s="23">
        <f>SUM(テーブル4681314[[#This Row],[Open数2]:[Closed数3]])</f>
        <v>23</v>
      </c>
      <c r="P36" s="25">
        <v>15</v>
      </c>
      <c r="Q36" s="25">
        <v>2</v>
      </c>
      <c r="R36" s="23">
        <v>0</v>
      </c>
      <c r="S36" s="23">
        <v>0</v>
      </c>
      <c r="T36" s="25">
        <v>1</v>
      </c>
      <c r="U36" s="25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</row>
    <row r="37" spans="1:36" x14ac:dyDescent="0.15">
      <c r="A37" s="23">
        <v>36</v>
      </c>
      <c r="B37" s="27" t="s">
        <v>238</v>
      </c>
      <c r="C37" s="25">
        <v>3385</v>
      </c>
      <c r="D37" s="24">
        <v>1631</v>
      </c>
      <c r="E37" s="25">
        <v>8991</v>
      </c>
      <c r="F37" s="25">
        <v>526</v>
      </c>
      <c r="G37" s="25">
        <v>14</v>
      </c>
      <c r="H37" s="25">
        <v>22</v>
      </c>
      <c r="I37" s="25">
        <v>169</v>
      </c>
      <c r="J37" s="25">
        <v>159</v>
      </c>
      <c r="K37" s="25">
        <v>1767</v>
      </c>
      <c r="L37" s="23">
        <f>SUM(テーブル4681314[[#This Row],[Open数]:[Closed数]])</f>
        <v>1926</v>
      </c>
      <c r="M37" s="25">
        <v>32</v>
      </c>
      <c r="N37" s="25">
        <v>1055</v>
      </c>
      <c r="O37" s="23">
        <f>SUM(テーブル4681314[[#This Row],[Open数2]:[Closed数3]])</f>
        <v>1087</v>
      </c>
      <c r="P37" s="25">
        <v>0</v>
      </c>
      <c r="Q37" s="25">
        <v>20</v>
      </c>
      <c r="R37" s="23">
        <v>0</v>
      </c>
      <c r="S37" s="23">
        <v>0</v>
      </c>
      <c r="T37" s="25">
        <v>1</v>
      </c>
      <c r="U37" s="25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1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  <row r="38" spans="1:36" x14ac:dyDescent="0.15">
      <c r="A38" s="23">
        <v>37</v>
      </c>
      <c r="B38" s="27" t="s">
        <v>239</v>
      </c>
      <c r="C38" s="3">
        <v>13121</v>
      </c>
      <c r="D38" s="3">
        <v>973</v>
      </c>
      <c r="E38" s="3">
        <v>2028</v>
      </c>
      <c r="F38" s="3">
        <v>217</v>
      </c>
      <c r="G38" s="3">
        <v>3</v>
      </c>
      <c r="H38" s="3">
        <v>41</v>
      </c>
      <c r="I38" s="3">
        <v>272</v>
      </c>
      <c r="J38" s="3">
        <v>341</v>
      </c>
      <c r="K38" s="3">
        <v>1243</v>
      </c>
      <c r="L38" s="23">
        <f>SUM(テーブル4681314[[#This Row],[Open数]:[Closed数]])</f>
        <v>1584</v>
      </c>
      <c r="M38" s="3">
        <v>81</v>
      </c>
      <c r="N38" s="3">
        <v>2118</v>
      </c>
      <c r="O38" s="23">
        <f>SUM(テーブル4681314[[#This Row],[Open数2]:[Closed数3]])</f>
        <v>2199</v>
      </c>
      <c r="P38" s="25">
        <v>25</v>
      </c>
      <c r="Q38" s="25">
        <v>37</v>
      </c>
      <c r="R38" s="3">
        <v>1</v>
      </c>
      <c r="S38" s="23">
        <v>0</v>
      </c>
      <c r="T38" s="25">
        <v>0</v>
      </c>
      <c r="U38" s="25">
        <v>0</v>
      </c>
      <c r="V38" s="23">
        <v>1</v>
      </c>
      <c r="W38" s="23">
        <v>0</v>
      </c>
      <c r="X38" s="23">
        <v>0</v>
      </c>
      <c r="Y38" s="23">
        <v>0</v>
      </c>
      <c r="Z38" s="23">
        <v>0</v>
      </c>
      <c r="AA38" s="23">
        <v>1</v>
      </c>
      <c r="AB38" s="23">
        <v>0</v>
      </c>
      <c r="AC38" s="23">
        <v>0</v>
      </c>
      <c r="AD38" s="23">
        <v>1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1</v>
      </c>
    </row>
    <row r="39" spans="1:36" x14ac:dyDescent="0.15">
      <c r="A39" s="23">
        <v>38</v>
      </c>
      <c r="B39" s="27" t="s">
        <v>265</v>
      </c>
      <c r="C39" s="3">
        <v>642</v>
      </c>
      <c r="D39" s="3">
        <v>161</v>
      </c>
      <c r="E39" s="3">
        <v>835</v>
      </c>
      <c r="F39" s="3">
        <v>88</v>
      </c>
      <c r="G39" s="3">
        <v>5</v>
      </c>
      <c r="H39" s="3">
        <v>0</v>
      </c>
      <c r="I39" s="3">
        <v>26</v>
      </c>
      <c r="J39" s="3">
        <v>42</v>
      </c>
      <c r="K39" s="3">
        <v>79</v>
      </c>
      <c r="L39" s="23">
        <f>SUM(テーブル4681314[[#This Row],[Open数]:[Closed数]])</f>
        <v>121</v>
      </c>
      <c r="M39" s="3">
        <v>6</v>
      </c>
      <c r="N39" s="3">
        <v>42</v>
      </c>
      <c r="O39" s="23">
        <f>SUM(テーブル4681314[[#This Row],[Open数2]:[Closed数3]])</f>
        <v>48</v>
      </c>
      <c r="P39" s="25">
        <v>0</v>
      </c>
      <c r="Q39" s="25">
        <v>4</v>
      </c>
      <c r="R39" s="3">
        <v>0</v>
      </c>
      <c r="S39" s="23">
        <v>0</v>
      </c>
      <c r="T39" s="25">
        <v>1</v>
      </c>
      <c r="U39" s="25">
        <v>1</v>
      </c>
      <c r="V39" s="23">
        <v>1</v>
      </c>
      <c r="W39" s="23">
        <v>0</v>
      </c>
      <c r="X39" s="23">
        <v>1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</row>
    <row r="40" spans="1:36" x14ac:dyDescent="0.15">
      <c r="A40" s="23">
        <v>39</v>
      </c>
      <c r="B40" s="27" t="s">
        <v>246</v>
      </c>
      <c r="C40" s="25">
        <v>1492</v>
      </c>
      <c r="D40" s="25">
        <v>753</v>
      </c>
      <c r="E40" s="25">
        <v>3396</v>
      </c>
      <c r="F40" s="25">
        <v>227</v>
      </c>
      <c r="G40" s="25">
        <v>5</v>
      </c>
      <c r="H40" s="25">
        <v>23</v>
      </c>
      <c r="I40" s="25">
        <v>54</v>
      </c>
      <c r="J40" s="25">
        <v>167</v>
      </c>
      <c r="K40" s="25">
        <v>375</v>
      </c>
      <c r="L40" s="23">
        <f>SUM(テーブル4681314[[#This Row],[Open数]:[Closed数]])</f>
        <v>542</v>
      </c>
      <c r="M40" s="25">
        <v>27</v>
      </c>
      <c r="N40" s="25">
        <v>189</v>
      </c>
      <c r="O40" s="23">
        <f>SUM(テーブル4681314[[#This Row],[Open数2]:[Closed数3]])</f>
        <v>216</v>
      </c>
      <c r="P40" s="25">
        <v>6</v>
      </c>
      <c r="Q40" s="25">
        <v>9</v>
      </c>
      <c r="R40" s="3">
        <v>0</v>
      </c>
      <c r="S40" s="23">
        <v>0</v>
      </c>
      <c r="T40" s="25">
        <v>1</v>
      </c>
      <c r="U40" s="25">
        <v>1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</v>
      </c>
    </row>
    <row r="41" spans="1:36" x14ac:dyDescent="0.15">
      <c r="A41" s="23">
        <v>40</v>
      </c>
      <c r="B41" s="27" t="s">
        <v>247</v>
      </c>
      <c r="C41" s="25">
        <v>97</v>
      </c>
      <c r="D41" s="25">
        <v>3543</v>
      </c>
      <c r="E41" s="25">
        <v>12035</v>
      </c>
      <c r="F41" s="25">
        <v>656</v>
      </c>
      <c r="G41" s="25">
        <v>4</v>
      </c>
      <c r="H41" s="25">
        <v>6</v>
      </c>
      <c r="I41" s="25">
        <v>14</v>
      </c>
      <c r="J41" s="25">
        <v>289</v>
      </c>
      <c r="K41" s="25">
        <v>289</v>
      </c>
      <c r="L41" s="23">
        <f>SUM(テーブル4681314[[#This Row],[Open数]:[Closed数]])</f>
        <v>578</v>
      </c>
      <c r="M41" s="25">
        <v>93</v>
      </c>
      <c r="N41" s="25">
        <v>80</v>
      </c>
      <c r="O41" s="23">
        <f>SUM(テーブル4681314[[#This Row],[Open数2]:[Closed数3]])</f>
        <v>173</v>
      </c>
      <c r="P41" s="25">
        <v>0</v>
      </c>
      <c r="Q41" s="25">
        <v>11</v>
      </c>
      <c r="R41" s="3">
        <v>0</v>
      </c>
      <c r="S41" s="23">
        <v>0</v>
      </c>
      <c r="T41" s="25">
        <v>1</v>
      </c>
      <c r="U41" s="25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</row>
    <row r="42" spans="1:36" x14ac:dyDescent="0.15">
      <c r="A42" s="23">
        <v>41</v>
      </c>
      <c r="B42" s="27" t="s">
        <v>248</v>
      </c>
      <c r="C42" s="25">
        <v>384</v>
      </c>
      <c r="D42" s="25">
        <v>150</v>
      </c>
      <c r="E42" s="25">
        <v>3591</v>
      </c>
      <c r="F42" s="25">
        <v>160</v>
      </c>
      <c r="G42" s="25">
        <v>2</v>
      </c>
      <c r="H42" s="25">
        <v>14</v>
      </c>
      <c r="I42" s="25">
        <v>7</v>
      </c>
      <c r="J42" s="25">
        <v>34</v>
      </c>
      <c r="K42" s="25">
        <v>59</v>
      </c>
      <c r="L42" s="23">
        <f>SUM(テーブル4681314[[#This Row],[Open数]:[Closed数]])</f>
        <v>93</v>
      </c>
      <c r="M42" s="25">
        <v>0</v>
      </c>
      <c r="N42" s="25">
        <v>48</v>
      </c>
      <c r="O42" s="23">
        <f>SUM(テーブル4681314[[#This Row],[Open数2]:[Closed数3]])</f>
        <v>48</v>
      </c>
      <c r="P42" s="25">
        <v>0</v>
      </c>
      <c r="Q42" s="25">
        <v>10</v>
      </c>
      <c r="R42" s="3">
        <v>0</v>
      </c>
      <c r="S42" s="23">
        <v>0</v>
      </c>
      <c r="T42" s="25">
        <v>1</v>
      </c>
      <c r="U42" s="25">
        <v>1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1</v>
      </c>
      <c r="AG42" s="23">
        <v>0</v>
      </c>
      <c r="AH42" s="23">
        <v>0</v>
      </c>
      <c r="AI42" s="23">
        <v>0</v>
      </c>
      <c r="AJ42" s="23">
        <v>0</v>
      </c>
    </row>
    <row r="43" spans="1:36" x14ac:dyDescent="0.15">
      <c r="A43" s="23">
        <v>42</v>
      </c>
      <c r="B43" s="27" t="s">
        <v>249</v>
      </c>
      <c r="C43" s="25">
        <v>218</v>
      </c>
      <c r="D43" s="25">
        <v>366</v>
      </c>
      <c r="E43" s="25">
        <v>2328</v>
      </c>
      <c r="F43" s="25">
        <v>185</v>
      </c>
      <c r="G43" s="25">
        <v>5</v>
      </c>
      <c r="H43" s="25">
        <v>5</v>
      </c>
      <c r="I43" s="25">
        <v>9</v>
      </c>
      <c r="J43" s="25">
        <v>15</v>
      </c>
      <c r="K43" s="25">
        <v>52</v>
      </c>
      <c r="L43" s="23">
        <f>SUM(テーブル4681314[[#This Row],[Open数]:[Closed数]])</f>
        <v>67</v>
      </c>
      <c r="M43" s="25">
        <v>4</v>
      </c>
      <c r="N43" s="25">
        <v>9</v>
      </c>
      <c r="O43" s="23">
        <f>SUM(テーブル4681314[[#This Row],[Open数2]:[Closed数3]])</f>
        <v>13</v>
      </c>
      <c r="P43" s="25">
        <v>13</v>
      </c>
      <c r="Q43" s="25">
        <v>10</v>
      </c>
      <c r="R43" s="3">
        <v>0</v>
      </c>
      <c r="S43" s="23">
        <v>0</v>
      </c>
      <c r="T43" s="25">
        <v>1</v>
      </c>
      <c r="U43" s="25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</row>
    <row r="44" spans="1:36" x14ac:dyDescent="0.15">
      <c r="A44" s="23">
        <v>43</v>
      </c>
      <c r="B44" s="27" t="s">
        <v>266</v>
      </c>
      <c r="C44" s="25">
        <v>365</v>
      </c>
      <c r="D44" s="25">
        <v>232</v>
      </c>
      <c r="E44" s="25">
        <v>4336</v>
      </c>
      <c r="F44" s="25">
        <v>162</v>
      </c>
      <c r="G44" s="25">
        <v>4</v>
      </c>
      <c r="H44" s="25">
        <v>26</v>
      </c>
      <c r="I44" s="25">
        <v>14</v>
      </c>
      <c r="J44" s="25">
        <v>16</v>
      </c>
      <c r="K44" s="25">
        <v>41</v>
      </c>
      <c r="L44" s="23">
        <f>SUM(テーブル4681314[[#This Row],[Open数]:[Closed数]])</f>
        <v>57</v>
      </c>
      <c r="M44" s="25">
        <v>1</v>
      </c>
      <c r="N44" s="25">
        <v>23</v>
      </c>
      <c r="O44" s="23">
        <f>SUM(テーブル4681314[[#This Row],[Open数2]:[Closed数3]])</f>
        <v>24</v>
      </c>
      <c r="P44" s="25">
        <v>0</v>
      </c>
      <c r="Q44" s="25">
        <v>6</v>
      </c>
      <c r="R44" s="3">
        <v>0</v>
      </c>
      <c r="S44" s="23">
        <v>0</v>
      </c>
      <c r="T44" s="25">
        <v>1</v>
      </c>
      <c r="U44" s="25">
        <v>1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</row>
    <row r="45" spans="1:36" x14ac:dyDescent="0.15">
      <c r="A45" s="23">
        <v>44</v>
      </c>
      <c r="B45" s="27" t="s">
        <v>250</v>
      </c>
      <c r="C45" s="25">
        <v>1184</v>
      </c>
      <c r="D45" s="25">
        <v>1325</v>
      </c>
      <c r="E45" s="25">
        <v>3043</v>
      </c>
      <c r="F45" s="25">
        <v>460</v>
      </c>
      <c r="G45" s="25">
        <v>3</v>
      </c>
      <c r="H45" s="25">
        <v>19</v>
      </c>
      <c r="I45" s="25">
        <v>13</v>
      </c>
      <c r="J45" s="25">
        <v>61</v>
      </c>
      <c r="K45" s="25">
        <v>757</v>
      </c>
      <c r="L45" s="23">
        <f>SUM(テーブル4681314[[#This Row],[Open数]:[Closed数]])</f>
        <v>818</v>
      </c>
      <c r="M45" s="25">
        <v>1</v>
      </c>
      <c r="N45" s="25">
        <v>59</v>
      </c>
      <c r="O45" s="23">
        <f>SUM(テーブル4681314[[#This Row],[Open数2]:[Closed数3]])</f>
        <v>60</v>
      </c>
      <c r="P45" s="25">
        <v>5</v>
      </c>
      <c r="Q45" s="25">
        <v>24</v>
      </c>
      <c r="R45" s="3">
        <v>0</v>
      </c>
      <c r="S45" s="23">
        <v>0</v>
      </c>
      <c r="T45" s="25">
        <v>1</v>
      </c>
      <c r="U45" s="25">
        <v>1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</row>
    <row r="46" spans="1:36" x14ac:dyDescent="0.15">
      <c r="A46" s="23">
        <v>45</v>
      </c>
      <c r="B46" s="27" t="s">
        <v>251</v>
      </c>
      <c r="C46" s="25">
        <v>2951</v>
      </c>
      <c r="D46" s="25">
        <v>985</v>
      </c>
      <c r="E46" s="25">
        <v>2399</v>
      </c>
      <c r="F46" s="25">
        <v>44</v>
      </c>
      <c r="G46" s="25">
        <v>21</v>
      </c>
      <c r="H46" s="25">
        <v>47</v>
      </c>
      <c r="I46" s="25">
        <v>415</v>
      </c>
      <c r="J46" s="25">
        <v>53</v>
      </c>
      <c r="K46" s="25">
        <v>517</v>
      </c>
      <c r="L46" s="23">
        <f>SUM(テーブル4681314[[#This Row],[Open数]:[Closed数]])</f>
        <v>570</v>
      </c>
      <c r="M46" s="25">
        <v>40</v>
      </c>
      <c r="N46" s="25">
        <v>1077</v>
      </c>
      <c r="O46" s="23">
        <f>SUM(テーブル4681314[[#This Row],[Open数2]:[Closed数3]])</f>
        <v>1117</v>
      </c>
      <c r="P46" s="25">
        <v>0</v>
      </c>
      <c r="Q46" s="25">
        <v>13</v>
      </c>
      <c r="R46" s="3">
        <v>0</v>
      </c>
      <c r="S46" s="25">
        <v>1</v>
      </c>
      <c r="T46" s="25">
        <v>0</v>
      </c>
      <c r="U46" s="25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1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</row>
    <row r="47" spans="1:36" x14ac:dyDescent="0.15">
      <c r="A47" s="23">
        <v>46</v>
      </c>
      <c r="B47" s="27" t="s">
        <v>253</v>
      </c>
      <c r="C47" s="25">
        <v>394</v>
      </c>
      <c r="D47" s="25">
        <v>1136</v>
      </c>
      <c r="E47" s="25">
        <v>10175</v>
      </c>
      <c r="F47" s="25">
        <v>438</v>
      </c>
      <c r="G47" s="25">
        <v>3</v>
      </c>
      <c r="H47" s="25">
        <v>21</v>
      </c>
      <c r="I47" s="25">
        <v>53</v>
      </c>
      <c r="J47" s="25">
        <v>26</v>
      </c>
      <c r="K47" s="25">
        <v>220</v>
      </c>
      <c r="L47" s="23">
        <f>SUM(テーブル4681314[[#This Row],[Open数]:[Closed数]])</f>
        <v>246</v>
      </c>
      <c r="M47" s="25">
        <v>28</v>
      </c>
      <c r="N47" s="25">
        <v>181</v>
      </c>
      <c r="O47" s="23">
        <f>SUM(テーブル4681314[[#This Row],[Open数2]:[Closed数3]])</f>
        <v>209</v>
      </c>
      <c r="P47" s="25">
        <v>0</v>
      </c>
      <c r="Q47" s="25">
        <v>3</v>
      </c>
      <c r="R47" s="3">
        <v>0</v>
      </c>
      <c r="S47" s="25">
        <v>0</v>
      </c>
      <c r="T47" s="25">
        <v>1</v>
      </c>
      <c r="U47" s="25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1</v>
      </c>
    </row>
    <row r="48" spans="1:36" x14ac:dyDescent="0.15">
      <c r="A48" s="23">
        <v>47</v>
      </c>
      <c r="B48" s="27" t="s">
        <v>254</v>
      </c>
      <c r="C48" s="25">
        <v>3279</v>
      </c>
      <c r="D48" s="25">
        <v>7535</v>
      </c>
      <c r="E48" s="25">
        <v>31413</v>
      </c>
      <c r="F48" s="25">
        <v>714</v>
      </c>
      <c r="G48" s="25">
        <v>35</v>
      </c>
      <c r="H48" s="25">
        <v>175</v>
      </c>
      <c r="I48" s="25">
        <v>81</v>
      </c>
      <c r="J48" s="25">
        <v>147</v>
      </c>
      <c r="K48" s="25">
        <v>1078</v>
      </c>
      <c r="L48" s="23">
        <f>SUM(テーブル4681314[[#This Row],[Open数]:[Closed数]])</f>
        <v>1225</v>
      </c>
      <c r="M48" s="25">
        <v>66</v>
      </c>
      <c r="N48" s="25">
        <v>813</v>
      </c>
      <c r="O48" s="23">
        <f>SUM(テーブル4681314[[#This Row],[Open数2]:[Closed数3]])</f>
        <v>879</v>
      </c>
      <c r="P48" s="25">
        <v>67</v>
      </c>
      <c r="Q48" s="25">
        <v>12</v>
      </c>
      <c r="R48" s="3">
        <v>0</v>
      </c>
      <c r="S48" s="25">
        <v>0</v>
      </c>
      <c r="T48" s="25">
        <v>1</v>
      </c>
      <c r="U48" s="25">
        <v>1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36" x14ac:dyDescent="0.15">
      <c r="A49" s="23">
        <v>48</v>
      </c>
      <c r="B49" s="27" t="s">
        <v>255</v>
      </c>
      <c r="C49" s="25">
        <v>269</v>
      </c>
      <c r="D49" s="25">
        <v>226</v>
      </c>
      <c r="E49" s="25">
        <v>2672</v>
      </c>
      <c r="F49" s="25">
        <v>94</v>
      </c>
      <c r="G49" s="25">
        <v>4</v>
      </c>
      <c r="H49" s="25">
        <v>27</v>
      </c>
      <c r="I49" s="25">
        <v>6</v>
      </c>
      <c r="J49" s="25">
        <v>1</v>
      </c>
      <c r="K49" s="25">
        <v>27</v>
      </c>
      <c r="L49" s="23">
        <f>SUM(テーブル4681314[[#This Row],[Open数]:[Closed数]])</f>
        <v>28</v>
      </c>
      <c r="M49" s="25">
        <v>1</v>
      </c>
      <c r="N49" s="25">
        <v>19</v>
      </c>
      <c r="O49" s="23">
        <f>SUM(テーブル4681314[[#This Row],[Open数2]:[Closed数3]])</f>
        <v>20</v>
      </c>
      <c r="P49" s="25">
        <v>0</v>
      </c>
      <c r="Q49" s="25">
        <v>0</v>
      </c>
      <c r="R49" s="3">
        <v>0</v>
      </c>
      <c r="S49" s="25">
        <v>1</v>
      </c>
      <c r="T49" s="25">
        <v>1</v>
      </c>
      <c r="U49" s="25">
        <v>1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</row>
    <row r="50" spans="1:36" x14ac:dyDescent="0.15">
      <c r="A50" s="23">
        <v>49</v>
      </c>
      <c r="B50" s="27" t="s">
        <v>256</v>
      </c>
      <c r="C50" s="25">
        <v>1299</v>
      </c>
      <c r="D50" s="25">
        <v>246</v>
      </c>
      <c r="E50" s="25">
        <v>1464</v>
      </c>
      <c r="F50" s="25">
        <v>110</v>
      </c>
      <c r="G50" s="25">
        <v>17</v>
      </c>
      <c r="H50" s="25">
        <v>6</v>
      </c>
      <c r="I50" s="25">
        <v>41</v>
      </c>
      <c r="J50" s="25">
        <v>40</v>
      </c>
      <c r="K50" s="25">
        <v>302</v>
      </c>
      <c r="L50" s="23">
        <f>SUM(テーブル4681314[[#This Row],[Open数]:[Closed数]])</f>
        <v>342</v>
      </c>
      <c r="M50" s="25">
        <v>1</v>
      </c>
      <c r="N50" s="25">
        <v>111</v>
      </c>
      <c r="O50" s="23">
        <f>SUM(テーブル4681314[[#This Row],[Open数2]:[Closed数3]])</f>
        <v>112</v>
      </c>
      <c r="P50" s="25">
        <v>2</v>
      </c>
      <c r="Q50" s="25">
        <v>10</v>
      </c>
      <c r="R50" s="3">
        <v>0</v>
      </c>
      <c r="S50" s="25">
        <v>0</v>
      </c>
      <c r="T50" s="25">
        <v>1</v>
      </c>
      <c r="U50" s="25">
        <v>1</v>
      </c>
      <c r="V50" s="23">
        <v>1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</row>
    <row r="51" spans="1:36" x14ac:dyDescent="0.15">
      <c r="A51" s="23">
        <v>50</v>
      </c>
      <c r="B51" s="27" t="s">
        <v>257</v>
      </c>
      <c r="C51" s="25">
        <v>613</v>
      </c>
      <c r="D51" s="25">
        <v>574</v>
      </c>
      <c r="E51" s="25">
        <v>4122</v>
      </c>
      <c r="F51" s="25">
        <v>227</v>
      </c>
      <c r="G51" s="25">
        <v>8</v>
      </c>
      <c r="H51" s="25">
        <v>4</v>
      </c>
      <c r="I51" s="25">
        <v>32</v>
      </c>
      <c r="J51" s="25">
        <v>104</v>
      </c>
      <c r="K51" s="25">
        <v>226</v>
      </c>
      <c r="L51" s="23">
        <f>SUM(テーブル4681314[[#This Row],[Open数]:[Closed数]])</f>
        <v>330</v>
      </c>
      <c r="M51" s="25">
        <v>8</v>
      </c>
      <c r="N51" s="25">
        <v>97</v>
      </c>
      <c r="O51" s="23">
        <f>SUM(テーブル4681314[[#This Row],[Open数2]:[Closed数3]])</f>
        <v>105</v>
      </c>
      <c r="P51" s="25">
        <v>5</v>
      </c>
      <c r="Q51" s="25">
        <v>11</v>
      </c>
      <c r="R51" s="3">
        <v>0</v>
      </c>
      <c r="S51" s="25">
        <v>0</v>
      </c>
      <c r="T51" s="25">
        <v>1</v>
      </c>
      <c r="U51" s="25">
        <v>1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</row>
    <row r="52" spans="1:36" x14ac:dyDescent="0.15">
      <c r="A52" s="23"/>
      <c r="B52" s="31"/>
      <c r="C52" s="32">
        <f>SUM(テーブル4681314[コミット数])</f>
        <v>334613</v>
      </c>
      <c r="D52" s="32">
        <f>SUM(テーブル4681314[Fork数])</f>
        <v>30672</v>
      </c>
      <c r="E52" s="32">
        <f>SUM(テーブル4681314[Star数])</f>
        <v>233727</v>
      </c>
      <c r="F52" s="32">
        <f>SUM(テーブル4681314[Watch数])</f>
        <v>52898</v>
      </c>
      <c r="G52" s="32">
        <f>SUM(テーブル4681314[branch数])</f>
        <v>640</v>
      </c>
      <c r="H52" s="32">
        <f>SUM(テーブル4681314[リリース数])</f>
        <v>4667</v>
      </c>
      <c r="I52" s="32">
        <f>SUM(テーブル4681314[contribution数])</f>
        <v>6685</v>
      </c>
      <c r="J52" s="32">
        <f>SUM(テーブル4681314[Open数])</f>
        <v>4335</v>
      </c>
      <c r="K52" s="32">
        <f>SUM(テーブル4681314[Closed数])</f>
        <v>24758</v>
      </c>
      <c r="L52" s="32">
        <f>SUM(テーブル4681314[Issues計])</f>
        <v>29093</v>
      </c>
      <c r="M52" s="32">
        <f>SUM(テーブル4681314[Open数2])</f>
        <v>1554</v>
      </c>
      <c r="N52" s="32">
        <f>SUM(テーブル4681314[Closed数3])</f>
        <v>37882</v>
      </c>
      <c r="O52" s="32">
        <f>SUM(テーブル4681314[PullRequest計])</f>
        <v>39436</v>
      </c>
      <c r="P52" s="32">
        <f>SUM(テーブル4681314[Wiki数])</f>
        <v>364</v>
      </c>
      <c r="Q52" s="32">
        <f>SUM(テーブル4681314[タグ数])</f>
        <v>545</v>
      </c>
      <c r="R52" s="32">
        <f>SUM(テーブル4681314[obejectivi-c])</f>
        <v>3</v>
      </c>
      <c r="S52" s="32">
        <f>SUM(テーブル4681314[Ruby])</f>
        <v>10</v>
      </c>
      <c r="T52" s="32">
        <f>SUM(テーブル4681314[JavaScript])</f>
        <v>36</v>
      </c>
      <c r="U52" s="32">
        <f>SUM(テーブル4681314[CSS])</f>
        <v>28</v>
      </c>
      <c r="V52" s="32">
        <f>SUM(テーブル4681314[Python])</f>
        <v>11</v>
      </c>
      <c r="W52" s="32">
        <f>SUM(テーブル4681314[PHP])</f>
        <v>3</v>
      </c>
      <c r="X52" s="32">
        <f>SUM(テーブル4681314[Perl])</f>
        <v>2</v>
      </c>
      <c r="Y52" s="32">
        <f>SUM(テーブル4681314[Groovy])</f>
        <v>1</v>
      </c>
      <c r="Z52" s="32">
        <f>SUM(テーブル4681314[TeX])</f>
        <v>2</v>
      </c>
      <c r="AA52" s="32">
        <f>SUM(テーブル4681314[C++])</f>
        <v>3</v>
      </c>
      <c r="AB52" s="32">
        <f>SUM(テーブル4681314[Shell])</f>
        <v>5</v>
      </c>
      <c r="AC52" s="32">
        <f>SUM(テーブル4681314[Erlang])</f>
        <v>1</v>
      </c>
      <c r="AD52" s="32">
        <f>SUM(テーブル4681314[C])</f>
        <v>4</v>
      </c>
      <c r="AE52" s="32">
        <f>SUM(テーブル4681314[Tcl])</f>
        <v>1</v>
      </c>
      <c r="AF52" s="32">
        <f>SUM(テーブル4681314[CoffeeScript])</f>
        <v>2</v>
      </c>
      <c r="AG52" s="32">
        <f>SUM(テーブル4681314[FORTRAN])</f>
        <v>1</v>
      </c>
      <c r="AH52" s="32">
        <f>SUM(テーブル4681314[ActionScript])</f>
        <v>1</v>
      </c>
      <c r="AI52" s="32">
        <f>SUM(テーブル4681314[Coq])</f>
        <v>1</v>
      </c>
      <c r="AJ52" s="32">
        <f>SUM(テーブル4681314[Other])</f>
        <v>11</v>
      </c>
    </row>
  </sheetData>
  <phoneticPr fontId="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display="https://github.com/gabrielecirulli/2048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 display="https://github.com/samizdatco/arbor"/>
    <hyperlink ref="B33" r:id="rId32" display="https://github.com/HumbleSoftware/envisionjs"/>
    <hyperlink ref="B34" r:id="rId33" display="https://github.com/kartograph/kartograph.js"/>
    <hyperlink ref="B35" r:id="rId34" display="https://github.com/trifacta/vega"/>
    <hyperlink ref="B36" r:id="rId35" display="https://github.com/stamen/modestmaps-js"/>
    <hyperlink ref="B37" r:id="rId36" display="https://github.com/Leaflet/Leaflet"/>
    <hyperlink ref="B38" r:id="rId37" display="https://github.com/matplotlib/matplotlib"/>
    <hyperlink ref="B39" r:id="rId38" display="https://github.com/Kozea/pygal"/>
    <hyperlink ref="B40" r:id="rId39" display="https://github.com/dc-js/dc.js"/>
    <hyperlink ref="B41" r:id="rId40" display="https://github.com/nnnick/Chart.js"/>
    <hyperlink ref="B42" r:id="rId41" display="https://github.com/fastly/epoch"/>
    <hyperlink ref="B43" r:id="rId42" display="https://github.com/densitydesign/raw"/>
    <hyperlink ref="B44" r:id="rId43" display="https://github.com/gionkunz/chartist-js"/>
    <hyperlink ref="B45" r:id="rId44" display="https://github.com/ecomfe/echarts"/>
    <hyperlink ref="B46" r:id="rId45" display="https://github.com/github/linguist"/>
    <hyperlink ref="B47" r:id="rId46" display="https://github.com/defunkt/jquery-pjax"/>
    <hyperlink ref="B48" r:id="rId47" display="https://github.com/mbostock/d3"/>
    <hyperlink ref="B49" r:id="rId48" display="https://github.com/benpickles/peity"/>
    <hyperlink ref="B50" r:id="rId49" display="https://github.com/okfn/recline"/>
    <hyperlink ref="B51" r:id="rId50" display="https://github.com/jacomyal/sigma.js"/>
  </hyperlinks>
  <pageMargins left="0.7" right="0.7" top="0.75" bottom="0.75" header="0.3" footer="0.3"/>
  <tableParts count="1">
    <tablePart r:id="rId5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7" sqref="C7"/>
    </sheetView>
  </sheetViews>
  <sheetFormatPr defaultRowHeight="14.25" x14ac:dyDescent="0.15"/>
  <cols>
    <col min="2" max="2" width="24.75" bestFit="1" customWidth="1"/>
  </cols>
  <sheetData>
    <row r="1" spans="1:3" x14ac:dyDescent="0.15">
      <c r="A1" t="s">
        <v>300</v>
      </c>
      <c r="B1" t="s">
        <v>301</v>
      </c>
      <c r="C1" t="s">
        <v>302</v>
      </c>
    </row>
    <row r="2" spans="1:3" x14ac:dyDescent="0.15">
      <c r="A2">
        <v>1</v>
      </c>
      <c r="B2" s="33" t="s">
        <v>303</v>
      </c>
      <c r="C2" t="s">
        <v>304</v>
      </c>
    </row>
    <row r="3" spans="1:3" ht="28.5" x14ac:dyDescent="0.15">
      <c r="A3">
        <v>2</v>
      </c>
      <c r="B3" s="33" t="s">
        <v>305</v>
      </c>
      <c r="C3" t="s">
        <v>304</v>
      </c>
    </row>
    <row r="4" spans="1:3" x14ac:dyDescent="0.15">
      <c r="A4">
        <v>3</v>
      </c>
      <c r="B4" s="33" t="s">
        <v>306</v>
      </c>
      <c r="C4" t="s">
        <v>304</v>
      </c>
    </row>
    <row r="5" spans="1:3" x14ac:dyDescent="0.15">
      <c r="A5">
        <v>4</v>
      </c>
      <c r="B5" s="33" t="s">
        <v>307</v>
      </c>
      <c r="C5" t="s">
        <v>304</v>
      </c>
    </row>
    <row r="6" spans="1:3" ht="28.5" x14ac:dyDescent="0.15">
      <c r="A6">
        <v>5</v>
      </c>
      <c r="B6" s="33" t="s">
        <v>308</v>
      </c>
      <c r="C6" t="s">
        <v>304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</sheetData>
  <phoneticPr fontId="1"/>
  <hyperlinks>
    <hyperlink ref="B2" r:id="rId1" display="https://github.com/hatena/hatena-bookmark-xul"/>
    <hyperlink ref="B3" r:id="rId2" display="https://github.com/hatena/hatena-bookmark-googlechrome-extension"/>
    <hyperlink ref="B4" r:id="rId3" display="https://github.com/hatena/hatena-screenshot-xul"/>
    <hyperlink ref="B5" r:id="rId4" display="https://github.com/hatena/hatena-toolbar-xul"/>
    <hyperlink ref="B6" r:id="rId5" display="https://github.com/hatena/hatena-bookmark-safari-ext"/>
  </hyperlinks>
  <pageMargins left="0.7" right="0.7" top="0.75" bottom="0.75" header="0.3" footer="0.3"/>
  <tableParts count="1"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4" sqref="D14"/>
    </sheetView>
  </sheetViews>
  <sheetFormatPr defaultRowHeight="14.25" x14ac:dyDescent="0.15"/>
  <sheetData>
    <row r="1" spans="1:3" x14ac:dyDescent="0.15">
      <c r="A1" t="s">
        <v>314</v>
      </c>
      <c r="B1" t="s">
        <v>315</v>
      </c>
      <c r="C1" t="s">
        <v>316</v>
      </c>
    </row>
    <row r="2" spans="1:3" x14ac:dyDescent="0.15">
      <c r="A2">
        <v>1</v>
      </c>
      <c r="B2" t="s">
        <v>304</v>
      </c>
      <c r="C2">
        <v>5</v>
      </c>
    </row>
    <row r="3" spans="1:3" x14ac:dyDescent="0.15">
      <c r="A3">
        <v>2</v>
      </c>
      <c r="B3" t="s">
        <v>309</v>
      </c>
      <c r="C3">
        <v>10</v>
      </c>
    </row>
    <row r="4" spans="1:3" x14ac:dyDescent="0.15">
      <c r="A4">
        <v>3</v>
      </c>
      <c r="B4" t="s">
        <v>310</v>
      </c>
      <c r="C4">
        <v>3</v>
      </c>
    </row>
    <row r="5" spans="1:3" x14ac:dyDescent="0.15">
      <c r="A5">
        <v>4</v>
      </c>
      <c r="B5" t="s">
        <v>311</v>
      </c>
      <c r="C5">
        <v>4</v>
      </c>
    </row>
    <row r="6" spans="1:3" x14ac:dyDescent="0.15">
      <c r="A6">
        <v>5</v>
      </c>
      <c r="B6" t="s">
        <v>312</v>
      </c>
      <c r="C6">
        <v>9</v>
      </c>
    </row>
    <row r="7" spans="1:3" x14ac:dyDescent="0.15">
      <c r="A7">
        <v>6</v>
      </c>
      <c r="B7" t="s">
        <v>313</v>
      </c>
      <c r="C7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workbookViewId="0">
      <selection activeCell="A5" sqref="A1:XFD1048576"/>
    </sheetView>
  </sheetViews>
  <sheetFormatPr defaultColWidth="13" defaultRowHeight="14.25" x14ac:dyDescent="0.15"/>
  <cols>
    <col min="2" max="31" width="13" customWidth="1"/>
  </cols>
  <sheetData>
    <row r="1" spans="1:40" x14ac:dyDescent="0.15">
      <c r="A1" s="6" t="s">
        <v>20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  <c r="M1" s="7" t="s">
        <v>149</v>
      </c>
      <c r="N1" s="7" t="s">
        <v>150</v>
      </c>
      <c r="O1" s="7" t="s">
        <v>151</v>
      </c>
      <c r="P1" s="7" t="s">
        <v>152</v>
      </c>
      <c r="Q1" s="7" t="s">
        <v>153</v>
      </c>
      <c r="R1" s="7" t="s">
        <v>154</v>
      </c>
      <c r="S1" s="7" t="s">
        <v>155</v>
      </c>
      <c r="T1" s="7" t="s">
        <v>156</v>
      </c>
      <c r="U1" s="7" t="s">
        <v>157</v>
      </c>
      <c r="V1" s="7" t="s">
        <v>158</v>
      </c>
      <c r="W1" s="7" t="s">
        <v>159</v>
      </c>
      <c r="X1" s="7" t="s">
        <v>160</v>
      </c>
      <c r="Y1" s="7" t="s">
        <v>161</v>
      </c>
      <c r="Z1" s="7" t="s">
        <v>162</v>
      </c>
      <c r="AA1" s="7" t="s">
        <v>163</v>
      </c>
      <c r="AB1" s="7" t="s">
        <v>164</v>
      </c>
      <c r="AC1" s="7" t="s">
        <v>165</v>
      </c>
      <c r="AD1" s="7" t="s">
        <v>166</v>
      </c>
      <c r="AE1" s="7" t="s">
        <v>167</v>
      </c>
      <c r="AF1" s="7" t="s">
        <v>70</v>
      </c>
      <c r="AM1" s="5" t="s">
        <v>73</v>
      </c>
      <c r="AN1" s="5"/>
    </row>
    <row r="2" spans="1:40" x14ac:dyDescent="0.15">
      <c r="A2" s="6" t="s">
        <v>19</v>
      </c>
      <c r="B2" s="7" t="s">
        <v>22</v>
      </c>
      <c r="C2" s="7" t="s">
        <v>130</v>
      </c>
      <c r="D2" s="7" t="s">
        <v>36</v>
      </c>
      <c r="E2" s="7" t="s">
        <v>37</v>
      </c>
      <c r="F2" s="7" t="s">
        <v>38</v>
      </c>
      <c r="G2" s="7" t="s">
        <v>40</v>
      </c>
      <c r="H2" s="7" t="s">
        <v>129</v>
      </c>
      <c r="I2" s="7" t="s">
        <v>45</v>
      </c>
      <c r="J2" s="7" t="s">
        <v>131</v>
      </c>
      <c r="K2" s="7" t="s">
        <v>47</v>
      </c>
      <c r="L2" s="7" t="s">
        <v>49</v>
      </c>
      <c r="M2" s="7">
        <v>2048</v>
      </c>
      <c r="N2" s="7" t="s">
        <v>50</v>
      </c>
      <c r="O2" s="7" t="s">
        <v>132</v>
      </c>
      <c r="P2" s="7" t="s">
        <v>89</v>
      </c>
      <c r="Q2" s="7" t="s">
        <v>90</v>
      </c>
      <c r="R2" s="7" t="s">
        <v>55</v>
      </c>
      <c r="S2" s="7" t="s">
        <v>56</v>
      </c>
      <c r="T2" s="7" t="s">
        <v>57</v>
      </c>
      <c r="U2" s="7" t="s">
        <v>93</v>
      </c>
      <c r="V2" s="7" t="s">
        <v>59</v>
      </c>
      <c r="W2" s="7" t="s">
        <v>133</v>
      </c>
      <c r="X2" s="7" t="s">
        <v>61</v>
      </c>
      <c r="Y2" s="7" t="s">
        <v>62</v>
      </c>
      <c r="Z2" s="7" t="s">
        <v>63</v>
      </c>
      <c r="AA2" s="7" t="s">
        <v>64</v>
      </c>
      <c r="AB2" s="7" t="s">
        <v>134</v>
      </c>
      <c r="AC2" s="7" t="s">
        <v>66</v>
      </c>
      <c r="AD2" s="7" t="s">
        <v>68</v>
      </c>
      <c r="AE2" s="7" t="s">
        <v>135</v>
      </c>
      <c r="AF2" s="7"/>
      <c r="AM2" s="3"/>
      <c r="AN2" s="3"/>
    </row>
    <row r="3" spans="1:40" x14ac:dyDescent="0.15">
      <c r="A3" s="6" t="s">
        <v>21</v>
      </c>
      <c r="AM3" s="3" t="s">
        <v>74</v>
      </c>
      <c r="AN3" s="3">
        <v>26.125</v>
      </c>
    </row>
    <row r="4" spans="1:40" x14ac:dyDescent="0.15">
      <c r="A4" s="6" t="s">
        <v>1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43</v>
      </c>
      <c r="I4" t="s">
        <v>43</v>
      </c>
      <c r="J4" t="s">
        <v>43</v>
      </c>
      <c r="K4" t="s">
        <v>48</v>
      </c>
      <c r="L4" t="s">
        <v>43</v>
      </c>
      <c r="M4" t="s">
        <v>43</v>
      </c>
      <c r="N4" t="s">
        <v>43</v>
      </c>
      <c r="O4" t="s">
        <v>43</v>
      </c>
      <c r="P4" t="s">
        <v>43</v>
      </c>
      <c r="Q4" t="s">
        <v>43</v>
      </c>
      <c r="R4" t="s">
        <v>43</v>
      </c>
      <c r="S4" t="s">
        <v>30</v>
      </c>
      <c r="T4" t="s">
        <v>30</v>
      </c>
      <c r="U4" t="s">
        <v>30</v>
      </c>
      <c r="V4" t="s">
        <v>30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67</v>
      </c>
      <c r="AD4" t="s">
        <v>43</v>
      </c>
      <c r="AE4" t="s">
        <v>43</v>
      </c>
      <c r="AM4" s="3" t="s">
        <v>75</v>
      </c>
      <c r="AN4" s="3">
        <v>1.7971952354392982</v>
      </c>
    </row>
    <row r="5" spans="1:40" x14ac:dyDescent="0.15">
      <c r="A5" s="6" t="s">
        <v>169</v>
      </c>
      <c r="B5">
        <v>40</v>
      </c>
      <c r="C5">
        <v>178</v>
      </c>
      <c r="D5">
        <v>178</v>
      </c>
      <c r="E5">
        <v>360</v>
      </c>
      <c r="F5">
        <v>1648</v>
      </c>
      <c r="G5">
        <v>553</v>
      </c>
      <c r="H5">
        <v>424</v>
      </c>
      <c r="I5">
        <v>637</v>
      </c>
      <c r="J5">
        <v>52</v>
      </c>
      <c r="K5">
        <v>45</v>
      </c>
      <c r="L5">
        <v>77</v>
      </c>
      <c r="M5">
        <v>471</v>
      </c>
      <c r="N5">
        <v>80</v>
      </c>
      <c r="O5">
        <v>321</v>
      </c>
      <c r="P5">
        <v>245</v>
      </c>
      <c r="Q5">
        <v>195</v>
      </c>
      <c r="R5">
        <v>173</v>
      </c>
      <c r="S5">
        <v>93</v>
      </c>
      <c r="T5">
        <v>420</v>
      </c>
      <c r="U5">
        <v>547</v>
      </c>
      <c r="V5">
        <v>95</v>
      </c>
      <c r="W5">
        <v>232</v>
      </c>
      <c r="X5">
        <v>559</v>
      </c>
      <c r="Y5">
        <v>1085</v>
      </c>
      <c r="Z5">
        <v>97</v>
      </c>
      <c r="AA5">
        <v>253</v>
      </c>
      <c r="AB5">
        <v>422</v>
      </c>
      <c r="AC5">
        <v>59</v>
      </c>
      <c r="AD5">
        <v>71</v>
      </c>
      <c r="AE5">
        <v>56</v>
      </c>
      <c r="AM5" s="3"/>
      <c r="AN5" s="3"/>
    </row>
    <row r="6" spans="1:40" x14ac:dyDescent="0.15">
      <c r="A6" s="6" t="s">
        <v>2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43</v>
      </c>
      <c r="I6" t="s">
        <v>43</v>
      </c>
      <c r="J6" t="s">
        <v>43</v>
      </c>
      <c r="K6" t="s">
        <v>48</v>
      </c>
      <c r="L6" t="s">
        <v>43</v>
      </c>
      <c r="M6" t="s">
        <v>43</v>
      </c>
      <c r="N6" t="s">
        <v>51</v>
      </c>
      <c r="O6" t="s">
        <v>43</v>
      </c>
      <c r="P6" t="s">
        <v>43</v>
      </c>
      <c r="Q6" t="s">
        <v>30</v>
      </c>
      <c r="R6" t="s">
        <v>43</v>
      </c>
      <c r="S6" t="s">
        <v>30</v>
      </c>
      <c r="T6" t="s">
        <v>30</v>
      </c>
      <c r="U6" t="s">
        <v>30</v>
      </c>
      <c r="V6" t="s">
        <v>30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M6" s="3" t="s">
        <v>76</v>
      </c>
      <c r="AN6" s="3">
        <v>28</v>
      </c>
    </row>
    <row r="7" spans="1:40" x14ac:dyDescent="0.15">
      <c r="A7" s="6" t="s">
        <v>170</v>
      </c>
      <c r="B7">
        <v>447</v>
      </c>
      <c r="C7">
        <v>1636</v>
      </c>
      <c r="D7">
        <v>2319</v>
      </c>
      <c r="E7">
        <v>11741</v>
      </c>
      <c r="F7">
        <v>23753</v>
      </c>
      <c r="G7">
        <v>5262</v>
      </c>
      <c r="H7">
        <v>4787</v>
      </c>
      <c r="I7">
        <v>11276</v>
      </c>
      <c r="J7">
        <v>313</v>
      </c>
      <c r="K7">
        <v>188</v>
      </c>
      <c r="L7">
        <v>461</v>
      </c>
      <c r="M7">
        <v>6127</v>
      </c>
      <c r="N7">
        <v>629</v>
      </c>
      <c r="O7">
        <v>4359</v>
      </c>
      <c r="P7">
        <v>4977</v>
      </c>
      <c r="Q7">
        <v>3300</v>
      </c>
      <c r="R7">
        <v>1999</v>
      </c>
      <c r="S7">
        <v>2054</v>
      </c>
      <c r="T7">
        <v>5809</v>
      </c>
      <c r="U7">
        <v>6575</v>
      </c>
      <c r="V7">
        <v>1178</v>
      </c>
      <c r="W7">
        <v>1852</v>
      </c>
      <c r="X7">
        <v>5955</v>
      </c>
      <c r="Y7">
        <v>10901</v>
      </c>
      <c r="Z7">
        <v>800</v>
      </c>
      <c r="AA7">
        <v>2055</v>
      </c>
      <c r="AB7">
        <v>8467</v>
      </c>
      <c r="AC7">
        <v>2271</v>
      </c>
      <c r="AD7">
        <v>1680</v>
      </c>
      <c r="AE7">
        <v>392</v>
      </c>
      <c r="AM7" s="3"/>
      <c r="AN7" s="3"/>
    </row>
    <row r="8" spans="1:40" x14ac:dyDescent="0.15">
      <c r="A8" s="6" t="s">
        <v>25</v>
      </c>
      <c r="B8" t="s">
        <v>30</v>
      </c>
      <c r="C8" t="s">
        <v>30</v>
      </c>
      <c r="D8" t="s">
        <v>137</v>
      </c>
      <c r="E8" t="s">
        <v>30</v>
      </c>
      <c r="F8" t="s">
        <v>30</v>
      </c>
      <c r="G8" t="s">
        <v>30</v>
      </c>
      <c r="H8" t="s">
        <v>43</v>
      </c>
      <c r="I8" t="s">
        <v>43</v>
      </c>
      <c r="J8" t="s">
        <v>43</v>
      </c>
      <c r="K8" t="s">
        <v>48</v>
      </c>
      <c r="L8" s="2" t="s">
        <v>42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30</v>
      </c>
      <c r="T8" t="s">
        <v>30</v>
      </c>
      <c r="U8" t="s">
        <v>30</v>
      </c>
      <c r="V8" t="s">
        <v>30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M8" s="3" t="s">
        <v>77</v>
      </c>
      <c r="AN8" s="3">
        <v>30</v>
      </c>
    </row>
    <row r="9" spans="1:40" x14ac:dyDescent="0.15">
      <c r="A9" s="6" t="s">
        <v>171</v>
      </c>
      <c r="B9">
        <v>93</v>
      </c>
      <c r="C9">
        <v>259</v>
      </c>
      <c r="D9">
        <v>463</v>
      </c>
      <c r="E9">
        <v>4592</v>
      </c>
      <c r="F9">
        <v>9080</v>
      </c>
      <c r="G9">
        <v>2315</v>
      </c>
      <c r="H9">
        <v>945</v>
      </c>
      <c r="I9">
        <v>2579</v>
      </c>
      <c r="J9">
        <v>152</v>
      </c>
      <c r="K9">
        <v>1109</v>
      </c>
      <c r="L9" s="2">
        <v>313</v>
      </c>
      <c r="M9">
        <v>10970</v>
      </c>
      <c r="N9">
        <v>360</v>
      </c>
      <c r="O9">
        <v>1234</v>
      </c>
      <c r="P9">
        <v>701</v>
      </c>
      <c r="Q9">
        <v>437</v>
      </c>
      <c r="R9">
        <v>385</v>
      </c>
      <c r="S9">
        <v>278</v>
      </c>
      <c r="T9">
        <v>1101</v>
      </c>
      <c r="U9">
        <v>2133</v>
      </c>
      <c r="V9">
        <v>278</v>
      </c>
      <c r="W9">
        <v>283</v>
      </c>
      <c r="X9">
        <v>1650</v>
      </c>
      <c r="Y9">
        <v>3355</v>
      </c>
      <c r="Z9">
        <v>165</v>
      </c>
      <c r="AA9">
        <v>1015</v>
      </c>
      <c r="AB9">
        <v>1337</v>
      </c>
      <c r="AC9">
        <v>233</v>
      </c>
      <c r="AD9">
        <v>180</v>
      </c>
      <c r="AE9">
        <v>78</v>
      </c>
      <c r="AM9" s="3"/>
      <c r="AN9" s="3"/>
    </row>
    <row r="10" spans="1:40" x14ac:dyDescent="0.15">
      <c r="A10" s="6" t="s">
        <v>7</v>
      </c>
      <c r="B10" t="s">
        <v>30</v>
      </c>
      <c r="C10" t="s">
        <v>31</v>
      </c>
      <c r="D10" t="s">
        <v>31</v>
      </c>
      <c r="E10" t="s">
        <v>30</v>
      </c>
      <c r="F10" t="s">
        <v>30</v>
      </c>
      <c r="G10" t="s">
        <v>30</v>
      </c>
      <c r="H10" t="s">
        <v>43</v>
      </c>
      <c r="I10" t="s">
        <v>43</v>
      </c>
      <c r="J10" t="s">
        <v>43</v>
      </c>
      <c r="K10" t="s">
        <v>48</v>
      </c>
      <c r="L10" s="2" t="s">
        <v>42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30</v>
      </c>
      <c r="T10" t="s">
        <v>30</v>
      </c>
      <c r="U10" t="s">
        <v>30</v>
      </c>
      <c r="V10" t="s">
        <v>30</v>
      </c>
      <c r="W10" t="s">
        <v>43</v>
      </c>
      <c r="X10" t="s">
        <v>43</v>
      </c>
      <c r="Y10" t="s">
        <v>43</v>
      </c>
      <c r="Z10" t="s">
        <v>44</v>
      </c>
      <c r="AA10" t="s">
        <v>43</v>
      </c>
      <c r="AB10" t="s">
        <v>43</v>
      </c>
      <c r="AC10" t="s">
        <v>43</v>
      </c>
      <c r="AD10" t="s">
        <v>43</v>
      </c>
      <c r="AE10" t="s">
        <v>44</v>
      </c>
      <c r="AM10" s="3" t="s">
        <v>81</v>
      </c>
      <c r="AN10" s="3">
        <v>-1.2715754987934227</v>
      </c>
    </row>
    <row r="11" spans="1:40" x14ac:dyDescent="0.15">
      <c r="A11" s="6" t="s">
        <v>100</v>
      </c>
      <c r="B11">
        <v>2</v>
      </c>
      <c r="C11">
        <v>1</v>
      </c>
      <c r="D11">
        <v>1</v>
      </c>
      <c r="E11">
        <v>39</v>
      </c>
      <c r="F11">
        <v>37</v>
      </c>
      <c r="G11">
        <v>12</v>
      </c>
      <c r="H11">
        <v>12</v>
      </c>
      <c r="I11">
        <v>3</v>
      </c>
      <c r="J11">
        <v>9</v>
      </c>
      <c r="K11">
        <v>50</v>
      </c>
      <c r="L11" s="2">
        <v>6</v>
      </c>
      <c r="M11">
        <v>2</v>
      </c>
      <c r="N11">
        <v>3</v>
      </c>
      <c r="O11">
        <v>4</v>
      </c>
      <c r="P11">
        <v>9</v>
      </c>
      <c r="Q11">
        <v>9</v>
      </c>
      <c r="R11">
        <v>14</v>
      </c>
      <c r="S11">
        <v>11</v>
      </c>
      <c r="T11">
        <v>7</v>
      </c>
      <c r="U11">
        <v>3</v>
      </c>
      <c r="V11">
        <v>4</v>
      </c>
      <c r="W11">
        <v>166</v>
      </c>
      <c r="X11">
        <v>14</v>
      </c>
      <c r="Y11">
        <v>13</v>
      </c>
      <c r="Z11">
        <v>1</v>
      </c>
      <c r="AA11">
        <v>5</v>
      </c>
      <c r="AB11">
        <v>5</v>
      </c>
      <c r="AC11">
        <v>3</v>
      </c>
      <c r="AD11">
        <v>24</v>
      </c>
      <c r="AE11">
        <v>1</v>
      </c>
      <c r="AM11" s="3"/>
      <c r="AN11" s="3"/>
    </row>
    <row r="12" spans="1:40" x14ac:dyDescent="0.15">
      <c r="A12" s="6" t="s">
        <v>176</v>
      </c>
      <c r="B12">
        <v>75</v>
      </c>
      <c r="C12">
        <v>57</v>
      </c>
      <c r="D12">
        <v>221</v>
      </c>
      <c r="E12">
        <v>19052</v>
      </c>
      <c r="F12">
        <v>47676</v>
      </c>
      <c r="G12">
        <v>17275</v>
      </c>
      <c r="H12">
        <v>5881</v>
      </c>
      <c r="I12">
        <v>2124</v>
      </c>
      <c r="J12">
        <v>480</v>
      </c>
      <c r="K12">
        <v>139955</v>
      </c>
      <c r="L12" s="2">
        <v>10189</v>
      </c>
      <c r="M12">
        <v>160</v>
      </c>
      <c r="N12">
        <v>214</v>
      </c>
      <c r="O12">
        <v>153</v>
      </c>
      <c r="P12">
        <v>3610</v>
      </c>
      <c r="Q12">
        <v>4107</v>
      </c>
      <c r="R12">
        <v>1162</v>
      </c>
      <c r="S12">
        <v>710</v>
      </c>
      <c r="T12">
        <v>1274</v>
      </c>
      <c r="U12">
        <v>2544</v>
      </c>
      <c r="V12">
        <v>2762</v>
      </c>
      <c r="W12">
        <v>2792</v>
      </c>
      <c r="X12">
        <v>27747</v>
      </c>
      <c r="Y12">
        <v>4699</v>
      </c>
      <c r="Z12">
        <v>3196</v>
      </c>
      <c r="AA12">
        <v>341</v>
      </c>
      <c r="AB12">
        <v>1244</v>
      </c>
      <c r="AC12">
        <v>102</v>
      </c>
      <c r="AD12">
        <v>3453</v>
      </c>
      <c r="AE12">
        <v>136</v>
      </c>
      <c r="AM12" s="3"/>
      <c r="AN12" s="3"/>
    </row>
    <row r="13" spans="1:40" x14ac:dyDescent="0.15">
      <c r="A13" s="6" t="s">
        <v>174</v>
      </c>
      <c r="B13">
        <v>5</v>
      </c>
      <c r="C13">
        <v>1</v>
      </c>
      <c r="D13">
        <v>0</v>
      </c>
      <c r="E13">
        <v>86</v>
      </c>
      <c r="F13">
        <v>237</v>
      </c>
      <c r="G13">
        <v>121</v>
      </c>
      <c r="H13">
        <v>163</v>
      </c>
      <c r="I13">
        <v>32</v>
      </c>
      <c r="J13">
        <v>5</v>
      </c>
      <c r="K13">
        <v>2610</v>
      </c>
      <c r="L13" s="2">
        <v>21</v>
      </c>
      <c r="M13">
        <v>0</v>
      </c>
      <c r="N13">
        <v>0</v>
      </c>
      <c r="O13">
        <v>0</v>
      </c>
      <c r="P13">
        <v>146</v>
      </c>
      <c r="Q13">
        <v>34</v>
      </c>
      <c r="R13">
        <v>36</v>
      </c>
      <c r="S13">
        <v>9</v>
      </c>
      <c r="T13">
        <v>15</v>
      </c>
      <c r="U13">
        <v>34</v>
      </c>
      <c r="V13">
        <v>20</v>
      </c>
      <c r="W13">
        <v>178</v>
      </c>
      <c r="X13">
        <v>230</v>
      </c>
      <c r="Y13">
        <v>152</v>
      </c>
      <c r="Z13">
        <v>2</v>
      </c>
      <c r="AA13">
        <v>0</v>
      </c>
      <c r="AB13">
        <v>3</v>
      </c>
      <c r="AC13">
        <v>9</v>
      </c>
      <c r="AD13">
        <v>32</v>
      </c>
      <c r="AE13">
        <v>21</v>
      </c>
      <c r="AM13" s="3"/>
      <c r="AN13" s="3"/>
    </row>
    <row r="14" spans="1:40" x14ac:dyDescent="0.15">
      <c r="A14" s="6" t="s">
        <v>175</v>
      </c>
      <c r="B14">
        <v>3</v>
      </c>
      <c r="C14">
        <v>3</v>
      </c>
      <c r="D14">
        <v>7</v>
      </c>
      <c r="E14">
        <v>700</v>
      </c>
      <c r="F14">
        <v>2465</v>
      </c>
      <c r="G14">
        <v>285</v>
      </c>
      <c r="H14">
        <v>153</v>
      </c>
      <c r="I14">
        <v>169</v>
      </c>
      <c r="J14">
        <v>25</v>
      </c>
      <c r="K14">
        <v>286</v>
      </c>
      <c r="L14" s="2">
        <v>93</v>
      </c>
      <c r="M14">
        <v>21</v>
      </c>
      <c r="N14">
        <v>7</v>
      </c>
      <c r="O14">
        <v>4</v>
      </c>
      <c r="P14">
        <v>122</v>
      </c>
      <c r="Q14">
        <v>119</v>
      </c>
      <c r="R14">
        <v>18</v>
      </c>
      <c r="S14">
        <v>30</v>
      </c>
      <c r="T14">
        <v>92</v>
      </c>
      <c r="U14">
        <v>111</v>
      </c>
      <c r="V14">
        <v>26</v>
      </c>
      <c r="W14">
        <v>63</v>
      </c>
      <c r="X14">
        <v>197</v>
      </c>
      <c r="Y14">
        <v>144</v>
      </c>
      <c r="Z14">
        <v>54</v>
      </c>
      <c r="AA14">
        <v>19</v>
      </c>
      <c r="AB14">
        <v>187</v>
      </c>
      <c r="AC14">
        <v>22</v>
      </c>
      <c r="AD14">
        <v>24</v>
      </c>
      <c r="AE14">
        <v>3</v>
      </c>
      <c r="AM14" s="3"/>
      <c r="AN14" s="3"/>
    </row>
    <row r="15" spans="1:40" x14ac:dyDescent="0.15">
      <c r="A15" s="6" t="s">
        <v>4</v>
      </c>
      <c r="B15" t="s">
        <v>31</v>
      </c>
      <c r="C15" t="s">
        <v>30</v>
      </c>
      <c r="D15" t="s">
        <v>136</v>
      </c>
      <c r="E15" t="s">
        <v>44</v>
      </c>
      <c r="F15" t="s">
        <v>30</v>
      </c>
      <c r="G15" t="s">
        <v>30</v>
      </c>
      <c r="H15" t="s">
        <v>43</v>
      </c>
      <c r="I15" t="s">
        <v>43</v>
      </c>
      <c r="J15" t="s">
        <v>43</v>
      </c>
      <c r="K15" t="s">
        <v>48</v>
      </c>
      <c r="L15" s="2" t="s">
        <v>42</v>
      </c>
      <c r="M15" t="s">
        <v>43</v>
      </c>
      <c r="N15" t="s">
        <v>43</v>
      </c>
      <c r="O15" t="s">
        <v>44</v>
      </c>
      <c r="P15" t="s">
        <v>43</v>
      </c>
      <c r="Q15" t="s">
        <v>43</v>
      </c>
      <c r="R15" t="s">
        <v>44</v>
      </c>
      <c r="S15" t="s">
        <v>30</v>
      </c>
      <c r="T15" t="s">
        <v>30</v>
      </c>
      <c r="U15" t="s">
        <v>30</v>
      </c>
      <c r="V15" t="s">
        <v>30</v>
      </c>
      <c r="W15" t="s">
        <v>43</v>
      </c>
      <c r="X15" t="s">
        <v>44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M15" s="3" t="s">
        <v>78</v>
      </c>
      <c r="AN15" s="3">
        <v>5.0832357523811265</v>
      </c>
    </row>
    <row r="16" spans="1:40" x14ac:dyDescent="0.15">
      <c r="A16" s="6" t="s">
        <v>172</v>
      </c>
      <c r="B16">
        <v>0</v>
      </c>
      <c r="C16">
        <v>3</v>
      </c>
      <c r="D16">
        <v>27</v>
      </c>
      <c r="F16">
        <v>327</v>
      </c>
      <c r="G16">
        <v>110</v>
      </c>
      <c r="H16">
        <v>122</v>
      </c>
      <c r="I16">
        <v>189</v>
      </c>
      <c r="J16">
        <v>26</v>
      </c>
      <c r="K16">
        <v>24</v>
      </c>
      <c r="L16" s="2">
        <v>323</v>
      </c>
      <c r="M16">
        <v>56</v>
      </c>
      <c r="N16">
        <v>3</v>
      </c>
      <c r="P16">
        <v>144</v>
      </c>
      <c r="Q16">
        <v>229</v>
      </c>
      <c r="S16">
        <v>27</v>
      </c>
      <c r="T16">
        <v>130</v>
      </c>
      <c r="U16">
        <v>50</v>
      </c>
      <c r="V16">
        <v>92</v>
      </c>
      <c r="W16">
        <v>54</v>
      </c>
      <c r="Y16">
        <v>393</v>
      </c>
      <c r="Z16">
        <v>30</v>
      </c>
      <c r="AA16">
        <v>6</v>
      </c>
      <c r="AB16">
        <v>34</v>
      </c>
      <c r="AC16">
        <v>15</v>
      </c>
      <c r="AD16">
        <v>265</v>
      </c>
      <c r="AE16">
        <v>0</v>
      </c>
      <c r="AM16" s="3"/>
      <c r="AN16" s="3"/>
    </row>
    <row r="17" spans="1:40" x14ac:dyDescent="0.15">
      <c r="A17" s="6" t="s">
        <v>173</v>
      </c>
      <c r="B17">
        <v>0</v>
      </c>
      <c r="C17">
        <v>8</v>
      </c>
      <c r="D17">
        <v>28</v>
      </c>
      <c r="F17">
        <v>5959</v>
      </c>
      <c r="G17">
        <v>1547</v>
      </c>
      <c r="H17">
        <v>1131</v>
      </c>
      <c r="I17">
        <v>1579</v>
      </c>
      <c r="J17">
        <v>54</v>
      </c>
      <c r="K17">
        <v>173</v>
      </c>
      <c r="L17" s="2">
        <v>695</v>
      </c>
      <c r="M17">
        <v>43</v>
      </c>
      <c r="N17">
        <v>31</v>
      </c>
      <c r="P17">
        <v>1132</v>
      </c>
      <c r="Q17">
        <v>431</v>
      </c>
      <c r="S17">
        <v>163</v>
      </c>
      <c r="T17">
        <v>587</v>
      </c>
      <c r="U17">
        <v>672</v>
      </c>
      <c r="V17">
        <v>366</v>
      </c>
      <c r="W17">
        <v>198</v>
      </c>
      <c r="Y17">
        <v>938</v>
      </c>
      <c r="Z17">
        <v>432</v>
      </c>
      <c r="AA17">
        <v>2</v>
      </c>
      <c r="AB17">
        <v>181</v>
      </c>
      <c r="AC17">
        <v>42</v>
      </c>
      <c r="AD17">
        <v>1045</v>
      </c>
      <c r="AE17">
        <v>21</v>
      </c>
      <c r="AM17" s="3"/>
      <c r="AN17" s="3"/>
    </row>
    <row r="18" spans="1:40" x14ac:dyDescent="0.15">
      <c r="A18" s="6" t="s">
        <v>5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  <c r="H18" t="s">
        <v>43</v>
      </c>
      <c r="I18" t="s">
        <v>43</v>
      </c>
      <c r="J18" t="s">
        <v>43</v>
      </c>
      <c r="K18" t="s">
        <v>48</v>
      </c>
      <c r="L18" s="2" t="s">
        <v>42</v>
      </c>
      <c r="M18" t="s">
        <v>43</v>
      </c>
      <c r="N18" t="s">
        <v>43</v>
      </c>
      <c r="O18" t="s">
        <v>43</v>
      </c>
      <c r="P18" t="s">
        <v>43</v>
      </c>
      <c r="Q18" t="s">
        <v>43</v>
      </c>
      <c r="R18" t="s">
        <v>43</v>
      </c>
      <c r="S18" t="s">
        <v>30</v>
      </c>
      <c r="T18" t="s">
        <v>30</v>
      </c>
      <c r="U18" t="s">
        <v>30</v>
      </c>
      <c r="V18" t="s">
        <v>30</v>
      </c>
      <c r="W18" t="s">
        <v>43</v>
      </c>
      <c r="X18" t="s">
        <v>43</v>
      </c>
      <c r="Y18" t="s">
        <v>43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M18" s="3" t="s">
        <v>79</v>
      </c>
      <c r="AN18" s="3">
        <v>25.839285714285715</v>
      </c>
    </row>
    <row r="19" spans="1:40" x14ac:dyDescent="0.15">
      <c r="A19" s="6" t="s">
        <v>172</v>
      </c>
      <c r="B19">
        <v>0</v>
      </c>
      <c r="C19">
        <v>2</v>
      </c>
      <c r="D19">
        <v>9</v>
      </c>
      <c r="E19">
        <v>69</v>
      </c>
      <c r="F19">
        <v>437</v>
      </c>
      <c r="G19">
        <v>17</v>
      </c>
      <c r="H19">
        <v>4</v>
      </c>
      <c r="I19">
        <v>12</v>
      </c>
      <c r="J19">
        <v>17</v>
      </c>
      <c r="K19">
        <v>88</v>
      </c>
      <c r="L19" s="2">
        <v>90</v>
      </c>
      <c r="M19">
        <v>53</v>
      </c>
      <c r="N19">
        <v>0</v>
      </c>
      <c r="O19">
        <v>0</v>
      </c>
      <c r="P19">
        <v>3</v>
      </c>
      <c r="Q19">
        <v>19</v>
      </c>
      <c r="R19">
        <v>10</v>
      </c>
      <c r="S19">
        <v>9</v>
      </c>
      <c r="T19">
        <v>20</v>
      </c>
      <c r="U19">
        <v>5</v>
      </c>
      <c r="V19">
        <v>1</v>
      </c>
      <c r="W19">
        <v>6</v>
      </c>
      <c r="X19">
        <v>16</v>
      </c>
      <c r="Y19">
        <v>206</v>
      </c>
      <c r="Z19">
        <v>4</v>
      </c>
      <c r="AA19">
        <v>17</v>
      </c>
      <c r="AB19">
        <v>4</v>
      </c>
      <c r="AC19">
        <v>9</v>
      </c>
      <c r="AD19">
        <v>16</v>
      </c>
      <c r="AE19">
        <v>1</v>
      </c>
      <c r="AM19" s="3"/>
      <c r="AN19" s="3"/>
    </row>
    <row r="20" spans="1:40" x14ac:dyDescent="0.15">
      <c r="A20" s="6" t="s">
        <v>173</v>
      </c>
      <c r="B20">
        <v>2</v>
      </c>
      <c r="C20">
        <v>5</v>
      </c>
      <c r="D20">
        <v>13</v>
      </c>
      <c r="E20">
        <v>3403</v>
      </c>
      <c r="F20">
        <v>10797</v>
      </c>
      <c r="G20">
        <v>3421</v>
      </c>
      <c r="H20">
        <v>253</v>
      </c>
      <c r="I20">
        <v>492</v>
      </c>
      <c r="J20">
        <v>41</v>
      </c>
      <c r="K20">
        <v>5945</v>
      </c>
      <c r="L20" s="2">
        <v>1967</v>
      </c>
      <c r="M20">
        <v>123</v>
      </c>
      <c r="N20">
        <v>20</v>
      </c>
      <c r="O20">
        <v>27</v>
      </c>
      <c r="P20">
        <v>472</v>
      </c>
      <c r="Q20">
        <v>387</v>
      </c>
      <c r="R20">
        <v>44</v>
      </c>
      <c r="S20">
        <v>179</v>
      </c>
      <c r="T20">
        <v>389</v>
      </c>
      <c r="U20">
        <v>567</v>
      </c>
      <c r="V20">
        <v>144</v>
      </c>
      <c r="W20">
        <v>361</v>
      </c>
      <c r="X20">
        <v>847</v>
      </c>
      <c r="Y20">
        <v>588</v>
      </c>
      <c r="Z20">
        <v>268</v>
      </c>
      <c r="AA20">
        <v>29</v>
      </c>
      <c r="AB20">
        <v>399</v>
      </c>
      <c r="AC20">
        <v>51</v>
      </c>
      <c r="AD20">
        <v>649</v>
      </c>
      <c r="AE20">
        <v>8</v>
      </c>
      <c r="AM20" s="3"/>
      <c r="AN20" s="3"/>
    </row>
    <row r="21" spans="1:40" x14ac:dyDescent="0.15">
      <c r="A21" s="6" t="s">
        <v>6</v>
      </c>
      <c r="B21" t="s">
        <v>31</v>
      </c>
      <c r="C21" t="s">
        <v>31</v>
      </c>
      <c r="D21" t="s">
        <v>30</v>
      </c>
      <c r="E21" t="s">
        <v>31</v>
      </c>
      <c r="F21" t="s">
        <v>31</v>
      </c>
      <c r="G21" t="s">
        <v>30</v>
      </c>
      <c r="H21" t="s">
        <v>44</v>
      </c>
      <c r="I21" t="s">
        <v>43</v>
      </c>
      <c r="J21" t="s">
        <v>43</v>
      </c>
      <c r="K21" t="s">
        <v>48</v>
      </c>
      <c r="L21" s="2" t="s">
        <v>42</v>
      </c>
      <c r="M21" t="s">
        <v>44</v>
      </c>
      <c r="N21" t="s">
        <v>43</v>
      </c>
      <c r="O21" t="s">
        <v>44</v>
      </c>
      <c r="P21" t="s">
        <v>43</v>
      </c>
      <c r="Q21" t="s">
        <v>43</v>
      </c>
      <c r="R21" t="s">
        <v>44</v>
      </c>
      <c r="S21" t="s">
        <v>30</v>
      </c>
      <c r="T21" t="s">
        <v>30</v>
      </c>
      <c r="U21" t="s">
        <v>30</v>
      </c>
      <c r="V21" t="s">
        <v>30</v>
      </c>
      <c r="W21" t="s">
        <v>43</v>
      </c>
      <c r="X21" t="s">
        <v>44</v>
      </c>
      <c r="Y21" t="s">
        <v>43</v>
      </c>
      <c r="Z21" t="s">
        <v>44</v>
      </c>
      <c r="AA21" t="s">
        <v>44</v>
      </c>
      <c r="AB21" t="s">
        <v>43</v>
      </c>
      <c r="AC21" t="s">
        <v>44</v>
      </c>
      <c r="AD21" t="s">
        <v>44</v>
      </c>
      <c r="AE21" t="s">
        <v>44</v>
      </c>
      <c r="AM21" s="3" t="s">
        <v>80</v>
      </c>
      <c r="AN21" s="3">
        <v>1.1093772163554547</v>
      </c>
    </row>
    <row r="22" spans="1:40" x14ac:dyDescent="0.15">
      <c r="A22" s="6" t="s">
        <v>16</v>
      </c>
      <c r="B22" t="s">
        <v>31</v>
      </c>
      <c r="C22" t="s">
        <v>31</v>
      </c>
      <c r="D22" t="s">
        <v>30</v>
      </c>
      <c r="E22" t="s">
        <v>31</v>
      </c>
      <c r="F22" t="s">
        <v>30</v>
      </c>
      <c r="G22" t="s">
        <v>30</v>
      </c>
      <c r="H22" t="s">
        <v>43</v>
      </c>
      <c r="I22" t="s">
        <v>43</v>
      </c>
      <c r="J22" t="s">
        <v>43</v>
      </c>
      <c r="K22" t="s">
        <v>48</v>
      </c>
      <c r="L22" s="2" t="s">
        <v>42</v>
      </c>
      <c r="M22" t="s">
        <v>43</v>
      </c>
      <c r="N22" t="s">
        <v>43</v>
      </c>
      <c r="O22" t="s">
        <v>44</v>
      </c>
      <c r="P22" t="s">
        <v>43</v>
      </c>
      <c r="Q22" t="s">
        <v>43</v>
      </c>
      <c r="R22" t="s">
        <v>44</v>
      </c>
      <c r="S22" t="s">
        <v>30</v>
      </c>
      <c r="T22" t="s">
        <v>30</v>
      </c>
      <c r="U22" t="s">
        <v>30</v>
      </c>
      <c r="V22" t="s">
        <v>30</v>
      </c>
      <c r="W22" t="s">
        <v>43</v>
      </c>
      <c r="X22" t="s">
        <v>44</v>
      </c>
      <c r="Y22" t="s">
        <v>43</v>
      </c>
      <c r="Z22" t="s">
        <v>43</v>
      </c>
      <c r="AA22" t="s">
        <v>44</v>
      </c>
      <c r="AB22" t="s">
        <v>43</v>
      </c>
      <c r="AC22" t="s">
        <v>44</v>
      </c>
      <c r="AD22" t="s">
        <v>43</v>
      </c>
      <c r="AE22" t="s">
        <v>43</v>
      </c>
      <c r="AM22" s="3" t="s">
        <v>82</v>
      </c>
      <c r="AN22" s="3">
        <v>14</v>
      </c>
    </row>
    <row r="23" spans="1:40" x14ac:dyDescent="0.15">
      <c r="A23" s="6" t="s">
        <v>101</v>
      </c>
      <c r="B23" t="s">
        <v>102</v>
      </c>
      <c r="C23" t="s">
        <v>104</v>
      </c>
      <c r="D23" t="s">
        <v>106</v>
      </c>
      <c r="E23" t="s">
        <v>107</v>
      </c>
      <c r="F23" t="s">
        <v>106</v>
      </c>
      <c r="G23" t="s">
        <v>111</v>
      </c>
      <c r="H23" t="s">
        <v>106</v>
      </c>
      <c r="I23" t="s">
        <v>110</v>
      </c>
      <c r="J23" t="s">
        <v>113</v>
      </c>
      <c r="K23" t="s">
        <v>116</v>
      </c>
      <c r="L23" s="2" t="s">
        <v>113</v>
      </c>
      <c r="M23" t="s">
        <v>109</v>
      </c>
      <c r="N23" t="s">
        <v>110</v>
      </c>
      <c r="O23" t="s">
        <v>110</v>
      </c>
      <c r="P23" t="s">
        <v>110</v>
      </c>
      <c r="Q23" t="s">
        <v>113</v>
      </c>
      <c r="R23" t="s">
        <v>110</v>
      </c>
      <c r="S23" t="s">
        <v>106</v>
      </c>
      <c r="T23" t="s">
        <v>110</v>
      </c>
      <c r="U23" t="s">
        <v>110</v>
      </c>
      <c r="V23" t="s">
        <v>110</v>
      </c>
      <c r="W23" t="s">
        <v>120</v>
      </c>
      <c r="X23" t="s">
        <v>116</v>
      </c>
      <c r="Y23" t="s">
        <v>118</v>
      </c>
      <c r="Z23" t="s">
        <v>114</v>
      </c>
      <c r="AA23" t="s">
        <v>109</v>
      </c>
      <c r="AB23" t="s">
        <v>110</v>
      </c>
      <c r="AC23" t="s">
        <v>106</v>
      </c>
      <c r="AD23" t="s">
        <v>128</v>
      </c>
      <c r="AE23" t="s">
        <v>110</v>
      </c>
      <c r="AM23" s="3"/>
      <c r="AN23" s="3"/>
    </row>
    <row r="24" spans="1:40" x14ac:dyDescent="0.15">
      <c r="B24" t="s">
        <v>103</v>
      </c>
      <c r="C24" t="s">
        <v>105</v>
      </c>
      <c r="E24" t="s">
        <v>108</v>
      </c>
      <c r="F24" t="s">
        <v>109</v>
      </c>
      <c r="G24" t="s">
        <v>108</v>
      </c>
      <c r="H24" t="s">
        <v>109</v>
      </c>
      <c r="I24" t="s">
        <v>109</v>
      </c>
      <c r="J24" t="s">
        <v>115</v>
      </c>
      <c r="K24" t="s">
        <v>113</v>
      </c>
      <c r="L24" s="2" t="s">
        <v>119</v>
      </c>
      <c r="M24" t="s">
        <v>110</v>
      </c>
      <c r="N24" t="s">
        <v>109</v>
      </c>
      <c r="O24" t="s">
        <v>120</v>
      </c>
      <c r="P24" t="s">
        <v>109</v>
      </c>
      <c r="Q24" t="s">
        <v>110</v>
      </c>
      <c r="R24" t="s">
        <v>109</v>
      </c>
      <c r="S24" t="s">
        <v>110</v>
      </c>
      <c r="T24" t="s">
        <v>109</v>
      </c>
      <c r="U24" t="s">
        <v>109</v>
      </c>
      <c r="V24" t="s">
        <v>109</v>
      </c>
      <c r="W24" t="s">
        <v>123</v>
      </c>
      <c r="X24" t="s">
        <v>118</v>
      </c>
      <c r="Y24" t="s">
        <v>125</v>
      </c>
      <c r="Z24" t="s">
        <v>113</v>
      </c>
      <c r="AA24" t="s">
        <v>110</v>
      </c>
      <c r="AB24" t="s">
        <v>109</v>
      </c>
      <c r="AC24" t="s">
        <v>127</v>
      </c>
      <c r="AD24" t="s">
        <v>113</v>
      </c>
      <c r="AE24" t="s">
        <v>109</v>
      </c>
      <c r="AM24" s="3"/>
      <c r="AN24" s="3"/>
    </row>
    <row r="25" spans="1:40" x14ac:dyDescent="0.15">
      <c r="F25" t="s">
        <v>110</v>
      </c>
      <c r="I25" t="s">
        <v>112</v>
      </c>
      <c r="K25" t="s">
        <v>117</v>
      </c>
      <c r="L25" s="2" t="s">
        <v>108</v>
      </c>
      <c r="M25" t="s">
        <v>106</v>
      </c>
      <c r="Q25" t="s">
        <v>108</v>
      </c>
      <c r="R25" t="s">
        <v>121</v>
      </c>
      <c r="S25" t="s">
        <v>109</v>
      </c>
      <c r="U25" t="s">
        <v>108</v>
      </c>
      <c r="W25" t="s">
        <v>109</v>
      </c>
      <c r="X25" t="s">
        <v>110</v>
      </c>
      <c r="Y25" t="s">
        <v>106</v>
      </c>
      <c r="Z25" t="s">
        <v>126</v>
      </c>
      <c r="AA25" t="s">
        <v>111</v>
      </c>
      <c r="AB25" t="s">
        <v>108</v>
      </c>
      <c r="AC25" t="s">
        <v>110</v>
      </c>
      <c r="AD25" t="s">
        <v>108</v>
      </c>
      <c r="AM25" s="3"/>
      <c r="AN25" s="3"/>
    </row>
    <row r="26" spans="1:40" x14ac:dyDescent="0.15">
      <c r="K26" t="s">
        <v>118</v>
      </c>
      <c r="L26" s="2"/>
      <c r="R26" t="s">
        <v>120</v>
      </c>
      <c r="S26" t="s">
        <v>122</v>
      </c>
      <c r="W26" t="s">
        <v>124</v>
      </c>
      <c r="X26" t="s">
        <v>108</v>
      </c>
      <c r="Y26" t="s">
        <v>108</v>
      </c>
      <c r="Z26" t="s">
        <v>108</v>
      </c>
      <c r="AM26" s="3"/>
      <c r="AN26" s="3"/>
    </row>
    <row r="27" spans="1:40" x14ac:dyDescent="0.15">
      <c r="K27" t="s">
        <v>108</v>
      </c>
      <c r="L27" s="2"/>
      <c r="S27" t="s">
        <v>120</v>
      </c>
      <c r="AM27" s="3"/>
      <c r="AN27" s="3"/>
    </row>
    <row r="28" spans="1:40" x14ac:dyDescent="0.15">
      <c r="L28" s="2"/>
      <c r="AM28" s="3"/>
      <c r="AN28" s="3"/>
    </row>
    <row r="29" spans="1:40" x14ac:dyDescent="0.15">
      <c r="L29" s="2"/>
      <c r="AM29" s="3"/>
      <c r="AN29" s="3"/>
    </row>
    <row r="30" spans="1:40" x14ac:dyDescent="0.15">
      <c r="L30" s="2"/>
      <c r="AM30" s="3"/>
      <c r="AN30" s="3"/>
    </row>
    <row r="31" spans="1:40" x14ac:dyDescent="0.15">
      <c r="L31" s="2"/>
      <c r="AM31" s="3"/>
      <c r="AN31" s="3"/>
    </row>
    <row r="32" spans="1:40" x14ac:dyDescent="0.15">
      <c r="AM32" s="3" t="s">
        <v>83</v>
      </c>
      <c r="AN32" s="3">
        <v>16</v>
      </c>
    </row>
    <row r="33" spans="1:40" x14ac:dyDescent="0.15">
      <c r="A33" t="s">
        <v>19</v>
      </c>
      <c r="B33" s="1" t="s">
        <v>87</v>
      </c>
      <c r="C33" s="1" t="s">
        <v>32</v>
      </c>
      <c r="D33" s="1" t="s">
        <v>36</v>
      </c>
      <c r="E33" s="1" t="s">
        <v>37</v>
      </c>
      <c r="F33" s="1" t="s">
        <v>38</v>
      </c>
      <c r="G33" s="1" t="s">
        <v>40</v>
      </c>
      <c r="H33" s="1" t="s">
        <v>41</v>
      </c>
      <c r="I33" s="1" t="s">
        <v>45</v>
      </c>
      <c r="J33" s="1" t="s">
        <v>46</v>
      </c>
      <c r="K33" s="1" t="s">
        <v>47</v>
      </c>
      <c r="L33" s="1" t="s">
        <v>49</v>
      </c>
      <c r="M33" s="1">
        <v>2048</v>
      </c>
      <c r="N33" s="1" t="s">
        <v>88</v>
      </c>
      <c r="O33" s="1" t="s">
        <v>52</v>
      </c>
      <c r="P33" s="1" t="s">
        <v>89</v>
      </c>
      <c r="Q33" s="1" t="s">
        <v>90</v>
      </c>
      <c r="R33" s="1" t="s">
        <v>55</v>
      </c>
      <c r="S33" s="1" t="s">
        <v>91</v>
      </c>
      <c r="T33" s="1" t="s">
        <v>92</v>
      </c>
      <c r="U33" s="1" t="s">
        <v>93</v>
      </c>
      <c r="V33" s="1" t="s">
        <v>59</v>
      </c>
      <c r="W33" s="1" t="s">
        <v>60</v>
      </c>
      <c r="X33" s="1" t="s">
        <v>61</v>
      </c>
      <c r="Y33" s="1" t="s">
        <v>94</v>
      </c>
      <c r="Z33" s="1" t="s">
        <v>63</v>
      </c>
      <c r="AA33" s="1" t="s">
        <v>95</v>
      </c>
      <c r="AB33" s="1" t="s">
        <v>65</v>
      </c>
      <c r="AC33" s="1" t="s">
        <v>66</v>
      </c>
      <c r="AD33" s="1" t="s">
        <v>96</v>
      </c>
      <c r="AE33" s="1" t="s">
        <v>69</v>
      </c>
      <c r="AM33" s="3" t="s">
        <v>84</v>
      </c>
      <c r="AN33" s="3">
        <v>30</v>
      </c>
    </row>
    <row r="34" spans="1:40" x14ac:dyDescent="0.15">
      <c r="A34" t="s">
        <v>71</v>
      </c>
      <c r="AF34" t="s">
        <v>72</v>
      </c>
      <c r="AM34" s="3" t="s">
        <v>85</v>
      </c>
      <c r="AN34" s="3">
        <v>209</v>
      </c>
    </row>
    <row r="35" spans="1:40" ht="15" thickBot="1" x14ac:dyDescent="0.2">
      <c r="A35" t="s">
        <v>1</v>
      </c>
      <c r="B35">
        <f t="shared" ref="B35:AE35" si="0">IF(B4="○",1,0)</f>
        <v>1</v>
      </c>
      <c r="C35">
        <f t="shared" si="0"/>
        <v>1</v>
      </c>
      <c r="D35">
        <f t="shared" si="0"/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I35">
        <f t="shared" si="0"/>
        <v>1</v>
      </c>
      <c r="J35">
        <f t="shared" si="0"/>
        <v>1</v>
      </c>
      <c r="K35">
        <f t="shared" si="0"/>
        <v>1</v>
      </c>
      <c r="L35">
        <f t="shared" si="0"/>
        <v>1</v>
      </c>
      <c r="M35">
        <f t="shared" si="0"/>
        <v>1</v>
      </c>
      <c r="N35">
        <f t="shared" si="0"/>
        <v>1</v>
      </c>
      <c r="O35">
        <f t="shared" si="0"/>
        <v>1</v>
      </c>
      <c r="P35">
        <f t="shared" si="0"/>
        <v>1</v>
      </c>
      <c r="Q35">
        <f t="shared" si="0"/>
        <v>1</v>
      </c>
      <c r="R35">
        <f t="shared" si="0"/>
        <v>1</v>
      </c>
      <c r="S35">
        <f t="shared" si="0"/>
        <v>1</v>
      </c>
      <c r="T35">
        <f t="shared" si="0"/>
        <v>1</v>
      </c>
      <c r="U35">
        <f t="shared" si="0"/>
        <v>1</v>
      </c>
      <c r="V35">
        <f t="shared" si="0"/>
        <v>1</v>
      </c>
      <c r="W35">
        <f t="shared" si="0"/>
        <v>1</v>
      </c>
      <c r="X35">
        <f t="shared" si="0"/>
        <v>1</v>
      </c>
      <c r="Y35">
        <f t="shared" si="0"/>
        <v>1</v>
      </c>
      <c r="Z35">
        <f t="shared" si="0"/>
        <v>1</v>
      </c>
      <c r="AA35">
        <f t="shared" si="0"/>
        <v>1</v>
      </c>
      <c r="AB35">
        <f t="shared" si="0"/>
        <v>1</v>
      </c>
      <c r="AC35">
        <f t="shared" si="0"/>
        <v>1</v>
      </c>
      <c r="AD35">
        <f t="shared" si="0"/>
        <v>1</v>
      </c>
      <c r="AE35">
        <f t="shared" si="0"/>
        <v>1</v>
      </c>
      <c r="AF35">
        <f t="shared" ref="AF35:AF42" si="1">SUM(B35:AE35)</f>
        <v>30</v>
      </c>
      <c r="AM35" s="4" t="s">
        <v>86</v>
      </c>
      <c r="AN35" s="4">
        <v>8</v>
      </c>
    </row>
    <row r="36" spans="1:40" x14ac:dyDescent="0.15">
      <c r="A36" t="s">
        <v>2</v>
      </c>
      <c r="B36">
        <f t="shared" ref="B36:AE36" si="2">IF(B6="○",1,0)</f>
        <v>1</v>
      </c>
      <c r="C36">
        <f t="shared" si="2"/>
        <v>1</v>
      </c>
      <c r="D36">
        <f t="shared" si="2"/>
        <v>1</v>
      </c>
      <c r="E36">
        <f t="shared" si="2"/>
        <v>1</v>
      </c>
      <c r="F36">
        <f t="shared" si="2"/>
        <v>1</v>
      </c>
      <c r="G36">
        <f t="shared" si="2"/>
        <v>1</v>
      </c>
      <c r="H36">
        <f t="shared" si="2"/>
        <v>1</v>
      </c>
      <c r="I36">
        <f t="shared" si="2"/>
        <v>1</v>
      </c>
      <c r="J36">
        <f t="shared" si="2"/>
        <v>1</v>
      </c>
      <c r="K36">
        <f t="shared" si="2"/>
        <v>1</v>
      </c>
      <c r="L36">
        <f t="shared" si="2"/>
        <v>1</v>
      </c>
      <c r="M36">
        <f t="shared" si="2"/>
        <v>1</v>
      </c>
      <c r="N36">
        <f t="shared" si="2"/>
        <v>1</v>
      </c>
      <c r="O36">
        <f t="shared" si="2"/>
        <v>1</v>
      </c>
      <c r="P36">
        <f t="shared" si="2"/>
        <v>1</v>
      </c>
      <c r="Q36">
        <f t="shared" si="2"/>
        <v>1</v>
      </c>
      <c r="R36">
        <f t="shared" si="2"/>
        <v>1</v>
      </c>
      <c r="S36">
        <f t="shared" si="2"/>
        <v>1</v>
      </c>
      <c r="T36">
        <f t="shared" si="2"/>
        <v>1</v>
      </c>
      <c r="U36">
        <f t="shared" si="2"/>
        <v>1</v>
      </c>
      <c r="V36">
        <f t="shared" si="2"/>
        <v>1</v>
      </c>
      <c r="W36">
        <f t="shared" si="2"/>
        <v>1</v>
      </c>
      <c r="X36">
        <f t="shared" si="2"/>
        <v>1</v>
      </c>
      <c r="Y36">
        <f t="shared" si="2"/>
        <v>1</v>
      </c>
      <c r="Z36">
        <f t="shared" si="2"/>
        <v>1</v>
      </c>
      <c r="AA36">
        <f t="shared" si="2"/>
        <v>1</v>
      </c>
      <c r="AB36">
        <f t="shared" si="2"/>
        <v>1</v>
      </c>
      <c r="AC36">
        <f t="shared" si="2"/>
        <v>1</v>
      </c>
      <c r="AD36">
        <f t="shared" si="2"/>
        <v>1</v>
      </c>
      <c r="AE36">
        <f t="shared" si="2"/>
        <v>1</v>
      </c>
      <c r="AF36">
        <f t="shared" si="1"/>
        <v>30</v>
      </c>
    </row>
    <row r="37" spans="1:40" x14ac:dyDescent="0.15">
      <c r="A37" t="s">
        <v>25</v>
      </c>
      <c r="B37">
        <f t="shared" ref="B37:AE37" si="3">IF(B8="○",1,0)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1</v>
      </c>
      <c r="J37">
        <f t="shared" si="3"/>
        <v>1</v>
      </c>
      <c r="K37">
        <f t="shared" si="3"/>
        <v>1</v>
      </c>
      <c r="L37">
        <f t="shared" si="3"/>
        <v>1</v>
      </c>
      <c r="M37">
        <f t="shared" si="3"/>
        <v>1</v>
      </c>
      <c r="N37">
        <f t="shared" si="3"/>
        <v>1</v>
      </c>
      <c r="O37">
        <f t="shared" si="3"/>
        <v>1</v>
      </c>
      <c r="P37">
        <f t="shared" si="3"/>
        <v>1</v>
      </c>
      <c r="Q37">
        <f t="shared" si="3"/>
        <v>1</v>
      </c>
      <c r="R37">
        <f t="shared" si="3"/>
        <v>1</v>
      </c>
      <c r="S37">
        <f t="shared" si="3"/>
        <v>1</v>
      </c>
      <c r="T37">
        <f t="shared" si="3"/>
        <v>1</v>
      </c>
      <c r="U37">
        <f t="shared" si="3"/>
        <v>1</v>
      </c>
      <c r="V37">
        <f t="shared" si="3"/>
        <v>1</v>
      </c>
      <c r="W37">
        <f t="shared" si="3"/>
        <v>1</v>
      </c>
      <c r="X37">
        <f t="shared" si="3"/>
        <v>1</v>
      </c>
      <c r="Y37">
        <f t="shared" si="3"/>
        <v>1</v>
      </c>
      <c r="Z37">
        <f t="shared" si="3"/>
        <v>1</v>
      </c>
      <c r="AA37">
        <f t="shared" si="3"/>
        <v>1</v>
      </c>
      <c r="AB37">
        <f t="shared" si="3"/>
        <v>1</v>
      </c>
      <c r="AC37">
        <f t="shared" si="3"/>
        <v>1</v>
      </c>
      <c r="AD37">
        <f t="shared" si="3"/>
        <v>1</v>
      </c>
      <c r="AE37">
        <f t="shared" si="3"/>
        <v>1</v>
      </c>
      <c r="AF37">
        <f t="shared" si="1"/>
        <v>30</v>
      </c>
    </row>
    <row r="38" spans="1:40" x14ac:dyDescent="0.15">
      <c r="A38" t="s">
        <v>4</v>
      </c>
      <c r="B38">
        <f t="shared" ref="B38:AE38" si="4">IF(B15="○",1,0)</f>
        <v>0</v>
      </c>
      <c r="C38">
        <f t="shared" si="4"/>
        <v>1</v>
      </c>
      <c r="D38">
        <f t="shared" si="4"/>
        <v>1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1</v>
      </c>
      <c r="I38">
        <f t="shared" si="4"/>
        <v>1</v>
      </c>
      <c r="J38">
        <f t="shared" si="4"/>
        <v>1</v>
      </c>
      <c r="K38">
        <f t="shared" si="4"/>
        <v>1</v>
      </c>
      <c r="L38">
        <f t="shared" si="4"/>
        <v>1</v>
      </c>
      <c r="M38">
        <f t="shared" si="4"/>
        <v>1</v>
      </c>
      <c r="N38">
        <f t="shared" si="4"/>
        <v>1</v>
      </c>
      <c r="O38">
        <f t="shared" si="4"/>
        <v>0</v>
      </c>
      <c r="P38">
        <f t="shared" si="4"/>
        <v>1</v>
      </c>
      <c r="Q38">
        <f t="shared" si="4"/>
        <v>1</v>
      </c>
      <c r="R38">
        <f t="shared" si="4"/>
        <v>0</v>
      </c>
      <c r="S38">
        <f t="shared" si="4"/>
        <v>1</v>
      </c>
      <c r="T38">
        <f t="shared" si="4"/>
        <v>1</v>
      </c>
      <c r="U38">
        <f t="shared" si="4"/>
        <v>1</v>
      </c>
      <c r="V38">
        <f t="shared" si="4"/>
        <v>1</v>
      </c>
      <c r="W38">
        <f t="shared" si="4"/>
        <v>1</v>
      </c>
      <c r="X38">
        <f t="shared" si="4"/>
        <v>0</v>
      </c>
      <c r="Y38">
        <f t="shared" si="4"/>
        <v>1</v>
      </c>
      <c r="Z38">
        <f t="shared" si="4"/>
        <v>1</v>
      </c>
      <c r="AA38">
        <f t="shared" si="4"/>
        <v>1</v>
      </c>
      <c r="AB38">
        <f t="shared" si="4"/>
        <v>1</v>
      </c>
      <c r="AC38">
        <f t="shared" si="4"/>
        <v>1</v>
      </c>
      <c r="AD38">
        <f t="shared" si="4"/>
        <v>1</v>
      </c>
      <c r="AE38">
        <f t="shared" si="4"/>
        <v>1</v>
      </c>
      <c r="AF38">
        <f t="shared" si="1"/>
        <v>25</v>
      </c>
    </row>
    <row r="39" spans="1:40" x14ac:dyDescent="0.15">
      <c r="A39" t="s">
        <v>5</v>
      </c>
      <c r="B39">
        <f t="shared" ref="B39:AE39" si="5">IF(B18="○",1,0)</f>
        <v>1</v>
      </c>
      <c r="C39">
        <f t="shared" si="5"/>
        <v>1</v>
      </c>
      <c r="D39">
        <f t="shared" si="5"/>
        <v>1</v>
      </c>
      <c r="E39">
        <f t="shared" si="5"/>
        <v>1</v>
      </c>
      <c r="F39">
        <f t="shared" si="5"/>
        <v>1</v>
      </c>
      <c r="G39">
        <f t="shared" si="5"/>
        <v>1</v>
      </c>
      <c r="H39">
        <f t="shared" si="5"/>
        <v>1</v>
      </c>
      <c r="I39">
        <f t="shared" si="5"/>
        <v>1</v>
      </c>
      <c r="J39">
        <f t="shared" si="5"/>
        <v>1</v>
      </c>
      <c r="K39">
        <f t="shared" si="5"/>
        <v>1</v>
      </c>
      <c r="L39">
        <f t="shared" si="5"/>
        <v>1</v>
      </c>
      <c r="M39">
        <f t="shared" si="5"/>
        <v>1</v>
      </c>
      <c r="N39">
        <f t="shared" si="5"/>
        <v>1</v>
      </c>
      <c r="O39">
        <f t="shared" si="5"/>
        <v>1</v>
      </c>
      <c r="P39">
        <f t="shared" si="5"/>
        <v>1</v>
      </c>
      <c r="Q39">
        <f t="shared" si="5"/>
        <v>1</v>
      </c>
      <c r="R39">
        <f t="shared" si="5"/>
        <v>1</v>
      </c>
      <c r="S39">
        <f t="shared" si="5"/>
        <v>1</v>
      </c>
      <c r="T39">
        <f t="shared" si="5"/>
        <v>1</v>
      </c>
      <c r="U39">
        <f t="shared" si="5"/>
        <v>1</v>
      </c>
      <c r="V39">
        <f t="shared" si="5"/>
        <v>1</v>
      </c>
      <c r="W39">
        <f t="shared" si="5"/>
        <v>1</v>
      </c>
      <c r="X39">
        <f t="shared" si="5"/>
        <v>1</v>
      </c>
      <c r="Y39">
        <f t="shared" si="5"/>
        <v>1</v>
      </c>
      <c r="Z39">
        <f t="shared" si="5"/>
        <v>1</v>
      </c>
      <c r="AA39">
        <f t="shared" si="5"/>
        <v>1</v>
      </c>
      <c r="AB39">
        <f t="shared" si="5"/>
        <v>1</v>
      </c>
      <c r="AC39">
        <f t="shared" si="5"/>
        <v>1</v>
      </c>
      <c r="AD39">
        <f t="shared" si="5"/>
        <v>1</v>
      </c>
      <c r="AE39">
        <f t="shared" si="5"/>
        <v>1</v>
      </c>
      <c r="AF39">
        <f t="shared" si="1"/>
        <v>30</v>
      </c>
    </row>
    <row r="40" spans="1:40" x14ac:dyDescent="0.15">
      <c r="A40" t="s">
        <v>6</v>
      </c>
      <c r="B40">
        <f t="shared" ref="B40:AE40" si="6">IF(B21="○",1,0)</f>
        <v>0</v>
      </c>
      <c r="C40">
        <f t="shared" si="6"/>
        <v>0</v>
      </c>
      <c r="D40">
        <f t="shared" si="6"/>
        <v>1</v>
      </c>
      <c r="E40">
        <f t="shared" si="6"/>
        <v>0</v>
      </c>
      <c r="F40">
        <f t="shared" si="6"/>
        <v>0</v>
      </c>
      <c r="G40">
        <f t="shared" si="6"/>
        <v>1</v>
      </c>
      <c r="H40">
        <f t="shared" si="6"/>
        <v>0</v>
      </c>
      <c r="I40">
        <f t="shared" si="6"/>
        <v>1</v>
      </c>
      <c r="J40">
        <f t="shared" si="6"/>
        <v>1</v>
      </c>
      <c r="K40">
        <f t="shared" si="6"/>
        <v>1</v>
      </c>
      <c r="L40">
        <f t="shared" si="6"/>
        <v>1</v>
      </c>
      <c r="M40">
        <f t="shared" si="6"/>
        <v>0</v>
      </c>
      <c r="N40">
        <f t="shared" si="6"/>
        <v>1</v>
      </c>
      <c r="O40">
        <f t="shared" si="6"/>
        <v>0</v>
      </c>
      <c r="P40">
        <f t="shared" si="6"/>
        <v>1</v>
      </c>
      <c r="Q40">
        <f t="shared" si="6"/>
        <v>1</v>
      </c>
      <c r="R40">
        <f t="shared" si="6"/>
        <v>0</v>
      </c>
      <c r="S40">
        <f t="shared" si="6"/>
        <v>1</v>
      </c>
      <c r="T40">
        <f t="shared" si="6"/>
        <v>1</v>
      </c>
      <c r="U40">
        <f t="shared" si="6"/>
        <v>1</v>
      </c>
      <c r="V40">
        <f t="shared" si="6"/>
        <v>1</v>
      </c>
      <c r="W40">
        <f t="shared" si="6"/>
        <v>1</v>
      </c>
      <c r="X40">
        <f t="shared" si="6"/>
        <v>0</v>
      </c>
      <c r="Y40">
        <f t="shared" si="6"/>
        <v>1</v>
      </c>
      <c r="Z40">
        <f t="shared" si="6"/>
        <v>0</v>
      </c>
      <c r="AA40">
        <f t="shared" si="6"/>
        <v>0</v>
      </c>
      <c r="AB40">
        <f t="shared" si="6"/>
        <v>1</v>
      </c>
      <c r="AC40">
        <f t="shared" si="6"/>
        <v>0</v>
      </c>
      <c r="AD40">
        <f t="shared" si="6"/>
        <v>0</v>
      </c>
      <c r="AE40">
        <f t="shared" si="6"/>
        <v>0</v>
      </c>
      <c r="AF40">
        <f t="shared" si="1"/>
        <v>16</v>
      </c>
    </row>
    <row r="41" spans="1:40" x14ac:dyDescent="0.15">
      <c r="A41" t="s">
        <v>7</v>
      </c>
      <c r="B41">
        <f t="shared" ref="B41:AE41" si="7">IF(B10="○",1,0)</f>
        <v>1</v>
      </c>
      <c r="C41">
        <f t="shared" si="7"/>
        <v>0</v>
      </c>
      <c r="D41">
        <f t="shared" si="7"/>
        <v>0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  <c r="L41">
        <f t="shared" si="7"/>
        <v>1</v>
      </c>
      <c r="M41">
        <f t="shared" si="7"/>
        <v>1</v>
      </c>
      <c r="N41">
        <f t="shared" si="7"/>
        <v>1</v>
      </c>
      <c r="O41">
        <f t="shared" si="7"/>
        <v>1</v>
      </c>
      <c r="P41">
        <f t="shared" si="7"/>
        <v>1</v>
      </c>
      <c r="Q41">
        <f t="shared" si="7"/>
        <v>1</v>
      </c>
      <c r="R41">
        <f t="shared" si="7"/>
        <v>1</v>
      </c>
      <c r="S41">
        <f t="shared" si="7"/>
        <v>1</v>
      </c>
      <c r="T41">
        <f t="shared" si="7"/>
        <v>1</v>
      </c>
      <c r="U41">
        <f t="shared" si="7"/>
        <v>1</v>
      </c>
      <c r="V41">
        <f t="shared" si="7"/>
        <v>1</v>
      </c>
      <c r="W41">
        <f t="shared" si="7"/>
        <v>1</v>
      </c>
      <c r="X41">
        <f t="shared" si="7"/>
        <v>1</v>
      </c>
      <c r="Y41">
        <f t="shared" si="7"/>
        <v>1</v>
      </c>
      <c r="Z41">
        <f t="shared" si="7"/>
        <v>0</v>
      </c>
      <c r="AA41">
        <f t="shared" si="7"/>
        <v>1</v>
      </c>
      <c r="AB41">
        <f t="shared" si="7"/>
        <v>1</v>
      </c>
      <c r="AC41">
        <f t="shared" si="7"/>
        <v>1</v>
      </c>
      <c r="AD41">
        <f t="shared" si="7"/>
        <v>1</v>
      </c>
      <c r="AE41">
        <f t="shared" si="7"/>
        <v>0</v>
      </c>
      <c r="AF41">
        <f t="shared" si="1"/>
        <v>26</v>
      </c>
    </row>
    <row r="42" spans="1:40" x14ac:dyDescent="0.15">
      <c r="A42" t="s">
        <v>16</v>
      </c>
      <c r="B42">
        <f t="shared" ref="B42:AE42" si="8">IF(B22="○",1,0)</f>
        <v>0</v>
      </c>
      <c r="C42">
        <f t="shared" si="8"/>
        <v>0</v>
      </c>
      <c r="D42">
        <f t="shared" si="8"/>
        <v>1</v>
      </c>
      <c r="E42">
        <f t="shared" si="8"/>
        <v>0</v>
      </c>
      <c r="F42">
        <f t="shared" si="8"/>
        <v>1</v>
      </c>
      <c r="G42">
        <f t="shared" si="8"/>
        <v>1</v>
      </c>
      <c r="H42">
        <f t="shared" si="8"/>
        <v>1</v>
      </c>
      <c r="I42">
        <f t="shared" si="8"/>
        <v>1</v>
      </c>
      <c r="J42">
        <f t="shared" si="8"/>
        <v>1</v>
      </c>
      <c r="K42">
        <f t="shared" si="8"/>
        <v>1</v>
      </c>
      <c r="L42">
        <f t="shared" si="8"/>
        <v>1</v>
      </c>
      <c r="M42">
        <f t="shared" si="8"/>
        <v>1</v>
      </c>
      <c r="N42">
        <f t="shared" si="8"/>
        <v>1</v>
      </c>
      <c r="O42">
        <f t="shared" si="8"/>
        <v>0</v>
      </c>
      <c r="P42">
        <f t="shared" si="8"/>
        <v>1</v>
      </c>
      <c r="Q42">
        <f t="shared" si="8"/>
        <v>1</v>
      </c>
      <c r="R42">
        <f t="shared" si="8"/>
        <v>0</v>
      </c>
      <c r="S42">
        <f t="shared" si="8"/>
        <v>1</v>
      </c>
      <c r="T42">
        <f t="shared" si="8"/>
        <v>1</v>
      </c>
      <c r="U42">
        <f t="shared" si="8"/>
        <v>1</v>
      </c>
      <c r="V42">
        <f t="shared" si="8"/>
        <v>1</v>
      </c>
      <c r="W42">
        <f t="shared" si="8"/>
        <v>1</v>
      </c>
      <c r="X42">
        <f t="shared" si="8"/>
        <v>0</v>
      </c>
      <c r="Y42">
        <f t="shared" si="8"/>
        <v>1</v>
      </c>
      <c r="Z42">
        <f t="shared" si="8"/>
        <v>1</v>
      </c>
      <c r="AA42">
        <f t="shared" si="8"/>
        <v>0</v>
      </c>
      <c r="AB42">
        <f t="shared" si="8"/>
        <v>1</v>
      </c>
      <c r="AC42">
        <f t="shared" si="8"/>
        <v>0</v>
      </c>
      <c r="AD42">
        <f t="shared" si="8"/>
        <v>1</v>
      </c>
      <c r="AE42">
        <f t="shared" si="8"/>
        <v>1</v>
      </c>
      <c r="AF42">
        <f t="shared" si="1"/>
        <v>22</v>
      </c>
    </row>
    <row r="43" spans="1:40" x14ac:dyDescent="0.15">
      <c r="A43" t="s">
        <v>97</v>
      </c>
    </row>
    <row r="44" spans="1:40" x14ac:dyDescent="0.15">
      <c r="A44" t="s">
        <v>98</v>
      </c>
    </row>
    <row r="45" spans="1:40" x14ac:dyDescent="0.15">
      <c r="A45" t="s">
        <v>99</v>
      </c>
    </row>
    <row r="52" spans="2:31" x14ac:dyDescent="0.15">
      <c r="B52">
        <f t="shared" ref="B52:AE52" si="9">SUM(B35:B42)</f>
        <v>5</v>
      </c>
      <c r="C52">
        <f t="shared" si="9"/>
        <v>5</v>
      </c>
      <c r="D52">
        <f t="shared" si="9"/>
        <v>7</v>
      </c>
      <c r="E52">
        <f t="shared" si="9"/>
        <v>5</v>
      </c>
      <c r="F52">
        <f t="shared" si="9"/>
        <v>7</v>
      </c>
      <c r="G52">
        <f t="shared" si="9"/>
        <v>8</v>
      </c>
      <c r="H52">
        <f t="shared" si="9"/>
        <v>7</v>
      </c>
      <c r="I52">
        <f t="shared" si="9"/>
        <v>8</v>
      </c>
      <c r="J52">
        <f t="shared" si="9"/>
        <v>8</v>
      </c>
      <c r="K52">
        <f t="shared" si="9"/>
        <v>8</v>
      </c>
      <c r="L52">
        <f t="shared" si="9"/>
        <v>8</v>
      </c>
      <c r="M52">
        <f t="shared" si="9"/>
        <v>7</v>
      </c>
      <c r="N52">
        <f t="shared" si="9"/>
        <v>8</v>
      </c>
      <c r="O52">
        <f t="shared" si="9"/>
        <v>5</v>
      </c>
      <c r="P52">
        <f t="shared" si="9"/>
        <v>8</v>
      </c>
      <c r="Q52">
        <f t="shared" si="9"/>
        <v>8</v>
      </c>
      <c r="R52">
        <f t="shared" si="9"/>
        <v>5</v>
      </c>
      <c r="S52">
        <f t="shared" si="9"/>
        <v>8</v>
      </c>
      <c r="T52">
        <f t="shared" si="9"/>
        <v>8</v>
      </c>
      <c r="U52">
        <f t="shared" si="9"/>
        <v>8</v>
      </c>
      <c r="V52">
        <f t="shared" si="9"/>
        <v>8</v>
      </c>
      <c r="W52">
        <f t="shared" si="9"/>
        <v>8</v>
      </c>
      <c r="X52">
        <f t="shared" si="9"/>
        <v>5</v>
      </c>
      <c r="Y52">
        <f t="shared" si="9"/>
        <v>8</v>
      </c>
      <c r="Z52">
        <f t="shared" si="9"/>
        <v>6</v>
      </c>
      <c r="AA52">
        <f t="shared" si="9"/>
        <v>6</v>
      </c>
      <c r="AB52">
        <f t="shared" si="9"/>
        <v>8</v>
      </c>
      <c r="AC52">
        <f t="shared" si="9"/>
        <v>6</v>
      </c>
      <c r="AD52">
        <f t="shared" si="9"/>
        <v>7</v>
      </c>
      <c r="AE52">
        <f t="shared" si="9"/>
        <v>6</v>
      </c>
    </row>
  </sheetData>
  <phoneticPr fontId="1"/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 display="https://github.com/gabrielecirulli/2048"/>
    <hyperlink ref="N2" r:id="rId13"/>
    <hyperlink ref="O2" r:id="rId14"/>
    <hyperlink ref="P2" r:id="rId15"/>
    <hyperlink ref="Q2" r:id="rId16"/>
    <hyperlink ref="R2" r:id="rId17"/>
    <hyperlink ref="S2" r:id="rId18"/>
    <hyperlink ref="T2" r:id="rId19"/>
    <hyperlink ref="U2" r:id="rId20"/>
    <hyperlink ref="V2" r:id="rId21"/>
    <hyperlink ref="W2" r:id="rId22"/>
    <hyperlink ref="X2" r:id="rId23"/>
    <hyperlink ref="Y2" r:id="rId24"/>
    <hyperlink ref="Z2" r:id="rId25"/>
    <hyperlink ref="AA2" r:id="rId26"/>
    <hyperlink ref="AB2" r:id="rId27"/>
    <hyperlink ref="AC2" r:id="rId28"/>
    <hyperlink ref="AD2" r:id="rId29"/>
    <hyperlink ref="AE2" r:id="rId30"/>
    <hyperlink ref="B33" r:id="rId31"/>
    <hyperlink ref="C33" r:id="rId32"/>
    <hyperlink ref="D33" r:id="rId33"/>
    <hyperlink ref="E33" r:id="rId34"/>
    <hyperlink ref="F33" r:id="rId35"/>
    <hyperlink ref="G33" r:id="rId36"/>
    <hyperlink ref="H33" r:id="rId37"/>
    <hyperlink ref="I33" r:id="rId38"/>
    <hyperlink ref="J33" r:id="rId39"/>
    <hyperlink ref="K33" r:id="rId40"/>
    <hyperlink ref="L33" r:id="rId41"/>
    <hyperlink ref="M33" r:id="rId42" display="https://github.com/gabrielecirulli/2048"/>
    <hyperlink ref="N33" r:id="rId43"/>
    <hyperlink ref="O33" r:id="rId44"/>
    <hyperlink ref="P33" r:id="rId45"/>
    <hyperlink ref="Q33" r:id="rId46"/>
    <hyperlink ref="R33" r:id="rId47"/>
    <hyperlink ref="S33" r:id="rId48"/>
    <hyperlink ref="T33" r:id="rId49"/>
    <hyperlink ref="U33" r:id="rId50"/>
    <hyperlink ref="V33" r:id="rId51"/>
    <hyperlink ref="W33" r:id="rId52"/>
    <hyperlink ref="X33" r:id="rId53"/>
    <hyperlink ref="Y33" r:id="rId54"/>
    <hyperlink ref="Z33" r:id="rId55"/>
    <hyperlink ref="AA33" r:id="rId56"/>
    <hyperlink ref="AB33" r:id="rId57"/>
    <hyperlink ref="AC33" r:id="rId58"/>
    <hyperlink ref="AD33" r:id="rId59"/>
    <hyperlink ref="AE33" r:id="rId60"/>
  </hyperlinks>
  <pageMargins left="0.7" right="0.7" top="0.75" bottom="0.75" header="0.3" footer="0.3"/>
  <pageSetup paperSize="9" orientation="portrait" horizontalDpi="4294967292" verticalDpi="4294967292"/>
  <drawing r:id="rId61"/>
  <tableParts count="1">
    <tablePart r:id="rId6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2"/>
  <sheetViews>
    <sheetView topLeftCell="G38" workbookViewId="0">
      <selection activeCell="H75" sqref="H75:J77"/>
    </sheetView>
  </sheetViews>
  <sheetFormatPr defaultColWidth="13" defaultRowHeight="14.25" x14ac:dyDescent="0.15"/>
  <cols>
    <col min="2" max="31" width="13" customWidth="1"/>
  </cols>
  <sheetData>
    <row r="1" spans="1:40" x14ac:dyDescent="0.15">
      <c r="A1" s="6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M1" s="5" t="s">
        <v>73</v>
      </c>
      <c r="AN1" s="5"/>
    </row>
    <row r="2" spans="1:40" x14ac:dyDescent="0.15">
      <c r="A2" s="6" t="s">
        <v>19</v>
      </c>
      <c r="B2" s="7" t="s">
        <v>22</v>
      </c>
      <c r="C2" s="7" t="s">
        <v>130</v>
      </c>
      <c r="D2" s="7" t="s">
        <v>36</v>
      </c>
      <c r="E2" s="7" t="s">
        <v>37</v>
      </c>
      <c r="F2" s="7" t="s">
        <v>38</v>
      </c>
      <c r="G2" s="7" t="s">
        <v>40</v>
      </c>
      <c r="H2" s="7" t="s">
        <v>129</v>
      </c>
      <c r="I2" s="7" t="s">
        <v>45</v>
      </c>
      <c r="J2" s="7" t="s">
        <v>131</v>
      </c>
      <c r="K2" s="7" t="s">
        <v>47</v>
      </c>
      <c r="L2" s="7" t="s">
        <v>49</v>
      </c>
      <c r="M2" s="7">
        <v>2048</v>
      </c>
      <c r="N2" s="7" t="s">
        <v>50</v>
      </c>
      <c r="O2" s="7" t="s">
        <v>132</v>
      </c>
      <c r="P2" s="7" t="s">
        <v>89</v>
      </c>
      <c r="Q2" s="7" t="s">
        <v>90</v>
      </c>
      <c r="R2" s="7" t="s">
        <v>55</v>
      </c>
      <c r="S2" s="7" t="s">
        <v>56</v>
      </c>
      <c r="T2" s="7" t="s">
        <v>57</v>
      </c>
      <c r="U2" s="7" t="s">
        <v>93</v>
      </c>
      <c r="V2" s="7" t="s">
        <v>59</v>
      </c>
      <c r="W2" s="7" t="s">
        <v>133</v>
      </c>
      <c r="X2" s="7" t="s">
        <v>61</v>
      </c>
      <c r="Y2" s="7" t="s">
        <v>62</v>
      </c>
      <c r="Z2" s="7" t="s">
        <v>63</v>
      </c>
      <c r="AA2" s="7" t="s">
        <v>64</v>
      </c>
      <c r="AB2" s="7" t="s">
        <v>134</v>
      </c>
      <c r="AC2" s="7" t="s">
        <v>66</v>
      </c>
      <c r="AD2" s="7" t="s">
        <v>68</v>
      </c>
      <c r="AE2" s="7" t="s">
        <v>69</v>
      </c>
      <c r="AF2" s="7">
        <f>SUM(テーブル24[[#This Row],[1]:[30]])</f>
        <v>2048</v>
      </c>
      <c r="AM2" s="3"/>
      <c r="AN2" s="3"/>
    </row>
    <row r="3" spans="1:40" x14ac:dyDescent="0.15">
      <c r="A3" s="6" t="s">
        <v>169</v>
      </c>
      <c r="B3">
        <v>40</v>
      </c>
      <c r="C3">
        <v>178</v>
      </c>
      <c r="D3">
        <v>178</v>
      </c>
      <c r="E3">
        <v>360</v>
      </c>
      <c r="F3">
        <v>1648</v>
      </c>
      <c r="G3">
        <v>553</v>
      </c>
      <c r="H3">
        <v>424</v>
      </c>
      <c r="I3">
        <v>637</v>
      </c>
      <c r="J3">
        <v>52</v>
      </c>
      <c r="K3">
        <v>45</v>
      </c>
      <c r="L3">
        <v>77</v>
      </c>
      <c r="M3">
        <v>471</v>
      </c>
      <c r="N3">
        <v>80</v>
      </c>
      <c r="O3">
        <v>321</v>
      </c>
      <c r="P3">
        <v>245</v>
      </c>
      <c r="Q3">
        <v>195</v>
      </c>
      <c r="R3">
        <v>173</v>
      </c>
      <c r="S3">
        <v>93</v>
      </c>
      <c r="T3">
        <v>420</v>
      </c>
      <c r="U3">
        <v>547</v>
      </c>
      <c r="V3">
        <v>95</v>
      </c>
      <c r="W3">
        <v>232</v>
      </c>
      <c r="X3">
        <v>559</v>
      </c>
      <c r="Y3">
        <v>1085</v>
      </c>
      <c r="Z3">
        <v>97</v>
      </c>
      <c r="AA3">
        <v>253</v>
      </c>
      <c r="AB3">
        <v>422</v>
      </c>
      <c r="AC3">
        <v>59</v>
      </c>
      <c r="AD3">
        <v>71</v>
      </c>
      <c r="AE3">
        <v>56</v>
      </c>
      <c r="AF3">
        <f>SUM(テーブル24[[#This Row],[1]:[30]])</f>
        <v>9666</v>
      </c>
      <c r="AM3" s="3"/>
      <c r="AN3" s="3"/>
    </row>
    <row r="4" spans="1:40" x14ac:dyDescent="0.15">
      <c r="A4" s="6" t="s">
        <v>170</v>
      </c>
      <c r="B4">
        <v>447</v>
      </c>
      <c r="C4">
        <v>1636</v>
      </c>
      <c r="D4">
        <v>2319</v>
      </c>
      <c r="E4">
        <v>11741</v>
      </c>
      <c r="F4">
        <v>23753</v>
      </c>
      <c r="G4">
        <v>5262</v>
      </c>
      <c r="H4">
        <v>4787</v>
      </c>
      <c r="I4">
        <v>11276</v>
      </c>
      <c r="J4">
        <v>313</v>
      </c>
      <c r="K4">
        <v>188</v>
      </c>
      <c r="L4">
        <v>461</v>
      </c>
      <c r="M4">
        <v>6127</v>
      </c>
      <c r="N4">
        <v>629</v>
      </c>
      <c r="O4">
        <v>4359</v>
      </c>
      <c r="P4">
        <v>4977</v>
      </c>
      <c r="Q4">
        <v>3300</v>
      </c>
      <c r="R4">
        <v>1999</v>
      </c>
      <c r="S4">
        <v>2054</v>
      </c>
      <c r="T4">
        <v>5809</v>
      </c>
      <c r="U4">
        <v>6575</v>
      </c>
      <c r="V4">
        <v>1178</v>
      </c>
      <c r="W4">
        <v>1852</v>
      </c>
      <c r="X4">
        <v>5955</v>
      </c>
      <c r="Y4">
        <v>10901</v>
      </c>
      <c r="Z4">
        <v>800</v>
      </c>
      <c r="AA4">
        <v>2055</v>
      </c>
      <c r="AB4">
        <v>8467</v>
      </c>
      <c r="AC4">
        <v>2271</v>
      </c>
      <c r="AD4">
        <v>1680</v>
      </c>
      <c r="AE4">
        <v>392</v>
      </c>
      <c r="AF4">
        <f>SUM(テーブル24[[#This Row],[1]:[30]])</f>
        <v>133563</v>
      </c>
      <c r="AM4" s="3"/>
      <c r="AN4" s="3"/>
    </row>
    <row r="5" spans="1:40" x14ac:dyDescent="0.15">
      <c r="A5" s="6" t="s">
        <v>171</v>
      </c>
      <c r="B5">
        <v>93</v>
      </c>
      <c r="C5">
        <v>259</v>
      </c>
      <c r="D5">
        <v>463</v>
      </c>
      <c r="E5">
        <v>4592</v>
      </c>
      <c r="F5">
        <v>9080</v>
      </c>
      <c r="G5">
        <v>2315</v>
      </c>
      <c r="H5">
        <v>945</v>
      </c>
      <c r="I5">
        <v>2579</v>
      </c>
      <c r="J5">
        <v>152</v>
      </c>
      <c r="K5">
        <v>1109</v>
      </c>
      <c r="L5" s="2">
        <v>313</v>
      </c>
      <c r="M5">
        <v>10970</v>
      </c>
      <c r="N5">
        <v>360</v>
      </c>
      <c r="O5">
        <v>1234</v>
      </c>
      <c r="P5">
        <v>701</v>
      </c>
      <c r="Q5">
        <v>437</v>
      </c>
      <c r="R5">
        <v>385</v>
      </c>
      <c r="S5">
        <v>278</v>
      </c>
      <c r="T5">
        <v>1101</v>
      </c>
      <c r="U5">
        <v>2133</v>
      </c>
      <c r="V5">
        <v>278</v>
      </c>
      <c r="W5">
        <v>283</v>
      </c>
      <c r="X5">
        <v>1650</v>
      </c>
      <c r="Y5">
        <v>3355</v>
      </c>
      <c r="Z5">
        <v>165</v>
      </c>
      <c r="AA5">
        <v>1015</v>
      </c>
      <c r="AB5">
        <v>1337</v>
      </c>
      <c r="AC5">
        <v>233</v>
      </c>
      <c r="AD5">
        <v>180</v>
      </c>
      <c r="AE5">
        <v>78</v>
      </c>
      <c r="AF5">
        <f>SUM(テーブル24[[#This Row],[1]:[30]])</f>
        <v>48073</v>
      </c>
      <c r="AM5" s="3"/>
      <c r="AN5" s="3"/>
    </row>
    <row r="6" spans="1:40" x14ac:dyDescent="0.15">
      <c r="A6" s="6" t="s">
        <v>100</v>
      </c>
      <c r="B6">
        <v>2</v>
      </c>
      <c r="C6">
        <v>1</v>
      </c>
      <c r="D6">
        <v>1</v>
      </c>
      <c r="E6">
        <v>39</v>
      </c>
      <c r="F6">
        <v>37</v>
      </c>
      <c r="G6">
        <v>12</v>
      </c>
      <c r="H6">
        <v>12</v>
      </c>
      <c r="I6">
        <v>3</v>
      </c>
      <c r="J6">
        <v>9</v>
      </c>
      <c r="K6">
        <v>50</v>
      </c>
      <c r="L6" s="2">
        <v>6</v>
      </c>
      <c r="M6">
        <v>2</v>
      </c>
      <c r="N6">
        <v>3</v>
      </c>
      <c r="O6">
        <v>4</v>
      </c>
      <c r="P6">
        <v>9</v>
      </c>
      <c r="Q6">
        <v>9</v>
      </c>
      <c r="R6">
        <v>14</v>
      </c>
      <c r="S6">
        <v>11</v>
      </c>
      <c r="T6">
        <v>7</v>
      </c>
      <c r="U6">
        <v>3</v>
      </c>
      <c r="V6">
        <v>4</v>
      </c>
      <c r="W6">
        <v>166</v>
      </c>
      <c r="X6">
        <v>14</v>
      </c>
      <c r="Y6">
        <v>13</v>
      </c>
      <c r="Z6">
        <v>1</v>
      </c>
      <c r="AA6">
        <v>5</v>
      </c>
      <c r="AB6">
        <v>5</v>
      </c>
      <c r="AC6">
        <v>3</v>
      </c>
      <c r="AD6">
        <v>24</v>
      </c>
      <c r="AE6">
        <v>1</v>
      </c>
      <c r="AF6">
        <f>SUM(テーブル24[[#This Row],[1]:[30]])</f>
        <v>470</v>
      </c>
      <c r="AM6" s="3"/>
      <c r="AN6" s="3"/>
    </row>
    <row r="7" spans="1:40" x14ac:dyDescent="0.15">
      <c r="A7" s="6" t="s">
        <v>176</v>
      </c>
      <c r="B7">
        <v>75</v>
      </c>
      <c r="C7">
        <v>57</v>
      </c>
      <c r="D7">
        <v>221</v>
      </c>
      <c r="E7">
        <v>19052</v>
      </c>
      <c r="F7">
        <v>47676</v>
      </c>
      <c r="G7">
        <v>17275</v>
      </c>
      <c r="H7">
        <v>5881</v>
      </c>
      <c r="I7">
        <v>2124</v>
      </c>
      <c r="J7">
        <v>480</v>
      </c>
      <c r="K7">
        <v>139955</v>
      </c>
      <c r="L7" s="2">
        <v>10189</v>
      </c>
      <c r="M7">
        <v>160</v>
      </c>
      <c r="N7">
        <v>214</v>
      </c>
      <c r="O7">
        <v>153</v>
      </c>
      <c r="P7">
        <v>3610</v>
      </c>
      <c r="Q7">
        <v>4107</v>
      </c>
      <c r="R7">
        <v>1162</v>
      </c>
      <c r="S7">
        <v>710</v>
      </c>
      <c r="T7">
        <v>1274</v>
      </c>
      <c r="U7">
        <v>2544</v>
      </c>
      <c r="V7">
        <v>2762</v>
      </c>
      <c r="W7">
        <v>2792</v>
      </c>
      <c r="X7">
        <v>27747</v>
      </c>
      <c r="Y7">
        <v>4699</v>
      </c>
      <c r="Z7">
        <v>3196</v>
      </c>
      <c r="AA7">
        <v>341</v>
      </c>
      <c r="AB7">
        <v>1244</v>
      </c>
      <c r="AC7">
        <v>102</v>
      </c>
      <c r="AD7">
        <v>3453</v>
      </c>
      <c r="AE7">
        <v>136</v>
      </c>
      <c r="AF7">
        <f>SUM(テーブル24[[#This Row],[1]:[30]])</f>
        <v>303391</v>
      </c>
      <c r="AM7" s="3"/>
      <c r="AN7" s="3"/>
    </row>
    <row r="8" spans="1:40" x14ac:dyDescent="0.15">
      <c r="A8" s="6" t="s">
        <v>174</v>
      </c>
      <c r="B8">
        <v>5</v>
      </c>
      <c r="C8">
        <v>1</v>
      </c>
      <c r="D8">
        <v>0</v>
      </c>
      <c r="E8">
        <v>86</v>
      </c>
      <c r="F8">
        <v>237</v>
      </c>
      <c r="G8">
        <v>121</v>
      </c>
      <c r="H8">
        <v>163</v>
      </c>
      <c r="I8">
        <v>32</v>
      </c>
      <c r="J8">
        <v>5</v>
      </c>
      <c r="K8">
        <v>2610</v>
      </c>
      <c r="L8" s="2">
        <v>21</v>
      </c>
      <c r="M8">
        <v>0</v>
      </c>
      <c r="N8">
        <v>0</v>
      </c>
      <c r="O8">
        <v>0</v>
      </c>
      <c r="P8">
        <v>146</v>
      </c>
      <c r="Q8">
        <v>34</v>
      </c>
      <c r="R8">
        <v>36</v>
      </c>
      <c r="S8">
        <v>9</v>
      </c>
      <c r="T8">
        <v>15</v>
      </c>
      <c r="U8">
        <v>34</v>
      </c>
      <c r="V8">
        <v>20</v>
      </c>
      <c r="W8">
        <v>178</v>
      </c>
      <c r="X8">
        <v>230</v>
      </c>
      <c r="Y8">
        <v>152</v>
      </c>
      <c r="Z8">
        <v>2</v>
      </c>
      <c r="AA8">
        <v>0</v>
      </c>
      <c r="AB8">
        <v>3</v>
      </c>
      <c r="AC8">
        <v>9</v>
      </c>
      <c r="AD8">
        <v>32</v>
      </c>
      <c r="AE8">
        <v>21</v>
      </c>
      <c r="AF8">
        <f>SUM(テーブル24[[#This Row],[1]:[30]])</f>
        <v>4202</v>
      </c>
      <c r="AM8" s="3"/>
      <c r="AN8" s="3"/>
    </row>
    <row r="9" spans="1:40" x14ac:dyDescent="0.15">
      <c r="A9" s="6" t="s">
        <v>175</v>
      </c>
      <c r="B9">
        <v>3</v>
      </c>
      <c r="C9">
        <v>3</v>
      </c>
      <c r="D9">
        <v>7</v>
      </c>
      <c r="E9">
        <v>700</v>
      </c>
      <c r="F9">
        <v>2465</v>
      </c>
      <c r="G9">
        <v>285</v>
      </c>
      <c r="H9">
        <v>153</v>
      </c>
      <c r="I9">
        <v>169</v>
      </c>
      <c r="J9">
        <v>25</v>
      </c>
      <c r="K9">
        <v>286</v>
      </c>
      <c r="L9" s="2">
        <v>93</v>
      </c>
      <c r="M9">
        <v>21</v>
      </c>
      <c r="N9">
        <v>7</v>
      </c>
      <c r="O9">
        <v>4</v>
      </c>
      <c r="P9">
        <v>122</v>
      </c>
      <c r="Q9">
        <v>119</v>
      </c>
      <c r="R9">
        <v>18</v>
      </c>
      <c r="S9">
        <v>30</v>
      </c>
      <c r="T9">
        <v>92</v>
      </c>
      <c r="U9">
        <v>111</v>
      </c>
      <c r="V9">
        <v>26</v>
      </c>
      <c r="W9">
        <v>63</v>
      </c>
      <c r="X9">
        <v>197</v>
      </c>
      <c r="Y9">
        <v>144</v>
      </c>
      <c r="Z9">
        <v>54</v>
      </c>
      <c r="AA9">
        <v>19</v>
      </c>
      <c r="AB9">
        <v>187</v>
      </c>
      <c r="AC9">
        <v>22</v>
      </c>
      <c r="AD9">
        <v>24</v>
      </c>
      <c r="AE9">
        <v>3</v>
      </c>
      <c r="AF9">
        <f>SUM(テーブル24[[#This Row],[1]:[30]])</f>
        <v>5452</v>
      </c>
      <c r="AM9" s="3"/>
      <c r="AN9" s="3"/>
    </row>
    <row r="10" spans="1:40" x14ac:dyDescent="0.15">
      <c r="A10" s="6" t="s">
        <v>4</v>
      </c>
      <c r="B10" t="s">
        <v>31</v>
      </c>
      <c r="C10" t="s">
        <v>30</v>
      </c>
      <c r="D10" t="s">
        <v>30</v>
      </c>
      <c r="E10" t="s">
        <v>31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s="2" t="s">
        <v>42</v>
      </c>
      <c r="M10" t="s">
        <v>30</v>
      </c>
      <c r="N10" t="s">
        <v>30</v>
      </c>
      <c r="O10" t="s">
        <v>31</v>
      </c>
      <c r="P10" t="s">
        <v>30</v>
      </c>
      <c r="Q10" t="s">
        <v>30</v>
      </c>
      <c r="R10" t="s">
        <v>31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31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>
        <f>SUM(テーブル24[[#This Row],[1]:[30]])</f>
        <v>0</v>
      </c>
      <c r="AM10" s="3" t="s">
        <v>78</v>
      </c>
      <c r="AN10" s="3">
        <v>5.0832357523811265</v>
      </c>
    </row>
    <row r="11" spans="1:40" x14ac:dyDescent="0.15">
      <c r="A11" s="6" t="s">
        <v>172</v>
      </c>
      <c r="B11">
        <v>0</v>
      </c>
      <c r="C11">
        <v>3</v>
      </c>
      <c r="D11">
        <v>27</v>
      </c>
      <c r="E11">
        <v>0</v>
      </c>
      <c r="F11">
        <v>327</v>
      </c>
      <c r="G11">
        <v>110</v>
      </c>
      <c r="H11">
        <v>122</v>
      </c>
      <c r="I11">
        <v>189</v>
      </c>
      <c r="J11">
        <v>26</v>
      </c>
      <c r="K11">
        <v>24</v>
      </c>
      <c r="L11" s="2">
        <v>323</v>
      </c>
      <c r="M11">
        <v>56</v>
      </c>
      <c r="N11">
        <v>3</v>
      </c>
      <c r="O11">
        <v>0</v>
      </c>
      <c r="P11">
        <v>144</v>
      </c>
      <c r="Q11">
        <v>229</v>
      </c>
      <c r="R11">
        <v>0</v>
      </c>
      <c r="S11">
        <v>27</v>
      </c>
      <c r="T11">
        <v>130</v>
      </c>
      <c r="U11">
        <v>50</v>
      </c>
      <c r="V11">
        <v>92</v>
      </c>
      <c r="W11">
        <v>54</v>
      </c>
      <c r="X11">
        <v>0</v>
      </c>
      <c r="Y11">
        <v>393</v>
      </c>
      <c r="Z11">
        <v>30</v>
      </c>
      <c r="AA11">
        <v>6</v>
      </c>
      <c r="AB11">
        <v>34</v>
      </c>
      <c r="AC11">
        <v>15</v>
      </c>
      <c r="AD11">
        <v>265</v>
      </c>
      <c r="AE11">
        <v>0</v>
      </c>
      <c r="AF11">
        <f>SUM(テーブル24[[#This Row],[1]:[30]])</f>
        <v>2679</v>
      </c>
      <c r="AM11" s="3"/>
      <c r="AN11" s="3"/>
    </row>
    <row r="12" spans="1:40" x14ac:dyDescent="0.15">
      <c r="A12" s="6" t="s">
        <v>173</v>
      </c>
      <c r="B12">
        <v>0</v>
      </c>
      <c r="C12">
        <v>8</v>
      </c>
      <c r="D12">
        <v>28</v>
      </c>
      <c r="E12">
        <v>0</v>
      </c>
      <c r="F12">
        <v>5959</v>
      </c>
      <c r="G12">
        <v>1547</v>
      </c>
      <c r="H12">
        <v>1131</v>
      </c>
      <c r="I12">
        <v>1579</v>
      </c>
      <c r="J12">
        <v>54</v>
      </c>
      <c r="K12">
        <v>173</v>
      </c>
      <c r="L12" s="2">
        <v>695</v>
      </c>
      <c r="M12">
        <v>43</v>
      </c>
      <c r="N12">
        <v>31</v>
      </c>
      <c r="O12">
        <v>0</v>
      </c>
      <c r="P12">
        <v>1132</v>
      </c>
      <c r="Q12">
        <v>431</v>
      </c>
      <c r="R12">
        <v>0</v>
      </c>
      <c r="S12">
        <v>163</v>
      </c>
      <c r="T12">
        <v>587</v>
      </c>
      <c r="U12">
        <v>672</v>
      </c>
      <c r="V12">
        <v>366</v>
      </c>
      <c r="W12">
        <v>198</v>
      </c>
      <c r="X12">
        <v>0</v>
      </c>
      <c r="Y12">
        <v>938</v>
      </c>
      <c r="Z12">
        <v>432</v>
      </c>
      <c r="AA12">
        <v>2</v>
      </c>
      <c r="AB12">
        <v>181</v>
      </c>
      <c r="AC12">
        <v>42</v>
      </c>
      <c r="AD12">
        <v>1045</v>
      </c>
      <c r="AE12">
        <v>21</v>
      </c>
      <c r="AF12">
        <f>SUM(テーブル24[[#This Row],[1]:[30]])</f>
        <v>17458</v>
      </c>
      <c r="AM12" s="3"/>
      <c r="AN12" s="3"/>
    </row>
    <row r="13" spans="1:40" x14ac:dyDescent="0.15">
      <c r="A13" s="6" t="s">
        <v>184</v>
      </c>
      <c r="B13">
        <f>SUM(B11:B12)</f>
        <v>0</v>
      </c>
      <c r="C13">
        <f>SUM(C11:C12)</f>
        <v>11</v>
      </c>
      <c r="D13">
        <f>SUM(D11:D12)</f>
        <v>55</v>
      </c>
      <c r="E13">
        <f t="shared" ref="E13:O13" si="0">SUM(E11:E12)</f>
        <v>0</v>
      </c>
      <c r="F13">
        <f>SUM(F11:F12)</f>
        <v>6286</v>
      </c>
      <c r="G13">
        <f t="shared" si="0"/>
        <v>1657</v>
      </c>
      <c r="H13">
        <f>SUM(H11:H12)</f>
        <v>1253</v>
      </c>
      <c r="I13">
        <f t="shared" si="0"/>
        <v>1768</v>
      </c>
      <c r="J13">
        <f>SUM(J11:J12)</f>
        <v>80</v>
      </c>
      <c r="K13">
        <f t="shared" si="0"/>
        <v>197</v>
      </c>
      <c r="L13">
        <f>SUM(L11:L12)</f>
        <v>1018</v>
      </c>
      <c r="M13">
        <f t="shared" si="0"/>
        <v>99</v>
      </c>
      <c r="N13">
        <f>SUM(N11:N12)</f>
        <v>34</v>
      </c>
      <c r="O13">
        <f t="shared" si="0"/>
        <v>0</v>
      </c>
      <c r="P13">
        <f t="shared" ref="P13:AE13" si="1">SUM(P11:P12)</f>
        <v>1276</v>
      </c>
      <c r="Q13">
        <f t="shared" si="1"/>
        <v>660</v>
      </c>
      <c r="R13">
        <f t="shared" si="1"/>
        <v>0</v>
      </c>
      <c r="S13">
        <f t="shared" si="1"/>
        <v>190</v>
      </c>
      <c r="T13">
        <f t="shared" si="1"/>
        <v>717</v>
      </c>
      <c r="U13">
        <f t="shared" si="1"/>
        <v>722</v>
      </c>
      <c r="V13">
        <f t="shared" si="1"/>
        <v>458</v>
      </c>
      <c r="W13">
        <f t="shared" si="1"/>
        <v>252</v>
      </c>
      <c r="X13">
        <f t="shared" si="1"/>
        <v>0</v>
      </c>
      <c r="Y13">
        <f t="shared" si="1"/>
        <v>1331</v>
      </c>
      <c r="Z13">
        <f t="shared" si="1"/>
        <v>462</v>
      </c>
      <c r="AA13">
        <f t="shared" si="1"/>
        <v>8</v>
      </c>
      <c r="AB13">
        <f t="shared" si="1"/>
        <v>215</v>
      </c>
      <c r="AC13">
        <f t="shared" si="1"/>
        <v>57</v>
      </c>
      <c r="AD13">
        <f t="shared" si="1"/>
        <v>1310</v>
      </c>
      <c r="AE13">
        <f t="shared" si="1"/>
        <v>21</v>
      </c>
      <c r="AF13" s="13">
        <f>SUM(テーブル24[[#This Row],[1]:[30]])</f>
        <v>20137</v>
      </c>
      <c r="AM13" s="3"/>
      <c r="AN13" s="3"/>
    </row>
    <row r="14" spans="1:40" x14ac:dyDescent="0.15">
      <c r="A14" s="6" t="s">
        <v>5</v>
      </c>
      <c r="B14" t="s">
        <v>30</v>
      </c>
      <c r="C14" t="s">
        <v>30</v>
      </c>
      <c r="D14" t="s">
        <v>30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s="2" t="s">
        <v>42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>
        <f>SUM(テーブル24[[#This Row],[1]:[30]])</f>
        <v>0</v>
      </c>
      <c r="AM14" s="3" t="s">
        <v>79</v>
      </c>
      <c r="AN14" s="3">
        <v>25.839285714285715</v>
      </c>
    </row>
    <row r="15" spans="1:40" x14ac:dyDescent="0.15">
      <c r="A15" s="6" t="s">
        <v>172</v>
      </c>
      <c r="B15">
        <v>0</v>
      </c>
      <c r="C15">
        <v>2</v>
      </c>
      <c r="D15">
        <v>9</v>
      </c>
      <c r="E15">
        <v>69</v>
      </c>
      <c r="F15">
        <v>437</v>
      </c>
      <c r="G15">
        <v>17</v>
      </c>
      <c r="H15">
        <v>4</v>
      </c>
      <c r="I15">
        <v>12</v>
      </c>
      <c r="J15">
        <v>17</v>
      </c>
      <c r="K15">
        <v>88</v>
      </c>
      <c r="L15" s="2">
        <v>90</v>
      </c>
      <c r="M15">
        <v>53</v>
      </c>
      <c r="N15">
        <v>0</v>
      </c>
      <c r="O15">
        <v>0</v>
      </c>
      <c r="P15">
        <v>3</v>
      </c>
      <c r="Q15">
        <v>19</v>
      </c>
      <c r="R15">
        <v>10</v>
      </c>
      <c r="S15">
        <v>9</v>
      </c>
      <c r="T15">
        <v>20</v>
      </c>
      <c r="U15">
        <v>5</v>
      </c>
      <c r="V15">
        <v>1</v>
      </c>
      <c r="W15">
        <v>6</v>
      </c>
      <c r="X15">
        <v>16</v>
      </c>
      <c r="Y15">
        <v>206</v>
      </c>
      <c r="Z15">
        <v>4</v>
      </c>
      <c r="AA15">
        <v>17</v>
      </c>
      <c r="AB15">
        <v>4</v>
      </c>
      <c r="AC15">
        <v>9</v>
      </c>
      <c r="AD15">
        <v>16</v>
      </c>
      <c r="AE15">
        <v>1</v>
      </c>
      <c r="AF15">
        <f>SUM(テーブル24[[#This Row],[1]:[30]])</f>
        <v>1144</v>
      </c>
      <c r="AM15" s="3"/>
      <c r="AN15" s="3"/>
    </row>
    <row r="16" spans="1:40" x14ac:dyDescent="0.15">
      <c r="A16" s="6" t="s">
        <v>173</v>
      </c>
      <c r="B16">
        <v>2</v>
      </c>
      <c r="C16">
        <v>5</v>
      </c>
      <c r="D16">
        <v>13</v>
      </c>
      <c r="E16">
        <v>3403</v>
      </c>
      <c r="F16">
        <v>10797</v>
      </c>
      <c r="G16">
        <v>3421</v>
      </c>
      <c r="H16">
        <v>253</v>
      </c>
      <c r="I16">
        <v>492</v>
      </c>
      <c r="J16">
        <v>41</v>
      </c>
      <c r="K16">
        <v>5945</v>
      </c>
      <c r="L16" s="2">
        <v>1967</v>
      </c>
      <c r="M16">
        <v>123</v>
      </c>
      <c r="N16">
        <v>20</v>
      </c>
      <c r="O16">
        <v>27</v>
      </c>
      <c r="P16">
        <v>472</v>
      </c>
      <c r="Q16">
        <v>387</v>
      </c>
      <c r="R16">
        <v>44</v>
      </c>
      <c r="S16">
        <v>179</v>
      </c>
      <c r="T16">
        <v>389</v>
      </c>
      <c r="U16">
        <v>567</v>
      </c>
      <c r="V16">
        <v>144</v>
      </c>
      <c r="W16">
        <v>361</v>
      </c>
      <c r="X16">
        <v>847</v>
      </c>
      <c r="Y16">
        <v>588</v>
      </c>
      <c r="Z16">
        <v>268</v>
      </c>
      <c r="AA16">
        <v>29</v>
      </c>
      <c r="AB16">
        <v>399</v>
      </c>
      <c r="AC16">
        <v>51</v>
      </c>
      <c r="AD16">
        <v>649</v>
      </c>
      <c r="AE16">
        <v>8</v>
      </c>
      <c r="AF16">
        <f>SUM(テーブル24[[#This Row],[1]:[30]])</f>
        <v>31891</v>
      </c>
      <c r="AM16" s="3"/>
      <c r="AN16" s="3"/>
    </row>
    <row r="17" spans="1:40" x14ac:dyDescent="0.15">
      <c r="A17" s="6" t="s">
        <v>186</v>
      </c>
      <c r="B17">
        <f t="shared" ref="B17:AE17" si="2">SUM(B15:B16)</f>
        <v>2</v>
      </c>
      <c r="C17">
        <f t="shared" si="2"/>
        <v>7</v>
      </c>
      <c r="D17">
        <f t="shared" si="2"/>
        <v>22</v>
      </c>
      <c r="E17">
        <f t="shared" si="2"/>
        <v>3472</v>
      </c>
      <c r="F17">
        <f t="shared" si="2"/>
        <v>11234</v>
      </c>
      <c r="G17">
        <f t="shared" si="2"/>
        <v>3438</v>
      </c>
      <c r="H17">
        <f t="shared" si="2"/>
        <v>257</v>
      </c>
      <c r="I17">
        <f t="shared" si="2"/>
        <v>504</v>
      </c>
      <c r="J17">
        <f t="shared" si="2"/>
        <v>58</v>
      </c>
      <c r="K17">
        <f t="shared" si="2"/>
        <v>6033</v>
      </c>
      <c r="L17">
        <f t="shared" si="2"/>
        <v>2057</v>
      </c>
      <c r="M17">
        <f t="shared" si="2"/>
        <v>176</v>
      </c>
      <c r="N17">
        <f t="shared" si="2"/>
        <v>20</v>
      </c>
      <c r="O17">
        <f t="shared" si="2"/>
        <v>27</v>
      </c>
      <c r="P17">
        <f t="shared" si="2"/>
        <v>475</v>
      </c>
      <c r="Q17">
        <f t="shared" si="2"/>
        <v>406</v>
      </c>
      <c r="R17">
        <f t="shared" si="2"/>
        <v>54</v>
      </c>
      <c r="S17">
        <f t="shared" si="2"/>
        <v>188</v>
      </c>
      <c r="T17">
        <f t="shared" si="2"/>
        <v>409</v>
      </c>
      <c r="U17">
        <f t="shared" si="2"/>
        <v>572</v>
      </c>
      <c r="V17">
        <f t="shared" si="2"/>
        <v>145</v>
      </c>
      <c r="W17">
        <f t="shared" si="2"/>
        <v>367</v>
      </c>
      <c r="X17">
        <f t="shared" si="2"/>
        <v>863</v>
      </c>
      <c r="Y17">
        <f t="shared" si="2"/>
        <v>794</v>
      </c>
      <c r="Z17">
        <f t="shared" si="2"/>
        <v>272</v>
      </c>
      <c r="AA17">
        <f t="shared" si="2"/>
        <v>46</v>
      </c>
      <c r="AB17">
        <f t="shared" si="2"/>
        <v>403</v>
      </c>
      <c r="AC17">
        <f t="shared" si="2"/>
        <v>60</v>
      </c>
      <c r="AD17">
        <f t="shared" si="2"/>
        <v>665</v>
      </c>
      <c r="AE17">
        <f t="shared" si="2"/>
        <v>9</v>
      </c>
      <c r="AF17" s="13">
        <f>SUM(テーブル24[[#This Row],[1]:[30]])</f>
        <v>33035</v>
      </c>
      <c r="AM17" s="3"/>
      <c r="AN17" s="3"/>
    </row>
    <row r="18" spans="1:40" x14ac:dyDescent="0.15">
      <c r="A18" s="6" t="s">
        <v>6</v>
      </c>
      <c r="B18" t="s">
        <v>31</v>
      </c>
      <c r="C18" t="s">
        <v>31</v>
      </c>
      <c r="D18" t="s">
        <v>30</v>
      </c>
      <c r="E18" t="s">
        <v>31</v>
      </c>
      <c r="F18" t="s">
        <v>31</v>
      </c>
      <c r="G18" t="s">
        <v>30</v>
      </c>
      <c r="H18" t="s">
        <v>31</v>
      </c>
      <c r="I18" t="s">
        <v>30</v>
      </c>
      <c r="J18" t="s">
        <v>30</v>
      </c>
      <c r="K18" t="s">
        <v>30</v>
      </c>
      <c r="L18" s="2" t="s">
        <v>42</v>
      </c>
      <c r="M18" t="s">
        <v>31</v>
      </c>
      <c r="N18" t="s">
        <v>30</v>
      </c>
      <c r="O18" t="s">
        <v>31</v>
      </c>
      <c r="P18" t="s">
        <v>30</v>
      </c>
      <c r="Q18" t="s">
        <v>30</v>
      </c>
      <c r="R18" t="s">
        <v>31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31</v>
      </c>
      <c r="Y18" t="s">
        <v>30</v>
      </c>
      <c r="Z18" t="s">
        <v>31</v>
      </c>
      <c r="AA18" t="s">
        <v>31</v>
      </c>
      <c r="AB18" t="s">
        <v>30</v>
      </c>
      <c r="AC18" t="s">
        <v>31</v>
      </c>
      <c r="AD18" t="s">
        <v>31</v>
      </c>
      <c r="AE18" t="s">
        <v>31</v>
      </c>
      <c r="AF18">
        <f>SUM(テーブル24[[#This Row],[1]:[30]])</f>
        <v>0</v>
      </c>
      <c r="AM18" s="3" t="s">
        <v>80</v>
      </c>
      <c r="AN18" s="3">
        <v>1.1093772163554547</v>
      </c>
    </row>
    <row r="19" spans="1:40" x14ac:dyDescent="0.15">
      <c r="A19" s="6" t="s">
        <v>16</v>
      </c>
      <c r="B19" t="s">
        <v>31</v>
      </c>
      <c r="C19" t="s">
        <v>31</v>
      </c>
      <c r="D19" t="s">
        <v>30</v>
      </c>
      <c r="E19" t="s">
        <v>31</v>
      </c>
      <c r="F19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s="2" t="s">
        <v>42</v>
      </c>
      <c r="M19" t="s">
        <v>30</v>
      </c>
      <c r="N19" t="s">
        <v>30</v>
      </c>
      <c r="O19" t="s">
        <v>31</v>
      </c>
      <c r="P19" t="s">
        <v>30</v>
      </c>
      <c r="Q19" t="s">
        <v>30</v>
      </c>
      <c r="R19" t="s">
        <v>31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31</v>
      </c>
      <c r="Y19" t="s">
        <v>30</v>
      </c>
      <c r="Z19" t="s">
        <v>30</v>
      </c>
      <c r="AA19" t="s">
        <v>31</v>
      </c>
      <c r="AB19" t="s">
        <v>30</v>
      </c>
      <c r="AC19" t="s">
        <v>31</v>
      </c>
      <c r="AD19" t="s">
        <v>30</v>
      </c>
      <c r="AE19" t="s">
        <v>30</v>
      </c>
      <c r="AF19">
        <f>SUM(テーブル24[[#This Row],[1]:[30]])</f>
        <v>0</v>
      </c>
      <c r="AM19" s="3" t="s">
        <v>82</v>
      </c>
      <c r="AN19" s="3">
        <v>14</v>
      </c>
    </row>
    <row r="20" spans="1:40" x14ac:dyDescent="0.15">
      <c r="A20" s="6" t="s">
        <v>101</v>
      </c>
      <c r="B20" t="s">
        <v>102</v>
      </c>
      <c r="C20" t="s">
        <v>104</v>
      </c>
      <c r="D20" t="s">
        <v>106</v>
      </c>
      <c r="E20" t="s">
        <v>107</v>
      </c>
      <c r="F20" t="s">
        <v>106</v>
      </c>
      <c r="G20" t="s">
        <v>111</v>
      </c>
      <c r="H20" t="s">
        <v>106</v>
      </c>
      <c r="I20" t="s">
        <v>110</v>
      </c>
      <c r="J20" t="s">
        <v>113</v>
      </c>
      <c r="K20" t="s">
        <v>116</v>
      </c>
      <c r="L20" s="2" t="s">
        <v>113</v>
      </c>
      <c r="M20" t="s">
        <v>109</v>
      </c>
      <c r="N20" t="s">
        <v>110</v>
      </c>
      <c r="O20" t="s">
        <v>110</v>
      </c>
      <c r="P20" t="s">
        <v>110</v>
      </c>
      <c r="Q20" t="s">
        <v>113</v>
      </c>
      <c r="R20" t="s">
        <v>110</v>
      </c>
      <c r="S20" t="s">
        <v>106</v>
      </c>
      <c r="T20" t="s">
        <v>110</v>
      </c>
      <c r="U20" t="s">
        <v>110</v>
      </c>
      <c r="V20" t="s">
        <v>110</v>
      </c>
      <c r="W20" t="s">
        <v>120</v>
      </c>
      <c r="X20" t="s">
        <v>116</v>
      </c>
      <c r="Y20" t="s">
        <v>118</v>
      </c>
      <c r="Z20" t="s">
        <v>114</v>
      </c>
      <c r="AA20" t="s">
        <v>109</v>
      </c>
      <c r="AB20" t="s">
        <v>110</v>
      </c>
      <c r="AC20" t="s">
        <v>106</v>
      </c>
      <c r="AD20" t="s">
        <v>128</v>
      </c>
      <c r="AE20" t="s">
        <v>110</v>
      </c>
      <c r="AF20">
        <f>SUM(テーブル24[[#This Row],[1]:[30]])</f>
        <v>0</v>
      </c>
      <c r="AM20" s="3"/>
      <c r="AN20" s="3"/>
    </row>
    <row r="21" spans="1:40" x14ac:dyDescent="0.15">
      <c r="B21" t="s">
        <v>103</v>
      </c>
      <c r="C21" t="s">
        <v>105</v>
      </c>
      <c r="E21" t="s">
        <v>108</v>
      </c>
      <c r="F21" t="s">
        <v>109</v>
      </c>
      <c r="G21" t="s">
        <v>108</v>
      </c>
      <c r="H21" t="s">
        <v>109</v>
      </c>
      <c r="I21" t="s">
        <v>109</v>
      </c>
      <c r="J21" t="s">
        <v>115</v>
      </c>
      <c r="K21" t="s">
        <v>113</v>
      </c>
      <c r="L21" s="2" t="s">
        <v>118</v>
      </c>
      <c r="M21" t="s">
        <v>110</v>
      </c>
      <c r="N21" t="s">
        <v>109</v>
      </c>
      <c r="O21" t="s">
        <v>120</v>
      </c>
      <c r="P21" t="s">
        <v>109</v>
      </c>
      <c r="Q21" t="s">
        <v>110</v>
      </c>
      <c r="R21" t="s">
        <v>109</v>
      </c>
      <c r="S21" t="s">
        <v>110</v>
      </c>
      <c r="T21" t="s">
        <v>109</v>
      </c>
      <c r="U21" t="s">
        <v>109</v>
      </c>
      <c r="V21" t="s">
        <v>109</v>
      </c>
      <c r="W21" t="s">
        <v>123</v>
      </c>
      <c r="X21" t="s">
        <v>118</v>
      </c>
      <c r="Y21" t="s">
        <v>125</v>
      </c>
      <c r="Z21" t="s">
        <v>113</v>
      </c>
      <c r="AA21" t="s">
        <v>110</v>
      </c>
      <c r="AB21" t="s">
        <v>109</v>
      </c>
      <c r="AC21" t="s">
        <v>127</v>
      </c>
      <c r="AD21" t="s">
        <v>113</v>
      </c>
      <c r="AE21" t="s">
        <v>109</v>
      </c>
      <c r="AF21">
        <f>SUM(テーブル24[[#This Row],[1]:[30]])</f>
        <v>0</v>
      </c>
      <c r="AM21" s="3"/>
      <c r="AN21" s="3"/>
    </row>
    <row r="22" spans="1:40" x14ac:dyDescent="0.15">
      <c r="F22" t="s">
        <v>110</v>
      </c>
      <c r="I22" t="s">
        <v>112</v>
      </c>
      <c r="K22" t="s">
        <v>117</v>
      </c>
      <c r="L22" s="2" t="s">
        <v>108</v>
      </c>
      <c r="M22" t="s">
        <v>106</v>
      </c>
      <c r="Q22" t="s">
        <v>108</v>
      </c>
      <c r="R22" t="s">
        <v>121</v>
      </c>
      <c r="S22" t="s">
        <v>109</v>
      </c>
      <c r="U22" t="s">
        <v>108</v>
      </c>
      <c r="W22" t="s">
        <v>109</v>
      </c>
      <c r="X22" t="s">
        <v>110</v>
      </c>
      <c r="Y22" t="s">
        <v>106</v>
      </c>
      <c r="Z22" t="s">
        <v>126</v>
      </c>
      <c r="AA22" t="s">
        <v>111</v>
      </c>
      <c r="AB22" t="s">
        <v>108</v>
      </c>
      <c r="AC22" t="s">
        <v>110</v>
      </c>
      <c r="AD22" t="s">
        <v>108</v>
      </c>
      <c r="AF22">
        <f>SUM(テーブル24[[#This Row],[1]:[30]])</f>
        <v>0</v>
      </c>
      <c r="AM22" s="3"/>
      <c r="AN22" s="3"/>
    </row>
    <row r="23" spans="1:40" x14ac:dyDescent="0.15">
      <c r="K23" t="s">
        <v>118</v>
      </c>
      <c r="L23" s="2"/>
      <c r="R23" t="s">
        <v>120</v>
      </c>
      <c r="S23" t="s">
        <v>122</v>
      </c>
      <c r="W23" t="s">
        <v>124</v>
      </c>
      <c r="X23" t="s">
        <v>108</v>
      </c>
      <c r="Y23" t="s">
        <v>108</v>
      </c>
      <c r="Z23" t="s">
        <v>108</v>
      </c>
      <c r="AM23" s="3"/>
      <c r="AN23" s="3"/>
    </row>
    <row r="24" spans="1:40" ht="15" thickBot="1" x14ac:dyDescent="0.2">
      <c r="K24" t="s">
        <v>108</v>
      </c>
      <c r="L24" s="2"/>
      <c r="S24" t="s">
        <v>120</v>
      </c>
      <c r="AM24" s="3"/>
      <c r="AN24" s="3"/>
    </row>
    <row r="25" spans="1:40" x14ac:dyDescent="0.15">
      <c r="A25" s="5"/>
      <c r="B25" s="5"/>
      <c r="E25" s="12"/>
      <c r="F25" s="12"/>
      <c r="I25" s="6" t="s">
        <v>100</v>
      </c>
      <c r="J25" s="6" t="s">
        <v>176</v>
      </c>
      <c r="L25" t="s">
        <v>179</v>
      </c>
      <c r="M25" t="s">
        <v>181</v>
      </c>
      <c r="N25" s="6" t="s">
        <v>174</v>
      </c>
      <c r="O25" s="6" t="s">
        <v>175</v>
      </c>
      <c r="P25" s="12"/>
      <c r="Q25" s="12" t="s">
        <v>179</v>
      </c>
      <c r="R25" s="12" t="s">
        <v>181</v>
      </c>
      <c r="S25" s="6" t="s">
        <v>175</v>
      </c>
      <c r="T25" s="6" t="s">
        <v>184</v>
      </c>
      <c r="U25" s="6" t="s">
        <v>169</v>
      </c>
      <c r="V25" s="6" t="s">
        <v>186</v>
      </c>
      <c r="W25" s="12"/>
      <c r="X25" s="12" t="s">
        <v>168</v>
      </c>
      <c r="Y25" s="12" t="s">
        <v>185</v>
      </c>
      <c r="AM25" s="3"/>
      <c r="AN25" s="3"/>
    </row>
    <row r="26" spans="1:40" x14ac:dyDescent="0.15">
      <c r="B26" t="s">
        <v>178</v>
      </c>
      <c r="E26" s="14" t="s">
        <v>183</v>
      </c>
      <c r="F26" s="3"/>
      <c r="I26">
        <v>2</v>
      </c>
      <c r="J26">
        <v>75</v>
      </c>
      <c r="K26" t="s">
        <v>179</v>
      </c>
      <c r="L26">
        <v>1</v>
      </c>
      <c r="N26">
        <v>5</v>
      </c>
      <c r="O26">
        <v>3</v>
      </c>
      <c r="P26" s="3" t="s">
        <v>179</v>
      </c>
      <c r="Q26" s="3">
        <v>1</v>
      </c>
      <c r="R26" s="3"/>
      <c r="S26">
        <v>3</v>
      </c>
      <c r="T26">
        <f t="shared" ref="T26:T55" si="3">SUM(R26:S26)</f>
        <v>3</v>
      </c>
      <c r="U26">
        <v>40</v>
      </c>
      <c r="V26">
        <f t="shared" ref="V26:V55" si="4">SUM(T26:U26)</f>
        <v>43</v>
      </c>
      <c r="W26" s="3" t="s">
        <v>168</v>
      </c>
      <c r="X26" s="3">
        <v>1</v>
      </c>
      <c r="Y26" s="3"/>
      <c r="AM26" s="3"/>
      <c r="AN26" s="3"/>
    </row>
    <row r="27" spans="1:40" ht="15" thickBot="1" x14ac:dyDescent="0.2">
      <c r="A27" s="3" t="s">
        <v>19</v>
      </c>
      <c r="B27" s="3" t="s">
        <v>180</v>
      </c>
      <c r="C27" t="s">
        <v>182</v>
      </c>
      <c r="D27">
        <f>CORREL(B28:B57,C28:C57)</f>
        <v>0.9281307974560864</v>
      </c>
      <c r="E27" s="14"/>
      <c r="F27" s="3"/>
      <c r="I27">
        <v>1</v>
      </c>
      <c r="J27">
        <v>57</v>
      </c>
      <c r="K27" t="s">
        <v>181</v>
      </c>
      <c r="L27">
        <v>0.9281307974560864</v>
      </c>
      <c r="M27">
        <v>1</v>
      </c>
      <c r="N27">
        <v>1</v>
      </c>
      <c r="O27">
        <v>3</v>
      </c>
      <c r="P27" s="4" t="s">
        <v>181</v>
      </c>
      <c r="Q27" s="4">
        <v>0.9281307974560864</v>
      </c>
      <c r="R27" s="4">
        <v>1</v>
      </c>
      <c r="S27">
        <v>3</v>
      </c>
      <c r="T27">
        <f t="shared" si="3"/>
        <v>4</v>
      </c>
      <c r="U27">
        <v>178</v>
      </c>
      <c r="V27">
        <f t="shared" si="4"/>
        <v>182</v>
      </c>
      <c r="W27" s="4" t="s">
        <v>185</v>
      </c>
      <c r="X27" s="4">
        <v>0.6160942716644161</v>
      </c>
      <c r="Y27" s="4">
        <v>1</v>
      </c>
      <c r="AM27" s="3"/>
      <c r="AN27" s="3"/>
    </row>
    <row r="28" spans="1:40" x14ac:dyDescent="0.15">
      <c r="A28" s="3">
        <v>1</v>
      </c>
      <c r="B28" s="10">
        <v>447</v>
      </c>
      <c r="C28" s="9">
        <v>40</v>
      </c>
      <c r="E28" s="14"/>
      <c r="F28" s="3"/>
      <c r="I28">
        <v>1</v>
      </c>
      <c r="J28">
        <v>221</v>
      </c>
      <c r="L28" s="2"/>
      <c r="N28">
        <v>0</v>
      </c>
      <c r="O28">
        <v>7</v>
      </c>
      <c r="S28">
        <v>7</v>
      </c>
      <c r="T28">
        <f t="shared" si="3"/>
        <v>7</v>
      </c>
      <c r="U28">
        <v>178</v>
      </c>
      <c r="V28">
        <f t="shared" si="4"/>
        <v>185</v>
      </c>
      <c r="AM28" s="3"/>
      <c r="AN28" s="3"/>
    </row>
    <row r="29" spans="1:40" x14ac:dyDescent="0.15">
      <c r="A29" s="3">
        <v>2</v>
      </c>
      <c r="B29" s="11">
        <v>1636</v>
      </c>
      <c r="C29" s="8">
        <v>178</v>
      </c>
      <c r="E29" s="14"/>
      <c r="F29" s="3"/>
      <c r="I29">
        <v>39</v>
      </c>
      <c r="J29">
        <v>19052</v>
      </c>
      <c r="N29">
        <v>86</v>
      </c>
      <c r="O29">
        <v>700</v>
      </c>
      <c r="S29">
        <v>700</v>
      </c>
      <c r="T29">
        <f t="shared" si="3"/>
        <v>700</v>
      </c>
      <c r="U29">
        <v>360</v>
      </c>
      <c r="V29">
        <f t="shared" si="4"/>
        <v>1060</v>
      </c>
      <c r="AM29" s="3" t="s">
        <v>83</v>
      </c>
      <c r="AN29" s="3">
        <v>16</v>
      </c>
    </row>
    <row r="30" spans="1:40" x14ac:dyDescent="0.15">
      <c r="A30" s="3">
        <v>3</v>
      </c>
      <c r="B30" s="11">
        <v>2319</v>
      </c>
      <c r="C30" s="8">
        <v>178</v>
      </c>
      <c r="E30" s="14"/>
      <c r="F30" s="3"/>
      <c r="I30">
        <v>37</v>
      </c>
      <c r="J30">
        <v>47676</v>
      </c>
      <c r="N30">
        <v>237</v>
      </c>
      <c r="O30">
        <v>2465</v>
      </c>
      <c r="S30">
        <v>2465</v>
      </c>
      <c r="T30">
        <f t="shared" si="3"/>
        <v>2465</v>
      </c>
      <c r="U30">
        <v>1648</v>
      </c>
      <c r="V30">
        <f t="shared" si="4"/>
        <v>4113</v>
      </c>
    </row>
    <row r="31" spans="1:40" x14ac:dyDescent="0.15">
      <c r="A31" s="3">
        <v>4</v>
      </c>
      <c r="B31" s="11">
        <v>11741</v>
      </c>
      <c r="C31" s="8">
        <v>360</v>
      </c>
      <c r="E31" s="14"/>
      <c r="F31" s="3"/>
      <c r="I31">
        <v>12</v>
      </c>
      <c r="J31">
        <v>17275</v>
      </c>
      <c r="N31">
        <v>121</v>
      </c>
      <c r="O31">
        <v>285</v>
      </c>
      <c r="S31">
        <v>285</v>
      </c>
      <c r="T31">
        <f t="shared" si="3"/>
        <v>285</v>
      </c>
      <c r="U31">
        <v>553</v>
      </c>
      <c r="V31">
        <f t="shared" si="4"/>
        <v>838</v>
      </c>
    </row>
    <row r="32" spans="1:40" x14ac:dyDescent="0.15">
      <c r="A32" s="3">
        <v>5</v>
      </c>
      <c r="B32" s="11">
        <v>23753</v>
      </c>
      <c r="C32" s="8">
        <v>1648</v>
      </c>
      <c r="E32" s="14"/>
      <c r="F32" s="3"/>
      <c r="I32">
        <v>12</v>
      </c>
      <c r="J32">
        <v>5881</v>
      </c>
      <c r="N32">
        <v>163</v>
      </c>
      <c r="O32">
        <v>153</v>
      </c>
      <c r="S32">
        <v>153</v>
      </c>
      <c r="T32">
        <f t="shared" si="3"/>
        <v>153</v>
      </c>
      <c r="U32">
        <v>424</v>
      </c>
      <c r="V32">
        <f t="shared" si="4"/>
        <v>577</v>
      </c>
    </row>
    <row r="33" spans="1:22" x14ac:dyDescent="0.15">
      <c r="A33" s="3">
        <v>6</v>
      </c>
      <c r="B33" s="11">
        <v>5262</v>
      </c>
      <c r="C33" s="8">
        <v>553</v>
      </c>
      <c r="E33" s="14"/>
      <c r="F33" s="3"/>
      <c r="I33">
        <v>3</v>
      </c>
      <c r="J33">
        <v>2124</v>
      </c>
      <c r="N33">
        <v>32</v>
      </c>
      <c r="O33">
        <v>169</v>
      </c>
      <c r="S33">
        <v>169</v>
      </c>
      <c r="T33">
        <f t="shared" si="3"/>
        <v>169</v>
      </c>
      <c r="U33">
        <v>637</v>
      </c>
      <c r="V33">
        <f t="shared" si="4"/>
        <v>806</v>
      </c>
    </row>
    <row r="34" spans="1:22" x14ac:dyDescent="0.15">
      <c r="A34" s="3">
        <v>7</v>
      </c>
      <c r="B34" s="11">
        <v>4787</v>
      </c>
      <c r="C34" s="8">
        <v>424</v>
      </c>
      <c r="E34" s="14"/>
      <c r="F34" s="3"/>
      <c r="I34">
        <v>9</v>
      </c>
      <c r="J34">
        <v>480</v>
      </c>
      <c r="N34">
        <v>5</v>
      </c>
      <c r="O34">
        <v>25</v>
      </c>
      <c r="S34">
        <v>25</v>
      </c>
      <c r="T34">
        <f t="shared" si="3"/>
        <v>25</v>
      </c>
      <c r="U34">
        <v>52</v>
      </c>
      <c r="V34">
        <f t="shared" si="4"/>
        <v>77</v>
      </c>
    </row>
    <row r="35" spans="1:22" x14ac:dyDescent="0.15">
      <c r="A35" s="3">
        <v>8</v>
      </c>
      <c r="B35" s="11">
        <v>11276</v>
      </c>
      <c r="C35" s="8">
        <v>637</v>
      </c>
      <c r="E35" s="14"/>
      <c r="F35" s="3"/>
      <c r="I35">
        <v>50</v>
      </c>
      <c r="J35">
        <v>139955</v>
      </c>
      <c r="N35">
        <v>2610</v>
      </c>
      <c r="O35">
        <v>286</v>
      </c>
      <c r="S35">
        <v>286</v>
      </c>
      <c r="T35">
        <f t="shared" si="3"/>
        <v>286</v>
      </c>
      <c r="U35">
        <v>45</v>
      </c>
      <c r="V35">
        <f t="shared" si="4"/>
        <v>331</v>
      </c>
    </row>
    <row r="36" spans="1:22" x14ac:dyDescent="0.15">
      <c r="A36" s="3">
        <v>9</v>
      </c>
      <c r="B36" s="11">
        <v>313</v>
      </c>
      <c r="C36" s="8">
        <v>52</v>
      </c>
      <c r="E36" s="14"/>
      <c r="F36" s="3"/>
      <c r="I36" s="2">
        <v>6</v>
      </c>
      <c r="J36" s="2">
        <v>10189</v>
      </c>
      <c r="N36" s="2">
        <v>21</v>
      </c>
      <c r="O36" s="2">
        <v>93</v>
      </c>
      <c r="S36" s="2">
        <v>93</v>
      </c>
      <c r="T36">
        <f t="shared" si="3"/>
        <v>93</v>
      </c>
      <c r="U36">
        <v>77</v>
      </c>
      <c r="V36">
        <f t="shared" si="4"/>
        <v>170</v>
      </c>
    </row>
    <row r="37" spans="1:22" x14ac:dyDescent="0.15">
      <c r="A37" s="3">
        <v>10</v>
      </c>
      <c r="B37" s="11">
        <v>188</v>
      </c>
      <c r="C37" s="8">
        <v>45</v>
      </c>
      <c r="E37" s="14"/>
      <c r="F37" s="3"/>
      <c r="I37">
        <v>2</v>
      </c>
      <c r="J37">
        <v>160</v>
      </c>
      <c r="N37">
        <v>0</v>
      </c>
      <c r="O37">
        <v>21</v>
      </c>
      <c r="S37">
        <v>21</v>
      </c>
      <c r="T37">
        <f t="shared" si="3"/>
        <v>21</v>
      </c>
      <c r="U37">
        <v>471</v>
      </c>
      <c r="V37">
        <f t="shared" si="4"/>
        <v>492</v>
      </c>
    </row>
    <row r="38" spans="1:22" x14ac:dyDescent="0.15">
      <c r="A38" s="3">
        <v>11</v>
      </c>
      <c r="B38" s="11">
        <v>461</v>
      </c>
      <c r="C38" s="8">
        <v>77</v>
      </c>
      <c r="E38" s="14"/>
      <c r="F38" s="3"/>
      <c r="I38">
        <v>3</v>
      </c>
      <c r="J38">
        <v>214</v>
      </c>
      <c r="N38">
        <v>0</v>
      </c>
      <c r="O38">
        <v>7</v>
      </c>
      <c r="S38">
        <v>7</v>
      </c>
      <c r="T38">
        <f t="shared" si="3"/>
        <v>7</v>
      </c>
      <c r="U38">
        <v>80</v>
      </c>
      <c r="V38">
        <f t="shared" si="4"/>
        <v>87</v>
      </c>
    </row>
    <row r="39" spans="1:22" x14ac:dyDescent="0.15">
      <c r="A39" s="3">
        <v>12</v>
      </c>
      <c r="B39" s="11">
        <v>6127</v>
      </c>
      <c r="C39" s="8">
        <v>471</v>
      </c>
      <c r="E39" s="14"/>
      <c r="F39" s="3"/>
      <c r="I39">
        <v>4</v>
      </c>
      <c r="J39">
        <v>153</v>
      </c>
      <c r="N39">
        <v>0</v>
      </c>
      <c r="O39">
        <v>4</v>
      </c>
      <c r="S39">
        <v>4</v>
      </c>
      <c r="T39">
        <f t="shared" si="3"/>
        <v>4</v>
      </c>
      <c r="U39">
        <v>321</v>
      </c>
      <c r="V39">
        <f t="shared" si="4"/>
        <v>325</v>
      </c>
    </row>
    <row r="40" spans="1:22" x14ac:dyDescent="0.15">
      <c r="A40" s="3">
        <v>13</v>
      </c>
      <c r="B40" s="11">
        <v>629</v>
      </c>
      <c r="C40" s="8">
        <v>80</v>
      </c>
      <c r="E40" s="14"/>
      <c r="F40" s="3"/>
      <c r="I40">
        <v>9</v>
      </c>
      <c r="J40">
        <v>3610</v>
      </c>
      <c r="N40">
        <v>146</v>
      </c>
      <c r="O40">
        <v>122</v>
      </c>
      <c r="S40">
        <v>122</v>
      </c>
      <c r="T40">
        <f t="shared" si="3"/>
        <v>122</v>
      </c>
      <c r="U40">
        <v>245</v>
      </c>
      <c r="V40">
        <f t="shared" si="4"/>
        <v>367</v>
      </c>
    </row>
    <row r="41" spans="1:22" x14ac:dyDescent="0.15">
      <c r="A41" s="3">
        <v>14</v>
      </c>
      <c r="B41" s="11">
        <v>4359</v>
      </c>
      <c r="C41" s="8">
        <v>321</v>
      </c>
      <c r="E41" s="14"/>
      <c r="F41" s="3"/>
      <c r="I41">
        <v>9</v>
      </c>
      <c r="J41">
        <v>4107</v>
      </c>
      <c r="N41">
        <v>34</v>
      </c>
      <c r="O41">
        <v>119</v>
      </c>
      <c r="S41">
        <v>119</v>
      </c>
      <c r="T41">
        <f t="shared" si="3"/>
        <v>119</v>
      </c>
      <c r="U41">
        <v>195</v>
      </c>
      <c r="V41">
        <f t="shared" si="4"/>
        <v>314</v>
      </c>
    </row>
    <row r="42" spans="1:22" x14ac:dyDescent="0.15">
      <c r="A42" s="3">
        <v>15</v>
      </c>
      <c r="B42" s="11">
        <v>4977</v>
      </c>
      <c r="C42" s="8">
        <v>245</v>
      </c>
      <c r="E42" s="14"/>
      <c r="F42" s="3"/>
      <c r="I42">
        <v>14</v>
      </c>
      <c r="J42">
        <v>1162</v>
      </c>
      <c r="N42">
        <v>36</v>
      </c>
      <c r="O42">
        <v>18</v>
      </c>
      <c r="S42">
        <v>18</v>
      </c>
      <c r="T42">
        <f t="shared" si="3"/>
        <v>18</v>
      </c>
      <c r="U42">
        <v>173</v>
      </c>
      <c r="V42">
        <f t="shared" si="4"/>
        <v>191</v>
      </c>
    </row>
    <row r="43" spans="1:22" x14ac:dyDescent="0.15">
      <c r="A43" s="3">
        <v>16</v>
      </c>
      <c r="B43" s="11">
        <v>3300</v>
      </c>
      <c r="C43" s="8">
        <v>195</v>
      </c>
      <c r="E43" s="14"/>
      <c r="F43" s="3"/>
      <c r="I43">
        <v>11</v>
      </c>
      <c r="J43">
        <v>710</v>
      </c>
      <c r="N43">
        <v>9</v>
      </c>
      <c r="O43">
        <v>30</v>
      </c>
      <c r="S43">
        <v>30</v>
      </c>
      <c r="T43">
        <f t="shared" si="3"/>
        <v>30</v>
      </c>
      <c r="U43">
        <v>93</v>
      </c>
      <c r="V43">
        <f t="shared" si="4"/>
        <v>123</v>
      </c>
    </row>
    <row r="44" spans="1:22" x14ac:dyDescent="0.15">
      <c r="A44" s="3">
        <v>17</v>
      </c>
      <c r="B44" s="11">
        <v>1999</v>
      </c>
      <c r="C44" s="8">
        <v>173</v>
      </c>
      <c r="E44" s="14"/>
      <c r="F44" s="3"/>
      <c r="I44">
        <v>7</v>
      </c>
      <c r="J44">
        <v>1274</v>
      </c>
      <c r="N44">
        <v>15</v>
      </c>
      <c r="O44">
        <v>92</v>
      </c>
      <c r="S44">
        <v>92</v>
      </c>
      <c r="T44">
        <f t="shared" si="3"/>
        <v>92</v>
      </c>
      <c r="U44">
        <v>420</v>
      </c>
      <c r="V44">
        <f t="shared" si="4"/>
        <v>512</v>
      </c>
    </row>
    <row r="45" spans="1:22" x14ac:dyDescent="0.15">
      <c r="A45" s="3">
        <v>18</v>
      </c>
      <c r="B45" s="11">
        <v>2054</v>
      </c>
      <c r="C45" s="8">
        <v>93</v>
      </c>
      <c r="E45" s="14"/>
      <c r="F45" s="3"/>
      <c r="I45">
        <v>3</v>
      </c>
      <c r="J45">
        <v>2544</v>
      </c>
      <c r="N45">
        <v>34</v>
      </c>
      <c r="O45">
        <v>111</v>
      </c>
      <c r="S45">
        <v>111</v>
      </c>
      <c r="T45">
        <f t="shared" si="3"/>
        <v>111</v>
      </c>
      <c r="U45">
        <v>547</v>
      </c>
      <c r="V45">
        <f t="shared" si="4"/>
        <v>658</v>
      </c>
    </row>
    <row r="46" spans="1:22" x14ac:dyDescent="0.15">
      <c r="A46" s="3">
        <v>19</v>
      </c>
      <c r="B46" s="11">
        <v>5809</v>
      </c>
      <c r="C46" s="8">
        <v>420</v>
      </c>
      <c r="E46" s="14"/>
      <c r="F46" s="3"/>
      <c r="I46">
        <v>4</v>
      </c>
      <c r="J46">
        <v>2762</v>
      </c>
      <c r="N46">
        <v>20</v>
      </c>
      <c r="O46">
        <v>26</v>
      </c>
      <c r="S46">
        <v>26</v>
      </c>
      <c r="T46">
        <f t="shared" si="3"/>
        <v>26</v>
      </c>
      <c r="U46">
        <v>95</v>
      </c>
      <c r="V46">
        <f t="shared" si="4"/>
        <v>121</v>
      </c>
    </row>
    <row r="47" spans="1:22" x14ac:dyDescent="0.15">
      <c r="A47" s="3">
        <v>20</v>
      </c>
      <c r="B47" s="11">
        <v>6575</v>
      </c>
      <c r="C47" s="8">
        <v>547</v>
      </c>
      <c r="E47" s="14"/>
      <c r="F47" s="3"/>
      <c r="I47">
        <v>166</v>
      </c>
      <c r="J47">
        <v>2792</v>
      </c>
      <c r="N47">
        <v>178</v>
      </c>
      <c r="O47">
        <v>63</v>
      </c>
      <c r="S47">
        <v>63</v>
      </c>
      <c r="T47">
        <f t="shared" si="3"/>
        <v>63</v>
      </c>
      <c r="U47">
        <v>232</v>
      </c>
      <c r="V47">
        <f t="shared" si="4"/>
        <v>295</v>
      </c>
    </row>
    <row r="48" spans="1:22" x14ac:dyDescent="0.15">
      <c r="A48" s="3">
        <v>21</v>
      </c>
      <c r="B48" s="11">
        <v>1178</v>
      </c>
      <c r="C48" s="8">
        <v>95</v>
      </c>
      <c r="E48" s="14"/>
      <c r="F48" s="3"/>
      <c r="I48">
        <v>14</v>
      </c>
      <c r="J48">
        <v>27747</v>
      </c>
      <c r="N48">
        <v>230</v>
      </c>
      <c r="O48">
        <v>197</v>
      </c>
      <c r="S48">
        <v>197</v>
      </c>
      <c r="T48">
        <f t="shared" si="3"/>
        <v>197</v>
      </c>
      <c r="U48">
        <v>559</v>
      </c>
      <c r="V48">
        <f t="shared" si="4"/>
        <v>756</v>
      </c>
    </row>
    <row r="49" spans="1:22" x14ac:dyDescent="0.15">
      <c r="A49" s="3">
        <v>22</v>
      </c>
      <c r="B49" s="11">
        <v>1852</v>
      </c>
      <c r="C49" s="8">
        <v>232</v>
      </c>
      <c r="E49" s="14"/>
      <c r="F49" s="3"/>
      <c r="I49">
        <v>13</v>
      </c>
      <c r="J49">
        <v>4699</v>
      </c>
      <c r="N49">
        <v>152</v>
      </c>
      <c r="O49">
        <v>144</v>
      </c>
      <c r="S49">
        <v>144</v>
      </c>
      <c r="T49">
        <f t="shared" si="3"/>
        <v>144</v>
      </c>
      <c r="U49">
        <v>1085</v>
      </c>
      <c r="V49">
        <f t="shared" si="4"/>
        <v>1229</v>
      </c>
    </row>
    <row r="50" spans="1:22" x14ac:dyDescent="0.15">
      <c r="A50" s="3">
        <v>23</v>
      </c>
      <c r="B50" s="11">
        <v>5955</v>
      </c>
      <c r="C50" s="8">
        <v>559</v>
      </c>
      <c r="E50" s="14"/>
      <c r="F50" s="3"/>
      <c r="I50">
        <v>1</v>
      </c>
      <c r="J50">
        <v>3196</v>
      </c>
      <c r="N50">
        <v>2</v>
      </c>
      <c r="O50">
        <v>54</v>
      </c>
      <c r="S50">
        <v>54</v>
      </c>
      <c r="T50">
        <f t="shared" si="3"/>
        <v>54</v>
      </c>
      <c r="U50">
        <v>97</v>
      </c>
      <c r="V50">
        <f t="shared" si="4"/>
        <v>151</v>
      </c>
    </row>
    <row r="51" spans="1:22" x14ac:dyDescent="0.15">
      <c r="A51" s="3">
        <v>24</v>
      </c>
      <c r="B51" s="11">
        <v>10901</v>
      </c>
      <c r="C51" s="8">
        <v>1085</v>
      </c>
      <c r="E51" s="14"/>
      <c r="F51" s="3"/>
      <c r="I51">
        <v>5</v>
      </c>
      <c r="J51">
        <v>341</v>
      </c>
      <c r="N51">
        <v>0</v>
      </c>
      <c r="O51">
        <v>19</v>
      </c>
      <c r="S51">
        <v>19</v>
      </c>
      <c r="T51">
        <f t="shared" si="3"/>
        <v>19</v>
      </c>
      <c r="U51">
        <v>253</v>
      </c>
      <c r="V51">
        <f t="shared" si="4"/>
        <v>272</v>
      </c>
    </row>
    <row r="52" spans="1:22" x14ac:dyDescent="0.15">
      <c r="A52" s="3">
        <v>25</v>
      </c>
      <c r="B52" s="11">
        <v>800</v>
      </c>
      <c r="C52" s="8">
        <v>97</v>
      </c>
      <c r="E52" s="14"/>
      <c r="F52" s="3"/>
      <c r="I52">
        <v>5</v>
      </c>
      <c r="J52">
        <v>1244</v>
      </c>
      <c r="N52">
        <v>3</v>
      </c>
      <c r="O52">
        <v>187</v>
      </c>
      <c r="S52">
        <v>187</v>
      </c>
      <c r="T52">
        <f t="shared" si="3"/>
        <v>187</v>
      </c>
      <c r="U52">
        <v>422</v>
      </c>
      <c r="V52">
        <f t="shared" si="4"/>
        <v>609</v>
      </c>
    </row>
    <row r="53" spans="1:22" x14ac:dyDescent="0.15">
      <c r="A53" s="3">
        <v>26</v>
      </c>
      <c r="B53" s="11">
        <v>2055</v>
      </c>
      <c r="C53" s="8">
        <v>253</v>
      </c>
      <c r="E53" s="14"/>
      <c r="F53" s="3"/>
      <c r="I53">
        <v>3</v>
      </c>
      <c r="J53">
        <v>102</v>
      </c>
      <c r="N53">
        <v>9</v>
      </c>
      <c r="O53">
        <v>22</v>
      </c>
      <c r="S53">
        <v>22</v>
      </c>
      <c r="T53">
        <f t="shared" si="3"/>
        <v>22</v>
      </c>
      <c r="U53">
        <v>59</v>
      </c>
      <c r="V53">
        <f t="shared" si="4"/>
        <v>81</v>
      </c>
    </row>
    <row r="54" spans="1:22" x14ac:dyDescent="0.15">
      <c r="A54" s="3">
        <v>27</v>
      </c>
      <c r="B54" s="11">
        <v>8467</v>
      </c>
      <c r="C54" s="8">
        <v>422</v>
      </c>
      <c r="E54" s="14"/>
      <c r="F54" s="3"/>
      <c r="I54">
        <v>24</v>
      </c>
      <c r="J54">
        <v>3453</v>
      </c>
      <c r="N54">
        <v>32</v>
      </c>
      <c r="O54">
        <v>24</v>
      </c>
      <c r="S54">
        <v>24</v>
      </c>
      <c r="T54">
        <f t="shared" si="3"/>
        <v>24</v>
      </c>
      <c r="U54">
        <v>71</v>
      </c>
      <c r="V54">
        <f t="shared" si="4"/>
        <v>95</v>
      </c>
    </row>
    <row r="55" spans="1:22" x14ac:dyDescent="0.15">
      <c r="A55" s="3">
        <v>28</v>
      </c>
      <c r="B55" s="11">
        <v>2271</v>
      </c>
      <c r="C55" s="8">
        <v>59</v>
      </c>
      <c r="E55" s="14"/>
      <c r="F55" s="3"/>
      <c r="I55">
        <v>1</v>
      </c>
      <c r="J55">
        <v>136</v>
      </c>
      <c r="N55">
        <v>21</v>
      </c>
      <c r="O55">
        <v>3</v>
      </c>
      <c r="S55">
        <v>3</v>
      </c>
      <c r="T55">
        <f t="shared" si="3"/>
        <v>3</v>
      </c>
      <c r="U55">
        <v>56</v>
      </c>
      <c r="V55">
        <f t="shared" si="4"/>
        <v>59</v>
      </c>
    </row>
    <row r="56" spans="1:22" x14ac:dyDescent="0.15">
      <c r="A56" s="3">
        <v>29</v>
      </c>
      <c r="B56" s="11">
        <v>1680</v>
      </c>
      <c r="C56" s="8">
        <v>71</v>
      </c>
      <c r="E56" s="14"/>
      <c r="F56" s="3"/>
    </row>
    <row r="57" spans="1:22" x14ac:dyDescent="0.15">
      <c r="A57" s="3">
        <v>30</v>
      </c>
      <c r="B57" s="11">
        <v>392</v>
      </c>
      <c r="C57" s="8">
        <v>56</v>
      </c>
      <c r="E57" s="14"/>
      <c r="F57" s="3"/>
    </row>
    <row r="58" spans="1:22" ht="15" thickBot="1" x14ac:dyDescent="0.2">
      <c r="E58" s="14"/>
      <c r="F58" s="3"/>
    </row>
    <row r="59" spans="1:22" x14ac:dyDescent="0.15">
      <c r="A59" s="12"/>
      <c r="B59" s="12" t="s">
        <v>179</v>
      </c>
      <c r="C59" s="12" t="s">
        <v>181</v>
      </c>
      <c r="E59" s="14"/>
      <c r="F59" s="3"/>
    </row>
    <row r="60" spans="1:22" x14ac:dyDescent="0.15">
      <c r="A60" s="3" t="s">
        <v>179</v>
      </c>
      <c r="B60" s="3">
        <v>1</v>
      </c>
      <c r="C60" s="3"/>
      <c r="E60" s="14"/>
      <c r="F60" s="3"/>
    </row>
    <row r="61" spans="1:22" ht="15" thickBot="1" x14ac:dyDescent="0.2">
      <c r="A61" s="4" t="s">
        <v>181</v>
      </c>
      <c r="B61" s="4">
        <v>0.9281307974560864</v>
      </c>
      <c r="C61" s="4">
        <v>1</v>
      </c>
      <c r="E61" s="14"/>
      <c r="F61" s="3"/>
    </row>
    <row r="62" spans="1:22" x14ac:dyDescent="0.15">
      <c r="E62" s="14"/>
      <c r="F62" s="3"/>
    </row>
    <row r="63" spans="1:22" x14ac:dyDescent="0.15">
      <c r="E63" s="14"/>
      <c r="F63" s="3"/>
    </row>
    <row r="64" spans="1:22" x14ac:dyDescent="0.15">
      <c r="E64" s="14"/>
      <c r="F64" s="3"/>
    </row>
    <row r="65" spans="5:6" x14ac:dyDescent="0.15">
      <c r="E65" s="14"/>
      <c r="F65" s="3"/>
    </row>
    <row r="66" spans="5:6" x14ac:dyDescent="0.15">
      <c r="E66" s="14"/>
      <c r="F66" s="3"/>
    </row>
    <row r="67" spans="5:6" x14ac:dyDescent="0.15">
      <c r="E67" s="14"/>
      <c r="F67" s="3"/>
    </row>
    <row r="68" spans="5:6" x14ac:dyDescent="0.15">
      <c r="E68" s="14"/>
      <c r="F68" s="3"/>
    </row>
    <row r="69" spans="5:6" x14ac:dyDescent="0.15">
      <c r="E69" s="14"/>
      <c r="F69" s="3"/>
    </row>
    <row r="70" spans="5:6" x14ac:dyDescent="0.15">
      <c r="E70" s="14"/>
      <c r="F70" s="3"/>
    </row>
    <row r="71" spans="5:6" x14ac:dyDescent="0.15">
      <c r="E71" s="14"/>
      <c r="F71" s="3"/>
    </row>
    <row r="72" spans="5:6" x14ac:dyDescent="0.15">
      <c r="E72" s="14"/>
      <c r="F72" s="3"/>
    </row>
    <row r="73" spans="5:6" x14ac:dyDescent="0.15">
      <c r="E73" s="14"/>
      <c r="F73" s="3"/>
    </row>
    <row r="74" spans="5:6" x14ac:dyDescent="0.15">
      <c r="E74" s="14"/>
      <c r="F74" s="3"/>
    </row>
    <row r="75" spans="5:6" x14ac:dyDescent="0.15">
      <c r="E75" s="14"/>
      <c r="F75" s="3"/>
    </row>
    <row r="76" spans="5:6" x14ac:dyDescent="0.15">
      <c r="E76" s="14"/>
      <c r="F76" s="3"/>
    </row>
    <row r="77" spans="5:6" x14ac:dyDescent="0.15">
      <c r="E77" s="14"/>
      <c r="F77" s="3"/>
    </row>
    <row r="78" spans="5:6" x14ac:dyDescent="0.15">
      <c r="E78" s="14"/>
      <c r="F78" s="3"/>
    </row>
    <row r="79" spans="5:6" x14ac:dyDescent="0.15">
      <c r="E79" s="14"/>
      <c r="F79" s="3"/>
    </row>
    <row r="80" spans="5:6" x14ac:dyDescent="0.15">
      <c r="E80" s="14"/>
      <c r="F80" s="3"/>
    </row>
    <row r="81" spans="5:6" x14ac:dyDescent="0.15">
      <c r="E81" s="14"/>
      <c r="F81" s="3"/>
    </row>
    <row r="82" spans="5:6" x14ac:dyDescent="0.15">
      <c r="E82" s="14"/>
      <c r="F82" s="3"/>
    </row>
    <row r="83" spans="5:6" x14ac:dyDescent="0.15">
      <c r="E83" s="14"/>
      <c r="F83" s="3"/>
    </row>
    <row r="84" spans="5:6" x14ac:dyDescent="0.15">
      <c r="E84" s="14"/>
      <c r="F84" s="3"/>
    </row>
    <row r="85" spans="5:6" x14ac:dyDescent="0.15">
      <c r="E85" s="14"/>
      <c r="F85" s="3"/>
    </row>
    <row r="86" spans="5:6" x14ac:dyDescent="0.15">
      <c r="E86" s="14"/>
      <c r="F86" s="3"/>
    </row>
    <row r="87" spans="5:6" x14ac:dyDescent="0.15">
      <c r="E87" s="14"/>
      <c r="F87" s="3"/>
    </row>
    <row r="88" spans="5:6" x14ac:dyDescent="0.15">
      <c r="E88" s="14"/>
      <c r="F88" s="3"/>
    </row>
    <row r="89" spans="5:6" x14ac:dyDescent="0.15">
      <c r="E89" s="14"/>
      <c r="F89" s="3"/>
    </row>
    <row r="90" spans="5:6" x14ac:dyDescent="0.15">
      <c r="E90" s="14"/>
      <c r="F90" s="3"/>
    </row>
    <row r="91" spans="5:6" x14ac:dyDescent="0.15">
      <c r="E91" s="14"/>
      <c r="F91" s="3"/>
    </row>
    <row r="92" spans="5:6" x14ac:dyDescent="0.15">
      <c r="E92" s="14"/>
      <c r="F92" s="3"/>
    </row>
    <row r="93" spans="5:6" x14ac:dyDescent="0.15">
      <c r="E93" s="14"/>
      <c r="F93" s="3"/>
    </row>
    <row r="94" spans="5:6" x14ac:dyDescent="0.15">
      <c r="E94" s="14"/>
      <c r="F94" s="3"/>
    </row>
    <row r="95" spans="5:6" x14ac:dyDescent="0.15">
      <c r="E95" s="14"/>
      <c r="F95" s="3"/>
    </row>
    <row r="96" spans="5:6" x14ac:dyDescent="0.15">
      <c r="E96" s="14"/>
      <c r="F96" s="3"/>
    </row>
    <row r="97" spans="5:6" x14ac:dyDescent="0.15">
      <c r="E97" s="14"/>
      <c r="F97" s="3"/>
    </row>
    <row r="98" spans="5:6" x14ac:dyDescent="0.15">
      <c r="E98" s="14"/>
      <c r="F98" s="3"/>
    </row>
    <row r="99" spans="5:6" x14ac:dyDescent="0.15">
      <c r="E99" s="14"/>
      <c r="F99" s="3"/>
    </row>
    <row r="100" spans="5:6" x14ac:dyDescent="0.15">
      <c r="E100" s="14"/>
      <c r="F100" s="3"/>
    </row>
    <row r="101" spans="5:6" x14ac:dyDescent="0.15">
      <c r="E101" s="14"/>
      <c r="F101" s="3"/>
    </row>
    <row r="102" spans="5:6" x14ac:dyDescent="0.15">
      <c r="E102" s="14"/>
      <c r="F102" s="3"/>
    </row>
    <row r="103" spans="5:6" x14ac:dyDescent="0.15">
      <c r="E103" s="14"/>
      <c r="F103" s="3"/>
    </row>
    <row r="104" spans="5:6" x14ac:dyDescent="0.15">
      <c r="E104" s="14"/>
      <c r="F104" s="3"/>
    </row>
    <row r="105" spans="5:6" x14ac:dyDescent="0.15">
      <c r="E105" s="14"/>
      <c r="F105" s="3"/>
    </row>
    <row r="106" spans="5:6" x14ac:dyDescent="0.15">
      <c r="E106" s="14"/>
      <c r="F106" s="3"/>
    </row>
    <row r="107" spans="5:6" x14ac:dyDescent="0.15">
      <c r="E107" s="14"/>
      <c r="F107" s="3"/>
    </row>
    <row r="108" spans="5:6" x14ac:dyDescent="0.15">
      <c r="E108" s="14"/>
      <c r="F108" s="3"/>
    </row>
    <row r="109" spans="5:6" x14ac:dyDescent="0.15">
      <c r="E109" s="14"/>
      <c r="F109" s="3"/>
    </row>
    <row r="110" spans="5:6" x14ac:dyDescent="0.15">
      <c r="E110" s="14"/>
      <c r="F110" s="3"/>
    </row>
    <row r="111" spans="5:6" x14ac:dyDescent="0.15">
      <c r="E111" s="14"/>
      <c r="F111" s="3"/>
    </row>
    <row r="112" spans="5:6" x14ac:dyDescent="0.15">
      <c r="E112" s="14"/>
      <c r="F112" s="3"/>
    </row>
    <row r="113" spans="5:6" x14ac:dyDescent="0.15">
      <c r="E113" s="14"/>
      <c r="F113" s="3"/>
    </row>
    <row r="114" spans="5:6" x14ac:dyDescent="0.15">
      <c r="E114" s="14"/>
      <c r="F114" s="3"/>
    </row>
    <row r="115" spans="5:6" x14ac:dyDescent="0.15">
      <c r="E115" s="14"/>
      <c r="F115" s="3"/>
    </row>
    <row r="116" spans="5:6" x14ac:dyDescent="0.15">
      <c r="E116" s="14"/>
      <c r="F116" s="3"/>
    </row>
    <row r="117" spans="5:6" x14ac:dyDescent="0.15">
      <c r="E117" s="14"/>
      <c r="F117" s="3"/>
    </row>
    <row r="118" spans="5:6" x14ac:dyDescent="0.15">
      <c r="E118" s="14"/>
      <c r="F118" s="3"/>
    </row>
    <row r="119" spans="5:6" x14ac:dyDescent="0.15">
      <c r="E119" s="14"/>
      <c r="F119" s="3"/>
    </row>
    <row r="120" spans="5:6" x14ac:dyDescent="0.15">
      <c r="E120" s="14"/>
      <c r="F120" s="3"/>
    </row>
    <row r="121" spans="5:6" x14ac:dyDescent="0.15">
      <c r="E121" s="14"/>
      <c r="F121" s="3"/>
    </row>
    <row r="122" spans="5:6" x14ac:dyDescent="0.15">
      <c r="E122" s="14"/>
      <c r="F122" s="3"/>
    </row>
    <row r="123" spans="5:6" x14ac:dyDescent="0.15">
      <c r="E123" s="14"/>
      <c r="F123" s="3"/>
    </row>
    <row r="124" spans="5:6" x14ac:dyDescent="0.15">
      <c r="E124" s="14"/>
      <c r="F124" s="3"/>
    </row>
    <row r="125" spans="5:6" x14ac:dyDescent="0.15">
      <c r="E125" s="14"/>
      <c r="F125" s="3"/>
    </row>
    <row r="126" spans="5:6" x14ac:dyDescent="0.15">
      <c r="E126" s="14"/>
      <c r="F126" s="3"/>
    </row>
    <row r="127" spans="5:6" x14ac:dyDescent="0.15">
      <c r="E127" s="14"/>
      <c r="F127" s="3"/>
    </row>
    <row r="128" spans="5:6" x14ac:dyDescent="0.15">
      <c r="E128" s="14"/>
      <c r="F128" s="3"/>
    </row>
    <row r="129" spans="5:6" x14ac:dyDescent="0.15">
      <c r="E129" s="14"/>
      <c r="F129" s="3"/>
    </row>
    <row r="130" spans="5:6" x14ac:dyDescent="0.15">
      <c r="E130" s="14"/>
      <c r="F130" s="3"/>
    </row>
    <row r="131" spans="5:6" x14ac:dyDescent="0.15">
      <c r="E131" s="14"/>
      <c r="F131" s="3"/>
    </row>
    <row r="132" spans="5:6" x14ac:dyDescent="0.15">
      <c r="E132" s="14"/>
      <c r="F132" s="3"/>
    </row>
    <row r="133" spans="5:6" x14ac:dyDescent="0.15">
      <c r="E133" s="14"/>
      <c r="F133" s="3"/>
    </row>
    <row r="134" spans="5:6" x14ac:dyDescent="0.15">
      <c r="E134" s="14"/>
      <c r="F134" s="3"/>
    </row>
    <row r="135" spans="5:6" x14ac:dyDescent="0.15">
      <c r="E135" s="14"/>
      <c r="F135" s="3"/>
    </row>
    <row r="136" spans="5:6" x14ac:dyDescent="0.15">
      <c r="E136" s="14"/>
      <c r="F136" s="3"/>
    </row>
    <row r="137" spans="5:6" x14ac:dyDescent="0.15">
      <c r="E137" s="14"/>
      <c r="F137" s="3"/>
    </row>
    <row r="138" spans="5:6" x14ac:dyDescent="0.15">
      <c r="E138" s="14"/>
      <c r="F138" s="3"/>
    </row>
    <row r="139" spans="5:6" x14ac:dyDescent="0.15">
      <c r="E139" s="14"/>
      <c r="F139" s="3"/>
    </row>
    <row r="140" spans="5:6" x14ac:dyDescent="0.15">
      <c r="E140" s="14"/>
      <c r="F140" s="3"/>
    </row>
    <row r="141" spans="5:6" x14ac:dyDescent="0.15">
      <c r="E141" s="14"/>
      <c r="F141" s="3"/>
    </row>
    <row r="142" spans="5:6" x14ac:dyDescent="0.15">
      <c r="E142" s="14"/>
      <c r="F142" s="3"/>
    </row>
    <row r="143" spans="5:6" x14ac:dyDescent="0.15">
      <c r="E143" s="14"/>
      <c r="F143" s="3"/>
    </row>
    <row r="144" spans="5:6" x14ac:dyDescent="0.15">
      <c r="E144" s="14"/>
      <c r="F144" s="3"/>
    </row>
    <row r="145" spans="5:6" x14ac:dyDescent="0.15">
      <c r="E145" s="14"/>
      <c r="F145" s="3"/>
    </row>
    <row r="146" spans="5:6" x14ac:dyDescent="0.15">
      <c r="E146" s="14"/>
      <c r="F146" s="3"/>
    </row>
    <row r="147" spans="5:6" x14ac:dyDescent="0.15">
      <c r="E147" s="14"/>
      <c r="F147" s="3"/>
    </row>
    <row r="148" spans="5:6" x14ac:dyDescent="0.15">
      <c r="E148" s="14"/>
      <c r="F148" s="3"/>
    </row>
    <row r="149" spans="5:6" x14ac:dyDescent="0.15">
      <c r="E149" s="14"/>
      <c r="F149" s="3"/>
    </row>
    <row r="150" spans="5:6" x14ac:dyDescent="0.15">
      <c r="E150" s="14"/>
      <c r="F150" s="3"/>
    </row>
    <row r="151" spans="5:6" x14ac:dyDescent="0.15">
      <c r="E151" s="14"/>
      <c r="F151" s="3"/>
    </row>
    <row r="152" spans="5:6" x14ac:dyDescent="0.15">
      <c r="E152" s="14"/>
      <c r="F152" s="3"/>
    </row>
    <row r="153" spans="5:6" x14ac:dyDescent="0.15">
      <c r="E153" s="14"/>
      <c r="F153" s="3"/>
    </row>
    <row r="154" spans="5:6" x14ac:dyDescent="0.15">
      <c r="E154" s="14"/>
      <c r="F154" s="3"/>
    </row>
    <row r="155" spans="5:6" x14ac:dyDescent="0.15">
      <c r="E155" s="14"/>
      <c r="F155" s="3"/>
    </row>
    <row r="156" spans="5:6" x14ac:dyDescent="0.15">
      <c r="E156" s="14"/>
      <c r="F156" s="3"/>
    </row>
    <row r="157" spans="5:6" x14ac:dyDescent="0.15">
      <c r="E157" s="14"/>
      <c r="F157" s="3"/>
    </row>
    <row r="158" spans="5:6" x14ac:dyDescent="0.15">
      <c r="E158" s="14"/>
      <c r="F158" s="3"/>
    </row>
    <row r="159" spans="5:6" x14ac:dyDescent="0.15">
      <c r="E159" s="14"/>
      <c r="F159" s="3"/>
    </row>
    <row r="160" spans="5:6" x14ac:dyDescent="0.15">
      <c r="E160" s="14"/>
      <c r="F160" s="3"/>
    </row>
    <row r="161" spans="5:6" x14ac:dyDescent="0.15">
      <c r="E161" s="14"/>
      <c r="F161" s="3"/>
    </row>
    <row r="162" spans="5:6" x14ac:dyDescent="0.15">
      <c r="E162" s="14"/>
      <c r="F162" s="3"/>
    </row>
    <row r="163" spans="5:6" x14ac:dyDescent="0.15">
      <c r="E163" s="14"/>
      <c r="F163" s="3"/>
    </row>
    <row r="164" spans="5:6" x14ac:dyDescent="0.15">
      <c r="E164" s="14"/>
      <c r="F164" s="3"/>
    </row>
    <row r="165" spans="5:6" x14ac:dyDescent="0.15">
      <c r="E165" s="14"/>
      <c r="F165" s="3"/>
    </row>
    <row r="166" spans="5:6" x14ac:dyDescent="0.15">
      <c r="E166" s="14"/>
      <c r="F166" s="3"/>
    </row>
    <row r="167" spans="5:6" x14ac:dyDescent="0.15">
      <c r="E167" s="14"/>
      <c r="F167" s="3"/>
    </row>
    <row r="168" spans="5:6" x14ac:dyDescent="0.15">
      <c r="E168" s="14"/>
      <c r="F168" s="3"/>
    </row>
    <row r="169" spans="5:6" x14ac:dyDescent="0.15">
      <c r="E169" s="14"/>
      <c r="F169" s="3"/>
    </row>
    <row r="170" spans="5:6" x14ac:dyDescent="0.15">
      <c r="E170" s="14"/>
      <c r="F170" s="3"/>
    </row>
    <row r="171" spans="5:6" x14ac:dyDescent="0.15">
      <c r="E171" s="14"/>
      <c r="F171" s="3"/>
    </row>
    <row r="172" spans="5:6" x14ac:dyDescent="0.15">
      <c r="E172" s="14"/>
      <c r="F172" s="3"/>
    </row>
    <row r="173" spans="5:6" x14ac:dyDescent="0.15">
      <c r="E173" s="14"/>
      <c r="F173" s="3"/>
    </row>
    <row r="174" spans="5:6" x14ac:dyDescent="0.15">
      <c r="E174" s="14"/>
      <c r="F174" s="3"/>
    </row>
    <row r="175" spans="5:6" x14ac:dyDescent="0.15">
      <c r="E175" s="14"/>
      <c r="F175" s="3"/>
    </row>
    <row r="176" spans="5:6" x14ac:dyDescent="0.15">
      <c r="E176" s="14"/>
      <c r="F176" s="3"/>
    </row>
    <row r="177" spans="5:6" x14ac:dyDescent="0.15">
      <c r="E177" s="14"/>
      <c r="F177" s="3"/>
    </row>
    <row r="178" spans="5:6" x14ac:dyDescent="0.15">
      <c r="E178" s="14"/>
      <c r="F178" s="3"/>
    </row>
    <row r="179" spans="5:6" x14ac:dyDescent="0.15">
      <c r="E179" s="14"/>
      <c r="F179" s="3"/>
    </row>
    <row r="180" spans="5:6" x14ac:dyDescent="0.15">
      <c r="E180" s="14"/>
      <c r="F180" s="3"/>
    </row>
    <row r="181" spans="5:6" x14ac:dyDescent="0.15">
      <c r="E181" s="14"/>
      <c r="F181" s="3"/>
    </row>
    <row r="182" spans="5:6" x14ac:dyDescent="0.15">
      <c r="E182" s="14"/>
      <c r="F182" s="3"/>
    </row>
    <row r="183" spans="5:6" x14ac:dyDescent="0.15">
      <c r="E183" s="14"/>
      <c r="F183" s="3"/>
    </row>
    <row r="184" spans="5:6" x14ac:dyDescent="0.15">
      <c r="E184" s="14"/>
      <c r="F184" s="3"/>
    </row>
    <row r="185" spans="5:6" x14ac:dyDescent="0.15">
      <c r="E185" s="14"/>
      <c r="F185" s="3"/>
    </row>
    <row r="186" spans="5:6" x14ac:dyDescent="0.15">
      <c r="E186" s="14"/>
      <c r="F186" s="3"/>
    </row>
    <row r="187" spans="5:6" x14ac:dyDescent="0.15">
      <c r="E187" s="14"/>
      <c r="F187" s="3"/>
    </row>
    <row r="188" spans="5:6" x14ac:dyDescent="0.15">
      <c r="E188" s="14"/>
      <c r="F188" s="3"/>
    </row>
    <row r="189" spans="5:6" x14ac:dyDescent="0.15">
      <c r="E189" s="14"/>
      <c r="F189" s="3"/>
    </row>
    <row r="190" spans="5:6" x14ac:dyDescent="0.15">
      <c r="E190" s="14"/>
      <c r="F190" s="3"/>
    </row>
    <row r="191" spans="5:6" x14ac:dyDescent="0.15">
      <c r="E191" s="14"/>
      <c r="F191" s="3"/>
    </row>
    <row r="192" spans="5:6" x14ac:dyDescent="0.15">
      <c r="E192" s="14"/>
      <c r="F192" s="3"/>
    </row>
    <row r="193" spans="5:6" x14ac:dyDescent="0.15">
      <c r="E193" s="14"/>
      <c r="F193" s="3"/>
    </row>
    <row r="194" spans="5:6" x14ac:dyDescent="0.15">
      <c r="E194" s="14"/>
      <c r="F194" s="3"/>
    </row>
    <row r="195" spans="5:6" x14ac:dyDescent="0.15">
      <c r="E195" s="14"/>
      <c r="F195" s="3"/>
    </row>
    <row r="196" spans="5:6" x14ac:dyDescent="0.15">
      <c r="E196" s="14"/>
      <c r="F196" s="3"/>
    </row>
    <row r="197" spans="5:6" x14ac:dyDescent="0.15">
      <c r="E197" s="14"/>
      <c r="F197" s="3"/>
    </row>
    <row r="198" spans="5:6" x14ac:dyDescent="0.15">
      <c r="E198" s="14"/>
      <c r="F198" s="3"/>
    </row>
    <row r="199" spans="5:6" x14ac:dyDescent="0.15">
      <c r="E199" s="14"/>
      <c r="F199" s="3"/>
    </row>
    <row r="200" spans="5:6" x14ac:dyDescent="0.15">
      <c r="E200" s="14"/>
      <c r="F200" s="3"/>
    </row>
    <row r="201" spans="5:6" x14ac:dyDescent="0.15">
      <c r="E201" s="14"/>
      <c r="F201" s="3"/>
    </row>
    <row r="202" spans="5:6" x14ac:dyDescent="0.15">
      <c r="E202" s="14"/>
      <c r="F202" s="3"/>
    </row>
    <row r="203" spans="5:6" x14ac:dyDescent="0.15">
      <c r="E203" s="14"/>
      <c r="F203" s="3"/>
    </row>
    <row r="204" spans="5:6" x14ac:dyDescent="0.15">
      <c r="E204" s="14"/>
      <c r="F204" s="3"/>
    </row>
    <row r="205" spans="5:6" x14ac:dyDescent="0.15">
      <c r="E205" s="14"/>
      <c r="F205" s="3"/>
    </row>
    <row r="206" spans="5:6" x14ac:dyDescent="0.15">
      <c r="E206" s="14"/>
      <c r="F206" s="3"/>
    </row>
    <row r="207" spans="5:6" x14ac:dyDescent="0.15">
      <c r="E207" s="14"/>
      <c r="F207" s="3"/>
    </row>
    <row r="208" spans="5:6" x14ac:dyDescent="0.15">
      <c r="E208" s="14"/>
      <c r="F208" s="3"/>
    </row>
    <row r="209" spans="5:6" x14ac:dyDescent="0.15">
      <c r="E209" s="14"/>
      <c r="F209" s="3"/>
    </row>
    <row r="210" spans="5:6" x14ac:dyDescent="0.15">
      <c r="E210" s="14"/>
      <c r="F210" s="3"/>
    </row>
    <row r="211" spans="5:6" x14ac:dyDescent="0.15">
      <c r="E211" s="14"/>
      <c r="F211" s="3"/>
    </row>
    <row r="212" spans="5:6" x14ac:dyDescent="0.15">
      <c r="E212" s="14"/>
      <c r="F212" s="3"/>
    </row>
    <row r="213" spans="5:6" x14ac:dyDescent="0.15">
      <c r="E213" s="14"/>
      <c r="F213" s="3"/>
    </row>
    <row r="214" spans="5:6" x14ac:dyDescent="0.15">
      <c r="E214" s="14"/>
      <c r="F214" s="3"/>
    </row>
    <row r="215" spans="5:6" x14ac:dyDescent="0.15">
      <c r="E215" s="14"/>
      <c r="F215" s="3"/>
    </row>
    <row r="216" spans="5:6" x14ac:dyDescent="0.15">
      <c r="E216" s="14"/>
      <c r="F216" s="3"/>
    </row>
    <row r="217" spans="5:6" x14ac:dyDescent="0.15">
      <c r="E217" s="14"/>
      <c r="F217" s="3"/>
    </row>
    <row r="218" spans="5:6" x14ac:dyDescent="0.15">
      <c r="E218" s="14"/>
      <c r="F218" s="3"/>
    </row>
    <row r="219" spans="5:6" x14ac:dyDescent="0.15">
      <c r="E219" s="14"/>
      <c r="F219" s="3"/>
    </row>
    <row r="220" spans="5:6" x14ac:dyDescent="0.15">
      <c r="E220" s="14"/>
      <c r="F220" s="3"/>
    </row>
    <row r="221" spans="5:6" x14ac:dyDescent="0.15">
      <c r="E221" s="14"/>
      <c r="F221" s="3"/>
    </row>
    <row r="222" spans="5:6" x14ac:dyDescent="0.15">
      <c r="E222" s="14"/>
      <c r="F222" s="3"/>
    </row>
    <row r="223" spans="5:6" x14ac:dyDescent="0.15">
      <c r="E223" s="14"/>
      <c r="F223" s="3"/>
    </row>
    <row r="224" spans="5:6" x14ac:dyDescent="0.15">
      <c r="E224" s="14"/>
      <c r="F224" s="3"/>
    </row>
    <row r="225" spans="5:6" x14ac:dyDescent="0.15">
      <c r="E225" s="14"/>
      <c r="F225" s="3"/>
    </row>
    <row r="226" spans="5:6" x14ac:dyDescent="0.15">
      <c r="E226" s="14"/>
      <c r="F226" s="3"/>
    </row>
    <row r="227" spans="5:6" x14ac:dyDescent="0.15">
      <c r="E227" s="14"/>
      <c r="F227" s="3"/>
    </row>
    <row r="228" spans="5:6" x14ac:dyDescent="0.15">
      <c r="E228" s="14"/>
      <c r="F228" s="3"/>
    </row>
    <row r="229" spans="5:6" x14ac:dyDescent="0.15">
      <c r="E229" s="14"/>
      <c r="F229" s="3"/>
    </row>
    <row r="230" spans="5:6" x14ac:dyDescent="0.15">
      <c r="E230" s="14"/>
      <c r="F230" s="3"/>
    </row>
    <row r="231" spans="5:6" x14ac:dyDescent="0.15">
      <c r="E231" s="14"/>
      <c r="F231" s="3"/>
    </row>
    <row r="232" spans="5:6" x14ac:dyDescent="0.15">
      <c r="E232" s="14"/>
      <c r="F232" s="3"/>
    </row>
    <row r="233" spans="5:6" x14ac:dyDescent="0.15">
      <c r="E233" s="14"/>
      <c r="F233" s="3"/>
    </row>
    <row r="234" spans="5:6" x14ac:dyDescent="0.15">
      <c r="E234" s="14"/>
      <c r="F234" s="3"/>
    </row>
    <row r="235" spans="5:6" x14ac:dyDescent="0.15">
      <c r="E235" s="14"/>
      <c r="F235" s="3"/>
    </row>
    <row r="236" spans="5:6" x14ac:dyDescent="0.15">
      <c r="E236" s="14"/>
      <c r="F236" s="3"/>
    </row>
    <row r="237" spans="5:6" x14ac:dyDescent="0.15">
      <c r="E237" s="14"/>
      <c r="F237" s="3"/>
    </row>
    <row r="238" spans="5:6" x14ac:dyDescent="0.15">
      <c r="E238" s="14"/>
      <c r="F238" s="3"/>
    </row>
    <row r="239" spans="5:6" x14ac:dyDescent="0.15">
      <c r="E239" s="14"/>
      <c r="F239" s="3"/>
    </row>
    <row r="240" spans="5:6" x14ac:dyDescent="0.15">
      <c r="E240" s="14"/>
      <c r="F240" s="3"/>
    </row>
    <row r="241" spans="5:6" x14ac:dyDescent="0.15">
      <c r="E241" s="14"/>
      <c r="F241" s="3"/>
    </row>
    <row r="242" spans="5:6" x14ac:dyDescent="0.15">
      <c r="E242" s="14"/>
      <c r="F242" s="3"/>
    </row>
    <row r="243" spans="5:6" x14ac:dyDescent="0.15">
      <c r="E243" s="14"/>
      <c r="F243" s="3"/>
    </row>
    <row r="244" spans="5:6" x14ac:dyDescent="0.15">
      <c r="E244" s="14"/>
      <c r="F244" s="3"/>
    </row>
    <row r="245" spans="5:6" x14ac:dyDescent="0.15">
      <c r="E245" s="14"/>
      <c r="F245" s="3"/>
    </row>
    <row r="246" spans="5:6" x14ac:dyDescent="0.15">
      <c r="E246" s="14"/>
      <c r="F246" s="3"/>
    </row>
    <row r="247" spans="5:6" x14ac:dyDescent="0.15">
      <c r="E247" s="14"/>
      <c r="F247" s="3"/>
    </row>
    <row r="248" spans="5:6" x14ac:dyDescent="0.15">
      <c r="E248" s="14"/>
      <c r="F248" s="3"/>
    </row>
    <row r="249" spans="5:6" x14ac:dyDescent="0.15">
      <c r="E249" s="14"/>
      <c r="F249" s="3"/>
    </row>
    <row r="250" spans="5:6" x14ac:dyDescent="0.15">
      <c r="E250" s="14"/>
      <c r="F250" s="3"/>
    </row>
    <row r="251" spans="5:6" x14ac:dyDescent="0.15">
      <c r="E251" s="14"/>
      <c r="F251" s="3"/>
    </row>
    <row r="252" spans="5:6" x14ac:dyDescent="0.15">
      <c r="E252" s="14"/>
      <c r="F252" s="3"/>
    </row>
    <row r="253" spans="5:6" x14ac:dyDescent="0.15">
      <c r="E253" s="14"/>
      <c r="F253" s="3"/>
    </row>
    <row r="254" spans="5:6" x14ac:dyDescent="0.15">
      <c r="E254" s="14"/>
      <c r="F254" s="3"/>
    </row>
    <row r="255" spans="5:6" x14ac:dyDescent="0.15">
      <c r="E255" s="14"/>
      <c r="F255" s="3"/>
    </row>
    <row r="256" spans="5:6" x14ac:dyDescent="0.15">
      <c r="E256" s="14"/>
      <c r="F256" s="3"/>
    </row>
    <row r="257" spans="5:6" x14ac:dyDescent="0.15">
      <c r="E257" s="14"/>
      <c r="F257" s="3"/>
    </row>
    <row r="258" spans="5:6" x14ac:dyDescent="0.15">
      <c r="E258" s="14"/>
      <c r="F258" s="3"/>
    </row>
    <row r="259" spans="5:6" x14ac:dyDescent="0.15">
      <c r="E259" s="14"/>
      <c r="F259" s="3"/>
    </row>
    <row r="260" spans="5:6" x14ac:dyDescent="0.15">
      <c r="E260" s="14"/>
      <c r="F260" s="3"/>
    </row>
    <row r="261" spans="5:6" x14ac:dyDescent="0.15">
      <c r="E261" s="14"/>
      <c r="F261" s="3"/>
    </row>
    <row r="262" spans="5:6" x14ac:dyDescent="0.15">
      <c r="E262" s="14"/>
      <c r="F262" s="3"/>
    </row>
    <row r="263" spans="5:6" x14ac:dyDescent="0.15">
      <c r="E263" s="14"/>
      <c r="F263" s="3"/>
    </row>
    <row r="264" spans="5:6" x14ac:dyDescent="0.15">
      <c r="E264" s="14"/>
      <c r="F264" s="3"/>
    </row>
    <row r="265" spans="5:6" x14ac:dyDescent="0.15">
      <c r="E265" s="14"/>
      <c r="F265" s="3"/>
    </row>
    <row r="266" spans="5:6" x14ac:dyDescent="0.15">
      <c r="E266" s="14"/>
      <c r="F266" s="3"/>
    </row>
    <row r="267" spans="5:6" x14ac:dyDescent="0.15">
      <c r="E267" s="14"/>
      <c r="F267" s="3"/>
    </row>
    <row r="268" spans="5:6" x14ac:dyDescent="0.15">
      <c r="E268" s="14"/>
      <c r="F268" s="3"/>
    </row>
    <row r="269" spans="5:6" x14ac:dyDescent="0.15">
      <c r="E269" s="14"/>
      <c r="F269" s="3"/>
    </row>
    <row r="270" spans="5:6" x14ac:dyDescent="0.15">
      <c r="E270" s="14"/>
      <c r="F270" s="3"/>
    </row>
    <row r="271" spans="5:6" x14ac:dyDescent="0.15">
      <c r="E271" s="14"/>
      <c r="F271" s="3"/>
    </row>
    <row r="272" spans="5:6" x14ac:dyDescent="0.15">
      <c r="E272" s="14"/>
      <c r="F272" s="3"/>
    </row>
    <row r="273" spans="5:6" x14ac:dyDescent="0.15">
      <c r="E273" s="14"/>
      <c r="F273" s="3"/>
    </row>
    <row r="274" spans="5:6" x14ac:dyDescent="0.15">
      <c r="E274" s="14"/>
      <c r="F274" s="3"/>
    </row>
    <row r="275" spans="5:6" x14ac:dyDescent="0.15">
      <c r="E275" s="14"/>
      <c r="F275" s="3"/>
    </row>
    <row r="276" spans="5:6" x14ac:dyDescent="0.15">
      <c r="E276" s="14"/>
      <c r="F276" s="3"/>
    </row>
    <row r="277" spans="5:6" x14ac:dyDescent="0.15">
      <c r="E277" s="14"/>
      <c r="F277" s="3"/>
    </row>
    <row r="278" spans="5:6" x14ac:dyDescent="0.15">
      <c r="E278" s="14"/>
      <c r="F278" s="3"/>
    </row>
    <row r="279" spans="5:6" x14ac:dyDescent="0.15">
      <c r="E279" s="14"/>
      <c r="F279" s="3"/>
    </row>
    <row r="280" spans="5:6" x14ac:dyDescent="0.15">
      <c r="E280" s="14"/>
      <c r="F280" s="3"/>
    </row>
    <row r="281" spans="5:6" x14ac:dyDescent="0.15">
      <c r="E281" s="14"/>
      <c r="F281" s="3"/>
    </row>
    <row r="282" spans="5:6" x14ac:dyDescent="0.15">
      <c r="E282" s="14"/>
      <c r="F282" s="3"/>
    </row>
    <row r="283" spans="5:6" x14ac:dyDescent="0.15">
      <c r="E283" s="14"/>
      <c r="F283" s="3"/>
    </row>
    <row r="284" spans="5:6" x14ac:dyDescent="0.15">
      <c r="E284" s="14"/>
      <c r="F284" s="3"/>
    </row>
    <row r="285" spans="5:6" x14ac:dyDescent="0.15">
      <c r="E285" s="14"/>
      <c r="F285" s="3"/>
    </row>
    <row r="286" spans="5:6" x14ac:dyDescent="0.15">
      <c r="E286" s="14"/>
      <c r="F286" s="3"/>
    </row>
    <row r="287" spans="5:6" x14ac:dyDescent="0.15">
      <c r="E287" s="14"/>
      <c r="F287" s="3"/>
    </row>
    <row r="288" spans="5:6" x14ac:dyDescent="0.15">
      <c r="E288" s="14"/>
      <c r="F288" s="3"/>
    </row>
    <row r="289" spans="5:6" x14ac:dyDescent="0.15">
      <c r="E289" s="14"/>
      <c r="F289" s="3"/>
    </row>
    <row r="290" spans="5:6" x14ac:dyDescent="0.15">
      <c r="E290" s="14"/>
      <c r="F290" s="3"/>
    </row>
    <row r="291" spans="5:6" x14ac:dyDescent="0.15">
      <c r="E291" s="14"/>
      <c r="F291" s="3"/>
    </row>
    <row r="292" spans="5:6" x14ac:dyDescent="0.15">
      <c r="E292" s="14"/>
      <c r="F292" s="3"/>
    </row>
    <row r="293" spans="5:6" x14ac:dyDescent="0.15">
      <c r="E293" s="14"/>
      <c r="F293" s="3"/>
    </row>
    <row r="294" spans="5:6" x14ac:dyDescent="0.15">
      <c r="E294" s="14"/>
      <c r="F294" s="3"/>
    </row>
    <row r="295" spans="5:6" x14ac:dyDescent="0.15">
      <c r="E295" s="14"/>
      <c r="F295" s="3"/>
    </row>
    <row r="296" spans="5:6" x14ac:dyDescent="0.15">
      <c r="E296" s="14"/>
      <c r="F296" s="3"/>
    </row>
    <row r="297" spans="5:6" x14ac:dyDescent="0.15">
      <c r="E297" s="14"/>
      <c r="F297" s="3"/>
    </row>
    <row r="298" spans="5:6" x14ac:dyDescent="0.15">
      <c r="E298" s="14"/>
      <c r="F298" s="3"/>
    </row>
    <row r="299" spans="5:6" x14ac:dyDescent="0.15">
      <c r="E299" s="14"/>
      <c r="F299" s="3"/>
    </row>
    <row r="300" spans="5:6" x14ac:dyDescent="0.15">
      <c r="E300" s="14"/>
      <c r="F300" s="3"/>
    </row>
    <row r="301" spans="5:6" x14ac:dyDescent="0.15">
      <c r="E301" s="14"/>
      <c r="F301" s="3"/>
    </row>
    <row r="302" spans="5:6" x14ac:dyDescent="0.15">
      <c r="E302" s="14"/>
      <c r="F302" s="3"/>
    </row>
    <row r="303" spans="5:6" x14ac:dyDescent="0.15">
      <c r="E303" s="14"/>
      <c r="F303" s="3"/>
    </row>
    <row r="304" spans="5:6" x14ac:dyDescent="0.15">
      <c r="E304" s="14"/>
      <c r="F304" s="3"/>
    </row>
    <row r="305" spans="5:6" x14ac:dyDescent="0.15">
      <c r="E305" s="14"/>
      <c r="F305" s="3"/>
    </row>
    <row r="306" spans="5:6" x14ac:dyDescent="0.15">
      <c r="E306" s="14"/>
      <c r="F306" s="3"/>
    </row>
    <row r="307" spans="5:6" x14ac:dyDescent="0.15">
      <c r="E307" s="14"/>
      <c r="F307" s="3"/>
    </row>
    <row r="308" spans="5:6" x14ac:dyDescent="0.15">
      <c r="E308" s="14"/>
      <c r="F308" s="3"/>
    </row>
    <row r="309" spans="5:6" x14ac:dyDescent="0.15">
      <c r="E309" s="14"/>
      <c r="F309" s="3"/>
    </row>
    <row r="310" spans="5:6" x14ac:dyDescent="0.15">
      <c r="E310" s="14"/>
      <c r="F310" s="3"/>
    </row>
    <row r="311" spans="5:6" x14ac:dyDescent="0.15">
      <c r="E311" s="14"/>
      <c r="F311" s="3"/>
    </row>
    <row r="312" spans="5:6" x14ac:dyDescent="0.15">
      <c r="E312" s="14"/>
      <c r="F312" s="3"/>
    </row>
    <row r="313" spans="5:6" x14ac:dyDescent="0.15">
      <c r="E313" s="14"/>
      <c r="F313" s="3"/>
    </row>
    <row r="314" spans="5:6" x14ac:dyDescent="0.15">
      <c r="E314" s="14"/>
      <c r="F314" s="3"/>
    </row>
    <row r="315" spans="5:6" x14ac:dyDescent="0.15">
      <c r="E315" s="14"/>
      <c r="F315" s="3"/>
    </row>
    <row r="316" spans="5:6" x14ac:dyDescent="0.15">
      <c r="E316" s="14"/>
      <c r="F316" s="3"/>
    </row>
    <row r="317" spans="5:6" x14ac:dyDescent="0.15">
      <c r="E317" s="14"/>
      <c r="F317" s="3"/>
    </row>
    <row r="318" spans="5:6" x14ac:dyDescent="0.15">
      <c r="E318" s="14"/>
      <c r="F318" s="3"/>
    </row>
    <row r="319" spans="5:6" x14ac:dyDescent="0.15">
      <c r="E319" s="14"/>
      <c r="F319" s="3"/>
    </row>
    <row r="320" spans="5:6" x14ac:dyDescent="0.15">
      <c r="E320" s="14"/>
      <c r="F320" s="3"/>
    </row>
    <row r="321" spans="5:6" x14ac:dyDescent="0.15">
      <c r="E321" s="14"/>
      <c r="F321" s="3"/>
    </row>
    <row r="322" spans="5:6" x14ac:dyDescent="0.15">
      <c r="E322" s="14"/>
      <c r="F322" s="3"/>
    </row>
    <row r="323" spans="5:6" x14ac:dyDescent="0.15">
      <c r="E323" s="14"/>
      <c r="F323" s="3"/>
    </row>
    <row r="324" spans="5:6" x14ac:dyDescent="0.15">
      <c r="E324" s="14"/>
      <c r="F324" s="3"/>
    </row>
    <row r="325" spans="5:6" x14ac:dyDescent="0.15">
      <c r="E325" s="14"/>
      <c r="F325" s="3"/>
    </row>
    <row r="326" spans="5:6" x14ac:dyDescent="0.15">
      <c r="E326" s="14"/>
      <c r="F326" s="3"/>
    </row>
    <row r="327" spans="5:6" x14ac:dyDescent="0.15">
      <c r="E327" s="14"/>
      <c r="F327" s="3"/>
    </row>
    <row r="328" spans="5:6" x14ac:dyDescent="0.15">
      <c r="E328" s="14"/>
      <c r="F328" s="3"/>
    </row>
    <row r="329" spans="5:6" x14ac:dyDescent="0.15">
      <c r="E329" s="14"/>
      <c r="F329" s="3"/>
    </row>
    <row r="330" spans="5:6" x14ac:dyDescent="0.15">
      <c r="E330" s="14"/>
      <c r="F330" s="3"/>
    </row>
    <row r="331" spans="5:6" x14ac:dyDescent="0.15">
      <c r="E331" s="14"/>
      <c r="F331" s="3"/>
    </row>
    <row r="332" spans="5:6" x14ac:dyDescent="0.15">
      <c r="E332" s="14"/>
      <c r="F332" s="3"/>
    </row>
    <row r="333" spans="5:6" x14ac:dyDescent="0.15">
      <c r="E333" s="14"/>
      <c r="F333" s="3"/>
    </row>
    <row r="334" spans="5:6" x14ac:dyDescent="0.15">
      <c r="E334" s="14"/>
      <c r="F334" s="3"/>
    </row>
    <row r="335" spans="5:6" x14ac:dyDescent="0.15">
      <c r="E335" s="14"/>
      <c r="F335" s="3"/>
    </row>
    <row r="336" spans="5:6" x14ac:dyDescent="0.15">
      <c r="E336" s="14"/>
      <c r="F336" s="3"/>
    </row>
    <row r="337" spans="5:6" x14ac:dyDescent="0.15">
      <c r="E337" s="14"/>
      <c r="F337" s="3"/>
    </row>
    <row r="338" spans="5:6" x14ac:dyDescent="0.15">
      <c r="E338" s="14"/>
      <c r="F338" s="3"/>
    </row>
    <row r="339" spans="5:6" x14ac:dyDescent="0.15">
      <c r="E339" s="14"/>
      <c r="F339" s="3"/>
    </row>
    <row r="340" spans="5:6" x14ac:dyDescent="0.15">
      <c r="E340" s="14"/>
      <c r="F340" s="3"/>
    </row>
    <row r="341" spans="5:6" x14ac:dyDescent="0.15">
      <c r="E341" s="14"/>
      <c r="F341" s="3"/>
    </row>
    <row r="342" spans="5:6" x14ac:dyDescent="0.15">
      <c r="E342" s="14"/>
      <c r="F342" s="3"/>
    </row>
    <row r="343" spans="5:6" x14ac:dyDescent="0.15">
      <c r="E343" s="14"/>
      <c r="F343" s="3"/>
    </row>
    <row r="344" spans="5:6" x14ac:dyDescent="0.15">
      <c r="E344" s="14"/>
      <c r="F344" s="3"/>
    </row>
    <row r="345" spans="5:6" x14ac:dyDescent="0.15">
      <c r="E345" s="14"/>
      <c r="F345" s="3"/>
    </row>
    <row r="346" spans="5:6" x14ac:dyDescent="0.15">
      <c r="E346" s="14"/>
      <c r="F346" s="3"/>
    </row>
    <row r="347" spans="5:6" x14ac:dyDescent="0.15">
      <c r="E347" s="14"/>
      <c r="F347" s="3"/>
    </row>
    <row r="348" spans="5:6" x14ac:dyDescent="0.15">
      <c r="E348" s="14"/>
      <c r="F348" s="3"/>
    </row>
    <row r="349" spans="5:6" x14ac:dyDescent="0.15">
      <c r="E349" s="14"/>
      <c r="F349" s="3"/>
    </row>
    <row r="350" spans="5:6" x14ac:dyDescent="0.15">
      <c r="E350" s="14"/>
      <c r="F350" s="3"/>
    </row>
    <row r="351" spans="5:6" x14ac:dyDescent="0.15">
      <c r="E351" s="14"/>
      <c r="F351" s="3"/>
    </row>
    <row r="352" spans="5:6" x14ac:dyDescent="0.15">
      <c r="E352" s="14"/>
      <c r="F352" s="3"/>
    </row>
    <row r="353" spans="3:6" x14ac:dyDescent="0.15">
      <c r="E353" s="14"/>
      <c r="F353" s="3"/>
    </row>
    <row r="354" spans="3:6" x14ac:dyDescent="0.15">
      <c r="E354" s="14"/>
      <c r="F354" s="3"/>
    </row>
    <row r="355" spans="3:6" x14ac:dyDescent="0.15">
      <c r="E355" s="14"/>
      <c r="F355" s="3"/>
    </row>
    <row r="356" spans="3:6" x14ac:dyDescent="0.15">
      <c r="E356" s="14"/>
      <c r="F356" s="3"/>
    </row>
    <row r="357" spans="3:6" x14ac:dyDescent="0.15">
      <c r="C357">
        <v>1974</v>
      </c>
      <c r="E357" s="14">
        <v>1986</v>
      </c>
      <c r="F357" s="3">
        <v>0</v>
      </c>
    </row>
    <row r="358" spans="3:6" x14ac:dyDescent="0.15">
      <c r="C358">
        <v>1980</v>
      </c>
      <c r="E358" s="14">
        <v>1992</v>
      </c>
      <c r="F358" s="3">
        <v>0</v>
      </c>
    </row>
    <row r="359" spans="3:6" x14ac:dyDescent="0.15">
      <c r="C359">
        <v>1986</v>
      </c>
      <c r="E359" s="14">
        <v>1998</v>
      </c>
      <c r="F359" s="3">
        <v>0</v>
      </c>
    </row>
    <row r="360" spans="3:6" x14ac:dyDescent="0.15">
      <c r="C360">
        <v>1992</v>
      </c>
      <c r="E360" s="14">
        <v>2004</v>
      </c>
      <c r="F360" s="3">
        <v>0</v>
      </c>
    </row>
    <row r="361" spans="3:6" ht="15" thickBot="1" x14ac:dyDescent="0.2">
      <c r="C361">
        <v>1998</v>
      </c>
      <c r="E361" s="4" t="s">
        <v>177</v>
      </c>
      <c r="F361" s="4">
        <v>0</v>
      </c>
    </row>
    <row r="362" spans="3:6" x14ac:dyDescent="0.15">
      <c r="C362">
        <v>2004</v>
      </c>
    </row>
  </sheetData>
  <sortState ref="E24:E358">
    <sortCondition ref="E24"/>
  </sortState>
  <phoneticPr fontId="1"/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 display="https://github.com/gabrielecirulli/2048"/>
    <hyperlink ref="N2" r:id="rId13"/>
    <hyperlink ref="O2" r:id="rId14"/>
    <hyperlink ref="P2" r:id="rId15"/>
    <hyperlink ref="Q2" r:id="rId16"/>
    <hyperlink ref="R2" r:id="rId17"/>
    <hyperlink ref="S2" r:id="rId18"/>
    <hyperlink ref="T2" r:id="rId19"/>
    <hyperlink ref="U2" r:id="rId20"/>
    <hyperlink ref="V2" r:id="rId21"/>
    <hyperlink ref="W2" r:id="rId22"/>
    <hyperlink ref="X2" r:id="rId23"/>
    <hyperlink ref="Y2" r:id="rId24"/>
    <hyperlink ref="Z2" r:id="rId25"/>
    <hyperlink ref="AA2" r:id="rId26"/>
    <hyperlink ref="AB2" r:id="rId27"/>
    <hyperlink ref="AC2" r:id="rId28"/>
    <hyperlink ref="AD2" r:id="rId29"/>
    <hyperlink ref="AE2" r:id="rId30"/>
  </hyperlinks>
  <pageMargins left="0.7" right="0.7" top="0.75" bottom="0.75" header="0.3" footer="0.3"/>
  <drawing r:id="rId31"/>
  <tableParts count="1">
    <tablePart r:id="rId3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opLeftCell="A22" zoomScale="85" zoomScaleNormal="85" zoomScalePageLayoutView="85" workbookViewId="0">
      <selection activeCell="B49" sqref="A1:XFD1048576"/>
    </sheetView>
  </sheetViews>
  <sheetFormatPr defaultColWidth="8.875" defaultRowHeight="14.25" x14ac:dyDescent="0.15"/>
  <cols>
    <col min="1" max="1" width="16.625" bestFit="1" customWidth="1"/>
    <col min="2" max="2" width="21.625" bestFit="1" customWidth="1"/>
    <col min="3" max="3" width="9.625" customWidth="1"/>
    <col min="4" max="4" width="9.5" customWidth="1"/>
    <col min="5" max="6" width="11.125" customWidth="1"/>
    <col min="7" max="7" width="11.875" customWidth="1"/>
    <col min="8" max="9" width="11.625" customWidth="1"/>
    <col min="10" max="10" width="12.5" customWidth="1"/>
    <col min="11" max="11" width="17.125" customWidth="1"/>
    <col min="12" max="12" width="12.625" customWidth="1"/>
    <col min="13" max="13" width="10.5" customWidth="1"/>
    <col min="14" max="14" width="11.875" customWidth="1"/>
    <col min="15" max="15" width="11.625" customWidth="1"/>
    <col min="16" max="16" width="14.625" customWidth="1"/>
    <col min="17" max="17" width="11.625" customWidth="1"/>
    <col min="18" max="18" width="13.125" customWidth="1"/>
    <col min="19" max="19" width="17" customWidth="1"/>
    <col min="20" max="20" width="12.625" bestFit="1" customWidth="1"/>
    <col min="21" max="21" width="12.625" customWidth="1"/>
    <col min="22" max="22" width="7.125" bestFit="1" customWidth="1"/>
    <col min="23" max="23" width="7.125" customWidth="1"/>
    <col min="24" max="24" width="12.125" bestFit="1" customWidth="1"/>
    <col min="25" max="25" width="10.875" bestFit="1" customWidth="1"/>
    <col min="26" max="26" width="12.125" bestFit="1" customWidth="1"/>
  </cols>
  <sheetData>
    <row r="1" spans="1:29" x14ac:dyDescent="0.15">
      <c r="A1" s="6" t="s">
        <v>20</v>
      </c>
      <c r="B1" s="6" t="s">
        <v>19</v>
      </c>
      <c r="C1" s="6" t="s">
        <v>169</v>
      </c>
      <c r="D1" s="6" t="s">
        <v>170</v>
      </c>
      <c r="E1" s="6" t="s">
        <v>171</v>
      </c>
      <c r="F1" s="6" t="s">
        <v>191</v>
      </c>
      <c r="G1" s="6" t="s">
        <v>100</v>
      </c>
      <c r="H1" s="6" t="s">
        <v>176</v>
      </c>
      <c r="I1" s="6" t="s">
        <v>192</v>
      </c>
      <c r="J1" s="6" t="s">
        <v>174</v>
      </c>
      <c r="K1" s="6" t="s">
        <v>175</v>
      </c>
      <c r="L1" s="6" t="s">
        <v>4</v>
      </c>
      <c r="M1" s="6" t="s">
        <v>172</v>
      </c>
      <c r="N1" s="6" t="s">
        <v>173</v>
      </c>
      <c r="O1" s="6" t="s">
        <v>184</v>
      </c>
      <c r="P1" s="6" t="s">
        <v>5</v>
      </c>
      <c r="Q1" s="6" t="s">
        <v>190</v>
      </c>
      <c r="R1" s="6" t="s">
        <v>187</v>
      </c>
      <c r="S1" s="6" t="s">
        <v>186</v>
      </c>
      <c r="T1" s="6" t="s">
        <v>6</v>
      </c>
      <c r="U1" s="6" t="s">
        <v>73</v>
      </c>
      <c r="V1" s="6" t="s">
        <v>16</v>
      </c>
      <c r="W1" s="6" t="s">
        <v>258</v>
      </c>
      <c r="X1" s="6" t="s">
        <v>101</v>
      </c>
      <c r="Y1" t="s">
        <v>188</v>
      </c>
      <c r="Z1" t="s">
        <v>189</v>
      </c>
      <c r="AA1" s="23" t="s">
        <v>235</v>
      </c>
      <c r="AB1" s="23" t="s">
        <v>244</v>
      </c>
    </row>
    <row r="2" spans="1:29" x14ac:dyDescent="0.15">
      <c r="A2" s="23">
        <v>31</v>
      </c>
      <c r="B2" s="27" t="s">
        <v>263</v>
      </c>
      <c r="C2" s="24">
        <v>450</v>
      </c>
      <c r="D2" s="25">
        <v>1884</v>
      </c>
      <c r="E2" s="24">
        <v>142</v>
      </c>
      <c r="F2" s="26" t="str">
        <f>IF(テーブル4[[#This Row],[branch数]]=1,"×","○")</f>
        <v>×</v>
      </c>
      <c r="G2" s="24">
        <v>1</v>
      </c>
      <c r="H2" s="24">
        <v>12</v>
      </c>
      <c r="I2" s="26" t="str">
        <f>IF(テーブル4[[#This Row],[リリース数]]=0,"×","○")</f>
        <v>×</v>
      </c>
      <c r="J2" s="24">
        <v>0</v>
      </c>
      <c r="K2" s="24">
        <v>1</v>
      </c>
      <c r="L2" s="23" t="str">
        <f>IF(テーブル4[[#This Row],[Issues計]]=0,"×","○")</f>
        <v>○</v>
      </c>
      <c r="M2" s="24">
        <v>44</v>
      </c>
      <c r="N2" s="25">
        <v>3</v>
      </c>
      <c r="O2" s="23">
        <f>SUM(テーブル4[[#This Row],[Open数]:[Closed数]])</f>
        <v>47</v>
      </c>
      <c r="P2" s="23" t="str">
        <f>IF(テーブル4[[#This Row],[PullRequest計]]=0,"×","○")</f>
        <v>○</v>
      </c>
      <c r="Q2" s="25">
        <v>15</v>
      </c>
      <c r="R2" s="25">
        <v>3</v>
      </c>
      <c r="S2" s="23">
        <f>SUM(テーブル4[[#This Row],[Open数2]:[Closed数3]])</f>
        <v>18</v>
      </c>
      <c r="T2" s="25" t="s">
        <v>31</v>
      </c>
      <c r="U2" s="25">
        <v>0</v>
      </c>
      <c r="V2" s="25" t="s">
        <v>31</v>
      </c>
      <c r="W2" s="25">
        <v>0</v>
      </c>
      <c r="X2" s="23" t="s">
        <v>110</v>
      </c>
      <c r="Y2" s="25" t="s">
        <v>228</v>
      </c>
      <c r="Z2" s="25" t="s">
        <v>229</v>
      </c>
      <c r="AA2" s="25"/>
      <c r="AB2" s="25"/>
    </row>
    <row r="3" spans="1:29" x14ac:dyDescent="0.15">
      <c r="A3" s="23">
        <v>2</v>
      </c>
      <c r="B3" s="7" t="s">
        <v>130</v>
      </c>
      <c r="C3" s="23">
        <v>178</v>
      </c>
      <c r="D3" s="23">
        <v>1636</v>
      </c>
      <c r="E3" s="23">
        <v>259</v>
      </c>
      <c r="F3" s="23" t="str">
        <f>IF(テーブル4[[#This Row],[branch数]]=1,"×","○")</f>
        <v>×</v>
      </c>
      <c r="G3" s="25">
        <v>1</v>
      </c>
      <c r="H3" s="23">
        <v>57</v>
      </c>
      <c r="I3" s="23" t="str">
        <f>IF(テーブル4[[#This Row],[リリース数]]=0,"×","○")</f>
        <v>○</v>
      </c>
      <c r="J3" s="23">
        <v>1</v>
      </c>
      <c r="K3" s="23">
        <v>3</v>
      </c>
      <c r="L3" s="23" t="str">
        <f>IF(テーブル4[[#This Row],[Issues計]]=0,"×","○")</f>
        <v>○</v>
      </c>
      <c r="M3" s="23">
        <v>3</v>
      </c>
      <c r="N3" s="23">
        <v>8</v>
      </c>
      <c r="O3" s="23">
        <f>SUM(テーブル4[[#This Row],[Open数]:[Closed数]])</f>
        <v>11</v>
      </c>
      <c r="P3" s="23" t="s">
        <v>30</v>
      </c>
      <c r="Q3" s="23">
        <v>2</v>
      </c>
      <c r="R3" s="23">
        <v>5</v>
      </c>
      <c r="S3" s="23">
        <f>SUM(テーブル4[[#This Row],[Open数2]:[Closed数3]])</f>
        <v>7</v>
      </c>
      <c r="T3" s="23" t="s">
        <v>31</v>
      </c>
      <c r="U3" s="23">
        <v>0</v>
      </c>
      <c r="V3" s="23" t="s">
        <v>31</v>
      </c>
      <c r="W3" s="23">
        <v>0</v>
      </c>
      <c r="X3" s="23" t="s">
        <v>104</v>
      </c>
      <c r="Y3" s="23" t="s">
        <v>105</v>
      </c>
      <c r="Z3" s="23"/>
      <c r="AA3" s="23"/>
      <c r="AB3" s="23"/>
      <c r="AC3" s="18"/>
    </row>
    <row r="4" spans="1:29" x14ac:dyDescent="0.15">
      <c r="A4" s="23">
        <v>1</v>
      </c>
      <c r="B4" s="7" t="s">
        <v>22</v>
      </c>
      <c r="C4" s="23">
        <v>40</v>
      </c>
      <c r="D4" s="23">
        <v>447</v>
      </c>
      <c r="E4" s="23">
        <v>93</v>
      </c>
      <c r="F4" s="23" t="str">
        <f>IF(テーブル4[[#This Row],[branch数]]=1,"×","○")</f>
        <v>○</v>
      </c>
      <c r="G4" s="25">
        <v>2</v>
      </c>
      <c r="H4" s="23">
        <v>75</v>
      </c>
      <c r="I4" s="23" t="str">
        <f>IF(テーブル4[[#This Row],[リリース数]]=0,"×","○")</f>
        <v>○</v>
      </c>
      <c r="J4" s="23">
        <v>5</v>
      </c>
      <c r="K4" s="23">
        <v>3</v>
      </c>
      <c r="L4" s="23" t="str">
        <f>IF(テーブル4[[#This Row],[Issues計]]=0,"×","○")</f>
        <v>×</v>
      </c>
      <c r="M4" s="23">
        <v>0</v>
      </c>
      <c r="N4" s="23">
        <v>0</v>
      </c>
      <c r="O4" s="23">
        <f>SUM(テーブル4[[#This Row],[Open数]:[Closed数]])</f>
        <v>0</v>
      </c>
      <c r="P4" s="23" t="s">
        <v>30</v>
      </c>
      <c r="Q4" s="23">
        <v>0</v>
      </c>
      <c r="R4" s="23">
        <v>2</v>
      </c>
      <c r="S4" s="23">
        <f>SUM(テーブル4[[#This Row],[Open数2]:[Closed数3]])</f>
        <v>2</v>
      </c>
      <c r="T4" s="23" t="s">
        <v>31</v>
      </c>
      <c r="U4" s="23">
        <v>0</v>
      </c>
      <c r="V4" s="23" t="s">
        <v>31</v>
      </c>
      <c r="W4" s="23">
        <v>0</v>
      </c>
      <c r="X4" s="23" t="s">
        <v>102</v>
      </c>
      <c r="Y4" s="23" t="s">
        <v>103</v>
      </c>
      <c r="Z4" s="23"/>
      <c r="AA4" s="23"/>
      <c r="AB4" s="23"/>
    </row>
    <row r="5" spans="1:29" x14ac:dyDescent="0.15">
      <c r="A5" s="23">
        <v>40</v>
      </c>
      <c r="B5" s="27" t="s">
        <v>247</v>
      </c>
      <c r="C5" s="25">
        <v>3543</v>
      </c>
      <c r="D5" s="25">
        <v>12035</v>
      </c>
      <c r="E5" s="25">
        <v>656</v>
      </c>
      <c r="F5" s="28" t="str">
        <f>IF(テーブル4[[#This Row],[branch数]]=1,"×","○")</f>
        <v>○</v>
      </c>
      <c r="G5" s="25">
        <v>4</v>
      </c>
      <c r="H5" s="25">
        <v>97</v>
      </c>
      <c r="I5" s="28" t="str">
        <f>IF(テーブル4[[#This Row],[リリース数]]=0,"×","○")</f>
        <v>○</v>
      </c>
      <c r="J5" s="25">
        <v>6</v>
      </c>
      <c r="K5" s="25">
        <v>14</v>
      </c>
      <c r="L5" s="23" t="str">
        <f>IF(テーブル4[[#This Row],[Issues計]]=0,"×","○")</f>
        <v>○</v>
      </c>
      <c r="M5" s="25">
        <v>289</v>
      </c>
      <c r="N5" s="25">
        <v>289</v>
      </c>
      <c r="O5" s="23">
        <f>SUM(テーブル4[[#This Row],[Open数]:[Closed数]])</f>
        <v>578</v>
      </c>
      <c r="P5" s="23" t="str">
        <f>IF(テーブル4[[#This Row],[PullRequest計]]=0,"×","○")</f>
        <v>○</v>
      </c>
      <c r="Q5" s="25">
        <v>93</v>
      </c>
      <c r="R5" s="25">
        <v>80</v>
      </c>
      <c r="S5" s="23">
        <f>SUM(テーブル4[[#This Row],[Open数2]:[Closed数3]])</f>
        <v>173</v>
      </c>
      <c r="T5" s="25" t="s">
        <v>31</v>
      </c>
      <c r="U5" s="25">
        <v>0</v>
      </c>
      <c r="V5" s="25" t="s">
        <v>30</v>
      </c>
      <c r="W5" s="25">
        <v>11</v>
      </c>
      <c r="X5" s="25" t="s">
        <v>232</v>
      </c>
      <c r="Y5" s="25"/>
      <c r="Z5" s="25"/>
      <c r="AA5" s="25"/>
      <c r="AB5" s="25"/>
    </row>
    <row r="6" spans="1:29" x14ac:dyDescent="0.15">
      <c r="A6" s="23">
        <v>28</v>
      </c>
      <c r="B6" s="7" t="s">
        <v>66</v>
      </c>
      <c r="C6" s="23">
        <v>59</v>
      </c>
      <c r="D6" s="23">
        <v>2271</v>
      </c>
      <c r="E6" s="23">
        <v>233</v>
      </c>
      <c r="F6" s="23" t="str">
        <f>IF(テーブル4[[#This Row],[branch数]]=1,"×","○")</f>
        <v>○</v>
      </c>
      <c r="G6" s="25">
        <v>3</v>
      </c>
      <c r="H6" s="23">
        <v>102</v>
      </c>
      <c r="I6" s="23" t="str">
        <f>IF(テーブル4[[#This Row],[リリース数]]=0,"×","○")</f>
        <v>○</v>
      </c>
      <c r="J6" s="23">
        <v>9</v>
      </c>
      <c r="K6" s="23">
        <v>22</v>
      </c>
      <c r="L6" s="23" t="str">
        <f>IF(テーブル4[[#This Row],[Issues計]]=0,"×","○")</f>
        <v>○</v>
      </c>
      <c r="M6" s="23">
        <v>15</v>
      </c>
      <c r="N6" s="23">
        <v>42</v>
      </c>
      <c r="O6" s="23">
        <f>SUM(テーブル4[[#This Row],[Open数]:[Closed数]])</f>
        <v>57</v>
      </c>
      <c r="P6" s="23" t="str">
        <f>IF(テーブル4[[#This Row],[PullRequest計]]=0,"×","○")</f>
        <v>○</v>
      </c>
      <c r="Q6" s="23">
        <v>9</v>
      </c>
      <c r="R6" s="23">
        <v>51</v>
      </c>
      <c r="S6" s="23">
        <f>SUM(テーブル4[[#This Row],[Open数2]:[Closed数3]])</f>
        <v>60</v>
      </c>
      <c r="T6" s="23" t="s">
        <v>31</v>
      </c>
      <c r="U6" s="23">
        <v>0</v>
      </c>
      <c r="V6" s="23" t="s">
        <v>31</v>
      </c>
      <c r="W6" s="23">
        <v>0</v>
      </c>
      <c r="X6" s="23" t="s">
        <v>106</v>
      </c>
      <c r="Y6" s="23" t="s">
        <v>127</v>
      </c>
      <c r="Z6" s="23" t="s">
        <v>110</v>
      </c>
      <c r="AA6" s="23"/>
      <c r="AB6" s="23"/>
    </row>
    <row r="7" spans="1:29" x14ac:dyDescent="0.15">
      <c r="A7" s="23">
        <v>30</v>
      </c>
      <c r="B7" s="7" t="s">
        <v>69</v>
      </c>
      <c r="C7" s="23">
        <v>56</v>
      </c>
      <c r="D7" s="23">
        <v>392</v>
      </c>
      <c r="E7" s="23">
        <v>78</v>
      </c>
      <c r="F7" s="23" t="str">
        <f>IF(テーブル4[[#This Row],[branch数]]=1,"×","○")</f>
        <v>×</v>
      </c>
      <c r="G7" s="25">
        <v>1</v>
      </c>
      <c r="H7" s="23">
        <v>136</v>
      </c>
      <c r="I7" s="23" t="str">
        <f>IF(テーブル4[[#This Row],[リリース数]]=0,"×","○")</f>
        <v>○</v>
      </c>
      <c r="J7" s="23">
        <v>21</v>
      </c>
      <c r="K7" s="23">
        <v>3</v>
      </c>
      <c r="L7" s="23" t="str">
        <f>IF(テーブル4[[#This Row],[Issues計]]=0,"×","○")</f>
        <v>○</v>
      </c>
      <c r="M7" s="23">
        <v>0</v>
      </c>
      <c r="N7" s="23">
        <v>21</v>
      </c>
      <c r="O7" s="23">
        <f>SUM(テーブル4[[#This Row],[Open数]:[Closed数]])</f>
        <v>21</v>
      </c>
      <c r="P7" s="23" t="str">
        <f>IF(テーブル4[[#This Row],[PullRequest計]]=0,"×","○")</f>
        <v>○</v>
      </c>
      <c r="Q7" s="23">
        <v>1</v>
      </c>
      <c r="R7" s="23">
        <v>8</v>
      </c>
      <c r="S7" s="23">
        <f>SUM(テーブル4[[#This Row],[Open数2]:[Closed数3]])</f>
        <v>9</v>
      </c>
      <c r="T7" s="23" t="s">
        <v>31</v>
      </c>
      <c r="U7" s="23">
        <v>0</v>
      </c>
      <c r="V7" s="23" t="s">
        <v>30</v>
      </c>
      <c r="W7" s="23">
        <v>7</v>
      </c>
      <c r="X7" s="23" t="s">
        <v>110</v>
      </c>
      <c r="Y7" s="23" t="s">
        <v>109</v>
      </c>
      <c r="Z7" s="23"/>
      <c r="AA7" s="23"/>
      <c r="AB7" s="23"/>
    </row>
    <row r="8" spans="1:29" x14ac:dyDescent="0.15">
      <c r="A8" s="23">
        <v>14</v>
      </c>
      <c r="B8" s="7" t="s">
        <v>132</v>
      </c>
      <c r="C8" s="23">
        <v>321</v>
      </c>
      <c r="D8" s="23">
        <v>4359</v>
      </c>
      <c r="E8" s="23">
        <v>1234</v>
      </c>
      <c r="F8" s="23" t="str">
        <f>IF(テーブル4[[#This Row],[branch数]]=1,"×","○")</f>
        <v>○</v>
      </c>
      <c r="G8" s="23">
        <v>4</v>
      </c>
      <c r="H8" s="23">
        <v>153</v>
      </c>
      <c r="I8" s="23" t="str">
        <f>IF(テーブル4[[#This Row],[リリース数]]=0,"×","○")</f>
        <v>×</v>
      </c>
      <c r="J8" s="23">
        <v>0</v>
      </c>
      <c r="K8" s="23">
        <v>4</v>
      </c>
      <c r="L8" s="23" t="str">
        <f>IF(テーブル4[[#This Row],[Issues計]]=0,"×","○")</f>
        <v>×</v>
      </c>
      <c r="M8" s="23">
        <v>0</v>
      </c>
      <c r="N8" s="23">
        <v>0</v>
      </c>
      <c r="O8" s="23">
        <f>SUM(テーブル4[[#This Row],[Open数]:[Closed数]])</f>
        <v>0</v>
      </c>
      <c r="P8" s="23" t="str">
        <f>IF(テーブル4[[#This Row],[PullRequest計]]=0,"×","○")</f>
        <v>○</v>
      </c>
      <c r="Q8" s="23">
        <v>0</v>
      </c>
      <c r="R8" s="23">
        <v>27</v>
      </c>
      <c r="S8" s="23">
        <f>SUM(テーブル4[[#This Row],[Open数2]:[Closed数3]])</f>
        <v>27</v>
      </c>
      <c r="T8" s="23" t="s">
        <v>31</v>
      </c>
      <c r="U8" s="23">
        <v>3</v>
      </c>
      <c r="V8" s="23" t="s">
        <v>31</v>
      </c>
      <c r="W8" s="23">
        <v>0</v>
      </c>
      <c r="X8" s="23" t="s">
        <v>110</v>
      </c>
      <c r="Y8" s="23" t="s">
        <v>120</v>
      </c>
      <c r="Z8" s="23"/>
      <c r="AA8" s="23"/>
      <c r="AB8" s="23"/>
    </row>
    <row r="9" spans="1:29" x14ac:dyDescent="0.15">
      <c r="A9" s="23">
        <v>12</v>
      </c>
      <c r="B9" s="19">
        <v>2048</v>
      </c>
      <c r="C9" s="23">
        <v>471</v>
      </c>
      <c r="D9" s="23">
        <v>6127</v>
      </c>
      <c r="E9" s="23">
        <v>10970</v>
      </c>
      <c r="F9" s="23" t="str">
        <f>IF(テーブル4[[#This Row],[branch数]]=1,"×","○")</f>
        <v>○</v>
      </c>
      <c r="G9" s="23">
        <v>2</v>
      </c>
      <c r="H9" s="23">
        <v>160</v>
      </c>
      <c r="I9" s="23" t="str">
        <f>IF(テーブル4[[#This Row],[リリース数]]=0,"×","○")</f>
        <v>×</v>
      </c>
      <c r="J9" s="23">
        <v>0</v>
      </c>
      <c r="K9" s="23">
        <v>21</v>
      </c>
      <c r="L9" s="23" t="str">
        <f>IF(テーブル4[[#This Row],[Issues計]]=0,"×","○")</f>
        <v>○</v>
      </c>
      <c r="M9" s="23">
        <v>56</v>
      </c>
      <c r="N9" s="23">
        <v>43</v>
      </c>
      <c r="O9" s="23">
        <f>SUM(テーブル4[[#This Row],[Open数]:[Closed数]])</f>
        <v>99</v>
      </c>
      <c r="P9" s="23" t="str">
        <f>IF(テーブル4[[#This Row],[PullRequest計]]=0,"×","○")</f>
        <v>○</v>
      </c>
      <c r="Q9" s="23">
        <v>53</v>
      </c>
      <c r="R9" s="23">
        <v>123</v>
      </c>
      <c r="S9" s="23">
        <f>SUM(テーブル4[[#This Row],[Open数2]:[Closed数3]])</f>
        <v>176</v>
      </c>
      <c r="T9" s="23" t="s">
        <v>31</v>
      </c>
      <c r="U9" s="23">
        <v>0</v>
      </c>
      <c r="V9" s="23" t="s">
        <v>30</v>
      </c>
      <c r="W9" s="23">
        <v>8</v>
      </c>
      <c r="X9" s="23" t="s">
        <v>109</v>
      </c>
      <c r="Y9" s="23" t="s">
        <v>110</v>
      </c>
      <c r="Z9" s="23" t="s">
        <v>106</v>
      </c>
      <c r="AA9" s="23"/>
      <c r="AB9" s="23"/>
    </row>
    <row r="10" spans="1:29" x14ac:dyDescent="0.15">
      <c r="A10" s="23">
        <v>13</v>
      </c>
      <c r="B10" s="7" t="s">
        <v>50</v>
      </c>
      <c r="C10" s="23">
        <v>80</v>
      </c>
      <c r="D10" s="23">
        <v>629</v>
      </c>
      <c r="E10" s="23">
        <v>360</v>
      </c>
      <c r="F10" s="23" t="str">
        <f>IF(テーブル4[[#This Row],[branch数]]=1,"×","○")</f>
        <v>○</v>
      </c>
      <c r="G10" s="25">
        <v>3</v>
      </c>
      <c r="H10" s="23">
        <v>214</v>
      </c>
      <c r="I10" s="23" t="str">
        <f>IF(テーブル4[[#This Row],[リリース数]]=0,"×","○")</f>
        <v>×</v>
      </c>
      <c r="J10" s="23">
        <v>0</v>
      </c>
      <c r="K10" s="23">
        <v>7</v>
      </c>
      <c r="L10" s="23" t="str">
        <f>IF(テーブル4[[#This Row],[Issues計]]=0,"×","○")</f>
        <v>○</v>
      </c>
      <c r="M10" s="23">
        <v>3</v>
      </c>
      <c r="N10" s="23">
        <v>31</v>
      </c>
      <c r="O10" s="23">
        <f>SUM(テーブル4[[#This Row],[Open数]:[Closed数]])</f>
        <v>34</v>
      </c>
      <c r="P10" s="23" t="str">
        <f>IF(テーブル4[[#This Row],[PullRequest計]]=0,"×","○")</f>
        <v>○</v>
      </c>
      <c r="Q10" s="23">
        <v>0</v>
      </c>
      <c r="R10" s="23">
        <v>20</v>
      </c>
      <c r="S10" s="23">
        <f>SUM(テーブル4[[#This Row],[Open数2]:[Closed数3]])</f>
        <v>20</v>
      </c>
      <c r="T10" s="23" t="s">
        <v>31</v>
      </c>
      <c r="U10" s="23">
        <v>0</v>
      </c>
      <c r="V10" s="23" t="s">
        <v>30</v>
      </c>
      <c r="W10" s="23">
        <v>6</v>
      </c>
      <c r="X10" s="23" t="s">
        <v>110</v>
      </c>
      <c r="Y10" s="23" t="s">
        <v>109</v>
      </c>
      <c r="Z10" s="23"/>
      <c r="AA10" s="23"/>
      <c r="AB10" s="23"/>
    </row>
    <row r="11" spans="1:29" x14ac:dyDescent="0.15">
      <c r="A11" s="23">
        <v>42</v>
      </c>
      <c r="B11" s="27" t="s">
        <v>249</v>
      </c>
      <c r="C11" s="25">
        <v>366</v>
      </c>
      <c r="D11" s="25">
        <v>2328</v>
      </c>
      <c r="E11" s="25">
        <v>185</v>
      </c>
      <c r="F11" s="28" t="str">
        <f>IF(テーブル4[[#This Row],[branch数]]=1,"×","○")</f>
        <v>○</v>
      </c>
      <c r="G11" s="25">
        <v>5</v>
      </c>
      <c r="H11" s="25">
        <v>218</v>
      </c>
      <c r="I11" s="28" t="str">
        <f>IF(テーブル4[[#This Row],[リリース数]]=0,"×","○")</f>
        <v>○</v>
      </c>
      <c r="J11" s="25">
        <v>5</v>
      </c>
      <c r="K11" s="25">
        <v>9</v>
      </c>
      <c r="L11" s="23" t="str">
        <f>IF(テーブル4[[#This Row],[Issues計]]=0,"×","○")</f>
        <v>○</v>
      </c>
      <c r="M11" s="25">
        <v>15</v>
      </c>
      <c r="N11" s="25">
        <v>52</v>
      </c>
      <c r="O11" s="23">
        <f>SUM(テーブル4[[#This Row],[Open数]:[Closed数]])</f>
        <v>67</v>
      </c>
      <c r="P11" s="23" t="str">
        <f>IF(テーブル4[[#This Row],[PullRequest計]]=0,"×","○")</f>
        <v>○</v>
      </c>
      <c r="Q11" s="25">
        <v>4</v>
      </c>
      <c r="R11" s="25">
        <v>9</v>
      </c>
      <c r="S11" s="23">
        <f>SUM(テーブル4[[#This Row],[Open数2]:[Closed数3]])</f>
        <v>13</v>
      </c>
      <c r="T11" s="25" t="s">
        <v>30</v>
      </c>
      <c r="U11" s="25">
        <v>13</v>
      </c>
      <c r="V11" s="25" t="s">
        <v>30</v>
      </c>
      <c r="W11" s="25">
        <v>10</v>
      </c>
      <c r="X11" s="25" t="s">
        <v>232</v>
      </c>
      <c r="Y11" s="25" t="s">
        <v>234</v>
      </c>
      <c r="Z11" s="25"/>
      <c r="AA11" s="25"/>
      <c r="AB11" s="25"/>
    </row>
    <row r="12" spans="1:29" x14ac:dyDescent="0.15">
      <c r="A12" s="23">
        <v>3</v>
      </c>
      <c r="B12" s="7" t="s">
        <v>36</v>
      </c>
      <c r="C12" s="23">
        <v>178</v>
      </c>
      <c r="D12" s="23">
        <v>2319</v>
      </c>
      <c r="E12" s="23">
        <v>463</v>
      </c>
      <c r="F12" s="23" t="str">
        <f>IF(テーブル4[[#This Row],[branch数]]=1,"×","○")</f>
        <v>×</v>
      </c>
      <c r="G12" s="23">
        <v>1</v>
      </c>
      <c r="H12" s="23">
        <v>221</v>
      </c>
      <c r="I12" s="23" t="str">
        <f>IF(テーブル4[[#This Row],[リリース数]]=0,"×","○")</f>
        <v>×</v>
      </c>
      <c r="J12" s="23">
        <v>0</v>
      </c>
      <c r="K12" s="23">
        <v>7</v>
      </c>
      <c r="L12" s="23" t="str">
        <f>IF(テーブル4[[#This Row],[Issues計]]=0,"×","○")</f>
        <v>○</v>
      </c>
      <c r="M12" s="23">
        <v>27</v>
      </c>
      <c r="N12" s="23">
        <v>28</v>
      </c>
      <c r="O12" s="23">
        <f>SUM(テーブル4[[#This Row],[Open数]:[Closed数]])</f>
        <v>55</v>
      </c>
      <c r="P12" s="23" t="str">
        <f>IF(テーブル4[[#This Row],[PullRequest計]]=0,"×","○")</f>
        <v>○</v>
      </c>
      <c r="Q12" s="23">
        <v>9</v>
      </c>
      <c r="R12" s="23">
        <v>13</v>
      </c>
      <c r="S12" s="23">
        <f>SUM(テーブル4[[#This Row],[Open数2]:[Closed数3]])</f>
        <v>22</v>
      </c>
      <c r="T12" s="23" t="s">
        <v>30</v>
      </c>
      <c r="U12" s="23">
        <v>26</v>
      </c>
      <c r="V12" s="23" t="s">
        <v>30</v>
      </c>
      <c r="W12" s="23">
        <v>7</v>
      </c>
      <c r="X12" s="23" t="s">
        <v>106</v>
      </c>
      <c r="Y12" s="23"/>
      <c r="Z12" s="23"/>
      <c r="AA12" s="23"/>
      <c r="AB12" s="23"/>
    </row>
    <row r="13" spans="1:29" x14ac:dyDescent="0.15">
      <c r="A13" s="23">
        <v>33</v>
      </c>
      <c r="B13" s="27" t="s">
        <v>231</v>
      </c>
      <c r="C13" s="3">
        <v>160</v>
      </c>
      <c r="D13" s="25">
        <v>1122</v>
      </c>
      <c r="E13" s="3">
        <v>69</v>
      </c>
      <c r="F13" s="14" t="str">
        <f>IF(テーブル4[[#This Row],[branch数]]=1,"×","○")</f>
        <v>○</v>
      </c>
      <c r="G13" s="3">
        <v>4</v>
      </c>
      <c r="H13" s="3">
        <v>238</v>
      </c>
      <c r="I13" s="14" t="str">
        <f>IF(テーブル4[[#This Row],[リリース数]]=0,"×","○")</f>
        <v>○</v>
      </c>
      <c r="J13" s="25">
        <v>2</v>
      </c>
      <c r="K13" s="3">
        <v>6</v>
      </c>
      <c r="L13" s="23" t="str">
        <f>IF(テーブル4[[#This Row],[Issues計]]=0,"×","○")</f>
        <v>○</v>
      </c>
      <c r="M13" s="3">
        <v>27</v>
      </c>
      <c r="N13" s="25">
        <v>25</v>
      </c>
      <c r="O13" s="23">
        <f>SUM(テーブル4[[#This Row],[Open数]:[Closed数]])</f>
        <v>52</v>
      </c>
      <c r="P13" s="23" t="str">
        <f>IF(テーブル4[[#This Row],[PullRequest計]]=0,"×","○")</f>
        <v>○</v>
      </c>
      <c r="Q13" s="25">
        <v>1</v>
      </c>
      <c r="R13" s="25">
        <v>7</v>
      </c>
      <c r="S13" s="23">
        <f>SUM(テーブル4[[#This Row],[Open数2]:[Closed数3]])</f>
        <v>8</v>
      </c>
      <c r="T13" s="25" t="s">
        <v>30</v>
      </c>
      <c r="U13" s="25">
        <v>6</v>
      </c>
      <c r="V13" s="25" t="s">
        <v>30</v>
      </c>
      <c r="W13" s="25">
        <v>5</v>
      </c>
      <c r="X13" s="25" t="s">
        <v>232</v>
      </c>
      <c r="Y13" s="25" t="s">
        <v>233</v>
      </c>
      <c r="Z13" s="25" t="s">
        <v>234</v>
      </c>
      <c r="AA13" s="25" t="s">
        <v>229</v>
      </c>
      <c r="AB13" s="25"/>
    </row>
    <row r="14" spans="1:29" x14ac:dyDescent="0.15">
      <c r="A14" s="23">
        <v>48</v>
      </c>
      <c r="B14" s="27" t="s">
        <v>255</v>
      </c>
      <c r="C14" s="25">
        <v>226</v>
      </c>
      <c r="D14" s="25">
        <v>2672</v>
      </c>
      <c r="E14" s="25">
        <v>94</v>
      </c>
      <c r="F14" s="28" t="str">
        <f>IF(テーブル4[[#This Row],[branch数]]=1,"×","○")</f>
        <v>○</v>
      </c>
      <c r="G14" s="25">
        <v>4</v>
      </c>
      <c r="H14" s="25">
        <v>269</v>
      </c>
      <c r="I14" s="28" t="str">
        <f>IF(テーブル4[[#This Row],[リリース数]]=0,"×","○")</f>
        <v>○</v>
      </c>
      <c r="J14" s="25">
        <v>27</v>
      </c>
      <c r="K14" s="25">
        <v>6</v>
      </c>
      <c r="L14" s="23" t="str">
        <f>IF(テーブル4[[#This Row],[Issues計]]=0,"×","○")</f>
        <v>○</v>
      </c>
      <c r="M14" s="25">
        <v>1</v>
      </c>
      <c r="N14" s="25">
        <v>27</v>
      </c>
      <c r="O14" s="23">
        <f>SUM(テーブル4[[#This Row],[Open数]:[Closed数]])</f>
        <v>28</v>
      </c>
      <c r="P14" s="23" t="str">
        <f>IF(テーブル4[[#This Row],[PullRequest計]]=0,"×","○")</f>
        <v>○</v>
      </c>
      <c r="Q14" s="25">
        <v>1</v>
      </c>
      <c r="R14" s="25">
        <v>19</v>
      </c>
      <c r="S14" s="23">
        <f>SUM(テーブル4[[#This Row],[Open数2]:[Closed数3]])</f>
        <v>20</v>
      </c>
      <c r="T14" s="25" t="s">
        <v>31</v>
      </c>
      <c r="U14" s="25">
        <v>0</v>
      </c>
      <c r="V14" s="25" t="s">
        <v>31</v>
      </c>
      <c r="W14" s="25">
        <v>0</v>
      </c>
      <c r="X14" s="25" t="s">
        <v>232</v>
      </c>
      <c r="Y14" s="25" t="s">
        <v>234</v>
      </c>
      <c r="Z14" s="25" t="s">
        <v>252</v>
      </c>
      <c r="AA14" s="25"/>
      <c r="AB14" s="25"/>
    </row>
    <row r="15" spans="1:29" x14ac:dyDescent="0.15">
      <c r="A15" s="23">
        <v>34</v>
      </c>
      <c r="B15" s="27" t="s">
        <v>236</v>
      </c>
      <c r="C15" s="3">
        <v>242</v>
      </c>
      <c r="D15" s="25">
        <v>2577</v>
      </c>
      <c r="E15" s="3">
        <v>191</v>
      </c>
      <c r="F15" s="14" t="str">
        <f>IF(テーブル4[[#This Row],[branch数]]=1,"×","○")</f>
        <v>○</v>
      </c>
      <c r="G15" s="3">
        <v>3</v>
      </c>
      <c r="H15" s="3">
        <v>276</v>
      </c>
      <c r="I15" s="14" t="str">
        <f>IF(テーブル4[[#This Row],[リリース数]]=0,"×","○")</f>
        <v>○</v>
      </c>
      <c r="J15" s="25">
        <v>11</v>
      </c>
      <c r="K15" s="3">
        <v>11</v>
      </c>
      <c r="L15" s="23" t="str">
        <f>IF(テーブル4[[#This Row],[Issues計]]=0,"×","○")</f>
        <v>○</v>
      </c>
      <c r="M15" s="3">
        <v>62</v>
      </c>
      <c r="N15" s="25">
        <v>120</v>
      </c>
      <c r="O15" s="23">
        <f>SUM(テーブル4[[#This Row],[Open数]:[Closed数]])</f>
        <v>182</v>
      </c>
      <c r="P15" s="23" t="str">
        <f>IF(テーブル4[[#This Row],[PullRequest計]]=0,"×","○")</f>
        <v>○</v>
      </c>
      <c r="Q15" s="25">
        <v>4</v>
      </c>
      <c r="R15" s="25">
        <v>36</v>
      </c>
      <c r="S15" s="23">
        <f>SUM(テーブル4[[#This Row],[Open数2]:[Closed数3]])</f>
        <v>40</v>
      </c>
      <c r="T15" s="25" t="s">
        <v>30</v>
      </c>
      <c r="U15" s="25">
        <v>17</v>
      </c>
      <c r="V15" s="25" t="s">
        <v>30</v>
      </c>
      <c r="W15" s="25">
        <v>9</v>
      </c>
      <c r="X15" s="25" t="s">
        <v>232</v>
      </c>
      <c r="Y15" s="25" t="s">
        <v>237</v>
      </c>
      <c r="Z15" s="25"/>
      <c r="AA15" s="25"/>
      <c r="AB15" s="25"/>
    </row>
    <row r="16" spans="1:29" x14ac:dyDescent="0.15">
      <c r="A16" s="23">
        <v>26</v>
      </c>
      <c r="B16" s="7" t="s">
        <v>64</v>
      </c>
      <c r="C16" s="23">
        <v>253</v>
      </c>
      <c r="D16" s="23">
        <v>2055</v>
      </c>
      <c r="E16" s="23">
        <v>1015</v>
      </c>
      <c r="F16" s="23" t="str">
        <f>IF(テーブル4[[#This Row],[branch数]]=1,"×","○")</f>
        <v>○</v>
      </c>
      <c r="G16" s="23">
        <v>5</v>
      </c>
      <c r="H16" s="23">
        <v>341</v>
      </c>
      <c r="I16" s="23" t="str">
        <f>IF(テーブル4[[#This Row],[リリース数]]=0,"×","○")</f>
        <v>×</v>
      </c>
      <c r="J16" s="23">
        <v>0</v>
      </c>
      <c r="K16" s="23">
        <v>19</v>
      </c>
      <c r="L16" s="23" t="str">
        <f>IF(テーブル4[[#This Row],[Issues計]]=0,"×","○")</f>
        <v>○</v>
      </c>
      <c r="M16" s="23">
        <v>6</v>
      </c>
      <c r="N16" s="23">
        <v>2</v>
      </c>
      <c r="O16" s="23">
        <f>SUM(テーブル4[[#This Row],[Open数]:[Closed数]])</f>
        <v>8</v>
      </c>
      <c r="P16" s="23" t="str">
        <f>IF(テーブル4[[#This Row],[PullRequest計]]=0,"×","○")</f>
        <v>○</v>
      </c>
      <c r="Q16" s="23">
        <v>17</v>
      </c>
      <c r="R16" s="23">
        <v>29</v>
      </c>
      <c r="S16" s="23">
        <f>SUM(テーブル4[[#This Row],[Open数2]:[Closed数3]])</f>
        <v>46</v>
      </c>
      <c r="T16" s="23" t="s">
        <v>31</v>
      </c>
      <c r="U16" s="23">
        <v>0</v>
      </c>
      <c r="V16" s="23" t="s">
        <v>31</v>
      </c>
      <c r="W16" s="23">
        <v>0</v>
      </c>
      <c r="X16" s="23" t="s">
        <v>109</v>
      </c>
      <c r="Y16" s="23" t="s">
        <v>110</v>
      </c>
      <c r="Z16" s="23" t="s">
        <v>111</v>
      </c>
      <c r="AA16" s="23"/>
      <c r="AB16" s="23"/>
    </row>
    <row r="17" spans="1:28" x14ac:dyDescent="0.15">
      <c r="A17" s="23">
        <v>43</v>
      </c>
      <c r="B17" s="27" t="s">
        <v>266</v>
      </c>
      <c r="C17" s="25">
        <v>232</v>
      </c>
      <c r="D17" s="25">
        <v>4336</v>
      </c>
      <c r="E17" s="25">
        <v>162</v>
      </c>
      <c r="F17" s="28" t="str">
        <f>IF(テーブル4[[#This Row],[branch数]]=1,"×","○")</f>
        <v>○</v>
      </c>
      <c r="G17" s="25">
        <v>4</v>
      </c>
      <c r="H17" s="25">
        <v>365</v>
      </c>
      <c r="I17" s="28" t="str">
        <f>IF(テーブル4[[#This Row],[リリース数]]=0,"×","○")</f>
        <v>○</v>
      </c>
      <c r="J17" s="25">
        <v>26</v>
      </c>
      <c r="K17" s="25">
        <v>14</v>
      </c>
      <c r="L17" s="23" t="str">
        <f>IF(テーブル4[[#This Row],[Issues計]]=0,"×","○")</f>
        <v>○</v>
      </c>
      <c r="M17" s="25">
        <v>16</v>
      </c>
      <c r="N17" s="25">
        <v>41</v>
      </c>
      <c r="O17" s="23">
        <f>SUM(テーブル4[[#This Row],[Open数]:[Closed数]])</f>
        <v>57</v>
      </c>
      <c r="P17" s="23" t="str">
        <f>IF(テーブル4[[#This Row],[PullRequest計]]=0,"×","○")</f>
        <v>○</v>
      </c>
      <c r="Q17" s="25">
        <v>1</v>
      </c>
      <c r="R17" s="25">
        <v>23</v>
      </c>
      <c r="S17" s="23">
        <f>SUM(テーブル4[[#This Row],[Open数2]:[Closed数3]])</f>
        <v>24</v>
      </c>
      <c r="T17" s="25" t="s">
        <v>31</v>
      </c>
      <c r="U17" s="25">
        <v>0</v>
      </c>
      <c r="V17" s="25" t="s">
        <v>30</v>
      </c>
      <c r="W17" s="25">
        <v>6</v>
      </c>
      <c r="X17" s="25" t="s">
        <v>232</v>
      </c>
      <c r="Y17" s="25" t="s">
        <v>234</v>
      </c>
      <c r="Z17" s="25"/>
      <c r="AA17" s="25"/>
      <c r="AB17" s="25"/>
    </row>
    <row r="18" spans="1:28" x14ac:dyDescent="0.15">
      <c r="A18" s="23">
        <v>41</v>
      </c>
      <c r="B18" s="27" t="s">
        <v>248</v>
      </c>
      <c r="C18" s="25">
        <v>150</v>
      </c>
      <c r="D18" s="25">
        <v>3591</v>
      </c>
      <c r="E18" s="25">
        <v>160</v>
      </c>
      <c r="F18" s="28" t="str">
        <f>IF(テーブル4[[#This Row],[branch数]]=1,"×","○")</f>
        <v>○</v>
      </c>
      <c r="G18" s="25">
        <v>2</v>
      </c>
      <c r="H18" s="25">
        <v>384</v>
      </c>
      <c r="I18" s="28" t="str">
        <f>IF(テーブル4[[#This Row],[リリース数]]=0,"×","○")</f>
        <v>○</v>
      </c>
      <c r="J18" s="25">
        <v>14</v>
      </c>
      <c r="K18" s="25">
        <v>7</v>
      </c>
      <c r="L18" s="23" t="str">
        <f>IF(テーブル4[[#This Row],[Issues計]]=0,"×","○")</f>
        <v>○</v>
      </c>
      <c r="M18" s="25">
        <v>34</v>
      </c>
      <c r="N18" s="25">
        <v>59</v>
      </c>
      <c r="O18" s="23">
        <f>SUM(テーブル4[[#This Row],[Open数]:[Closed数]])</f>
        <v>93</v>
      </c>
      <c r="P18" s="23" t="str">
        <f>IF(テーブル4[[#This Row],[PullRequest計]]=0,"×","○")</f>
        <v>○</v>
      </c>
      <c r="Q18" s="25">
        <v>0</v>
      </c>
      <c r="R18" s="25">
        <v>48</v>
      </c>
      <c r="S18" s="23">
        <f>SUM(テーブル4[[#This Row],[Open数2]:[Closed数3]])</f>
        <v>48</v>
      </c>
      <c r="T18" s="25" t="s">
        <v>31</v>
      </c>
      <c r="U18" s="25">
        <v>0</v>
      </c>
      <c r="V18" s="25" t="s">
        <v>30</v>
      </c>
      <c r="W18" s="25">
        <v>10</v>
      </c>
      <c r="X18" s="25" t="s">
        <v>233</v>
      </c>
      <c r="Y18" s="25" t="s">
        <v>234</v>
      </c>
      <c r="Z18" s="25" t="s">
        <v>110</v>
      </c>
      <c r="AA18" s="25"/>
      <c r="AB18" s="25"/>
    </row>
    <row r="19" spans="1:28" x14ac:dyDescent="0.15">
      <c r="A19" s="23">
        <v>46</v>
      </c>
      <c r="B19" s="27" t="s">
        <v>253</v>
      </c>
      <c r="C19" s="25">
        <v>1136</v>
      </c>
      <c r="D19" s="25">
        <v>10175</v>
      </c>
      <c r="E19" s="25">
        <v>438</v>
      </c>
      <c r="F19" s="28" t="str">
        <f>IF(テーブル4[[#This Row],[branch数]]=1,"×","○")</f>
        <v>○</v>
      </c>
      <c r="G19" s="25">
        <v>3</v>
      </c>
      <c r="H19" s="25">
        <v>394</v>
      </c>
      <c r="I19" s="28" t="str">
        <f>IF(テーブル4[[#This Row],[リリース数]]=0,"×","○")</f>
        <v>○</v>
      </c>
      <c r="J19" s="25">
        <v>21</v>
      </c>
      <c r="K19" s="25">
        <v>53</v>
      </c>
      <c r="L19" s="23" t="str">
        <f>IF(テーブル4[[#This Row],[Issues計]]=0,"×","○")</f>
        <v>○</v>
      </c>
      <c r="M19" s="25">
        <v>26</v>
      </c>
      <c r="N19" s="25">
        <v>220</v>
      </c>
      <c r="O19" s="23">
        <f>SUM(テーブル4[[#This Row],[Open数]:[Closed数]])</f>
        <v>246</v>
      </c>
      <c r="P19" s="23" t="str">
        <f>IF(テーブル4[[#This Row],[PullRequest計]]=0,"×","○")</f>
        <v>○</v>
      </c>
      <c r="Q19" s="25">
        <v>28</v>
      </c>
      <c r="R19" s="25">
        <v>181</v>
      </c>
      <c r="S19" s="23">
        <f>SUM(テーブル4[[#This Row],[Open数2]:[Closed数3]])</f>
        <v>209</v>
      </c>
      <c r="T19" s="25" t="s">
        <v>31</v>
      </c>
      <c r="U19" s="25">
        <v>0</v>
      </c>
      <c r="V19" s="25" t="s">
        <v>30</v>
      </c>
      <c r="W19" s="25">
        <v>3</v>
      </c>
      <c r="X19" s="25" t="s">
        <v>232</v>
      </c>
      <c r="Y19" s="25" t="s">
        <v>234</v>
      </c>
      <c r="Z19" s="25" t="s">
        <v>243</v>
      </c>
      <c r="AA19" s="25"/>
      <c r="AB19" s="25"/>
    </row>
    <row r="20" spans="1:28" x14ac:dyDescent="0.15">
      <c r="A20" s="23">
        <v>35</v>
      </c>
      <c r="B20" s="27" t="s">
        <v>264</v>
      </c>
      <c r="C20" s="25">
        <v>121</v>
      </c>
      <c r="D20" s="25">
        <v>457</v>
      </c>
      <c r="E20" s="25">
        <v>45</v>
      </c>
      <c r="F20" s="28" t="str">
        <f>IF(テーブル4[[#This Row],[branch数]]=1,"×","○")</f>
        <v>○</v>
      </c>
      <c r="G20" s="25">
        <v>25</v>
      </c>
      <c r="H20" s="25">
        <v>434</v>
      </c>
      <c r="I20" s="28" t="str">
        <f>IF(テーブル4[[#This Row],[リリース数]]=0,"×","○")</f>
        <v>○</v>
      </c>
      <c r="J20" s="25">
        <v>16</v>
      </c>
      <c r="K20" s="25">
        <v>7</v>
      </c>
      <c r="L20" s="23" t="str">
        <f>IF(テーブル4[[#This Row],[Issues計]]=0,"×","○")</f>
        <v>○</v>
      </c>
      <c r="M20" s="25">
        <v>13</v>
      </c>
      <c r="N20" s="25">
        <v>109</v>
      </c>
      <c r="O20" s="23">
        <f>SUM(テーブル4[[#This Row],[Open数]:[Closed数]])</f>
        <v>122</v>
      </c>
      <c r="P20" s="23" t="str">
        <f>IF(テーブル4[[#This Row],[PullRequest計]]=0,"×","○")</f>
        <v>○</v>
      </c>
      <c r="Q20" s="25">
        <v>0</v>
      </c>
      <c r="R20" s="25">
        <v>23</v>
      </c>
      <c r="S20" s="23">
        <f>SUM(テーブル4[[#This Row],[Open数2]:[Closed数3]])</f>
        <v>23</v>
      </c>
      <c r="T20" s="25" t="s">
        <v>30</v>
      </c>
      <c r="U20" s="25">
        <v>15</v>
      </c>
      <c r="V20" s="25" t="s">
        <v>30</v>
      </c>
      <c r="W20" s="25">
        <v>2</v>
      </c>
      <c r="X20" s="25" t="s">
        <v>232</v>
      </c>
      <c r="Y20" s="25"/>
      <c r="Z20" s="25"/>
      <c r="AA20" s="25"/>
      <c r="AB20" s="25"/>
    </row>
    <row r="21" spans="1:28" x14ac:dyDescent="0.15">
      <c r="A21" s="23">
        <v>9</v>
      </c>
      <c r="B21" s="7" t="s">
        <v>131</v>
      </c>
      <c r="C21" s="23">
        <v>52</v>
      </c>
      <c r="D21" s="23">
        <v>313</v>
      </c>
      <c r="E21" s="23">
        <v>152</v>
      </c>
      <c r="F21" s="23" t="str">
        <f>IF(テーブル4[[#This Row],[branch数]]=1,"×","○")</f>
        <v>○</v>
      </c>
      <c r="G21" s="25">
        <v>9</v>
      </c>
      <c r="H21" s="23">
        <v>480</v>
      </c>
      <c r="I21" s="23" t="str">
        <f>IF(テーブル4[[#This Row],[リリース数]]=0,"×","○")</f>
        <v>○</v>
      </c>
      <c r="J21" s="23">
        <v>5</v>
      </c>
      <c r="K21" s="23">
        <v>25</v>
      </c>
      <c r="L21" s="23" t="str">
        <f>IF(テーブル4[[#This Row],[Issues計]]=0,"×","○")</f>
        <v>○</v>
      </c>
      <c r="M21" s="23">
        <v>26</v>
      </c>
      <c r="N21" s="23">
        <v>54</v>
      </c>
      <c r="O21" s="23">
        <f>SUM(テーブル4[[#This Row],[Open数]:[Closed数]])</f>
        <v>80</v>
      </c>
      <c r="P21" s="23" t="str">
        <f>IF(テーブル4[[#This Row],[PullRequest計]]=0,"×","○")</f>
        <v>○</v>
      </c>
      <c r="Q21" s="23">
        <v>17</v>
      </c>
      <c r="R21" s="23">
        <v>41</v>
      </c>
      <c r="S21" s="23">
        <f>SUM(テーブル4[[#This Row],[Open数2]:[Closed数3]])</f>
        <v>58</v>
      </c>
      <c r="T21" s="23" t="s">
        <v>30</v>
      </c>
      <c r="U21" s="23">
        <v>3</v>
      </c>
      <c r="V21" s="23" t="s">
        <v>30</v>
      </c>
      <c r="W21" s="23">
        <v>6</v>
      </c>
      <c r="X21" s="23" t="s">
        <v>113</v>
      </c>
      <c r="Y21" s="23" t="s">
        <v>115</v>
      </c>
      <c r="Z21" s="23"/>
      <c r="AA21" s="23"/>
      <c r="AB21" s="23"/>
    </row>
    <row r="22" spans="1:28" x14ac:dyDescent="0.15">
      <c r="A22" s="23">
        <v>32</v>
      </c>
      <c r="B22" s="27" t="s">
        <v>230</v>
      </c>
      <c r="C22" s="24">
        <v>197</v>
      </c>
      <c r="D22" s="25">
        <v>1296</v>
      </c>
      <c r="E22" s="24">
        <v>70</v>
      </c>
      <c r="F22" s="26" t="str">
        <f>IF(テーブル4[[#This Row],[branch数]]=1,"×","○")</f>
        <v>○</v>
      </c>
      <c r="G22" s="24">
        <v>4</v>
      </c>
      <c r="H22" s="24">
        <v>569</v>
      </c>
      <c r="I22" s="26" t="str">
        <f>IF(テーブル4[[#This Row],[リリース数]]=0,"×","○")</f>
        <v>×</v>
      </c>
      <c r="J22" s="24">
        <v>0</v>
      </c>
      <c r="K22" s="24">
        <v>2</v>
      </c>
      <c r="L22" s="23" t="str">
        <f>IF(テーブル4[[#This Row],[Issues計]]=0,"×","○")</f>
        <v>○</v>
      </c>
      <c r="M22" s="24">
        <v>15</v>
      </c>
      <c r="N22" s="25">
        <v>11</v>
      </c>
      <c r="O22" s="23">
        <f>SUM(テーブル4[[#This Row],[Open数]:[Closed数]])</f>
        <v>26</v>
      </c>
      <c r="P22" s="23" t="str">
        <f>IF(テーブル4[[#This Row],[PullRequest計]]=0,"×","○")</f>
        <v>○</v>
      </c>
      <c r="Q22" s="25">
        <v>1</v>
      </c>
      <c r="R22" s="25">
        <v>1</v>
      </c>
      <c r="S22" s="23">
        <f>SUM(テーブル4[[#This Row],[Open数2]:[Closed数3]])</f>
        <v>2</v>
      </c>
      <c r="T22" s="25" t="s">
        <v>31</v>
      </c>
      <c r="U22" s="25">
        <v>0</v>
      </c>
      <c r="V22" s="25" t="s">
        <v>30</v>
      </c>
      <c r="W22" s="25">
        <v>4</v>
      </c>
      <c r="X22" s="25"/>
      <c r="Y22" s="25"/>
      <c r="Z22" s="25"/>
      <c r="AA22" s="25"/>
      <c r="AB22" s="25"/>
    </row>
    <row r="23" spans="1:28" x14ac:dyDescent="0.15">
      <c r="A23" s="23">
        <v>50</v>
      </c>
      <c r="B23" s="27" t="s">
        <v>257</v>
      </c>
      <c r="C23" s="25">
        <v>574</v>
      </c>
      <c r="D23" s="25">
        <v>4122</v>
      </c>
      <c r="E23" s="25">
        <v>227</v>
      </c>
      <c r="F23" s="28" t="str">
        <f>IF(テーブル4[[#This Row],[branch数]]=1,"×","○")</f>
        <v>○</v>
      </c>
      <c r="G23" s="25">
        <v>8</v>
      </c>
      <c r="H23" s="25">
        <v>613</v>
      </c>
      <c r="I23" s="28" t="str">
        <f>IF(テーブル4[[#This Row],[リリース数]]=0,"×","○")</f>
        <v>○</v>
      </c>
      <c r="J23" s="25">
        <v>4</v>
      </c>
      <c r="K23" s="25">
        <v>32</v>
      </c>
      <c r="L23" s="23" t="str">
        <f>IF(テーブル4[[#This Row],[Issues計]]=0,"×","○")</f>
        <v>○</v>
      </c>
      <c r="M23" s="25">
        <v>104</v>
      </c>
      <c r="N23" s="25">
        <v>226</v>
      </c>
      <c r="O23" s="23">
        <f>SUM(テーブル4[[#This Row],[Open数]:[Closed数]])</f>
        <v>330</v>
      </c>
      <c r="P23" s="23" t="str">
        <f>IF(テーブル4[[#This Row],[PullRequest計]]=0,"×","○")</f>
        <v>○</v>
      </c>
      <c r="Q23" s="25">
        <v>8</v>
      </c>
      <c r="R23" s="25">
        <v>97</v>
      </c>
      <c r="S23" s="23">
        <f>SUM(テーブル4[[#This Row],[Open数2]:[Closed数3]])</f>
        <v>105</v>
      </c>
      <c r="T23" s="25" t="s">
        <v>30</v>
      </c>
      <c r="U23" s="25">
        <v>5</v>
      </c>
      <c r="V23" s="25" t="s">
        <v>30</v>
      </c>
      <c r="W23" s="25">
        <v>11</v>
      </c>
      <c r="X23" s="25" t="s">
        <v>232</v>
      </c>
      <c r="Y23" s="25" t="s">
        <v>234</v>
      </c>
      <c r="Z23" s="25"/>
      <c r="AA23" s="25"/>
      <c r="AB23" s="25"/>
    </row>
    <row r="24" spans="1:28" x14ac:dyDescent="0.15">
      <c r="A24" s="23">
        <v>38</v>
      </c>
      <c r="B24" s="27" t="s">
        <v>265</v>
      </c>
      <c r="C24" s="3">
        <v>161</v>
      </c>
      <c r="D24" s="3">
        <v>835</v>
      </c>
      <c r="E24" s="3">
        <v>88</v>
      </c>
      <c r="F24" s="14" t="str">
        <f>IF(テーブル4[[#This Row],[branch数]]=1,"×","○")</f>
        <v>○</v>
      </c>
      <c r="G24" s="3">
        <v>5</v>
      </c>
      <c r="H24" s="3">
        <v>642</v>
      </c>
      <c r="I24" s="14" t="str">
        <f>IF(テーブル4[[#This Row],[リリース数]]=0,"×","○")</f>
        <v>×</v>
      </c>
      <c r="J24" s="3">
        <v>0</v>
      </c>
      <c r="K24" s="3">
        <v>26</v>
      </c>
      <c r="L24" s="23" t="str">
        <f>IF(テーブル4[[#This Row],[Issues計]]=0,"×","○")</f>
        <v>○</v>
      </c>
      <c r="M24" s="3">
        <v>42</v>
      </c>
      <c r="N24" s="3">
        <v>79</v>
      </c>
      <c r="O24" s="23">
        <f>SUM(テーブル4[[#This Row],[Open数]:[Closed数]])</f>
        <v>121</v>
      </c>
      <c r="P24" s="23" t="str">
        <f>IF(テーブル4[[#This Row],[PullRequest計]]=0,"×","○")</f>
        <v>○</v>
      </c>
      <c r="Q24" s="3">
        <v>6</v>
      </c>
      <c r="R24" s="3">
        <v>42</v>
      </c>
      <c r="S24" s="23">
        <f>SUM(テーブル4[[#This Row],[Open数2]:[Closed数3]])</f>
        <v>48</v>
      </c>
      <c r="T24" s="25" t="s">
        <v>31</v>
      </c>
      <c r="U24" s="25">
        <v>0</v>
      </c>
      <c r="V24" s="25" t="s">
        <v>30</v>
      </c>
      <c r="W24" s="25">
        <v>4</v>
      </c>
      <c r="X24" s="3" t="s">
        <v>228</v>
      </c>
      <c r="Y24" s="3" t="s">
        <v>234</v>
      </c>
      <c r="Z24" s="3" t="s">
        <v>110</v>
      </c>
      <c r="AA24" s="25" t="s">
        <v>245</v>
      </c>
      <c r="AB24" s="25"/>
    </row>
    <row r="25" spans="1:28" x14ac:dyDescent="0.15">
      <c r="A25" s="23">
        <v>18</v>
      </c>
      <c r="B25" s="7" t="s">
        <v>56</v>
      </c>
      <c r="C25" s="23">
        <v>93</v>
      </c>
      <c r="D25" s="23">
        <v>2054</v>
      </c>
      <c r="E25" s="23">
        <v>278</v>
      </c>
      <c r="F25" s="23" t="str">
        <f>IF(テーブル4[[#This Row],[branch数]]=1,"×","○")</f>
        <v>○</v>
      </c>
      <c r="G25" s="25">
        <v>11</v>
      </c>
      <c r="H25" s="23">
        <v>710</v>
      </c>
      <c r="I25" s="23" t="str">
        <f>IF(テーブル4[[#This Row],[リリース数]]=0,"×","○")</f>
        <v>○</v>
      </c>
      <c r="J25" s="23">
        <v>9</v>
      </c>
      <c r="K25" s="23">
        <v>30</v>
      </c>
      <c r="L25" s="23" t="str">
        <f>IF(テーブル4[[#This Row],[Issues計]]=0,"×","○")</f>
        <v>○</v>
      </c>
      <c r="M25" s="23">
        <v>27</v>
      </c>
      <c r="N25" s="23">
        <v>163</v>
      </c>
      <c r="O25" s="23">
        <f>SUM(テーブル4[[#This Row],[Open数]:[Closed数]])</f>
        <v>190</v>
      </c>
      <c r="P25" s="23" t="str">
        <f>IF(テーブル4[[#This Row],[PullRequest計]]=0,"×","○")</f>
        <v>○</v>
      </c>
      <c r="Q25" s="23">
        <v>9</v>
      </c>
      <c r="R25" s="23">
        <v>179</v>
      </c>
      <c r="S25" s="23">
        <f>SUM(テーブル4[[#This Row],[Open数2]:[Closed数3]])</f>
        <v>188</v>
      </c>
      <c r="T25" s="23" t="s">
        <v>30</v>
      </c>
      <c r="U25" s="23">
        <v>3</v>
      </c>
      <c r="V25" s="23" t="s">
        <v>30</v>
      </c>
      <c r="W25" s="23">
        <v>3</v>
      </c>
      <c r="X25" s="23" t="s">
        <v>106</v>
      </c>
      <c r="Y25" s="23" t="s">
        <v>110</v>
      </c>
      <c r="Z25" s="23" t="s">
        <v>109</v>
      </c>
      <c r="AA25" s="23"/>
      <c r="AB25" s="23"/>
    </row>
    <row r="26" spans="1:28" x14ac:dyDescent="0.15">
      <c r="A26" s="23">
        <v>17</v>
      </c>
      <c r="B26" s="7" t="s">
        <v>55</v>
      </c>
      <c r="C26" s="23">
        <v>173</v>
      </c>
      <c r="D26" s="23">
        <v>1999</v>
      </c>
      <c r="E26" s="23">
        <v>385</v>
      </c>
      <c r="F26" s="23" t="str">
        <f>IF(テーブル4[[#This Row],[branch数]]=1,"×","○")</f>
        <v>○</v>
      </c>
      <c r="G26" s="23">
        <v>14</v>
      </c>
      <c r="H26" s="23">
        <v>1162</v>
      </c>
      <c r="I26" s="23" t="str">
        <f>IF(テーブル4[[#This Row],[リリース数]]=0,"×","○")</f>
        <v>○</v>
      </c>
      <c r="J26" s="23">
        <v>36</v>
      </c>
      <c r="K26" s="23">
        <v>18</v>
      </c>
      <c r="L26" s="23" t="str">
        <f>IF(テーブル4[[#This Row],[Issues計]]=0,"×","○")</f>
        <v>×</v>
      </c>
      <c r="M26" s="23">
        <v>0</v>
      </c>
      <c r="N26" s="23">
        <v>0</v>
      </c>
      <c r="O26" s="23">
        <f>SUM(テーブル4[[#This Row],[Open数]:[Closed数]])</f>
        <v>0</v>
      </c>
      <c r="P26" s="23" t="str">
        <f>IF(テーブル4[[#This Row],[PullRequest計]]=0,"×","○")</f>
        <v>○</v>
      </c>
      <c r="Q26" s="23">
        <v>10</v>
      </c>
      <c r="R26" s="23">
        <v>44</v>
      </c>
      <c r="S26" s="23">
        <f>SUM(テーブル4[[#This Row],[Open数2]:[Closed数3]])</f>
        <v>54</v>
      </c>
      <c r="T26" s="23" t="s">
        <v>31</v>
      </c>
      <c r="U26" s="23">
        <v>0</v>
      </c>
      <c r="V26" s="23" t="s">
        <v>31</v>
      </c>
      <c r="W26" s="23">
        <v>0</v>
      </c>
      <c r="X26" s="23" t="s">
        <v>110</v>
      </c>
      <c r="Y26" s="23" t="s">
        <v>109</v>
      </c>
      <c r="Z26" s="23" t="s">
        <v>121</v>
      </c>
      <c r="AA26" s="23"/>
      <c r="AB26" s="23"/>
    </row>
    <row r="27" spans="1:28" x14ac:dyDescent="0.15">
      <c r="A27" s="23">
        <v>44</v>
      </c>
      <c r="B27" s="27" t="s">
        <v>250</v>
      </c>
      <c r="C27" s="25">
        <v>1325</v>
      </c>
      <c r="D27" s="25">
        <v>3043</v>
      </c>
      <c r="E27" s="25">
        <v>460</v>
      </c>
      <c r="F27" s="28" t="str">
        <f>IF(テーブル4[[#This Row],[branch数]]=1,"×","○")</f>
        <v>○</v>
      </c>
      <c r="G27" s="25">
        <v>3</v>
      </c>
      <c r="H27" s="25">
        <v>1184</v>
      </c>
      <c r="I27" s="28" t="str">
        <f>IF(テーブル4[[#This Row],[リリース数]]=0,"×","○")</f>
        <v>○</v>
      </c>
      <c r="J27" s="25">
        <v>19</v>
      </c>
      <c r="K27" s="25">
        <v>13</v>
      </c>
      <c r="L27" s="23" t="str">
        <f>IF(テーブル4[[#This Row],[Issues計]]=0,"×","○")</f>
        <v>○</v>
      </c>
      <c r="M27" s="25">
        <v>61</v>
      </c>
      <c r="N27" s="25">
        <v>757</v>
      </c>
      <c r="O27" s="23">
        <f>SUM(テーブル4[[#This Row],[Open数]:[Closed数]])</f>
        <v>818</v>
      </c>
      <c r="P27" s="23" t="str">
        <f>IF(テーブル4[[#This Row],[PullRequest計]]=0,"×","○")</f>
        <v>○</v>
      </c>
      <c r="Q27" s="25">
        <v>1</v>
      </c>
      <c r="R27" s="25">
        <v>59</v>
      </c>
      <c r="S27" s="23">
        <f>SUM(テーブル4[[#This Row],[Open数2]:[Closed数3]])</f>
        <v>60</v>
      </c>
      <c r="T27" s="25" t="s">
        <v>30</v>
      </c>
      <c r="U27" s="25">
        <v>5</v>
      </c>
      <c r="V27" s="25" t="s">
        <v>30</v>
      </c>
      <c r="W27" s="25">
        <v>24</v>
      </c>
      <c r="X27" s="25" t="s">
        <v>232</v>
      </c>
      <c r="Y27" s="25" t="s">
        <v>234</v>
      </c>
      <c r="Z27" s="25"/>
      <c r="AA27" s="25"/>
      <c r="AB27" s="25"/>
    </row>
    <row r="28" spans="1:28" x14ac:dyDescent="0.15">
      <c r="A28" s="23">
        <v>27</v>
      </c>
      <c r="B28" s="7" t="s">
        <v>134</v>
      </c>
      <c r="C28" s="23">
        <v>422</v>
      </c>
      <c r="D28" s="23">
        <v>8467</v>
      </c>
      <c r="E28" s="23">
        <v>1337</v>
      </c>
      <c r="F28" s="23" t="str">
        <f>IF(テーブル4[[#This Row],[branch数]]=1,"×","○")</f>
        <v>○</v>
      </c>
      <c r="G28" s="23">
        <v>5</v>
      </c>
      <c r="H28" s="23">
        <v>1244</v>
      </c>
      <c r="I28" s="23" t="str">
        <f>IF(テーブル4[[#This Row],[リリース数]]=0,"×","○")</f>
        <v>○</v>
      </c>
      <c r="J28" s="23">
        <v>3</v>
      </c>
      <c r="K28" s="23">
        <v>187</v>
      </c>
      <c r="L28" s="23" t="str">
        <f>IF(テーブル4[[#This Row],[Issues計]]=0,"×","○")</f>
        <v>○</v>
      </c>
      <c r="M28" s="23">
        <v>34</v>
      </c>
      <c r="N28" s="23">
        <v>181</v>
      </c>
      <c r="O28" s="23">
        <f>SUM(テーブル4[[#This Row],[Open数]:[Closed数]])</f>
        <v>215</v>
      </c>
      <c r="P28" s="23" t="str">
        <f>IF(テーブル4[[#This Row],[PullRequest計]]=0,"×","○")</f>
        <v>○</v>
      </c>
      <c r="Q28" s="23">
        <v>4</v>
      </c>
      <c r="R28" s="23">
        <v>399</v>
      </c>
      <c r="S28" s="23">
        <f>SUM(テーブル4[[#This Row],[Open数2]:[Closed数3]])</f>
        <v>403</v>
      </c>
      <c r="T28" s="23" t="s">
        <v>30</v>
      </c>
      <c r="U28" s="23">
        <v>2</v>
      </c>
      <c r="V28" s="23" t="s">
        <v>30</v>
      </c>
      <c r="W28" s="23">
        <v>9</v>
      </c>
      <c r="X28" s="23" t="s">
        <v>110</v>
      </c>
      <c r="Y28" s="23" t="s">
        <v>109</v>
      </c>
      <c r="Z28" s="23" t="s">
        <v>108</v>
      </c>
      <c r="AA28" s="23"/>
      <c r="AB28" s="23"/>
    </row>
    <row r="29" spans="1:28" x14ac:dyDescent="0.15">
      <c r="A29" s="23">
        <v>19</v>
      </c>
      <c r="B29" s="7" t="s">
        <v>57</v>
      </c>
      <c r="C29" s="23">
        <v>420</v>
      </c>
      <c r="D29" s="23">
        <v>5809</v>
      </c>
      <c r="E29" s="23">
        <v>1101</v>
      </c>
      <c r="F29" s="23" t="str">
        <f>IF(テーブル4[[#This Row],[branch数]]=1,"×","○")</f>
        <v>○</v>
      </c>
      <c r="G29" s="23">
        <v>7</v>
      </c>
      <c r="H29" s="23">
        <v>1274</v>
      </c>
      <c r="I29" s="23" t="str">
        <f>IF(テーブル4[[#This Row],[リリース数]]=0,"×","○")</f>
        <v>○</v>
      </c>
      <c r="J29" s="23">
        <v>15</v>
      </c>
      <c r="K29" s="23">
        <v>92</v>
      </c>
      <c r="L29" s="23" t="str">
        <f>IF(テーブル4[[#This Row],[Issues計]]=0,"×","○")</f>
        <v>○</v>
      </c>
      <c r="M29" s="23">
        <v>130</v>
      </c>
      <c r="N29" s="23">
        <v>587</v>
      </c>
      <c r="O29" s="23">
        <f>SUM(テーブル4[[#This Row],[Open数]:[Closed数]])</f>
        <v>717</v>
      </c>
      <c r="P29" s="23" t="str">
        <f>IF(テーブル4[[#This Row],[PullRequest計]]=0,"×","○")</f>
        <v>○</v>
      </c>
      <c r="Q29" s="23">
        <v>20</v>
      </c>
      <c r="R29" s="23">
        <v>389</v>
      </c>
      <c r="S29" s="23">
        <f>SUM(テーブル4[[#This Row],[Open数2]:[Closed数3]])</f>
        <v>409</v>
      </c>
      <c r="T29" s="23" t="s">
        <v>30</v>
      </c>
      <c r="U29" s="23">
        <v>3</v>
      </c>
      <c r="V29" s="23" t="s">
        <v>30</v>
      </c>
      <c r="W29" s="23">
        <v>12</v>
      </c>
      <c r="X29" s="23" t="s">
        <v>110</v>
      </c>
      <c r="Y29" s="23" t="s">
        <v>109</v>
      </c>
      <c r="Z29" s="23"/>
      <c r="AA29" s="23"/>
      <c r="AB29" s="23"/>
    </row>
    <row r="30" spans="1:28" x14ac:dyDescent="0.15">
      <c r="A30" s="23">
        <v>49</v>
      </c>
      <c r="B30" s="27" t="s">
        <v>256</v>
      </c>
      <c r="C30" s="25">
        <v>246</v>
      </c>
      <c r="D30" s="25">
        <v>1464</v>
      </c>
      <c r="E30" s="25">
        <v>110</v>
      </c>
      <c r="F30" s="28" t="str">
        <f>IF(テーブル4[[#This Row],[branch数]]=1,"×","○")</f>
        <v>○</v>
      </c>
      <c r="G30" s="25">
        <v>17</v>
      </c>
      <c r="H30" s="25">
        <v>1299</v>
      </c>
      <c r="I30" s="28" t="str">
        <f>IF(テーブル4[[#This Row],[リリース数]]=0,"×","○")</f>
        <v>○</v>
      </c>
      <c r="J30" s="25">
        <v>6</v>
      </c>
      <c r="K30" s="25">
        <v>41</v>
      </c>
      <c r="L30" s="23" t="str">
        <f>IF(テーブル4[[#This Row],[Issues計]]=0,"×","○")</f>
        <v>○</v>
      </c>
      <c r="M30" s="25">
        <v>40</v>
      </c>
      <c r="N30" s="25">
        <v>302</v>
      </c>
      <c r="O30" s="23">
        <f>SUM(テーブル4[[#This Row],[Open数]:[Closed数]])</f>
        <v>342</v>
      </c>
      <c r="P30" s="23" t="str">
        <f>IF(テーブル4[[#This Row],[PullRequest計]]=0,"×","○")</f>
        <v>○</v>
      </c>
      <c r="Q30" s="25">
        <v>1</v>
      </c>
      <c r="R30" s="25">
        <v>111</v>
      </c>
      <c r="S30" s="23">
        <f>SUM(テーブル4[[#This Row],[Open数2]:[Closed数3]])</f>
        <v>112</v>
      </c>
      <c r="T30" s="25" t="s">
        <v>30</v>
      </c>
      <c r="U30" s="25">
        <v>2</v>
      </c>
      <c r="V30" s="25" t="s">
        <v>30</v>
      </c>
      <c r="W30" s="25">
        <v>10</v>
      </c>
      <c r="X30" s="25" t="s">
        <v>232</v>
      </c>
      <c r="Y30" s="25" t="s">
        <v>234</v>
      </c>
      <c r="Z30" s="25" t="s">
        <v>228</v>
      </c>
      <c r="AA30" s="25"/>
      <c r="AB30" s="25"/>
    </row>
    <row r="31" spans="1:28" x14ac:dyDescent="0.15">
      <c r="A31" s="23">
        <v>39</v>
      </c>
      <c r="B31" s="27" t="s">
        <v>246</v>
      </c>
      <c r="C31" s="25">
        <v>753</v>
      </c>
      <c r="D31" s="25">
        <v>3396</v>
      </c>
      <c r="E31" s="25">
        <v>227</v>
      </c>
      <c r="F31" s="28" t="str">
        <f>IF(テーブル4[[#This Row],[branch数]]=1,"×","○")</f>
        <v>○</v>
      </c>
      <c r="G31" s="25">
        <v>5</v>
      </c>
      <c r="H31" s="25">
        <v>1492</v>
      </c>
      <c r="I31" s="28" t="str">
        <f>IF(テーブル4[[#This Row],[リリース数]]=0,"×","○")</f>
        <v>○</v>
      </c>
      <c r="J31" s="25">
        <v>23</v>
      </c>
      <c r="K31" s="25">
        <v>54</v>
      </c>
      <c r="L31" s="23" t="str">
        <f>IF(テーブル4[[#This Row],[Issues計]]=0,"×","○")</f>
        <v>○</v>
      </c>
      <c r="M31" s="25">
        <v>167</v>
      </c>
      <c r="N31" s="25">
        <v>375</v>
      </c>
      <c r="O31" s="23">
        <f>SUM(テーブル4[[#This Row],[Open数]:[Closed数]])</f>
        <v>542</v>
      </c>
      <c r="P31" s="23" t="str">
        <f>IF(テーブル4[[#This Row],[PullRequest計]]=0,"×","○")</f>
        <v>○</v>
      </c>
      <c r="Q31" s="25">
        <v>27</v>
      </c>
      <c r="R31" s="25">
        <v>189</v>
      </c>
      <c r="S31" s="23">
        <f>SUM(テーブル4[[#This Row],[Open数2]:[Closed数3]])</f>
        <v>216</v>
      </c>
      <c r="T31" s="25" t="s">
        <v>30</v>
      </c>
      <c r="U31" s="25">
        <v>6</v>
      </c>
      <c r="V31" s="25" t="s">
        <v>30</v>
      </c>
      <c r="W31" s="25">
        <v>9</v>
      </c>
      <c r="X31" s="25" t="s">
        <v>232</v>
      </c>
      <c r="Y31" s="25" t="s">
        <v>234</v>
      </c>
      <c r="Z31" s="25" t="s">
        <v>243</v>
      </c>
      <c r="AA31" s="25"/>
      <c r="AB31" s="25"/>
    </row>
    <row r="32" spans="1:28" s="15" customFormat="1" x14ac:dyDescent="0.15">
      <c r="A32" s="23">
        <v>8</v>
      </c>
      <c r="B32" s="7" t="s">
        <v>260</v>
      </c>
      <c r="C32" s="23">
        <v>637</v>
      </c>
      <c r="D32" s="23">
        <v>11276</v>
      </c>
      <c r="E32" s="23">
        <v>2579</v>
      </c>
      <c r="F32" s="23" t="str">
        <f>IF(テーブル4[[#This Row],[branch数]]=1,"×","○")</f>
        <v>○</v>
      </c>
      <c r="G32" s="25">
        <v>3</v>
      </c>
      <c r="H32" s="23">
        <v>2124</v>
      </c>
      <c r="I32" s="23" t="str">
        <f>IF(テーブル4[[#This Row],[リリース数]]=0,"×","○")</f>
        <v>○</v>
      </c>
      <c r="J32" s="23">
        <v>32</v>
      </c>
      <c r="K32" s="23">
        <v>169</v>
      </c>
      <c r="L32" s="23" t="str">
        <f>IF(テーブル4[[#This Row],[Issues計]]=0,"×","○")</f>
        <v>○</v>
      </c>
      <c r="M32" s="23">
        <v>189</v>
      </c>
      <c r="N32" s="23">
        <v>1579</v>
      </c>
      <c r="O32" s="23">
        <f>SUM(テーブル4[[#This Row],[Open数]:[Closed数]])</f>
        <v>1768</v>
      </c>
      <c r="P32" s="23" t="str">
        <f>IF(テーブル4[[#This Row],[PullRequest計]]=0,"×","○")</f>
        <v>○</v>
      </c>
      <c r="Q32" s="23">
        <v>12</v>
      </c>
      <c r="R32" s="23">
        <v>492</v>
      </c>
      <c r="S32" s="23">
        <f>SUM(テーブル4[[#This Row],[Open数2]:[Closed数3]])</f>
        <v>504</v>
      </c>
      <c r="T32" s="23" t="s">
        <v>30</v>
      </c>
      <c r="U32" s="23">
        <v>4</v>
      </c>
      <c r="V32" s="23" t="s">
        <v>30</v>
      </c>
      <c r="W32" s="23">
        <v>19</v>
      </c>
      <c r="X32" s="23" t="s">
        <v>110</v>
      </c>
      <c r="Y32" s="23" t="s">
        <v>109</v>
      </c>
      <c r="Z32" s="23" t="s">
        <v>112</v>
      </c>
      <c r="AA32" s="23"/>
      <c r="AB32" s="23"/>
    </row>
    <row r="33" spans="1:28" s="15" customFormat="1" x14ac:dyDescent="0.15">
      <c r="A33" s="23">
        <v>20</v>
      </c>
      <c r="B33" s="7" t="s">
        <v>93</v>
      </c>
      <c r="C33" s="23">
        <v>547</v>
      </c>
      <c r="D33" s="23">
        <v>6575</v>
      </c>
      <c r="E33" s="23">
        <v>2133</v>
      </c>
      <c r="F33" s="23" t="str">
        <f>IF(テーブル4[[#This Row],[branch数]]=1,"×","○")</f>
        <v>○</v>
      </c>
      <c r="G33" s="23">
        <v>3</v>
      </c>
      <c r="H33" s="23">
        <v>2544</v>
      </c>
      <c r="I33" s="23" t="str">
        <f>IF(テーブル4[[#This Row],[リリース数]]=0,"×","○")</f>
        <v>○</v>
      </c>
      <c r="J33" s="23">
        <v>34</v>
      </c>
      <c r="K33" s="23">
        <v>111</v>
      </c>
      <c r="L33" s="23" t="str">
        <f>IF(テーブル4[[#This Row],[Issues計]]=0,"×","○")</f>
        <v>○</v>
      </c>
      <c r="M33" s="23">
        <v>50</v>
      </c>
      <c r="N33" s="23">
        <v>672</v>
      </c>
      <c r="O33" s="23">
        <f>SUM(テーブル4[[#This Row],[Open数]:[Closed数]])</f>
        <v>722</v>
      </c>
      <c r="P33" s="23" t="str">
        <f>IF(テーブル4[[#This Row],[PullRequest計]]=0,"×","○")</f>
        <v>○</v>
      </c>
      <c r="Q33" s="23">
        <v>5</v>
      </c>
      <c r="R33" s="23">
        <v>567</v>
      </c>
      <c r="S33" s="23">
        <f>SUM(テーブル4[[#This Row],[Open数2]:[Closed数3]])</f>
        <v>572</v>
      </c>
      <c r="T33" s="23" t="s">
        <v>30</v>
      </c>
      <c r="U33" s="23">
        <v>14</v>
      </c>
      <c r="V33" s="23" t="s">
        <v>30</v>
      </c>
      <c r="W33" s="23">
        <v>10</v>
      </c>
      <c r="X33" s="23" t="s">
        <v>110</v>
      </c>
      <c r="Y33" s="23" t="s">
        <v>109</v>
      </c>
      <c r="Z33" s="23" t="s">
        <v>108</v>
      </c>
      <c r="AA33" s="23"/>
      <c r="AB33" s="23"/>
    </row>
    <row r="34" spans="1:28" s="15" customFormat="1" x14ac:dyDescent="0.15">
      <c r="A34" s="23">
        <v>21</v>
      </c>
      <c r="B34" s="7" t="s">
        <v>59</v>
      </c>
      <c r="C34" s="23">
        <v>95</v>
      </c>
      <c r="D34" s="23">
        <v>1178</v>
      </c>
      <c r="E34" s="23">
        <v>278</v>
      </c>
      <c r="F34" s="23" t="str">
        <f>IF(テーブル4[[#This Row],[branch数]]=1,"×","○")</f>
        <v>○</v>
      </c>
      <c r="G34" s="23">
        <v>4</v>
      </c>
      <c r="H34" s="23">
        <v>2762</v>
      </c>
      <c r="I34" s="23" t="str">
        <f>IF(テーブル4[[#This Row],[リリース数]]=0,"×","○")</f>
        <v>○</v>
      </c>
      <c r="J34" s="23">
        <v>20</v>
      </c>
      <c r="K34" s="23">
        <v>26</v>
      </c>
      <c r="L34" s="23" t="str">
        <f>IF(テーブル4[[#This Row],[Issues計]]=0,"×","○")</f>
        <v>○</v>
      </c>
      <c r="M34" s="23">
        <v>92</v>
      </c>
      <c r="N34" s="23">
        <v>366</v>
      </c>
      <c r="O34" s="23">
        <f>SUM(テーブル4[[#This Row],[Open数]:[Closed数]])</f>
        <v>458</v>
      </c>
      <c r="P34" s="23" t="str">
        <f>IF(テーブル4[[#This Row],[PullRequest計]]=0,"×","○")</f>
        <v>○</v>
      </c>
      <c r="Q34" s="23">
        <v>1</v>
      </c>
      <c r="R34" s="23">
        <v>144</v>
      </c>
      <c r="S34" s="23">
        <f>SUM(テーブル4[[#This Row],[Open数2]:[Closed数3]])</f>
        <v>145</v>
      </c>
      <c r="T34" s="23" t="s">
        <v>30</v>
      </c>
      <c r="U34" s="23">
        <v>11</v>
      </c>
      <c r="V34" s="23" t="s">
        <v>30</v>
      </c>
      <c r="W34" s="23">
        <v>5</v>
      </c>
      <c r="X34" s="23" t="s">
        <v>110</v>
      </c>
      <c r="Y34" s="23" t="s">
        <v>109</v>
      </c>
      <c r="Z34" s="23"/>
      <c r="AA34" s="23"/>
      <c r="AB34" s="23"/>
    </row>
    <row r="35" spans="1:28" s="15" customFormat="1" x14ac:dyDescent="0.15">
      <c r="A35" s="23">
        <v>22</v>
      </c>
      <c r="B35" s="7" t="s">
        <v>133</v>
      </c>
      <c r="C35" s="23">
        <v>232</v>
      </c>
      <c r="D35" s="23">
        <v>1852</v>
      </c>
      <c r="E35" s="23">
        <v>283</v>
      </c>
      <c r="F35" s="23" t="str">
        <f>IF(テーブル4[[#This Row],[branch数]]=1,"×","○")</f>
        <v>○</v>
      </c>
      <c r="G35" s="23">
        <v>166</v>
      </c>
      <c r="H35" s="23">
        <v>2792</v>
      </c>
      <c r="I35" s="23" t="str">
        <f>IF(テーブル4[[#This Row],[リリース数]]=0,"×","○")</f>
        <v>○</v>
      </c>
      <c r="J35" s="23">
        <v>178</v>
      </c>
      <c r="K35" s="23">
        <v>63</v>
      </c>
      <c r="L35" s="23" t="str">
        <f>IF(テーブル4[[#This Row],[Issues計]]=0,"×","○")</f>
        <v>○</v>
      </c>
      <c r="M35" s="23">
        <v>54</v>
      </c>
      <c r="N35" s="23">
        <v>198</v>
      </c>
      <c r="O35" s="23">
        <f>SUM(テーブル4[[#This Row],[Open数]:[Closed数]])</f>
        <v>252</v>
      </c>
      <c r="P35" s="23" t="str">
        <f>IF(テーブル4[[#This Row],[PullRequest計]]=0,"×","○")</f>
        <v>○</v>
      </c>
      <c r="Q35" s="23">
        <v>6</v>
      </c>
      <c r="R35" s="23">
        <v>361</v>
      </c>
      <c r="S35" s="23">
        <f>SUM(テーブル4[[#This Row],[Open数2]:[Closed数3]])</f>
        <v>367</v>
      </c>
      <c r="T35" s="23" t="s">
        <v>30</v>
      </c>
      <c r="U35" s="23">
        <v>4</v>
      </c>
      <c r="V35" s="23" t="s">
        <v>30</v>
      </c>
      <c r="W35" s="23">
        <v>20</v>
      </c>
      <c r="X35" s="23" t="s">
        <v>120</v>
      </c>
      <c r="Y35" s="23" t="s">
        <v>123</v>
      </c>
      <c r="Z35" s="23" t="s">
        <v>109</v>
      </c>
      <c r="AA35" s="23"/>
      <c r="AB35" s="23"/>
    </row>
    <row r="36" spans="1:28" s="15" customFormat="1" x14ac:dyDescent="0.15">
      <c r="A36" s="23">
        <v>45</v>
      </c>
      <c r="B36" s="27" t="s">
        <v>251</v>
      </c>
      <c r="C36" s="25">
        <v>985</v>
      </c>
      <c r="D36" s="25">
        <v>2399</v>
      </c>
      <c r="E36" s="25">
        <v>44</v>
      </c>
      <c r="F36" s="28" t="str">
        <f>IF(テーブル4[[#This Row],[branch数]]=1,"×","○")</f>
        <v>○</v>
      </c>
      <c r="G36" s="25">
        <v>21</v>
      </c>
      <c r="H36" s="25">
        <v>2951</v>
      </c>
      <c r="I36" s="28" t="str">
        <f>IF(テーブル4[[#This Row],[リリース数]]=0,"×","○")</f>
        <v>○</v>
      </c>
      <c r="J36" s="25">
        <v>47</v>
      </c>
      <c r="K36" s="25">
        <v>415</v>
      </c>
      <c r="L36" s="23" t="str">
        <f>IF(テーブル4[[#This Row],[Issues計]]=0,"×","○")</f>
        <v>○</v>
      </c>
      <c r="M36" s="25">
        <v>53</v>
      </c>
      <c r="N36" s="25">
        <v>517</v>
      </c>
      <c r="O36" s="23">
        <f>SUM(テーブル4[[#This Row],[Open数]:[Closed数]])</f>
        <v>570</v>
      </c>
      <c r="P36" s="23" t="str">
        <f>IF(テーブル4[[#This Row],[PullRequest計]]=0,"×","○")</f>
        <v>○</v>
      </c>
      <c r="Q36" s="25">
        <v>40</v>
      </c>
      <c r="R36" s="25">
        <v>1077</v>
      </c>
      <c r="S36" s="23">
        <f>SUM(テーブル4[[#This Row],[Open数2]:[Closed数3]])</f>
        <v>1117</v>
      </c>
      <c r="T36" s="25" t="s">
        <v>31</v>
      </c>
      <c r="U36" s="25">
        <v>0</v>
      </c>
      <c r="V36" s="25" t="s">
        <v>30</v>
      </c>
      <c r="W36" s="25">
        <v>13</v>
      </c>
      <c r="X36" s="25" t="s">
        <v>252</v>
      </c>
      <c r="Y36" s="25" t="s">
        <v>229</v>
      </c>
      <c r="Z36" s="25"/>
      <c r="AA36" s="25"/>
      <c r="AB36" s="25"/>
    </row>
    <row r="37" spans="1:28" s="15" customFormat="1" x14ac:dyDescent="0.15">
      <c r="A37" s="23">
        <v>25</v>
      </c>
      <c r="B37" s="7" t="s">
        <v>63</v>
      </c>
      <c r="C37" s="23">
        <v>97</v>
      </c>
      <c r="D37" s="23">
        <v>800</v>
      </c>
      <c r="E37" s="23">
        <v>165</v>
      </c>
      <c r="F37" s="23" t="str">
        <f>IF(テーブル4[[#This Row],[branch数]]=1,"×","○")</f>
        <v>×</v>
      </c>
      <c r="G37" s="25">
        <v>1</v>
      </c>
      <c r="H37" s="23">
        <v>3196</v>
      </c>
      <c r="I37" s="23" t="str">
        <f>IF(テーブル4[[#This Row],[リリース数]]=0,"×","○")</f>
        <v>○</v>
      </c>
      <c r="J37" s="23">
        <v>2</v>
      </c>
      <c r="K37" s="23">
        <v>54</v>
      </c>
      <c r="L37" s="23" t="str">
        <f>IF(テーブル4[[#This Row],[Issues計]]=0,"×","○")</f>
        <v>○</v>
      </c>
      <c r="M37" s="23">
        <v>30</v>
      </c>
      <c r="N37" s="23">
        <v>432</v>
      </c>
      <c r="O37" s="23">
        <f>SUM(テーブル4[[#This Row],[Open数]:[Closed数]])</f>
        <v>462</v>
      </c>
      <c r="P37" s="23" t="str">
        <f>IF(テーブル4[[#This Row],[PullRequest計]]=0,"×","○")</f>
        <v>○</v>
      </c>
      <c r="Q37" s="23">
        <v>4</v>
      </c>
      <c r="R37" s="23">
        <v>268</v>
      </c>
      <c r="S37" s="23">
        <f>SUM(テーブル4[[#This Row],[Open数2]:[Closed数3]])</f>
        <v>272</v>
      </c>
      <c r="T37" s="23" t="s">
        <v>31</v>
      </c>
      <c r="U37" s="23">
        <v>0</v>
      </c>
      <c r="V37" s="23" t="s">
        <v>30</v>
      </c>
      <c r="W37" s="23">
        <v>8</v>
      </c>
      <c r="X37" s="23" t="s">
        <v>114</v>
      </c>
      <c r="Y37" s="23" t="s">
        <v>113</v>
      </c>
      <c r="Z37" s="23" t="s">
        <v>126</v>
      </c>
      <c r="AA37" s="23"/>
      <c r="AB37" s="23"/>
    </row>
    <row r="38" spans="1:28" s="15" customFormat="1" x14ac:dyDescent="0.15">
      <c r="A38" s="23">
        <v>47</v>
      </c>
      <c r="B38" s="27" t="s">
        <v>254</v>
      </c>
      <c r="C38" s="25">
        <v>7535</v>
      </c>
      <c r="D38" s="25">
        <v>31413</v>
      </c>
      <c r="E38" s="25">
        <v>714</v>
      </c>
      <c r="F38" s="28" t="str">
        <f>IF(テーブル4[[#This Row],[branch数]]=1,"×","○")</f>
        <v>○</v>
      </c>
      <c r="G38" s="25">
        <v>35</v>
      </c>
      <c r="H38" s="25">
        <v>3279</v>
      </c>
      <c r="I38" s="28" t="str">
        <f>IF(テーブル4[[#This Row],[リリース数]]=0,"×","○")</f>
        <v>○</v>
      </c>
      <c r="J38" s="25">
        <v>175</v>
      </c>
      <c r="K38" s="25">
        <v>81</v>
      </c>
      <c r="L38" s="23" t="str">
        <f>IF(テーブル4[[#This Row],[Issues計]]=0,"×","○")</f>
        <v>○</v>
      </c>
      <c r="M38" s="25">
        <v>147</v>
      </c>
      <c r="N38" s="25">
        <v>1078</v>
      </c>
      <c r="O38" s="23">
        <f>SUM(テーブル4[[#This Row],[Open数]:[Closed数]])</f>
        <v>1225</v>
      </c>
      <c r="P38" s="23" t="str">
        <f>IF(テーブル4[[#This Row],[PullRequest計]]=0,"×","○")</f>
        <v>○</v>
      </c>
      <c r="Q38" s="25">
        <v>66</v>
      </c>
      <c r="R38" s="25">
        <v>813</v>
      </c>
      <c r="S38" s="23">
        <f>SUM(テーブル4[[#This Row],[Open数2]:[Closed数3]])</f>
        <v>879</v>
      </c>
      <c r="T38" s="25" t="s">
        <v>30</v>
      </c>
      <c r="U38" s="25">
        <v>67</v>
      </c>
      <c r="V38" s="25" t="s">
        <v>30</v>
      </c>
      <c r="W38" s="25">
        <v>12</v>
      </c>
      <c r="X38" s="25" t="s">
        <v>232</v>
      </c>
      <c r="Y38" s="25" t="s">
        <v>234</v>
      </c>
      <c r="Z38" s="25"/>
      <c r="AA38" s="25"/>
      <c r="AB38" s="25"/>
    </row>
    <row r="39" spans="1:28" s="15" customFormat="1" x14ac:dyDescent="0.15">
      <c r="A39" s="23">
        <v>36</v>
      </c>
      <c r="B39" s="27" t="s">
        <v>238</v>
      </c>
      <c r="C39" s="24">
        <v>1631</v>
      </c>
      <c r="D39" s="25">
        <v>8991</v>
      </c>
      <c r="E39" s="25">
        <v>526</v>
      </c>
      <c r="F39" s="28" t="str">
        <f>IF(テーブル4[[#This Row],[branch数]]=1,"×","○")</f>
        <v>○</v>
      </c>
      <c r="G39" s="25">
        <v>14</v>
      </c>
      <c r="H39" s="25">
        <v>3385</v>
      </c>
      <c r="I39" s="28" t="str">
        <f>IF(テーブル4[[#This Row],[リリース数]]=0,"×","○")</f>
        <v>○</v>
      </c>
      <c r="J39" s="25">
        <v>22</v>
      </c>
      <c r="K39" s="25">
        <v>169</v>
      </c>
      <c r="L39" s="23" t="str">
        <f>IF(テーブル4[[#This Row],[Issues計]]=0,"×","○")</f>
        <v>○</v>
      </c>
      <c r="M39" s="25">
        <v>159</v>
      </c>
      <c r="N39" s="25">
        <v>1767</v>
      </c>
      <c r="O39" s="23">
        <f>SUM(テーブル4[[#This Row],[Open数]:[Closed数]])</f>
        <v>1926</v>
      </c>
      <c r="P39" s="23" t="str">
        <f>IF(テーブル4[[#This Row],[PullRequest計]]=0,"×","○")</f>
        <v>○</v>
      </c>
      <c r="Q39" s="25">
        <v>32</v>
      </c>
      <c r="R39" s="25">
        <v>1055</v>
      </c>
      <c r="S39" s="23">
        <f>SUM(テーブル4[[#This Row],[Open数2]:[Closed数3]])</f>
        <v>1087</v>
      </c>
      <c r="T39" s="25" t="s">
        <v>31</v>
      </c>
      <c r="U39" s="25">
        <v>0</v>
      </c>
      <c r="V39" s="25" t="s">
        <v>30</v>
      </c>
      <c r="W39" s="25">
        <v>20</v>
      </c>
      <c r="X39" s="25" t="s">
        <v>232</v>
      </c>
      <c r="Y39" s="25" t="s">
        <v>234</v>
      </c>
      <c r="Z39" s="25" t="s">
        <v>229</v>
      </c>
      <c r="AA39" s="25"/>
      <c r="AB39" s="25"/>
    </row>
    <row r="40" spans="1:28" s="15" customFormat="1" x14ac:dyDescent="0.15">
      <c r="A40" s="23">
        <v>29</v>
      </c>
      <c r="B40" s="7" t="s">
        <v>68</v>
      </c>
      <c r="C40" s="23">
        <v>71</v>
      </c>
      <c r="D40" s="23">
        <v>1680</v>
      </c>
      <c r="E40" s="23">
        <v>180</v>
      </c>
      <c r="F40" s="23" t="str">
        <f>IF(テーブル4[[#This Row],[branch数]]=1,"×","○")</f>
        <v>○</v>
      </c>
      <c r="G40" s="23">
        <v>24</v>
      </c>
      <c r="H40" s="23">
        <v>3453</v>
      </c>
      <c r="I40" s="23" t="str">
        <f>IF(テーブル4[[#This Row],[リリース数]]=0,"×","○")</f>
        <v>○</v>
      </c>
      <c r="J40" s="23">
        <v>32</v>
      </c>
      <c r="K40" s="23">
        <v>24</v>
      </c>
      <c r="L40" s="23" t="str">
        <f>IF(テーブル4[[#This Row],[Issues計]]=0,"×","○")</f>
        <v>○</v>
      </c>
      <c r="M40" s="23">
        <v>265</v>
      </c>
      <c r="N40" s="23">
        <v>1045</v>
      </c>
      <c r="O40" s="23">
        <f>SUM(テーブル4[[#This Row],[Open数]:[Closed数]])</f>
        <v>1310</v>
      </c>
      <c r="P40" s="23" t="str">
        <f>IF(テーブル4[[#This Row],[PullRequest計]]=0,"×","○")</f>
        <v>○</v>
      </c>
      <c r="Q40" s="23">
        <v>16</v>
      </c>
      <c r="R40" s="23">
        <v>649</v>
      </c>
      <c r="S40" s="23">
        <f>SUM(テーブル4[[#This Row],[Open数2]:[Closed数3]])</f>
        <v>665</v>
      </c>
      <c r="T40" s="23" t="s">
        <v>31</v>
      </c>
      <c r="U40" s="23">
        <v>0</v>
      </c>
      <c r="V40" s="23" t="s">
        <v>30</v>
      </c>
      <c r="W40" s="23">
        <v>13</v>
      </c>
      <c r="X40" s="23" t="s">
        <v>128</v>
      </c>
      <c r="Y40" s="23" t="s">
        <v>113</v>
      </c>
      <c r="Z40" s="23" t="s">
        <v>108</v>
      </c>
      <c r="AA40" s="23"/>
      <c r="AB40" s="23"/>
    </row>
    <row r="41" spans="1:28" s="15" customFormat="1" x14ac:dyDescent="0.15">
      <c r="A41" s="23">
        <v>15</v>
      </c>
      <c r="B41" s="7" t="s">
        <v>89</v>
      </c>
      <c r="C41" s="23">
        <v>245</v>
      </c>
      <c r="D41" s="23">
        <v>4977</v>
      </c>
      <c r="E41" s="23">
        <v>701</v>
      </c>
      <c r="F41" s="23" t="str">
        <f>IF(テーブル4[[#This Row],[branch数]]=1,"×","○")</f>
        <v>○</v>
      </c>
      <c r="G41" s="23">
        <v>9</v>
      </c>
      <c r="H41" s="23">
        <v>3610</v>
      </c>
      <c r="I41" s="23" t="str">
        <f>IF(テーブル4[[#This Row],[リリース数]]=0,"×","○")</f>
        <v>○</v>
      </c>
      <c r="J41" s="23">
        <v>146</v>
      </c>
      <c r="K41" s="23">
        <v>122</v>
      </c>
      <c r="L41" s="23" t="str">
        <f>IF(テーブル4[[#This Row],[Issues計]]=0,"×","○")</f>
        <v>○</v>
      </c>
      <c r="M41" s="23">
        <v>144</v>
      </c>
      <c r="N41" s="23">
        <v>1132</v>
      </c>
      <c r="O41" s="23">
        <f>SUM(テーブル4[[#This Row],[Open数]:[Closed数]])</f>
        <v>1276</v>
      </c>
      <c r="P41" s="23" t="str">
        <f>IF(テーブル4[[#This Row],[PullRequest計]]=0,"×","○")</f>
        <v>○</v>
      </c>
      <c r="Q41" s="23">
        <v>3</v>
      </c>
      <c r="R41" s="23">
        <v>472</v>
      </c>
      <c r="S41" s="23">
        <f>SUM(テーブル4[[#This Row],[Open数2]:[Closed数3]])</f>
        <v>475</v>
      </c>
      <c r="T41" s="23" t="s">
        <v>30</v>
      </c>
      <c r="U41" s="23">
        <v>2</v>
      </c>
      <c r="V41" s="23" t="s">
        <v>30</v>
      </c>
      <c r="W41" s="23">
        <v>19</v>
      </c>
      <c r="X41" s="23" t="s">
        <v>110</v>
      </c>
      <c r="Y41" s="23" t="s">
        <v>109</v>
      </c>
      <c r="Z41" s="23"/>
      <c r="AA41" s="23"/>
      <c r="AB41" s="23"/>
    </row>
    <row r="42" spans="1:28" s="15" customFormat="1" x14ac:dyDescent="0.15">
      <c r="A42" s="23">
        <v>16</v>
      </c>
      <c r="B42" s="7" t="s">
        <v>90</v>
      </c>
      <c r="C42" s="23">
        <v>195</v>
      </c>
      <c r="D42" s="23">
        <v>3300</v>
      </c>
      <c r="E42" s="23">
        <v>437</v>
      </c>
      <c r="F42" s="23" t="str">
        <f>IF(テーブル4[[#This Row],[branch数]]=1,"×","○")</f>
        <v>○</v>
      </c>
      <c r="G42" s="23">
        <v>9</v>
      </c>
      <c r="H42" s="23">
        <v>4107</v>
      </c>
      <c r="I42" s="23" t="str">
        <f>IF(テーブル4[[#This Row],[リリース数]]=0,"×","○")</f>
        <v>○</v>
      </c>
      <c r="J42" s="23">
        <v>34</v>
      </c>
      <c r="K42" s="23">
        <v>119</v>
      </c>
      <c r="L42" s="23" t="str">
        <f>IF(テーブル4[[#This Row],[Issues計]]=0,"×","○")</f>
        <v>○</v>
      </c>
      <c r="M42" s="23">
        <v>229</v>
      </c>
      <c r="N42" s="23">
        <v>431</v>
      </c>
      <c r="O42" s="23">
        <f>SUM(テーブル4[[#This Row],[Open数]:[Closed数]])</f>
        <v>660</v>
      </c>
      <c r="P42" s="23" t="str">
        <f>IF(テーブル4[[#This Row],[PullRequest計]]=0,"×","○")</f>
        <v>○</v>
      </c>
      <c r="Q42" s="23">
        <v>19</v>
      </c>
      <c r="R42" s="23">
        <v>387</v>
      </c>
      <c r="S42" s="23">
        <f>SUM(テーブル4[[#This Row],[Open数2]:[Closed数3]])</f>
        <v>406</v>
      </c>
      <c r="T42" s="23" t="s">
        <v>30</v>
      </c>
      <c r="U42" s="23">
        <v>24</v>
      </c>
      <c r="V42" s="23" t="s">
        <v>30</v>
      </c>
      <c r="W42" s="23">
        <v>10</v>
      </c>
      <c r="X42" s="23" t="s">
        <v>113</v>
      </c>
      <c r="Y42" s="23" t="s">
        <v>110</v>
      </c>
      <c r="Z42" s="23" t="s">
        <v>108</v>
      </c>
      <c r="AA42" s="23"/>
      <c r="AB42" s="23"/>
    </row>
    <row r="43" spans="1:28" s="15" customFormat="1" x14ac:dyDescent="0.15">
      <c r="A43" s="23">
        <v>24</v>
      </c>
      <c r="B43" s="7" t="s">
        <v>62</v>
      </c>
      <c r="C43" s="23">
        <v>1085</v>
      </c>
      <c r="D43" s="23">
        <v>10901</v>
      </c>
      <c r="E43" s="23">
        <v>3355</v>
      </c>
      <c r="F43" s="23" t="str">
        <f>IF(テーブル4[[#This Row],[branch数]]=1,"×","○")</f>
        <v>○</v>
      </c>
      <c r="G43" s="23">
        <v>13</v>
      </c>
      <c r="H43" s="23">
        <v>4699</v>
      </c>
      <c r="I43" s="23" t="str">
        <f>IF(テーブル4[[#This Row],[リリース数]]=0,"×","○")</f>
        <v>○</v>
      </c>
      <c r="J43" s="23">
        <v>152</v>
      </c>
      <c r="K43" s="23">
        <v>144</v>
      </c>
      <c r="L43" s="23" t="str">
        <f>IF(テーブル4[[#This Row],[Issues計]]=0,"×","○")</f>
        <v>○</v>
      </c>
      <c r="M43" s="23">
        <v>393</v>
      </c>
      <c r="N43" s="23">
        <v>938</v>
      </c>
      <c r="O43" s="23">
        <f>SUM(テーブル4[[#This Row],[Open数]:[Closed数]])</f>
        <v>1331</v>
      </c>
      <c r="P43" s="23" t="str">
        <f>IF(テーブル4[[#This Row],[PullRequest計]]=0,"×","○")</f>
        <v>○</v>
      </c>
      <c r="Q43" s="23">
        <v>206</v>
      </c>
      <c r="R43" s="23">
        <v>588</v>
      </c>
      <c r="S43" s="23">
        <f>SUM(テーブル4[[#This Row],[Open数2]:[Closed数3]])</f>
        <v>794</v>
      </c>
      <c r="T43" s="23" t="s">
        <v>30</v>
      </c>
      <c r="U43" s="23">
        <v>4</v>
      </c>
      <c r="V43" s="23" t="s">
        <v>30</v>
      </c>
      <c r="W43" s="23">
        <v>15</v>
      </c>
      <c r="X43" s="23" t="s">
        <v>118</v>
      </c>
      <c r="Y43" s="23" t="s">
        <v>125</v>
      </c>
      <c r="Z43" s="23" t="s">
        <v>106</v>
      </c>
      <c r="AA43" s="23"/>
      <c r="AB43" s="23"/>
    </row>
    <row r="44" spans="1:28" s="15" customFormat="1" x14ac:dyDescent="0.15">
      <c r="A44" s="23">
        <v>7</v>
      </c>
      <c r="B44" s="7" t="s">
        <v>129</v>
      </c>
      <c r="C44" s="23">
        <v>424</v>
      </c>
      <c r="D44" s="23">
        <v>4787</v>
      </c>
      <c r="E44" s="23">
        <v>945</v>
      </c>
      <c r="F44" s="23" t="str">
        <f>IF(テーブル4[[#This Row],[branch数]]=1,"×","○")</f>
        <v>○</v>
      </c>
      <c r="G44" s="23">
        <v>12</v>
      </c>
      <c r="H44" s="23">
        <v>5881</v>
      </c>
      <c r="I44" s="23" t="str">
        <f>IF(テーブル4[[#This Row],[リリース数]]=0,"×","○")</f>
        <v>○</v>
      </c>
      <c r="J44" s="23">
        <v>163</v>
      </c>
      <c r="K44" s="23">
        <v>153</v>
      </c>
      <c r="L44" s="23" t="str">
        <f>IF(テーブル4[[#This Row],[Issues計]]=0,"×","○")</f>
        <v>○</v>
      </c>
      <c r="M44" s="23">
        <v>122</v>
      </c>
      <c r="N44" s="23">
        <v>1131</v>
      </c>
      <c r="O44" s="23">
        <f>SUM(テーブル4[[#This Row],[Open数]:[Closed数]])</f>
        <v>1253</v>
      </c>
      <c r="P44" s="23" t="str">
        <f>IF(テーブル4[[#This Row],[PullRequest計]]=0,"×","○")</f>
        <v>○</v>
      </c>
      <c r="Q44" s="23">
        <v>4</v>
      </c>
      <c r="R44" s="23">
        <v>253</v>
      </c>
      <c r="S44" s="23">
        <f>SUM(テーブル4[[#This Row],[Open数2]:[Closed数3]])</f>
        <v>257</v>
      </c>
      <c r="T44" s="23" t="s">
        <v>31</v>
      </c>
      <c r="U44" s="23">
        <v>0</v>
      </c>
      <c r="V44" s="23" t="s">
        <v>30</v>
      </c>
      <c r="W44" s="23">
        <v>13</v>
      </c>
      <c r="X44" s="23" t="s">
        <v>106</v>
      </c>
      <c r="Y44" s="23" t="s">
        <v>109</v>
      </c>
      <c r="Z44" s="23"/>
      <c r="AA44" s="23"/>
      <c r="AB44" s="23"/>
    </row>
    <row r="45" spans="1:28" s="15" customFormat="1" x14ac:dyDescent="0.15">
      <c r="A45" s="23">
        <v>11</v>
      </c>
      <c r="B45" s="7" t="s">
        <v>262</v>
      </c>
      <c r="C45" s="23">
        <v>77</v>
      </c>
      <c r="D45" s="23">
        <v>461</v>
      </c>
      <c r="E45" s="29">
        <v>313</v>
      </c>
      <c r="F45" s="29" t="str">
        <f>IF(テーブル4[[#This Row],[branch数]]=1,"×","○")</f>
        <v>○</v>
      </c>
      <c r="G45" s="29">
        <v>6</v>
      </c>
      <c r="H45" s="29">
        <v>10189</v>
      </c>
      <c r="I45" s="29" t="str">
        <f>IF(テーブル4[[#This Row],[リリース数]]=0,"×","○")</f>
        <v>○</v>
      </c>
      <c r="J45" s="29">
        <v>21</v>
      </c>
      <c r="K45" s="29">
        <v>93</v>
      </c>
      <c r="L45" s="23" t="str">
        <f>IF(テーブル4[[#This Row],[Issues計]]=0,"×","○")</f>
        <v>○</v>
      </c>
      <c r="M45" s="29">
        <v>323</v>
      </c>
      <c r="N45" s="29">
        <v>695</v>
      </c>
      <c r="O45" s="23">
        <f>SUM(テーブル4[[#This Row],[Open数]:[Closed数]])</f>
        <v>1018</v>
      </c>
      <c r="P45" s="23" t="str">
        <f>IF(テーブル4[[#This Row],[PullRequest計]]=0,"×","○")</f>
        <v>○</v>
      </c>
      <c r="Q45" s="29">
        <v>90</v>
      </c>
      <c r="R45" s="29">
        <v>1967</v>
      </c>
      <c r="S45" s="23">
        <f>SUM(テーブル4[[#This Row],[Open数2]:[Closed数3]])</f>
        <v>2057</v>
      </c>
      <c r="T45" s="29" t="s">
        <v>42</v>
      </c>
      <c r="U45" s="29">
        <v>58</v>
      </c>
      <c r="V45" s="29" t="s">
        <v>42</v>
      </c>
      <c r="W45" s="29">
        <v>52</v>
      </c>
      <c r="X45" s="29" t="s">
        <v>113</v>
      </c>
      <c r="Y45" s="29" t="s">
        <v>118</v>
      </c>
      <c r="Z45" s="29" t="s">
        <v>108</v>
      </c>
      <c r="AA45" s="23"/>
      <c r="AB45" s="23"/>
    </row>
    <row r="46" spans="1:28" s="15" customFormat="1" x14ac:dyDescent="0.15">
      <c r="A46" s="23">
        <v>37</v>
      </c>
      <c r="B46" s="27" t="s">
        <v>239</v>
      </c>
      <c r="C46" s="3">
        <v>973</v>
      </c>
      <c r="D46" s="3">
        <v>2028</v>
      </c>
      <c r="E46" s="3">
        <v>217</v>
      </c>
      <c r="F46" s="14" t="str">
        <f>IF(テーブル4[[#This Row],[branch数]]=1,"×","○")</f>
        <v>○</v>
      </c>
      <c r="G46" s="3">
        <v>3</v>
      </c>
      <c r="H46" s="3">
        <v>13121</v>
      </c>
      <c r="I46" s="14" t="str">
        <f>IF(テーブル4[[#This Row],[リリース数]]=0,"×","○")</f>
        <v>○</v>
      </c>
      <c r="J46" s="3">
        <v>41</v>
      </c>
      <c r="K46" s="3">
        <v>272</v>
      </c>
      <c r="L46" s="23" t="str">
        <f>IF(テーブル4[[#This Row],[Issues計]]=0,"×","○")</f>
        <v>○</v>
      </c>
      <c r="M46" s="3">
        <v>341</v>
      </c>
      <c r="N46" s="3">
        <v>1243</v>
      </c>
      <c r="O46" s="23">
        <f>SUM(テーブル4[[#This Row],[Open数]:[Closed数]])</f>
        <v>1584</v>
      </c>
      <c r="P46" s="23" t="str">
        <f>IF(テーブル4[[#This Row],[PullRequest計]]=0,"×","○")</f>
        <v>○</v>
      </c>
      <c r="Q46" s="3">
        <v>81</v>
      </c>
      <c r="R46" s="3">
        <v>2118</v>
      </c>
      <c r="S46" s="23">
        <f>SUM(テーブル4[[#This Row],[Open数2]:[Closed数3]])</f>
        <v>2199</v>
      </c>
      <c r="T46" s="25" t="s">
        <v>30</v>
      </c>
      <c r="U46" s="25">
        <v>25</v>
      </c>
      <c r="V46" s="25" t="s">
        <v>30</v>
      </c>
      <c r="W46" s="25">
        <v>37</v>
      </c>
      <c r="X46" s="3" t="s">
        <v>228</v>
      </c>
      <c r="Y46" s="3" t="s">
        <v>240</v>
      </c>
      <c r="Z46" s="3" t="s">
        <v>241</v>
      </c>
      <c r="AA46" s="25" t="s">
        <v>242</v>
      </c>
      <c r="AB46" s="25" t="s">
        <v>243</v>
      </c>
    </row>
    <row r="47" spans="1:28" s="15" customFormat="1" x14ac:dyDescent="0.15">
      <c r="A47" s="23">
        <v>6</v>
      </c>
      <c r="B47" s="7" t="s">
        <v>259</v>
      </c>
      <c r="C47" s="23">
        <v>553</v>
      </c>
      <c r="D47" s="23">
        <v>5262</v>
      </c>
      <c r="E47" s="23">
        <v>2315</v>
      </c>
      <c r="F47" s="23" t="str">
        <f>IF(テーブル4[[#This Row],[branch数]]=1,"×","○")</f>
        <v>○</v>
      </c>
      <c r="G47" s="23">
        <v>12</v>
      </c>
      <c r="H47" s="23">
        <v>17275</v>
      </c>
      <c r="I47" s="23" t="str">
        <f>IF(テーブル4[[#This Row],[リリース数]]=0,"×","○")</f>
        <v>○</v>
      </c>
      <c r="J47" s="23">
        <v>121</v>
      </c>
      <c r="K47" s="23">
        <v>285</v>
      </c>
      <c r="L47" s="23" t="str">
        <f>IF(テーブル4[[#This Row],[Issues計]]=0,"×","○")</f>
        <v>○</v>
      </c>
      <c r="M47" s="23">
        <v>110</v>
      </c>
      <c r="N47" s="23">
        <v>1547</v>
      </c>
      <c r="O47" s="23">
        <f>SUM(テーブル4[[#This Row],[Open数]:[Closed数]])</f>
        <v>1657</v>
      </c>
      <c r="P47" s="23" t="str">
        <f>IF(テーブル4[[#This Row],[PullRequest計]]=0,"×","○")</f>
        <v>○</v>
      </c>
      <c r="Q47" s="23">
        <v>17</v>
      </c>
      <c r="R47" s="23">
        <v>3421</v>
      </c>
      <c r="S47" s="23">
        <f>SUM(テーブル4[[#This Row],[Open数2]:[Closed数3]])</f>
        <v>3438</v>
      </c>
      <c r="T47" s="23" t="s">
        <v>30</v>
      </c>
      <c r="U47" s="23">
        <v>42</v>
      </c>
      <c r="V47" s="23" t="s">
        <v>30</v>
      </c>
      <c r="W47" s="23">
        <v>5</v>
      </c>
      <c r="X47" s="23" t="s">
        <v>111</v>
      </c>
      <c r="Y47" s="23" t="s">
        <v>108</v>
      </c>
      <c r="Z47" s="23"/>
      <c r="AA47" s="23"/>
      <c r="AB47" s="23"/>
    </row>
    <row r="48" spans="1:28" s="15" customFormat="1" x14ac:dyDescent="0.15">
      <c r="A48" s="23">
        <v>4</v>
      </c>
      <c r="B48" s="7" t="s">
        <v>37</v>
      </c>
      <c r="C48" s="23">
        <v>360</v>
      </c>
      <c r="D48" s="23">
        <v>11741</v>
      </c>
      <c r="E48" s="23">
        <v>4592</v>
      </c>
      <c r="F48" s="23" t="str">
        <f>IF(テーブル4[[#This Row],[branch数]]=1,"×","○")</f>
        <v>○</v>
      </c>
      <c r="G48" s="23">
        <v>39</v>
      </c>
      <c r="H48" s="23">
        <v>19052</v>
      </c>
      <c r="I48" s="23" t="str">
        <f>IF(テーブル4[[#This Row],[リリース数]]=0,"×","○")</f>
        <v>○</v>
      </c>
      <c r="J48" s="23">
        <v>86</v>
      </c>
      <c r="K48" s="23">
        <v>700</v>
      </c>
      <c r="L48" s="23" t="str">
        <f>IF(テーブル4[[#This Row],[Issues計]]=0,"×","○")</f>
        <v>×</v>
      </c>
      <c r="M48" s="23">
        <v>0</v>
      </c>
      <c r="N48" s="23">
        <v>0</v>
      </c>
      <c r="O48" s="23">
        <f>SUM(テーブル4[[#This Row],[Open数]:[Closed数]])</f>
        <v>0</v>
      </c>
      <c r="P48" s="23" t="str">
        <f>IF(テーブル4[[#This Row],[PullRequest計]]=0,"×","○")</f>
        <v>○</v>
      </c>
      <c r="Q48" s="23">
        <v>69</v>
      </c>
      <c r="R48" s="23">
        <v>3403</v>
      </c>
      <c r="S48" s="23">
        <f>SUM(テーブル4[[#This Row],[Open数2]:[Closed数3]])</f>
        <v>3472</v>
      </c>
      <c r="T48" s="23" t="s">
        <v>31</v>
      </c>
      <c r="U48" s="23">
        <v>0</v>
      </c>
      <c r="V48" s="23" t="s">
        <v>31</v>
      </c>
      <c r="W48" s="23">
        <v>0</v>
      </c>
      <c r="X48" s="23" t="s">
        <v>107</v>
      </c>
      <c r="Y48" s="23" t="s">
        <v>108</v>
      </c>
      <c r="Z48" s="23"/>
      <c r="AA48" s="23"/>
      <c r="AB48" s="23"/>
    </row>
    <row r="49" spans="1:28" s="15" customFormat="1" x14ac:dyDescent="0.15">
      <c r="A49" s="23">
        <v>23</v>
      </c>
      <c r="B49" s="7" t="s">
        <v>61</v>
      </c>
      <c r="C49" s="23">
        <v>559</v>
      </c>
      <c r="D49" s="23">
        <v>5955</v>
      </c>
      <c r="E49" s="23">
        <v>1650</v>
      </c>
      <c r="F49" s="23" t="str">
        <f>IF(テーブル4[[#This Row],[branch数]]=1,"×","○")</f>
        <v>○</v>
      </c>
      <c r="G49" s="25">
        <v>14</v>
      </c>
      <c r="H49" s="23">
        <v>27747</v>
      </c>
      <c r="I49" s="23" t="str">
        <f>IF(テーブル4[[#This Row],[リリース数]]=0,"×","○")</f>
        <v>○</v>
      </c>
      <c r="J49" s="23">
        <v>230</v>
      </c>
      <c r="K49" s="23">
        <v>197</v>
      </c>
      <c r="L49" s="23" t="str">
        <f>IF(テーブル4[[#This Row],[Issues計]]=0,"×","○")</f>
        <v>×</v>
      </c>
      <c r="M49" s="23">
        <v>0</v>
      </c>
      <c r="N49" s="23">
        <v>0</v>
      </c>
      <c r="O49" s="23">
        <f>SUM(テーブル4[[#This Row],[Open数]:[Closed数]])</f>
        <v>0</v>
      </c>
      <c r="P49" s="23" t="str">
        <f>IF(テーブル4[[#This Row],[PullRequest計]]=0,"×","○")</f>
        <v>○</v>
      </c>
      <c r="Q49" s="23">
        <v>16</v>
      </c>
      <c r="R49" s="23">
        <v>847</v>
      </c>
      <c r="S49" s="23">
        <f>SUM(テーブル4[[#This Row],[Open数2]:[Closed数3]])</f>
        <v>863</v>
      </c>
      <c r="T49" s="23" t="s">
        <v>31</v>
      </c>
      <c r="U49" s="23">
        <v>0</v>
      </c>
      <c r="V49" s="23" t="s">
        <v>31</v>
      </c>
      <c r="W49" s="23">
        <v>0</v>
      </c>
      <c r="X49" s="23" t="s">
        <v>116</v>
      </c>
      <c r="Y49" s="23" t="s">
        <v>118</v>
      </c>
      <c r="Z49" s="23" t="s">
        <v>110</v>
      </c>
      <c r="AA49" s="23"/>
      <c r="AB49" s="23"/>
    </row>
    <row r="50" spans="1:28" s="15" customFormat="1" x14ac:dyDescent="0.15">
      <c r="A50" s="23">
        <v>5</v>
      </c>
      <c r="B50" s="7" t="s">
        <v>38</v>
      </c>
      <c r="C50" s="23">
        <v>1648</v>
      </c>
      <c r="D50" s="23">
        <v>23753</v>
      </c>
      <c r="E50" s="23">
        <v>9080</v>
      </c>
      <c r="F50" s="23" t="str">
        <f>IF(テーブル4[[#This Row],[branch数]]=1,"×","○")</f>
        <v>○</v>
      </c>
      <c r="G50" s="23">
        <v>37</v>
      </c>
      <c r="H50" s="23">
        <v>47676</v>
      </c>
      <c r="I50" s="23" t="str">
        <f>IF(テーブル4[[#This Row],[リリース数]]=0,"×","○")</f>
        <v>○</v>
      </c>
      <c r="J50" s="23">
        <v>237</v>
      </c>
      <c r="K50" s="23">
        <v>2465</v>
      </c>
      <c r="L50" s="23" t="str">
        <f>IF(テーブル4[[#This Row],[Issues計]]=0,"×","○")</f>
        <v>○</v>
      </c>
      <c r="M50" s="23">
        <v>327</v>
      </c>
      <c r="N50" s="23">
        <v>5959</v>
      </c>
      <c r="O50" s="23">
        <f>SUM(テーブル4[[#This Row],[Open数]:[Closed数]])</f>
        <v>6286</v>
      </c>
      <c r="P50" s="23" t="str">
        <f>IF(テーブル4[[#This Row],[PullRequest計]]=0,"×","○")</f>
        <v>○</v>
      </c>
      <c r="Q50" s="23">
        <v>437</v>
      </c>
      <c r="R50" s="23">
        <v>10797</v>
      </c>
      <c r="S50" s="23">
        <f>SUM(テーブル4[[#This Row],[Open数2]:[Closed数3]])</f>
        <v>11234</v>
      </c>
      <c r="T50" s="23" t="s">
        <v>31</v>
      </c>
      <c r="U50" s="23">
        <v>0</v>
      </c>
      <c r="V50" s="23" t="s">
        <v>30</v>
      </c>
      <c r="W50" s="23">
        <v>29</v>
      </c>
      <c r="X50" s="23" t="s">
        <v>106</v>
      </c>
      <c r="Y50" s="23" t="s">
        <v>109</v>
      </c>
      <c r="Z50" s="23" t="s">
        <v>110</v>
      </c>
      <c r="AA50" s="23"/>
      <c r="AB50" s="23"/>
    </row>
    <row r="51" spans="1:28" s="15" customFormat="1" x14ac:dyDescent="0.15">
      <c r="A51" s="23">
        <v>10</v>
      </c>
      <c r="B51" s="7" t="s">
        <v>261</v>
      </c>
      <c r="C51" s="23">
        <v>45</v>
      </c>
      <c r="D51" s="23">
        <v>188</v>
      </c>
      <c r="E51" s="23">
        <v>1109</v>
      </c>
      <c r="F51" s="23" t="str">
        <f>IF(テーブル4[[#This Row],[branch数]]=1,"×","○")</f>
        <v>○</v>
      </c>
      <c r="G51" s="25">
        <v>50</v>
      </c>
      <c r="H51" s="23">
        <v>139955</v>
      </c>
      <c r="I51" s="23" t="str">
        <f>IF(テーブル4[[#This Row],[リリース数]]=0,"×","○")</f>
        <v>○</v>
      </c>
      <c r="J51" s="23">
        <v>2610</v>
      </c>
      <c r="K51" s="23">
        <v>286</v>
      </c>
      <c r="L51" s="23" t="str">
        <f>IF(テーブル4[[#This Row],[Issues計]]=0,"×","○")</f>
        <v>○</v>
      </c>
      <c r="M51" s="23">
        <v>24</v>
      </c>
      <c r="N51" s="23">
        <v>173</v>
      </c>
      <c r="O51" s="23">
        <f>SUM(テーブル4[[#This Row],[Open数]:[Closed数]])</f>
        <v>197</v>
      </c>
      <c r="P51" s="23" t="str">
        <f>IF(テーブル4[[#This Row],[PullRequest計]]=0,"×","○")</f>
        <v>○</v>
      </c>
      <c r="Q51" s="23">
        <v>88</v>
      </c>
      <c r="R51" s="23">
        <v>5945</v>
      </c>
      <c r="S51" s="23">
        <f>SUM(テーブル4[[#This Row],[Open数2]:[Closed数3]])</f>
        <v>6033</v>
      </c>
      <c r="T51" s="23" t="s">
        <v>31</v>
      </c>
      <c r="U51" s="23">
        <v>0</v>
      </c>
      <c r="V51" s="23" t="s">
        <v>30</v>
      </c>
      <c r="W51" s="23">
        <v>69</v>
      </c>
      <c r="X51" s="23" t="s">
        <v>116</v>
      </c>
      <c r="Y51" s="23" t="s">
        <v>113</v>
      </c>
      <c r="Z51" s="23" t="s">
        <v>117</v>
      </c>
      <c r="AA51" s="23"/>
      <c r="AB51" s="23"/>
    </row>
    <row r="52" spans="1:28" s="15" customFormat="1" x14ac:dyDescent="0.15"/>
    <row r="53" spans="1:28" s="15" customFormat="1" x14ac:dyDescent="0.15"/>
    <row r="54" spans="1:28" s="15" customFormat="1" x14ac:dyDescent="0.15"/>
    <row r="55" spans="1:28" s="15" customFormat="1" x14ac:dyDescent="0.15"/>
    <row r="56" spans="1:28" s="15" customFormat="1" x14ac:dyDescent="0.15"/>
    <row r="57" spans="1:28" s="15" customFormat="1" x14ac:dyDescent="0.15"/>
    <row r="58" spans="1:28" s="15" customFormat="1" x14ac:dyDescent="0.15"/>
    <row r="59" spans="1:28" s="15" customFormat="1" x14ac:dyDescent="0.15"/>
    <row r="60" spans="1:28" s="15" customFormat="1" x14ac:dyDescent="0.15"/>
    <row r="61" spans="1:28" s="15" customFormat="1" x14ac:dyDescent="0.15"/>
    <row r="62" spans="1:28" s="15" customFormat="1" x14ac:dyDescent="0.15"/>
    <row r="63" spans="1:28" s="15" customFormat="1" x14ac:dyDescent="0.15"/>
    <row r="64" spans="1:28" s="15" customFormat="1" x14ac:dyDescent="0.15"/>
    <row r="65" s="15" customFormat="1" x14ac:dyDescent="0.15"/>
    <row r="66" s="15" customFormat="1" x14ac:dyDescent="0.15"/>
    <row r="67" s="15" customFormat="1" x14ac:dyDescent="0.15"/>
    <row r="68" s="15" customFormat="1" x14ac:dyDescent="0.15"/>
    <row r="69" s="15" customFormat="1" x14ac:dyDescent="0.15"/>
    <row r="70" s="15" customFormat="1" x14ac:dyDescent="0.15"/>
    <row r="71" s="15" customFormat="1" x14ac:dyDescent="0.15"/>
    <row r="72" s="15" customFormat="1" x14ac:dyDescent="0.15"/>
    <row r="73" s="15" customFormat="1" x14ac:dyDescent="0.15"/>
    <row r="74" s="15" customFormat="1" x14ac:dyDescent="0.15"/>
    <row r="75" s="15" customFormat="1" x14ac:dyDescent="0.15"/>
    <row r="76" s="15" customFormat="1" x14ac:dyDescent="0.15"/>
    <row r="77" s="15" customFormat="1" x14ac:dyDescent="0.15"/>
    <row r="78" s="15" customFormat="1" x14ac:dyDescent="0.15"/>
    <row r="79" s="15" customFormat="1" x14ac:dyDescent="0.15"/>
    <row r="80" s="15" customFormat="1" x14ac:dyDescent="0.15"/>
    <row r="81" s="15" customFormat="1" x14ac:dyDescent="0.15"/>
    <row r="82" s="15" customFormat="1" x14ac:dyDescent="0.15"/>
    <row r="83" s="15" customFormat="1" x14ac:dyDescent="0.15"/>
    <row r="84" s="15" customFormat="1" x14ac:dyDescent="0.15"/>
    <row r="85" s="15" customFormat="1" x14ac:dyDescent="0.15"/>
    <row r="86" s="15" customFormat="1" x14ac:dyDescent="0.15"/>
    <row r="87" s="15" customFormat="1" x14ac:dyDescent="0.15"/>
    <row r="88" s="15" customFormat="1" x14ac:dyDescent="0.15"/>
    <row r="89" s="15" customFormat="1" x14ac:dyDescent="0.15"/>
    <row r="90" s="15" customFormat="1" x14ac:dyDescent="0.15"/>
    <row r="91" s="15" customFormat="1" x14ac:dyDescent="0.15"/>
    <row r="92" s="15" customFormat="1" x14ac:dyDescent="0.15"/>
    <row r="93" s="15" customFormat="1" x14ac:dyDescent="0.15"/>
    <row r="94" s="15" customFormat="1" x14ac:dyDescent="0.15"/>
    <row r="95" s="15" customFormat="1" x14ac:dyDescent="0.15"/>
    <row r="96" s="15" customFormat="1" x14ac:dyDescent="0.15"/>
    <row r="97" s="15" customFormat="1" x14ac:dyDescent="0.15"/>
    <row r="98" s="15" customFormat="1" x14ac:dyDescent="0.15"/>
    <row r="99" s="15" customFormat="1" x14ac:dyDescent="0.15"/>
    <row r="100" s="15" customFormat="1" x14ac:dyDescent="0.15"/>
    <row r="101" s="15" customFormat="1" x14ac:dyDescent="0.15"/>
    <row r="102" s="15" customFormat="1" x14ac:dyDescent="0.15"/>
    <row r="103" s="15" customFormat="1" x14ac:dyDescent="0.15"/>
    <row r="104" s="15" customFormat="1" x14ac:dyDescent="0.15"/>
    <row r="105" s="15" customFormat="1" x14ac:dyDescent="0.15"/>
    <row r="106" s="15" customFormat="1" x14ac:dyDescent="0.15"/>
    <row r="107" s="15" customFormat="1" x14ac:dyDescent="0.15"/>
    <row r="108" s="15" customFormat="1" x14ac:dyDescent="0.15"/>
    <row r="109" s="15" customFormat="1" x14ac:dyDescent="0.15"/>
    <row r="110" s="15" customFormat="1" x14ac:dyDescent="0.15"/>
    <row r="111" s="15" customFormat="1" x14ac:dyDescent="0.15"/>
    <row r="112" s="15" customFormat="1" x14ac:dyDescent="0.15"/>
    <row r="113" s="15" customFormat="1" x14ac:dyDescent="0.15"/>
    <row r="114" s="15" customFormat="1" x14ac:dyDescent="0.15"/>
    <row r="115" s="15" customFormat="1" x14ac:dyDescent="0.15"/>
    <row r="116" s="15" customFormat="1" x14ac:dyDescent="0.15"/>
    <row r="117" s="15" customFormat="1" x14ac:dyDescent="0.15"/>
    <row r="118" s="15" customFormat="1" x14ac:dyDescent="0.15"/>
    <row r="119" s="15" customFormat="1" x14ac:dyDescent="0.15"/>
    <row r="120" s="15" customFormat="1" x14ac:dyDescent="0.15"/>
    <row r="121" s="15" customFormat="1" x14ac:dyDescent="0.15"/>
    <row r="122" s="15" customFormat="1" x14ac:dyDescent="0.15"/>
    <row r="123" s="15" customFormat="1" x14ac:dyDescent="0.15"/>
    <row r="124" s="15" customFormat="1" x14ac:dyDescent="0.15"/>
    <row r="125" s="15" customFormat="1" x14ac:dyDescent="0.15"/>
    <row r="126" s="15" customFormat="1" x14ac:dyDescent="0.15"/>
    <row r="127" s="15" customFormat="1" x14ac:dyDescent="0.15"/>
    <row r="128" s="15" customFormat="1" x14ac:dyDescent="0.15"/>
    <row r="129" s="15" customFormat="1" x14ac:dyDescent="0.15"/>
    <row r="130" s="15" customFormat="1" x14ac:dyDescent="0.15"/>
    <row r="131" s="15" customFormat="1" x14ac:dyDescent="0.15"/>
    <row r="132" s="15" customFormat="1" x14ac:dyDescent="0.15"/>
    <row r="133" s="15" customFormat="1" x14ac:dyDescent="0.15"/>
    <row r="134" s="15" customFormat="1" x14ac:dyDescent="0.15"/>
    <row r="135" s="15" customFormat="1" x14ac:dyDescent="0.15"/>
    <row r="136" s="15" customFormat="1" x14ac:dyDescent="0.15"/>
    <row r="137" s="15" customFormat="1" x14ac:dyDescent="0.15"/>
    <row r="138" s="15" customFormat="1" x14ac:dyDescent="0.15"/>
    <row r="139" s="15" customFormat="1" x14ac:dyDescent="0.15"/>
    <row r="140" s="15" customFormat="1" x14ac:dyDescent="0.15"/>
    <row r="141" s="15" customFormat="1" x14ac:dyDescent="0.15"/>
    <row r="142" s="15" customFormat="1" x14ac:dyDescent="0.15"/>
    <row r="143" s="15" customFormat="1" x14ac:dyDescent="0.15"/>
    <row r="144" s="15" customFormat="1" x14ac:dyDescent="0.15"/>
    <row r="145" s="15" customFormat="1" x14ac:dyDescent="0.15"/>
    <row r="146" s="15" customFormat="1" x14ac:dyDescent="0.15"/>
    <row r="147" s="15" customFormat="1" x14ac:dyDescent="0.15"/>
    <row r="148" s="15" customFormat="1" x14ac:dyDescent="0.15"/>
    <row r="149" s="15" customFormat="1" x14ac:dyDescent="0.15"/>
    <row r="150" s="15" customFormat="1" x14ac:dyDescent="0.15"/>
    <row r="151" s="15" customFormat="1" x14ac:dyDescent="0.15"/>
    <row r="152" s="15" customFormat="1" x14ac:dyDescent="0.15"/>
    <row r="153" s="15" customFormat="1" x14ac:dyDescent="0.15"/>
    <row r="154" s="15" customFormat="1" x14ac:dyDescent="0.15"/>
    <row r="155" s="15" customFormat="1" x14ac:dyDescent="0.15"/>
    <row r="156" s="15" customFormat="1" x14ac:dyDescent="0.15"/>
    <row r="157" s="15" customFormat="1" x14ac:dyDescent="0.15"/>
    <row r="158" s="15" customFormat="1" x14ac:dyDescent="0.15"/>
    <row r="159" s="15" customFormat="1" x14ac:dyDescent="0.15"/>
    <row r="160" s="15" customFormat="1" x14ac:dyDescent="0.15"/>
    <row r="161" s="15" customFormat="1" x14ac:dyDescent="0.15"/>
    <row r="162" s="15" customFormat="1" x14ac:dyDescent="0.15"/>
    <row r="163" s="15" customFormat="1" x14ac:dyDescent="0.15"/>
    <row r="164" s="15" customFormat="1" x14ac:dyDescent="0.15"/>
    <row r="165" s="15" customFormat="1" x14ac:dyDescent="0.15"/>
    <row r="166" s="15" customFormat="1" x14ac:dyDescent="0.15"/>
    <row r="167" s="15" customFormat="1" x14ac:dyDescent="0.15"/>
    <row r="168" s="15" customFormat="1" x14ac:dyDescent="0.15"/>
    <row r="169" s="15" customFormat="1" x14ac:dyDescent="0.15"/>
    <row r="170" s="15" customFormat="1" x14ac:dyDescent="0.15"/>
    <row r="171" s="15" customFormat="1" x14ac:dyDescent="0.15"/>
    <row r="172" s="15" customFormat="1" x14ac:dyDescent="0.15"/>
  </sheetData>
  <phoneticPr fontId="1"/>
  <hyperlinks>
    <hyperlink ref="B4" r:id="rId1"/>
    <hyperlink ref="B3" r:id="rId2"/>
    <hyperlink ref="B12" r:id="rId3"/>
    <hyperlink ref="B48" r:id="rId4"/>
    <hyperlink ref="B50" r:id="rId5"/>
    <hyperlink ref="B47" r:id="rId6"/>
    <hyperlink ref="B44" r:id="rId7"/>
    <hyperlink ref="B32" r:id="rId8"/>
    <hyperlink ref="B21" r:id="rId9"/>
    <hyperlink ref="B51" r:id="rId10"/>
    <hyperlink ref="B45" r:id="rId11"/>
    <hyperlink ref="B9" r:id="rId12" display="https://github.com/gabrielecirulli/2048"/>
    <hyperlink ref="B10" r:id="rId13"/>
    <hyperlink ref="B8" r:id="rId14"/>
    <hyperlink ref="B41" r:id="rId15"/>
    <hyperlink ref="B42" r:id="rId16"/>
    <hyperlink ref="B26" r:id="rId17"/>
    <hyperlink ref="B25" r:id="rId18"/>
    <hyperlink ref="B29" r:id="rId19"/>
    <hyperlink ref="B33" r:id="rId20"/>
    <hyperlink ref="B34" r:id="rId21"/>
    <hyperlink ref="B35" r:id="rId22"/>
    <hyperlink ref="B49" r:id="rId23"/>
    <hyperlink ref="B43" r:id="rId24"/>
    <hyperlink ref="B37" r:id="rId25"/>
    <hyperlink ref="B16" r:id="rId26"/>
    <hyperlink ref="B28" r:id="rId27"/>
    <hyperlink ref="B6" r:id="rId28"/>
    <hyperlink ref="B40" r:id="rId29"/>
    <hyperlink ref="B7" r:id="rId30"/>
    <hyperlink ref="B2" r:id="rId31" display="https://github.com/samizdatco/arbor"/>
    <hyperlink ref="B22" r:id="rId32" display="https://github.com/HumbleSoftware/envisionjs"/>
    <hyperlink ref="B13" r:id="rId33" display="https://github.com/kartograph/kartograph.js"/>
    <hyperlink ref="B15" r:id="rId34" display="https://github.com/trifacta/vega"/>
    <hyperlink ref="B20" r:id="rId35" display="https://github.com/stamen/modestmaps-js"/>
    <hyperlink ref="B39" r:id="rId36" display="https://github.com/Leaflet/Leaflet"/>
    <hyperlink ref="B46" r:id="rId37" display="https://github.com/matplotlib/matplotlib"/>
    <hyperlink ref="B24" r:id="rId38" display="https://github.com/Kozea/pygal"/>
    <hyperlink ref="B31" r:id="rId39" display="https://github.com/dc-js/dc.js"/>
    <hyperlink ref="B5" r:id="rId40" display="https://github.com/nnnick/Chart.js"/>
    <hyperlink ref="B18" r:id="rId41" display="https://github.com/fastly/epoch"/>
    <hyperlink ref="B11" r:id="rId42" display="https://github.com/densitydesign/raw"/>
    <hyperlink ref="B17" r:id="rId43" display="https://github.com/gionkunz/chartist-js"/>
    <hyperlink ref="B27" r:id="rId44" display="https://github.com/ecomfe/echarts"/>
    <hyperlink ref="B36" r:id="rId45" display="https://github.com/github/linguist"/>
    <hyperlink ref="B19" r:id="rId46" display="https://github.com/defunkt/jquery-pjax"/>
    <hyperlink ref="B38" r:id="rId47" display="https://github.com/mbostock/d3"/>
    <hyperlink ref="B14" r:id="rId48" display="https://github.com/benpickles/peity"/>
    <hyperlink ref="B30" r:id="rId49" display="https://github.com/okfn/recline"/>
    <hyperlink ref="B23" r:id="rId50" display="https://github.com/jacomyal/sigma.js"/>
  </hyperlinks>
  <pageMargins left="0.7" right="0.7" top="0.75" bottom="0.75" header="0.3" footer="0.3"/>
  <pageSetup paperSize="9" orientation="portrait" horizontalDpi="4294967292" verticalDpi="4294967292"/>
  <tableParts count="1">
    <tablePart r:id="rId5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6" sqref="B6"/>
    </sheetView>
  </sheetViews>
  <sheetFormatPr defaultColWidth="8.875" defaultRowHeight="14.25" x14ac:dyDescent="0.15"/>
  <cols>
    <col min="9" max="9" width="12.875" bestFit="1" customWidth="1"/>
    <col min="12" max="12" width="48.125" bestFit="1" customWidth="1"/>
  </cols>
  <sheetData>
    <row r="1" spans="1:13" x14ac:dyDescent="0.15">
      <c r="A1" t="s">
        <v>199</v>
      </c>
    </row>
    <row r="2" spans="1:13" ht="15" thickBot="1" x14ac:dyDescent="0.2"/>
    <row r="3" spans="1:13" x14ac:dyDescent="0.15">
      <c r="A3" s="5" t="s">
        <v>200</v>
      </c>
      <c r="B3" s="5"/>
    </row>
    <row r="4" spans="1:13" x14ac:dyDescent="0.15">
      <c r="A4" s="3" t="s">
        <v>201</v>
      </c>
      <c r="B4" s="3">
        <v>0.99501471390567908</v>
      </c>
    </row>
    <row r="5" spans="1:13" x14ac:dyDescent="0.15">
      <c r="A5" s="3" t="s">
        <v>202</v>
      </c>
      <c r="B5" s="3">
        <v>0.99005428088880032</v>
      </c>
    </row>
    <row r="6" spans="1:13" x14ac:dyDescent="0.15">
      <c r="A6" s="3" t="s">
        <v>203</v>
      </c>
      <c r="B6" s="3">
        <v>0.98481969188290575</v>
      </c>
    </row>
    <row r="7" spans="1:13" x14ac:dyDescent="0.15">
      <c r="A7" s="3" t="s">
        <v>75</v>
      </c>
      <c r="B7" s="3">
        <v>3273.2470569802472</v>
      </c>
    </row>
    <row r="8" spans="1:13" ht="15" thickBot="1" x14ac:dyDescent="0.2">
      <c r="A8" s="4" t="s">
        <v>204</v>
      </c>
      <c r="B8" s="4">
        <v>30</v>
      </c>
    </row>
    <row r="10" spans="1:13" ht="15" thickBot="1" x14ac:dyDescent="0.2">
      <c r="A10" t="s">
        <v>205</v>
      </c>
    </row>
    <row r="11" spans="1:13" x14ac:dyDescent="0.15">
      <c r="A11" s="12"/>
      <c r="B11" s="12" t="s">
        <v>209</v>
      </c>
      <c r="C11" s="12" t="s">
        <v>210</v>
      </c>
      <c r="D11" s="12" t="s">
        <v>79</v>
      </c>
      <c r="E11" s="12" t="s">
        <v>211</v>
      </c>
      <c r="F11" s="12" t="s">
        <v>212</v>
      </c>
      <c r="L11" s="22">
        <v>7.7761151463238601E-17</v>
      </c>
      <c r="M11" s="3"/>
    </row>
    <row r="12" spans="1:13" x14ac:dyDescent="0.15">
      <c r="A12" s="3" t="s">
        <v>206</v>
      </c>
      <c r="B12" s="3">
        <v>10</v>
      </c>
      <c r="C12" s="3">
        <v>20264411197.342098</v>
      </c>
      <c r="D12" s="3">
        <v>2026441119.7342098</v>
      </c>
      <c r="E12" s="3">
        <v>189.13696562880719</v>
      </c>
      <c r="F12" s="3">
        <v>7.7761151463238614E-17</v>
      </c>
    </row>
    <row r="13" spans="1:13" x14ac:dyDescent="0.15">
      <c r="A13" s="3" t="s">
        <v>207</v>
      </c>
      <c r="B13" s="3">
        <v>19</v>
      </c>
      <c r="C13" s="3">
        <v>203568779.62456718</v>
      </c>
      <c r="D13" s="3">
        <v>10714146.296029851</v>
      </c>
      <c r="E13" s="3"/>
      <c r="F13" s="3"/>
    </row>
    <row r="14" spans="1:13" ht="15" thickBot="1" x14ac:dyDescent="0.2">
      <c r="A14" s="4" t="s">
        <v>85</v>
      </c>
      <c r="B14" s="4">
        <v>29</v>
      </c>
      <c r="C14" s="4">
        <v>20467979976.966667</v>
      </c>
      <c r="D14" s="4"/>
      <c r="E14" s="4"/>
      <c r="F14" s="4"/>
    </row>
    <row r="15" spans="1:13" ht="15" thickBot="1" x14ac:dyDescent="0.2"/>
    <row r="16" spans="1:13" x14ac:dyDescent="0.15">
      <c r="A16" s="12"/>
      <c r="B16" s="12" t="s">
        <v>213</v>
      </c>
      <c r="C16" s="12" t="s">
        <v>75</v>
      </c>
      <c r="D16" s="12" t="s">
        <v>214</v>
      </c>
      <c r="E16" s="12" t="s">
        <v>215</v>
      </c>
      <c r="F16" s="12" t="s">
        <v>216</v>
      </c>
      <c r="G16" s="12" t="s">
        <v>217</v>
      </c>
      <c r="H16" s="12" t="s">
        <v>218</v>
      </c>
      <c r="I16" s="12" t="s">
        <v>219</v>
      </c>
    </row>
    <row r="17" spans="1:9" x14ac:dyDescent="0.15">
      <c r="A17" s="3" t="s">
        <v>208</v>
      </c>
      <c r="B17" s="3">
        <v>1413.7061331620362</v>
      </c>
      <c r="C17" s="3">
        <v>1516.6338057397022</v>
      </c>
      <c r="D17" s="3">
        <v>0.93213413007930046</v>
      </c>
      <c r="E17" s="3">
        <v>0.36296166333012281</v>
      </c>
      <c r="F17" s="3">
        <v>-1760.64490397998</v>
      </c>
      <c r="G17" s="3">
        <v>4588.0571703040523</v>
      </c>
      <c r="H17" s="3">
        <v>-1760.64490397998</v>
      </c>
      <c r="I17" s="3">
        <v>4588.0571703040523</v>
      </c>
    </row>
    <row r="18" spans="1:9" x14ac:dyDescent="0.15">
      <c r="A18" s="3" t="s">
        <v>168</v>
      </c>
      <c r="B18" s="3">
        <v>4.343937879519971</v>
      </c>
      <c r="C18" s="3">
        <v>5.58531264788357</v>
      </c>
      <c r="D18" s="3">
        <v>0.77774301160491166</v>
      </c>
      <c r="E18" s="3">
        <v>0.44629756653160813</v>
      </c>
      <c r="F18" s="3">
        <v>-7.3462558438913108</v>
      </c>
      <c r="G18" s="3">
        <v>16.034131602931254</v>
      </c>
      <c r="H18" s="3">
        <v>-7.3462558438913108</v>
      </c>
      <c r="I18" s="3">
        <v>16.034131602931254</v>
      </c>
    </row>
    <row r="19" spans="1:9" x14ac:dyDescent="0.15">
      <c r="A19" s="3" t="s">
        <v>220</v>
      </c>
      <c r="B19" s="3">
        <v>-8.6002780012357463E-2</v>
      </c>
      <c r="C19" s="3">
        <v>0.45530086002060527</v>
      </c>
      <c r="D19" s="3">
        <v>-0.18889219758659206</v>
      </c>
      <c r="E19" s="3">
        <v>0.85218038180678191</v>
      </c>
      <c r="F19" s="3">
        <v>-1.038958432028275</v>
      </c>
      <c r="G19" s="3">
        <v>0.86695287200355997</v>
      </c>
      <c r="H19" s="3">
        <v>-1.038958432028275</v>
      </c>
      <c r="I19" s="3">
        <v>0.86695287200355997</v>
      </c>
    </row>
    <row r="20" spans="1:9" x14ac:dyDescent="0.15">
      <c r="A20" s="3" t="s">
        <v>221</v>
      </c>
      <c r="B20" s="3">
        <v>-0.37222153124501223</v>
      </c>
      <c r="C20" s="3">
        <v>0.45492636210361248</v>
      </c>
      <c r="D20" s="3">
        <v>-0.81820171845797829</v>
      </c>
      <c r="E20" s="3">
        <v>0.42338523151828722</v>
      </c>
      <c r="F20" s="3">
        <v>-1.3243933501123379</v>
      </c>
      <c r="G20" s="3">
        <v>0.5799502876223136</v>
      </c>
      <c r="H20" s="3">
        <v>-1.3243933501123379</v>
      </c>
      <c r="I20" s="3">
        <v>0.5799502876223136</v>
      </c>
    </row>
    <row r="21" spans="1:9" x14ac:dyDescent="0.15">
      <c r="A21" s="3" t="s">
        <v>222</v>
      </c>
      <c r="B21" s="3">
        <v>43.484683029373599</v>
      </c>
      <c r="C21" s="3">
        <v>2.7682776528598874</v>
      </c>
      <c r="D21" s="3">
        <v>15.708208670633125</v>
      </c>
      <c r="E21" s="3">
        <v>2.4382435394050942E-12</v>
      </c>
      <c r="F21" s="3">
        <v>37.690611312656877</v>
      </c>
      <c r="G21" s="3">
        <v>49.278754746090321</v>
      </c>
      <c r="H21" s="3">
        <v>37.690611312656877</v>
      </c>
      <c r="I21" s="3">
        <v>49.278754746090321</v>
      </c>
    </row>
    <row r="22" spans="1:9" x14ac:dyDescent="0.15">
      <c r="A22" s="3" t="s">
        <v>223</v>
      </c>
      <c r="B22" s="3">
        <v>0.74586480340446393</v>
      </c>
      <c r="C22" s="3">
        <v>7.477444138987754</v>
      </c>
      <c r="D22" s="3">
        <v>9.9748629283031201E-2</v>
      </c>
      <c r="E22" s="3">
        <v>0.92158885785208899</v>
      </c>
      <c r="F22" s="3">
        <v>-14.904605644991337</v>
      </c>
      <c r="G22" s="3">
        <v>16.396335251800267</v>
      </c>
      <c r="H22" s="3">
        <v>-14.904605644991337</v>
      </c>
      <c r="I22" s="3">
        <v>16.396335251800267</v>
      </c>
    </row>
    <row r="23" spans="1:9" x14ac:dyDescent="0.15">
      <c r="A23" s="3" t="s">
        <v>224</v>
      </c>
      <c r="B23" s="3">
        <v>-3.2779981112200494</v>
      </c>
      <c r="C23" s="3">
        <v>1.6747775581286035</v>
      </c>
      <c r="D23" s="3">
        <v>-1.9572737258808772</v>
      </c>
      <c r="E23" s="3">
        <v>6.5170238717914858E-2</v>
      </c>
      <c r="F23" s="3">
        <v>-6.7833478261664277</v>
      </c>
      <c r="G23" s="3">
        <v>0.22735160372632901</v>
      </c>
      <c r="H23" s="3">
        <v>-6.7833478261664277</v>
      </c>
      <c r="I23" s="3">
        <v>0.22735160372632901</v>
      </c>
    </row>
    <row r="24" spans="1:9" x14ac:dyDescent="0.15">
      <c r="A24" s="3" t="s">
        <v>225</v>
      </c>
      <c r="B24" s="3">
        <v>-41.377088882204013</v>
      </c>
      <c r="C24" s="3">
        <v>21.566533343870844</v>
      </c>
      <c r="D24" s="3">
        <v>-1.9185785783213638</v>
      </c>
      <c r="E24" s="3">
        <v>7.0189139378790302E-2</v>
      </c>
      <c r="F24" s="3">
        <v>-86.516361941124558</v>
      </c>
      <c r="G24" s="3">
        <v>3.7621841767165378</v>
      </c>
      <c r="H24" s="3">
        <v>-86.516361941124558</v>
      </c>
      <c r="I24" s="3">
        <v>3.7621841767165378</v>
      </c>
    </row>
    <row r="25" spans="1:9" x14ac:dyDescent="0.15">
      <c r="A25" s="3" t="s">
        <v>185</v>
      </c>
      <c r="B25" s="3">
        <v>4.8649824105818968</v>
      </c>
      <c r="C25" s="3">
        <v>1.4041283127727975</v>
      </c>
      <c r="D25" s="3">
        <v>3.4647705386516918</v>
      </c>
      <c r="E25" s="3">
        <v>2.5946001597075201E-3</v>
      </c>
      <c r="F25" s="3">
        <v>1.9261080764726772</v>
      </c>
      <c r="G25" s="3">
        <v>7.8038567446911165</v>
      </c>
      <c r="H25" s="3">
        <v>1.9261080764726772</v>
      </c>
      <c r="I25" s="3">
        <v>7.8038567446911165</v>
      </c>
    </row>
    <row r="26" spans="1:9" x14ac:dyDescent="0.15">
      <c r="A26" s="3" t="s">
        <v>226</v>
      </c>
      <c r="B26" s="3">
        <v>-1341.7765783120376</v>
      </c>
      <c r="C26" s="3">
        <v>2104.0591066271909</v>
      </c>
      <c r="D26" s="3">
        <v>-0.63770859577367434</v>
      </c>
      <c r="E26" s="3">
        <v>0.53127421020661902</v>
      </c>
      <c r="F26" s="3">
        <v>-5745.6229003796061</v>
      </c>
      <c r="G26" s="3">
        <v>3062.0697437555309</v>
      </c>
      <c r="H26" s="3">
        <v>-5745.6229003796061</v>
      </c>
      <c r="I26" s="3">
        <v>3062.0697437555309</v>
      </c>
    </row>
    <row r="27" spans="1:9" ht="15" thickBot="1" x14ac:dyDescent="0.2">
      <c r="A27" s="4" t="s">
        <v>227</v>
      </c>
      <c r="B27" s="4">
        <v>354.21934100616193</v>
      </c>
      <c r="C27" s="4">
        <v>2553.0159750960843</v>
      </c>
      <c r="D27" s="4">
        <v>0.13874544635108704</v>
      </c>
      <c r="E27" s="4">
        <v>0.89111131995593063</v>
      </c>
      <c r="F27" s="4">
        <v>-4989.3045061586281</v>
      </c>
      <c r="G27" s="4">
        <v>5697.7431881709517</v>
      </c>
      <c r="H27" s="4">
        <v>-4989.3045061586281</v>
      </c>
      <c r="I27" s="4">
        <v>5697.7431881709517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B6" sqref="B6"/>
    </sheetView>
  </sheetViews>
  <sheetFormatPr defaultColWidth="8.875" defaultRowHeight="14.25" x14ac:dyDescent="0.15"/>
  <cols>
    <col min="11" max="11" width="47.125" bestFit="1" customWidth="1"/>
  </cols>
  <sheetData>
    <row r="1" spans="1:11" x14ac:dyDescent="0.15">
      <c r="A1" t="s">
        <v>199</v>
      </c>
    </row>
    <row r="2" spans="1:11" ht="15" thickBot="1" x14ac:dyDescent="0.2"/>
    <row r="3" spans="1:11" x14ac:dyDescent="0.15">
      <c r="A3" s="5" t="s">
        <v>200</v>
      </c>
      <c r="B3" s="5"/>
    </row>
    <row r="4" spans="1:11" x14ac:dyDescent="0.15">
      <c r="A4" s="3" t="s">
        <v>201</v>
      </c>
      <c r="B4" s="3">
        <v>0.99501209670192781</v>
      </c>
    </row>
    <row r="5" spans="1:11" x14ac:dyDescent="0.15">
      <c r="A5" s="3" t="s">
        <v>202</v>
      </c>
      <c r="B5" s="3">
        <v>0.99004907258316643</v>
      </c>
    </row>
    <row r="6" spans="1:11" x14ac:dyDescent="0.15">
      <c r="A6" s="3" t="s">
        <v>203</v>
      </c>
      <c r="B6" s="3">
        <v>0.98557115524559136</v>
      </c>
    </row>
    <row r="7" spans="1:11" x14ac:dyDescent="0.15">
      <c r="A7" s="3" t="s">
        <v>75</v>
      </c>
      <c r="B7" s="3">
        <v>3191.2018356725544</v>
      </c>
    </row>
    <row r="8" spans="1:11" ht="15" thickBot="1" x14ac:dyDescent="0.2">
      <c r="A8" s="4" t="s">
        <v>204</v>
      </c>
      <c r="B8" s="4">
        <v>30</v>
      </c>
    </row>
    <row r="10" spans="1:11" ht="15" thickBot="1" x14ac:dyDescent="0.2">
      <c r="A10" t="s">
        <v>205</v>
      </c>
      <c r="K10" s="21">
        <v>5.0452643157194671E-18</v>
      </c>
    </row>
    <row r="11" spans="1:11" x14ac:dyDescent="0.15">
      <c r="A11" s="12"/>
      <c r="B11" s="12" t="s">
        <v>209</v>
      </c>
      <c r="C11" s="12" t="s">
        <v>210</v>
      </c>
      <c r="D11" s="12" t="s">
        <v>79</v>
      </c>
      <c r="E11" s="12" t="s">
        <v>211</v>
      </c>
      <c r="F11" s="12" t="s">
        <v>212</v>
      </c>
      <c r="K11" s="21">
        <v>3.0312374801367266E-19</v>
      </c>
    </row>
    <row r="12" spans="1:11" x14ac:dyDescent="0.15">
      <c r="A12" s="3" t="s">
        <v>206</v>
      </c>
      <c r="B12" s="3">
        <v>9</v>
      </c>
      <c r="C12" s="3">
        <v>20264304593.846668</v>
      </c>
      <c r="D12" s="3">
        <v>2251589399.3162966</v>
      </c>
      <c r="E12" s="3">
        <v>221.0958796124859</v>
      </c>
      <c r="F12" s="3">
        <v>5.0452643157194671E-18</v>
      </c>
      <c r="K12" s="21">
        <v>7.7761151463238601E-17</v>
      </c>
    </row>
    <row r="13" spans="1:11" x14ac:dyDescent="0.15">
      <c r="A13" s="3" t="s">
        <v>207</v>
      </c>
      <c r="B13" s="3">
        <v>20</v>
      </c>
      <c r="C13" s="3">
        <v>203675383.11999759</v>
      </c>
      <c r="D13" s="3">
        <v>10183769.15599988</v>
      </c>
      <c r="E13" s="3"/>
      <c r="F13" s="3"/>
    </row>
    <row r="14" spans="1:11" ht="15" thickBot="1" x14ac:dyDescent="0.2">
      <c r="A14" s="4" t="s">
        <v>85</v>
      </c>
      <c r="B14" s="4">
        <v>29</v>
      </c>
      <c r="C14" s="4">
        <v>20467979976.966667</v>
      </c>
      <c r="D14" s="4"/>
      <c r="E14" s="4"/>
      <c r="F14" s="4"/>
    </row>
    <row r="15" spans="1:11" ht="15" thickBot="1" x14ac:dyDescent="0.2"/>
    <row r="16" spans="1:11" x14ac:dyDescent="0.15">
      <c r="A16" s="12"/>
      <c r="B16" s="12" t="s">
        <v>213</v>
      </c>
      <c r="C16" s="12" t="s">
        <v>75</v>
      </c>
      <c r="D16" s="12" t="s">
        <v>214</v>
      </c>
      <c r="E16" s="12" t="s">
        <v>215</v>
      </c>
      <c r="F16" s="12" t="s">
        <v>216</v>
      </c>
      <c r="G16" s="12" t="s">
        <v>217</v>
      </c>
      <c r="H16" s="12" t="s">
        <v>218</v>
      </c>
      <c r="I16" s="12" t="s">
        <v>219</v>
      </c>
    </row>
    <row r="17" spans="1:9" x14ac:dyDescent="0.15">
      <c r="A17" s="3" t="s">
        <v>208</v>
      </c>
      <c r="B17" s="3">
        <v>1380.3445095163333</v>
      </c>
      <c r="C17" s="3">
        <v>1442.2168605392289</v>
      </c>
      <c r="D17" s="3">
        <v>0.95709913486952147</v>
      </c>
      <c r="E17" s="3">
        <v>0.3499445985891444</v>
      </c>
      <c r="F17" s="3">
        <v>-1628.0671445990297</v>
      </c>
      <c r="G17" s="3">
        <v>4388.7561636316968</v>
      </c>
      <c r="H17" s="3">
        <v>-1628.0671445990297</v>
      </c>
      <c r="I17" s="3">
        <v>4388.7561636316968</v>
      </c>
    </row>
    <row r="18" spans="1:9" x14ac:dyDescent="0.15">
      <c r="A18" s="3" t="s">
        <v>168</v>
      </c>
      <c r="B18" s="3">
        <v>4.2580404445337443</v>
      </c>
      <c r="C18" s="3">
        <v>5.3802044354682623</v>
      </c>
      <c r="D18" s="3">
        <v>0.79142725812855641</v>
      </c>
      <c r="E18" s="3">
        <v>0.43798063835914669</v>
      </c>
      <c r="F18" s="3">
        <v>-6.9648693466707279</v>
      </c>
      <c r="G18" s="3">
        <v>15.480950235738216</v>
      </c>
      <c r="H18" s="3">
        <v>-6.9648693466707279</v>
      </c>
      <c r="I18" s="3">
        <v>15.480950235738216</v>
      </c>
    </row>
    <row r="19" spans="1:9" x14ac:dyDescent="0.15">
      <c r="A19" s="3" t="s">
        <v>220</v>
      </c>
      <c r="B19" s="3">
        <v>-6.1576114694606957E-2</v>
      </c>
      <c r="C19" s="3">
        <v>0.37421690361865895</v>
      </c>
      <c r="D19" s="3">
        <v>-0.16454658808613126</v>
      </c>
      <c r="E19" s="3">
        <v>0.87095254060045146</v>
      </c>
      <c r="F19" s="3">
        <v>-0.84217889699214266</v>
      </c>
      <c r="G19" s="3">
        <v>0.71902666760292866</v>
      </c>
      <c r="H19" s="3">
        <v>-0.84217889699214266</v>
      </c>
      <c r="I19" s="3">
        <v>0.71902666760292866</v>
      </c>
    </row>
    <row r="20" spans="1:9" x14ac:dyDescent="0.15">
      <c r="A20" s="3" t="s">
        <v>221</v>
      </c>
      <c r="B20" s="3">
        <v>-0.38243342670872027</v>
      </c>
      <c r="C20" s="3">
        <v>0.43214694175195789</v>
      </c>
      <c r="D20" s="3">
        <v>-0.88496154839903507</v>
      </c>
      <c r="E20" s="3">
        <v>0.38669338302421585</v>
      </c>
      <c r="F20" s="3">
        <v>-1.2838761510510353</v>
      </c>
      <c r="G20" s="3">
        <v>0.51900929763359471</v>
      </c>
      <c r="H20" s="3">
        <v>-1.2838761510510353</v>
      </c>
      <c r="I20" s="3">
        <v>0.51900929763359471</v>
      </c>
    </row>
    <row r="21" spans="1:9" x14ac:dyDescent="0.15">
      <c r="A21" s="3" t="s">
        <v>222</v>
      </c>
      <c r="B21" s="3">
        <v>43.323240496486783</v>
      </c>
      <c r="C21" s="3">
        <v>2.1895562220680858</v>
      </c>
      <c r="D21" s="3">
        <v>19.786311061502222</v>
      </c>
      <c r="E21" s="3">
        <v>1.3256718482031244E-14</v>
      </c>
      <c r="F21" s="3">
        <v>38.755906251519214</v>
      </c>
      <c r="G21" s="3">
        <v>47.890574741454351</v>
      </c>
      <c r="H21" s="3">
        <v>38.755906251519214</v>
      </c>
      <c r="I21" s="3">
        <v>47.890574741454351</v>
      </c>
    </row>
    <row r="22" spans="1:9" x14ac:dyDescent="0.15">
      <c r="A22" s="3" t="s">
        <v>224</v>
      </c>
      <c r="B22" s="3">
        <v>-3.2596924077559364</v>
      </c>
      <c r="C22" s="3">
        <v>1.6229662611405393</v>
      </c>
      <c r="D22" s="3">
        <v>-2.0084782326067505</v>
      </c>
      <c r="E22" s="3">
        <v>5.8287859231542567E-2</v>
      </c>
      <c r="F22" s="3">
        <v>-6.6451407046408475</v>
      </c>
      <c r="G22" s="3">
        <v>0.12575588912897473</v>
      </c>
      <c r="H22" s="3">
        <v>-6.6451407046408475</v>
      </c>
      <c r="I22" s="3">
        <v>0.12575588912897473</v>
      </c>
    </row>
    <row r="23" spans="1:9" x14ac:dyDescent="0.15">
      <c r="A23" s="3" t="s">
        <v>225</v>
      </c>
      <c r="B23" s="3">
        <v>-40.913758711066293</v>
      </c>
      <c r="C23" s="3">
        <v>20.532491827425709</v>
      </c>
      <c r="D23" s="3">
        <v>-1.9926348469997621</v>
      </c>
      <c r="E23" s="3">
        <v>6.0126711303399152E-2</v>
      </c>
      <c r="F23" s="3">
        <v>-83.743786144361422</v>
      </c>
      <c r="G23" s="3">
        <v>1.9162687222288355</v>
      </c>
      <c r="H23" s="3">
        <v>-83.743786144361422</v>
      </c>
      <c r="I23" s="3">
        <v>1.9162687222288355</v>
      </c>
    </row>
    <row r="24" spans="1:9" x14ac:dyDescent="0.15">
      <c r="A24" s="3" t="s">
        <v>185</v>
      </c>
      <c r="B24" s="3">
        <v>4.9812188804368853</v>
      </c>
      <c r="C24" s="3">
        <v>0.76373320075932294</v>
      </c>
      <c r="D24" s="3">
        <v>6.5221976411192166</v>
      </c>
      <c r="E24" s="3">
        <v>2.3420531916907962E-6</v>
      </c>
      <c r="F24" s="3">
        <v>3.3880993401895751</v>
      </c>
      <c r="G24" s="3">
        <v>6.5743384206841959</v>
      </c>
      <c r="H24" s="3">
        <v>3.3880993401895751</v>
      </c>
      <c r="I24" s="3">
        <v>6.5743384206841959</v>
      </c>
    </row>
    <row r="25" spans="1:9" x14ac:dyDescent="0.15">
      <c r="A25" s="3" t="s">
        <v>226</v>
      </c>
      <c r="B25" s="3">
        <v>-1419.0093057616464</v>
      </c>
      <c r="C25" s="3">
        <v>1907.378063175747</v>
      </c>
      <c r="D25" s="3">
        <v>-0.74395807163631933</v>
      </c>
      <c r="E25" s="3">
        <v>0.46555325860736141</v>
      </c>
      <c r="F25" s="3">
        <v>-5397.7302256630155</v>
      </c>
      <c r="G25" s="3">
        <v>2559.7116141397232</v>
      </c>
      <c r="H25" s="3">
        <v>-5397.7302256630155</v>
      </c>
      <c r="I25" s="3">
        <v>2559.7116141397232</v>
      </c>
    </row>
    <row r="26" spans="1:9" ht="15" thickBot="1" x14ac:dyDescent="0.2">
      <c r="A26" s="4" t="s">
        <v>227</v>
      </c>
      <c r="B26" s="4">
        <v>382.12171484862165</v>
      </c>
      <c r="C26" s="4">
        <v>2474.0381805931847</v>
      </c>
      <c r="D26" s="4">
        <v>0.15445263450097715</v>
      </c>
      <c r="E26" s="4">
        <v>0.87880085301101196</v>
      </c>
      <c r="F26" s="4">
        <v>-4778.6314970089061</v>
      </c>
      <c r="G26" s="4">
        <v>5542.8749267061503</v>
      </c>
      <c r="H26" s="4">
        <v>-4778.6314970089061</v>
      </c>
      <c r="I26" s="4">
        <v>5542.8749267061503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D26" sqref="D26"/>
    </sheetView>
  </sheetViews>
  <sheetFormatPr defaultColWidth="8.875" defaultRowHeight="14.25" x14ac:dyDescent="0.15"/>
  <cols>
    <col min="11" max="11" width="32.625" bestFit="1" customWidth="1"/>
  </cols>
  <sheetData>
    <row r="1" spans="1:11" x14ac:dyDescent="0.15">
      <c r="A1" t="s">
        <v>199</v>
      </c>
    </row>
    <row r="2" spans="1:11" ht="15" thickBot="1" x14ac:dyDescent="0.2"/>
    <row r="3" spans="1:11" x14ac:dyDescent="0.15">
      <c r="A3" s="5" t="s">
        <v>200</v>
      </c>
      <c r="B3" s="5"/>
    </row>
    <row r="4" spans="1:11" x14ac:dyDescent="0.15">
      <c r="A4" s="3" t="s">
        <v>201</v>
      </c>
      <c r="B4" s="3">
        <v>0.9950053272353736</v>
      </c>
    </row>
    <row r="5" spans="1:11" x14ac:dyDescent="0.15">
      <c r="A5" s="3" t="s">
        <v>202</v>
      </c>
      <c r="B5" s="3">
        <v>0.99003560122677281</v>
      </c>
    </row>
    <row r="6" spans="1:11" x14ac:dyDescent="0.15">
      <c r="A6" s="3" t="s">
        <v>203</v>
      </c>
      <c r="B6" s="3">
        <v>0.98623963978935281</v>
      </c>
    </row>
    <row r="7" spans="1:11" x14ac:dyDescent="0.15">
      <c r="A7" s="3" t="s">
        <v>75</v>
      </c>
      <c r="B7" s="3">
        <v>3116.4014242080593</v>
      </c>
    </row>
    <row r="8" spans="1:11" ht="15" thickBot="1" x14ac:dyDescent="0.2">
      <c r="A8" s="4" t="s">
        <v>204</v>
      </c>
      <c r="B8" s="4">
        <v>30</v>
      </c>
    </row>
    <row r="10" spans="1:11" ht="15" thickBot="1" x14ac:dyDescent="0.2">
      <c r="A10" t="s">
        <v>205</v>
      </c>
    </row>
    <row r="11" spans="1:11" x14ac:dyDescent="0.15">
      <c r="A11" s="12"/>
      <c r="B11" s="12" t="s">
        <v>209</v>
      </c>
      <c r="C11" s="12" t="s">
        <v>210</v>
      </c>
      <c r="D11" s="12" t="s">
        <v>79</v>
      </c>
      <c r="E11" s="12" t="s">
        <v>211</v>
      </c>
      <c r="F11" s="12" t="s">
        <v>212</v>
      </c>
      <c r="K11" s="21"/>
    </row>
    <row r="12" spans="1:11" x14ac:dyDescent="0.15">
      <c r="A12" s="3" t="s">
        <v>206</v>
      </c>
      <c r="B12" s="3">
        <v>8</v>
      </c>
      <c r="C12" s="3">
        <v>20264028862.393742</v>
      </c>
      <c r="D12" s="3">
        <v>2533003607.7992177</v>
      </c>
      <c r="E12" s="3">
        <v>260.81287113909553</v>
      </c>
      <c r="F12" s="3">
        <v>3.0312374801367266E-19</v>
      </c>
    </row>
    <row r="13" spans="1:11" x14ac:dyDescent="0.15">
      <c r="A13" s="3" t="s">
        <v>207</v>
      </c>
      <c r="B13" s="3">
        <v>21</v>
      </c>
      <c r="C13" s="3">
        <v>203951114.57292646</v>
      </c>
      <c r="D13" s="3">
        <v>9711957.8368060216</v>
      </c>
      <c r="E13" s="3"/>
      <c r="F13" s="3"/>
    </row>
    <row r="14" spans="1:11" ht="15" thickBot="1" x14ac:dyDescent="0.2">
      <c r="A14" s="4" t="s">
        <v>85</v>
      </c>
      <c r="B14" s="4">
        <v>29</v>
      </c>
      <c r="C14" s="4">
        <v>20467979976.966667</v>
      </c>
      <c r="D14" s="4"/>
      <c r="E14" s="4"/>
      <c r="F14" s="4"/>
    </row>
    <row r="15" spans="1:11" ht="15" thickBot="1" x14ac:dyDescent="0.2"/>
    <row r="16" spans="1:11" x14ac:dyDescent="0.15">
      <c r="A16" s="12"/>
      <c r="B16" s="12" t="s">
        <v>213</v>
      </c>
      <c r="C16" s="12" t="s">
        <v>75</v>
      </c>
      <c r="D16" s="12" t="s">
        <v>214</v>
      </c>
      <c r="E16" s="12" t="s">
        <v>215</v>
      </c>
      <c r="F16" s="12" t="s">
        <v>216</v>
      </c>
      <c r="G16" s="12" t="s">
        <v>217</v>
      </c>
      <c r="H16" s="12" t="s">
        <v>218</v>
      </c>
      <c r="I16" s="12" t="s">
        <v>219</v>
      </c>
    </row>
    <row r="17" spans="1:9" x14ac:dyDescent="0.15">
      <c r="A17" s="3" t="s">
        <v>208</v>
      </c>
      <c r="B17" s="3">
        <v>1324.0135359481028</v>
      </c>
      <c r="C17" s="3">
        <v>1368.1581608247975</v>
      </c>
      <c r="D17" s="3">
        <v>0.96773426776179006</v>
      </c>
      <c r="E17" s="3">
        <v>0.34419113109032384</v>
      </c>
      <c r="F17" s="3">
        <v>-1521.227117080306</v>
      </c>
      <c r="G17" s="3">
        <v>4169.2541889765116</v>
      </c>
      <c r="H17" s="3">
        <v>-1521.227117080306</v>
      </c>
      <c r="I17" s="3">
        <v>4169.2541889765116</v>
      </c>
    </row>
    <row r="18" spans="1:9" x14ac:dyDescent="0.15">
      <c r="A18" s="3" t="s">
        <v>168</v>
      </c>
      <c r="B18" s="3">
        <v>3.6649519016497556</v>
      </c>
      <c r="C18" s="3">
        <v>3.9007495355533668</v>
      </c>
      <c r="D18" s="3">
        <v>0.93955068589909851</v>
      </c>
      <c r="E18" s="3">
        <v>0.35813031910907889</v>
      </c>
      <c r="F18" s="3">
        <v>-4.4471008373020933</v>
      </c>
      <c r="G18" s="3">
        <v>11.777004640601605</v>
      </c>
      <c r="H18" s="3">
        <v>-4.4471008373020933</v>
      </c>
      <c r="I18" s="3">
        <v>11.777004640601605</v>
      </c>
    </row>
    <row r="19" spans="1:9" x14ac:dyDescent="0.15">
      <c r="A19" s="3" t="s">
        <v>221</v>
      </c>
      <c r="B19" s="3">
        <v>-0.40106987658180487</v>
      </c>
      <c r="C19" s="3">
        <v>0.40726584094902013</v>
      </c>
      <c r="D19" s="3">
        <v>-0.98478643739730964</v>
      </c>
      <c r="E19" s="3">
        <v>0.33594001011749386</v>
      </c>
      <c r="F19" s="3">
        <v>-1.2480255579040485</v>
      </c>
      <c r="G19" s="3">
        <v>0.44588580474043865</v>
      </c>
      <c r="H19" s="3">
        <v>-1.2480255579040485</v>
      </c>
      <c r="I19" s="3">
        <v>0.44588580474043865</v>
      </c>
    </row>
    <row r="20" spans="1:9" x14ac:dyDescent="0.15">
      <c r="A20" s="3" t="s">
        <v>222</v>
      </c>
      <c r="B20" s="3">
        <v>43.42131236697282</v>
      </c>
      <c r="C20" s="3">
        <v>2.0574914294774964</v>
      </c>
      <c r="D20" s="3">
        <v>21.104006434670662</v>
      </c>
      <c r="E20" s="3">
        <v>1.2773883786051554E-15</v>
      </c>
      <c r="F20" s="3">
        <v>39.142524704822875</v>
      </c>
      <c r="G20" s="3">
        <v>47.700100029122765</v>
      </c>
      <c r="H20" s="3">
        <v>39.142524704822875</v>
      </c>
      <c r="I20" s="3">
        <v>47.700100029122765</v>
      </c>
    </row>
    <row r="21" spans="1:9" x14ac:dyDescent="0.15">
      <c r="A21" s="3" t="s">
        <v>224</v>
      </c>
      <c r="B21" s="3">
        <v>-3.2664589540590478</v>
      </c>
      <c r="C21" s="3">
        <v>1.584415778189334</v>
      </c>
      <c r="D21" s="3">
        <v>-2.0616172844428173</v>
      </c>
      <c r="E21" s="3">
        <v>5.1838374765689428E-2</v>
      </c>
      <c r="F21" s="3">
        <v>-6.5614319421865677</v>
      </c>
      <c r="G21" s="3">
        <v>2.8514034068471972E-2</v>
      </c>
      <c r="H21" s="3">
        <v>-6.5614319421865677</v>
      </c>
      <c r="I21" s="3">
        <v>2.8514034068471972E-2</v>
      </c>
    </row>
    <row r="22" spans="1:9" x14ac:dyDescent="0.15">
      <c r="A22" s="3" t="s">
        <v>225</v>
      </c>
      <c r="B22" s="3">
        <v>-40.856027690890471</v>
      </c>
      <c r="C22" s="3">
        <v>20.048291446536158</v>
      </c>
      <c r="D22" s="3">
        <v>-2.0378807740222356</v>
      </c>
      <c r="E22" s="3">
        <v>5.4355720374501301E-2</v>
      </c>
      <c r="F22" s="3">
        <v>-82.5487321462426</v>
      </c>
      <c r="G22" s="3">
        <v>0.83667676446165018</v>
      </c>
      <c r="H22" s="3">
        <v>-82.5487321462426</v>
      </c>
      <c r="I22" s="3">
        <v>0.83667676446165018</v>
      </c>
    </row>
    <row r="23" spans="1:9" x14ac:dyDescent="0.15">
      <c r="A23" s="3" t="s">
        <v>185</v>
      </c>
      <c r="B23" s="3">
        <v>4.9510562309275326</v>
      </c>
      <c r="C23" s="3">
        <v>0.72403029348618608</v>
      </c>
      <c r="D23" s="3">
        <v>6.8381893347146185</v>
      </c>
      <c r="E23" s="3">
        <v>9.2491811156435039E-7</v>
      </c>
      <c r="F23" s="3">
        <v>3.4453528085914149</v>
      </c>
      <c r="G23" s="3">
        <v>6.4567596532636502</v>
      </c>
      <c r="H23" s="3">
        <v>3.4453528085914149</v>
      </c>
      <c r="I23" s="3">
        <v>6.4567596532636502</v>
      </c>
    </row>
    <row r="24" spans="1:9" x14ac:dyDescent="0.15">
      <c r="A24" s="3" t="s">
        <v>226</v>
      </c>
      <c r="B24" s="3">
        <v>-1475.6244716189776</v>
      </c>
      <c r="C24" s="3">
        <v>1832.1138980304304</v>
      </c>
      <c r="D24" s="3">
        <v>-0.80542179894236487</v>
      </c>
      <c r="E24" s="3">
        <v>0.42960218790400684</v>
      </c>
      <c r="F24" s="3">
        <v>-5285.7138990810581</v>
      </c>
      <c r="G24" s="3">
        <v>2334.4649558431024</v>
      </c>
      <c r="H24" s="3">
        <v>-5285.7138990810581</v>
      </c>
      <c r="I24" s="3">
        <v>2334.4649558431024</v>
      </c>
    </row>
    <row r="25" spans="1:9" ht="15" thickBot="1" x14ac:dyDescent="0.2">
      <c r="A25" s="4" t="s">
        <v>227</v>
      </c>
      <c r="B25" s="4">
        <v>459.10510822390381</v>
      </c>
      <c r="C25" s="4">
        <v>2372.4549722538459</v>
      </c>
      <c r="D25" s="4">
        <v>0.19351478261682301</v>
      </c>
      <c r="E25" s="4">
        <v>0.84841533831418081</v>
      </c>
      <c r="F25" s="4">
        <v>-4474.6850980682184</v>
      </c>
      <c r="G25" s="4">
        <v>5392.8953145160258</v>
      </c>
      <c r="H25" s="4">
        <v>-4474.6850980682184</v>
      </c>
      <c r="I25" s="4">
        <v>5392.8953145160258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2"/>
  <sheetViews>
    <sheetView topLeftCell="B1" workbookViewId="0">
      <selection activeCell="E10" sqref="E1:E1048576"/>
    </sheetView>
  </sheetViews>
  <sheetFormatPr defaultColWidth="8.875" defaultRowHeight="14.25" x14ac:dyDescent="0.15"/>
  <cols>
    <col min="1" max="1" width="16.625" bestFit="1" customWidth="1"/>
    <col min="2" max="2" width="21.625" bestFit="1" customWidth="1"/>
    <col min="3" max="3" width="11.625" bestFit="1" customWidth="1"/>
    <col min="4" max="4" width="9.625" bestFit="1" customWidth="1"/>
    <col min="5" max="5" width="11.125" bestFit="1" customWidth="1"/>
    <col min="6" max="6" width="11.625" customWidth="1"/>
    <col min="7" max="7" width="12.625" bestFit="1" customWidth="1"/>
    <col min="9" max="10" width="11.875" bestFit="1" customWidth="1"/>
    <col min="12" max="12" width="11.625" bestFit="1" customWidth="1"/>
    <col min="13" max="13" width="11.125" customWidth="1"/>
    <col min="17" max="17" width="17.125" bestFit="1" customWidth="1"/>
    <col min="19" max="19" width="10.5" bestFit="1" customWidth="1"/>
    <col min="22" max="22" width="14.625" bestFit="1" customWidth="1"/>
    <col min="23" max="23" width="11.625" bestFit="1" customWidth="1"/>
    <col min="24" max="24" width="13.125" bestFit="1" customWidth="1"/>
    <col min="25" max="25" width="17" bestFit="1" customWidth="1"/>
    <col min="26" max="26" width="12.625" bestFit="1" customWidth="1"/>
    <col min="27" max="27" width="7.125" bestFit="1" customWidth="1"/>
    <col min="28" max="28" width="12.125" bestFit="1" customWidth="1"/>
    <col min="29" max="29" width="10.875" bestFit="1" customWidth="1"/>
    <col min="30" max="30" width="12.125" bestFit="1" customWidth="1"/>
  </cols>
  <sheetData>
    <row r="1" spans="1:25" x14ac:dyDescent="0.15">
      <c r="A1" s="6" t="s">
        <v>20</v>
      </c>
      <c r="B1" s="6" t="s">
        <v>19</v>
      </c>
      <c r="C1" s="6" t="s">
        <v>176</v>
      </c>
      <c r="D1" s="6" t="s">
        <v>169</v>
      </c>
      <c r="E1" s="6" t="s">
        <v>171</v>
      </c>
      <c r="F1" s="6" t="s">
        <v>174</v>
      </c>
      <c r="G1" s="6" t="s">
        <v>184</v>
      </c>
      <c r="H1" s="6" t="s">
        <v>100</v>
      </c>
      <c r="I1" s="6" t="s">
        <v>186</v>
      </c>
      <c r="J1" s="6" t="s">
        <v>6</v>
      </c>
      <c r="K1" s="6" t="s">
        <v>16</v>
      </c>
      <c r="L1" s="6" t="s">
        <v>191</v>
      </c>
      <c r="M1" s="6" t="s">
        <v>192</v>
      </c>
      <c r="N1" s="6" t="s">
        <v>4</v>
      </c>
      <c r="O1" s="6" t="s">
        <v>172</v>
      </c>
      <c r="P1" s="6" t="s">
        <v>173</v>
      </c>
      <c r="Q1" s="6" t="s">
        <v>5</v>
      </c>
      <c r="R1" s="6" t="s">
        <v>190</v>
      </c>
      <c r="S1" s="6" t="s">
        <v>187</v>
      </c>
      <c r="T1" s="6" t="s">
        <v>101</v>
      </c>
      <c r="U1" t="s">
        <v>188</v>
      </c>
      <c r="V1" t="s">
        <v>189</v>
      </c>
    </row>
    <row r="2" spans="1:25" x14ac:dyDescent="0.15">
      <c r="A2">
        <v>1</v>
      </c>
      <c r="B2" s="7" t="s">
        <v>22</v>
      </c>
      <c r="C2">
        <v>75</v>
      </c>
      <c r="D2">
        <v>40</v>
      </c>
      <c r="E2">
        <v>93</v>
      </c>
      <c r="F2">
        <v>5</v>
      </c>
      <c r="G2">
        <f t="shared" ref="G2:G31" si="0">SUM(O2:P2)</f>
        <v>0</v>
      </c>
      <c r="H2" s="15">
        <v>2</v>
      </c>
      <c r="I2">
        <f t="shared" ref="I2:I31" si="1">SUM(R2:S2)</f>
        <v>2</v>
      </c>
      <c r="J2">
        <v>0</v>
      </c>
      <c r="K2">
        <v>0</v>
      </c>
      <c r="L2" t="str">
        <f>IF(テーブル42[[#This Row],[branch数]]=1,"×","○")</f>
        <v>○</v>
      </c>
      <c r="M2" t="str">
        <f>IF(テーブル42[[#This Row],[リリース数]]=0,"×","○")</f>
        <v>○</v>
      </c>
      <c r="N2" t="s">
        <v>31</v>
      </c>
      <c r="O2">
        <v>0</v>
      </c>
      <c r="P2">
        <v>0</v>
      </c>
      <c r="Q2" t="s">
        <v>30</v>
      </c>
      <c r="R2">
        <v>0</v>
      </c>
      <c r="S2">
        <v>2</v>
      </c>
      <c r="T2" t="s">
        <v>102</v>
      </c>
      <c r="U2" t="s">
        <v>103</v>
      </c>
    </row>
    <row r="3" spans="1:25" ht="18" customHeight="1" x14ac:dyDescent="0.15">
      <c r="A3">
        <v>14</v>
      </c>
      <c r="B3" s="7" t="s">
        <v>132</v>
      </c>
      <c r="C3">
        <v>153</v>
      </c>
      <c r="D3">
        <v>321</v>
      </c>
      <c r="E3">
        <v>1234</v>
      </c>
      <c r="F3">
        <v>0</v>
      </c>
      <c r="G3">
        <f t="shared" si="0"/>
        <v>0</v>
      </c>
      <c r="H3">
        <v>4</v>
      </c>
      <c r="I3">
        <f t="shared" si="1"/>
        <v>27</v>
      </c>
      <c r="J3">
        <v>0</v>
      </c>
      <c r="K3">
        <v>0</v>
      </c>
      <c r="L3" t="str">
        <f>IF(テーブル42[[#This Row],[branch数]]=1,"×","○")</f>
        <v>○</v>
      </c>
      <c r="M3" t="str">
        <f>IF(テーブル42[[#This Row],[リリース数]]=0,"×","○")</f>
        <v>×</v>
      </c>
      <c r="N3" t="s">
        <v>31</v>
      </c>
      <c r="O3">
        <v>0</v>
      </c>
      <c r="P3">
        <v>0</v>
      </c>
      <c r="Q3" t="s">
        <v>30</v>
      </c>
      <c r="R3">
        <v>0</v>
      </c>
      <c r="S3">
        <v>27</v>
      </c>
      <c r="T3" t="s">
        <v>110</v>
      </c>
      <c r="U3" t="s">
        <v>120</v>
      </c>
      <c r="Y3" s="18"/>
    </row>
    <row r="4" spans="1:25" ht="18" customHeight="1" x14ac:dyDescent="0.15">
      <c r="A4">
        <v>17</v>
      </c>
      <c r="B4" s="7" t="s">
        <v>55</v>
      </c>
      <c r="C4">
        <v>1162</v>
      </c>
      <c r="D4">
        <v>173</v>
      </c>
      <c r="E4">
        <v>385</v>
      </c>
      <c r="F4">
        <v>36</v>
      </c>
      <c r="G4">
        <f t="shared" si="0"/>
        <v>0</v>
      </c>
      <c r="H4">
        <v>14</v>
      </c>
      <c r="I4">
        <f t="shared" si="1"/>
        <v>54</v>
      </c>
      <c r="J4">
        <v>0</v>
      </c>
      <c r="K4">
        <v>0</v>
      </c>
      <c r="L4" t="str">
        <f>IF(テーブル42[[#This Row],[branch数]]=1,"×","○")</f>
        <v>○</v>
      </c>
      <c r="M4" t="str">
        <f>IF(テーブル42[[#This Row],[リリース数]]=0,"×","○")</f>
        <v>○</v>
      </c>
      <c r="N4" t="s">
        <v>31</v>
      </c>
      <c r="O4">
        <v>0</v>
      </c>
      <c r="P4">
        <v>0</v>
      </c>
      <c r="Q4" t="s">
        <v>30</v>
      </c>
      <c r="R4">
        <v>10</v>
      </c>
      <c r="S4">
        <v>44</v>
      </c>
      <c r="T4" t="s">
        <v>110</v>
      </c>
      <c r="U4" t="s">
        <v>109</v>
      </c>
      <c r="V4" t="s">
        <v>121</v>
      </c>
    </row>
    <row r="5" spans="1:25" ht="18" customHeight="1" x14ac:dyDescent="0.15">
      <c r="A5">
        <v>23</v>
      </c>
      <c r="B5" s="7" t="s">
        <v>61</v>
      </c>
      <c r="C5">
        <v>27747</v>
      </c>
      <c r="D5">
        <v>559</v>
      </c>
      <c r="E5">
        <v>1650</v>
      </c>
      <c r="F5">
        <v>230</v>
      </c>
      <c r="G5">
        <f t="shared" si="0"/>
        <v>0</v>
      </c>
      <c r="H5" s="15">
        <v>14</v>
      </c>
      <c r="I5">
        <f t="shared" si="1"/>
        <v>863</v>
      </c>
      <c r="J5">
        <v>0</v>
      </c>
      <c r="K5">
        <v>0</v>
      </c>
      <c r="L5" t="str">
        <f>IF(テーブル42[[#This Row],[branch数]]=1,"×","○")</f>
        <v>○</v>
      </c>
      <c r="M5" t="str">
        <f>IF(テーブル42[[#This Row],[リリース数]]=0,"×","○")</f>
        <v>○</v>
      </c>
      <c r="N5" t="s">
        <v>31</v>
      </c>
      <c r="O5">
        <v>0</v>
      </c>
      <c r="P5">
        <v>0</v>
      </c>
      <c r="Q5" t="s">
        <v>30</v>
      </c>
      <c r="R5">
        <v>16</v>
      </c>
      <c r="S5">
        <v>847</v>
      </c>
      <c r="T5" t="s">
        <v>116</v>
      </c>
      <c r="U5" t="s">
        <v>118</v>
      </c>
      <c r="V5" t="s">
        <v>110</v>
      </c>
    </row>
    <row r="6" spans="1:25" ht="18" customHeight="1" x14ac:dyDescent="0.15">
      <c r="A6">
        <v>4</v>
      </c>
      <c r="B6" s="7" t="s">
        <v>37</v>
      </c>
      <c r="C6">
        <v>19052</v>
      </c>
      <c r="D6">
        <v>360</v>
      </c>
      <c r="E6">
        <v>4592</v>
      </c>
      <c r="F6">
        <v>86</v>
      </c>
      <c r="G6">
        <f t="shared" si="0"/>
        <v>0</v>
      </c>
      <c r="H6">
        <v>39</v>
      </c>
      <c r="I6">
        <f t="shared" si="1"/>
        <v>3472</v>
      </c>
      <c r="J6">
        <v>0</v>
      </c>
      <c r="K6">
        <v>0</v>
      </c>
      <c r="L6" t="str">
        <f>IF(テーブル42[[#This Row],[branch数]]=1,"×","○")</f>
        <v>○</v>
      </c>
      <c r="M6" t="str">
        <f>IF(テーブル42[[#This Row],[リリース数]]=0,"×","○")</f>
        <v>○</v>
      </c>
      <c r="N6" t="s">
        <v>31</v>
      </c>
      <c r="O6">
        <v>0</v>
      </c>
      <c r="P6">
        <v>0</v>
      </c>
      <c r="Q6" t="s">
        <v>30</v>
      </c>
      <c r="R6">
        <v>69</v>
      </c>
      <c r="S6">
        <v>3403</v>
      </c>
      <c r="T6" t="s">
        <v>107</v>
      </c>
      <c r="U6" t="s">
        <v>108</v>
      </c>
    </row>
    <row r="7" spans="1:25" ht="18" customHeight="1" x14ac:dyDescent="0.15">
      <c r="A7">
        <v>26</v>
      </c>
      <c r="B7" s="7" t="s">
        <v>64</v>
      </c>
      <c r="C7">
        <v>341</v>
      </c>
      <c r="D7">
        <v>253</v>
      </c>
      <c r="E7">
        <v>1015</v>
      </c>
      <c r="F7">
        <v>0</v>
      </c>
      <c r="G7">
        <f t="shared" si="0"/>
        <v>8</v>
      </c>
      <c r="H7">
        <v>5</v>
      </c>
      <c r="I7">
        <f t="shared" si="1"/>
        <v>46</v>
      </c>
      <c r="J7">
        <v>0</v>
      </c>
      <c r="K7">
        <v>0</v>
      </c>
      <c r="L7" t="str">
        <f>IF(テーブル42[[#This Row],[branch数]]=1,"×","○")</f>
        <v>○</v>
      </c>
      <c r="M7" t="str">
        <f>IF(テーブル42[[#This Row],[リリース数]]=0,"×","○")</f>
        <v>×</v>
      </c>
      <c r="N7" t="s">
        <v>30</v>
      </c>
      <c r="O7">
        <v>6</v>
      </c>
      <c r="P7">
        <v>2</v>
      </c>
      <c r="Q7" t="s">
        <v>30</v>
      </c>
      <c r="R7">
        <v>17</v>
      </c>
      <c r="S7">
        <v>29</v>
      </c>
      <c r="T7" t="s">
        <v>109</v>
      </c>
      <c r="U7" t="s">
        <v>110</v>
      </c>
      <c r="V7" t="s">
        <v>111</v>
      </c>
    </row>
    <row r="8" spans="1:25" ht="18" customHeight="1" x14ac:dyDescent="0.15">
      <c r="A8">
        <v>2</v>
      </c>
      <c r="B8" s="7" t="s">
        <v>130</v>
      </c>
      <c r="C8">
        <v>57</v>
      </c>
      <c r="D8">
        <v>178</v>
      </c>
      <c r="E8">
        <v>259</v>
      </c>
      <c r="F8">
        <v>1</v>
      </c>
      <c r="G8">
        <f t="shared" si="0"/>
        <v>11</v>
      </c>
      <c r="H8">
        <v>1</v>
      </c>
      <c r="I8">
        <f t="shared" si="1"/>
        <v>7</v>
      </c>
      <c r="J8">
        <v>0</v>
      </c>
      <c r="K8">
        <v>0</v>
      </c>
      <c r="L8" t="str">
        <f>IF(テーブル42[[#This Row],[branch数]]=1,"×","○")</f>
        <v>×</v>
      </c>
      <c r="M8" t="str">
        <f>IF(テーブル42[[#This Row],[リリース数]]=0,"×","○")</f>
        <v>○</v>
      </c>
      <c r="N8" t="s">
        <v>30</v>
      </c>
      <c r="O8">
        <v>3</v>
      </c>
      <c r="P8">
        <v>8</v>
      </c>
      <c r="Q8" t="s">
        <v>30</v>
      </c>
      <c r="R8">
        <v>2</v>
      </c>
      <c r="S8">
        <v>5</v>
      </c>
      <c r="T8" t="s">
        <v>104</v>
      </c>
      <c r="U8" t="s">
        <v>105</v>
      </c>
    </row>
    <row r="9" spans="1:25" ht="18" customHeight="1" x14ac:dyDescent="0.15">
      <c r="A9">
        <v>30</v>
      </c>
      <c r="B9" s="7" t="s">
        <v>69</v>
      </c>
      <c r="C9">
        <v>136</v>
      </c>
      <c r="D9">
        <v>56</v>
      </c>
      <c r="E9">
        <v>78</v>
      </c>
      <c r="F9">
        <v>21</v>
      </c>
      <c r="G9">
        <f t="shared" si="0"/>
        <v>21</v>
      </c>
      <c r="H9" s="15">
        <v>1</v>
      </c>
      <c r="I9">
        <f t="shared" si="1"/>
        <v>9</v>
      </c>
      <c r="J9">
        <v>0</v>
      </c>
      <c r="K9">
        <v>1</v>
      </c>
      <c r="L9" t="str">
        <f>IF(テーブル42[[#This Row],[branch数]]=1,"×","○")</f>
        <v>×</v>
      </c>
      <c r="M9" t="str">
        <f>IF(テーブル42[[#This Row],[リリース数]]=0,"×","○")</f>
        <v>○</v>
      </c>
      <c r="N9" t="s">
        <v>30</v>
      </c>
      <c r="O9">
        <v>0</v>
      </c>
      <c r="P9">
        <v>21</v>
      </c>
      <c r="Q9" t="s">
        <v>30</v>
      </c>
      <c r="R9">
        <v>1</v>
      </c>
      <c r="S9">
        <v>8</v>
      </c>
      <c r="T9" t="s">
        <v>110</v>
      </c>
      <c r="U9" t="s">
        <v>109</v>
      </c>
    </row>
    <row r="10" spans="1:25" ht="18" customHeight="1" x14ac:dyDescent="0.15">
      <c r="A10">
        <v>13</v>
      </c>
      <c r="B10" s="7" t="s">
        <v>50</v>
      </c>
      <c r="C10">
        <v>214</v>
      </c>
      <c r="D10">
        <v>80</v>
      </c>
      <c r="E10">
        <v>360</v>
      </c>
      <c r="F10">
        <v>0</v>
      </c>
      <c r="G10">
        <f t="shared" si="0"/>
        <v>34</v>
      </c>
      <c r="H10" s="17">
        <v>3</v>
      </c>
      <c r="I10">
        <f t="shared" si="1"/>
        <v>20</v>
      </c>
      <c r="J10">
        <v>1</v>
      </c>
      <c r="K10">
        <v>1</v>
      </c>
      <c r="L10" t="str">
        <f>IF(テーブル42[[#This Row],[branch数]]=1,"×","○")</f>
        <v>○</v>
      </c>
      <c r="M10" t="str">
        <f>IF(テーブル42[[#This Row],[リリース数]]=0,"×","○")</f>
        <v>×</v>
      </c>
      <c r="N10" t="s">
        <v>30</v>
      </c>
      <c r="O10">
        <v>3</v>
      </c>
      <c r="P10">
        <v>31</v>
      </c>
      <c r="Q10" t="s">
        <v>30</v>
      </c>
      <c r="R10">
        <v>0</v>
      </c>
      <c r="S10">
        <v>20</v>
      </c>
      <c r="T10" t="s">
        <v>110</v>
      </c>
      <c r="U10" t="s">
        <v>109</v>
      </c>
    </row>
    <row r="11" spans="1:25" ht="18" customHeight="1" x14ac:dyDescent="0.15">
      <c r="A11">
        <v>3</v>
      </c>
      <c r="B11" s="7" t="s">
        <v>36</v>
      </c>
      <c r="C11">
        <v>221</v>
      </c>
      <c r="D11">
        <v>178</v>
      </c>
      <c r="E11">
        <v>463</v>
      </c>
      <c r="F11">
        <v>0</v>
      </c>
      <c r="G11">
        <f t="shared" si="0"/>
        <v>55</v>
      </c>
      <c r="H11">
        <v>1</v>
      </c>
      <c r="I11">
        <f t="shared" si="1"/>
        <v>22</v>
      </c>
      <c r="J11">
        <v>1</v>
      </c>
      <c r="K11">
        <v>1</v>
      </c>
      <c r="L11" t="str">
        <f>IF(テーブル42[[#This Row],[branch数]]=1,"×","○")</f>
        <v>×</v>
      </c>
      <c r="M11" t="str">
        <f>IF(テーブル42[[#This Row],[リリース数]]=0,"×","○")</f>
        <v>×</v>
      </c>
      <c r="N11" t="s">
        <v>30</v>
      </c>
      <c r="O11">
        <v>27</v>
      </c>
      <c r="P11">
        <v>28</v>
      </c>
      <c r="Q11" t="s">
        <v>30</v>
      </c>
      <c r="R11">
        <v>9</v>
      </c>
      <c r="S11">
        <v>13</v>
      </c>
      <c r="T11" t="s">
        <v>106</v>
      </c>
    </row>
    <row r="12" spans="1:25" ht="18" customHeight="1" x14ac:dyDescent="0.15">
      <c r="A12">
        <v>28</v>
      </c>
      <c r="B12" s="7" t="s">
        <v>66</v>
      </c>
      <c r="C12">
        <v>102</v>
      </c>
      <c r="D12">
        <v>59</v>
      </c>
      <c r="E12">
        <v>233</v>
      </c>
      <c r="F12">
        <v>9</v>
      </c>
      <c r="G12">
        <f t="shared" si="0"/>
        <v>57</v>
      </c>
      <c r="H12" s="15">
        <v>3</v>
      </c>
      <c r="I12">
        <f t="shared" si="1"/>
        <v>60</v>
      </c>
      <c r="J12">
        <v>0</v>
      </c>
      <c r="K12">
        <v>0</v>
      </c>
      <c r="L12" t="str">
        <f>IF(テーブル42[[#This Row],[branch数]]=1,"×","○")</f>
        <v>○</v>
      </c>
      <c r="M12" t="str">
        <f>IF(テーブル42[[#This Row],[リリース数]]=0,"×","○")</f>
        <v>○</v>
      </c>
      <c r="N12" t="s">
        <v>30</v>
      </c>
      <c r="O12">
        <v>15</v>
      </c>
      <c r="P12">
        <v>42</v>
      </c>
      <c r="Q12" t="s">
        <v>30</v>
      </c>
      <c r="R12">
        <v>9</v>
      </c>
      <c r="S12">
        <v>51</v>
      </c>
      <c r="T12" t="s">
        <v>106</v>
      </c>
      <c r="U12" t="s">
        <v>127</v>
      </c>
      <c r="V12" t="s">
        <v>110</v>
      </c>
    </row>
    <row r="13" spans="1:25" ht="18" customHeight="1" x14ac:dyDescent="0.15">
      <c r="A13">
        <v>9</v>
      </c>
      <c r="B13" s="7" t="s">
        <v>131</v>
      </c>
      <c r="C13">
        <v>480</v>
      </c>
      <c r="D13">
        <v>52</v>
      </c>
      <c r="E13">
        <v>152</v>
      </c>
      <c r="F13">
        <v>5</v>
      </c>
      <c r="G13">
        <f t="shared" si="0"/>
        <v>80</v>
      </c>
      <c r="H13" s="15">
        <v>9</v>
      </c>
      <c r="I13">
        <f t="shared" si="1"/>
        <v>58</v>
      </c>
      <c r="J13">
        <v>1</v>
      </c>
      <c r="K13">
        <v>1</v>
      </c>
      <c r="L13" t="str">
        <f>IF(テーブル42[[#This Row],[branch数]]=1,"×","○")</f>
        <v>○</v>
      </c>
      <c r="M13" t="str">
        <f>IF(テーブル42[[#This Row],[リリース数]]=0,"×","○")</f>
        <v>○</v>
      </c>
      <c r="N13" t="s">
        <v>30</v>
      </c>
      <c r="O13">
        <v>26</v>
      </c>
      <c r="P13">
        <v>54</v>
      </c>
      <c r="Q13" t="s">
        <v>30</v>
      </c>
      <c r="R13">
        <v>17</v>
      </c>
      <c r="S13">
        <v>41</v>
      </c>
      <c r="T13" t="s">
        <v>113</v>
      </c>
      <c r="U13" t="s">
        <v>115</v>
      </c>
    </row>
    <row r="14" spans="1:25" ht="18" customHeight="1" x14ac:dyDescent="0.15">
      <c r="A14">
        <v>12</v>
      </c>
      <c r="B14" s="19">
        <v>2048</v>
      </c>
      <c r="C14">
        <v>160</v>
      </c>
      <c r="D14">
        <v>471</v>
      </c>
      <c r="E14">
        <v>10970</v>
      </c>
      <c r="F14">
        <v>0</v>
      </c>
      <c r="G14">
        <f t="shared" si="0"/>
        <v>99</v>
      </c>
      <c r="H14">
        <v>2</v>
      </c>
      <c r="I14">
        <f t="shared" si="1"/>
        <v>176</v>
      </c>
      <c r="J14">
        <v>0</v>
      </c>
      <c r="K14">
        <v>1</v>
      </c>
      <c r="L14" t="str">
        <f>IF(テーブル42[[#This Row],[branch数]]=1,"×","○")</f>
        <v>○</v>
      </c>
      <c r="M14" t="str">
        <f>IF(テーブル42[[#This Row],[リリース数]]=0,"×","○")</f>
        <v>×</v>
      </c>
      <c r="N14" t="s">
        <v>30</v>
      </c>
      <c r="O14">
        <v>56</v>
      </c>
      <c r="P14">
        <v>43</v>
      </c>
      <c r="Q14" t="s">
        <v>30</v>
      </c>
      <c r="R14">
        <v>53</v>
      </c>
      <c r="S14">
        <v>123</v>
      </c>
      <c r="T14" t="s">
        <v>109</v>
      </c>
      <c r="U14" t="s">
        <v>110</v>
      </c>
      <c r="V14" t="s">
        <v>106</v>
      </c>
    </row>
    <row r="15" spans="1:25" ht="18" customHeight="1" x14ac:dyDescent="0.15">
      <c r="A15">
        <v>18</v>
      </c>
      <c r="B15" s="7" t="s">
        <v>56</v>
      </c>
      <c r="C15">
        <v>710</v>
      </c>
      <c r="D15">
        <v>93</v>
      </c>
      <c r="E15">
        <v>278</v>
      </c>
      <c r="F15">
        <v>9</v>
      </c>
      <c r="G15">
        <f t="shared" si="0"/>
        <v>190</v>
      </c>
      <c r="H15" s="15">
        <v>11</v>
      </c>
      <c r="I15">
        <f t="shared" si="1"/>
        <v>188</v>
      </c>
      <c r="J15">
        <v>1</v>
      </c>
      <c r="K15">
        <v>1</v>
      </c>
      <c r="L15" t="str">
        <f>IF(テーブル42[[#This Row],[branch数]]=1,"×","○")</f>
        <v>○</v>
      </c>
      <c r="M15" t="str">
        <f>IF(テーブル42[[#This Row],[リリース数]]=0,"×","○")</f>
        <v>○</v>
      </c>
      <c r="N15" t="s">
        <v>30</v>
      </c>
      <c r="O15">
        <v>27</v>
      </c>
      <c r="P15">
        <v>163</v>
      </c>
      <c r="Q15" t="s">
        <v>30</v>
      </c>
      <c r="R15">
        <v>9</v>
      </c>
      <c r="S15">
        <v>179</v>
      </c>
      <c r="T15" t="s">
        <v>106</v>
      </c>
      <c r="U15" t="s">
        <v>110</v>
      </c>
      <c r="V15" t="s">
        <v>109</v>
      </c>
    </row>
    <row r="16" spans="1:25" ht="18" customHeight="1" x14ac:dyDescent="0.15">
      <c r="A16">
        <v>10</v>
      </c>
      <c r="B16" s="7" t="s">
        <v>47</v>
      </c>
      <c r="C16">
        <v>139955</v>
      </c>
      <c r="D16">
        <v>45</v>
      </c>
      <c r="E16">
        <v>1109</v>
      </c>
      <c r="F16">
        <v>2610</v>
      </c>
      <c r="G16">
        <f t="shared" si="0"/>
        <v>197</v>
      </c>
      <c r="H16" s="15">
        <v>50</v>
      </c>
      <c r="I16">
        <f t="shared" si="1"/>
        <v>6033</v>
      </c>
      <c r="J16">
        <v>1</v>
      </c>
      <c r="K16">
        <v>1</v>
      </c>
      <c r="L16" t="str">
        <f>IF(テーブル42[[#This Row],[branch数]]=1,"×","○")</f>
        <v>○</v>
      </c>
      <c r="M16" t="str">
        <f>IF(テーブル42[[#This Row],[リリース数]]=0,"×","○")</f>
        <v>○</v>
      </c>
      <c r="N16" t="s">
        <v>30</v>
      </c>
      <c r="O16">
        <v>24</v>
      </c>
      <c r="P16">
        <v>173</v>
      </c>
      <c r="Q16" t="s">
        <v>30</v>
      </c>
      <c r="R16">
        <v>88</v>
      </c>
      <c r="S16">
        <v>5945</v>
      </c>
      <c r="T16" t="s">
        <v>116</v>
      </c>
      <c r="U16" t="s">
        <v>113</v>
      </c>
      <c r="V16" t="s">
        <v>117</v>
      </c>
    </row>
    <row r="17" spans="1:22" x14ac:dyDescent="0.15">
      <c r="A17">
        <v>27</v>
      </c>
      <c r="B17" s="7" t="s">
        <v>134</v>
      </c>
      <c r="C17">
        <v>1244</v>
      </c>
      <c r="D17">
        <v>422</v>
      </c>
      <c r="E17">
        <v>1337</v>
      </c>
      <c r="F17">
        <v>3</v>
      </c>
      <c r="G17">
        <f t="shared" si="0"/>
        <v>215</v>
      </c>
      <c r="H17">
        <v>5</v>
      </c>
      <c r="I17">
        <f t="shared" si="1"/>
        <v>403</v>
      </c>
      <c r="J17">
        <v>1</v>
      </c>
      <c r="K17">
        <v>1</v>
      </c>
      <c r="L17" t="str">
        <f>IF(テーブル42[[#This Row],[branch数]]=1,"×","○")</f>
        <v>○</v>
      </c>
      <c r="M17" t="str">
        <f>IF(テーブル42[[#This Row],[リリース数]]=0,"×","○")</f>
        <v>○</v>
      </c>
      <c r="N17" t="s">
        <v>30</v>
      </c>
      <c r="O17">
        <v>34</v>
      </c>
      <c r="P17">
        <v>181</v>
      </c>
      <c r="Q17" t="s">
        <v>30</v>
      </c>
      <c r="R17">
        <v>4</v>
      </c>
      <c r="S17">
        <v>399</v>
      </c>
      <c r="T17" t="s">
        <v>110</v>
      </c>
      <c r="U17" t="s">
        <v>109</v>
      </c>
      <c r="V17" t="s">
        <v>108</v>
      </c>
    </row>
    <row r="18" spans="1:22" x14ac:dyDescent="0.15">
      <c r="A18">
        <v>22</v>
      </c>
      <c r="B18" s="7" t="s">
        <v>133</v>
      </c>
      <c r="C18">
        <v>2792</v>
      </c>
      <c r="D18">
        <v>232</v>
      </c>
      <c r="E18">
        <v>283</v>
      </c>
      <c r="F18">
        <v>178</v>
      </c>
      <c r="G18">
        <f t="shared" si="0"/>
        <v>252</v>
      </c>
      <c r="H18">
        <v>166</v>
      </c>
      <c r="I18">
        <f t="shared" si="1"/>
        <v>367</v>
      </c>
      <c r="J18">
        <v>1</v>
      </c>
      <c r="K18">
        <v>1</v>
      </c>
      <c r="L18" t="str">
        <f>IF(テーブル42[[#This Row],[branch数]]=1,"×","○")</f>
        <v>○</v>
      </c>
      <c r="M18" t="str">
        <f>IF(テーブル42[[#This Row],[リリース数]]=0,"×","○")</f>
        <v>○</v>
      </c>
      <c r="N18" t="s">
        <v>30</v>
      </c>
      <c r="O18">
        <v>54</v>
      </c>
      <c r="P18">
        <v>198</v>
      </c>
      <c r="Q18" t="s">
        <v>30</v>
      </c>
      <c r="R18">
        <v>6</v>
      </c>
      <c r="S18">
        <v>361</v>
      </c>
      <c r="T18" t="s">
        <v>120</v>
      </c>
      <c r="U18" t="s">
        <v>123</v>
      </c>
      <c r="V18" t="s">
        <v>109</v>
      </c>
    </row>
    <row r="19" spans="1:22" x14ac:dyDescent="0.15">
      <c r="A19">
        <v>21</v>
      </c>
      <c r="B19" s="7" t="s">
        <v>59</v>
      </c>
      <c r="C19">
        <v>2762</v>
      </c>
      <c r="D19">
        <v>95</v>
      </c>
      <c r="E19">
        <v>278</v>
      </c>
      <c r="F19">
        <v>20</v>
      </c>
      <c r="G19">
        <f t="shared" si="0"/>
        <v>458</v>
      </c>
      <c r="H19">
        <v>4</v>
      </c>
      <c r="I19">
        <f t="shared" si="1"/>
        <v>145</v>
      </c>
      <c r="J19">
        <v>1</v>
      </c>
      <c r="K19">
        <v>1</v>
      </c>
      <c r="L19" t="str">
        <f>IF(テーブル42[[#This Row],[branch数]]=1,"×","○")</f>
        <v>○</v>
      </c>
      <c r="M19" t="str">
        <f>IF(テーブル42[[#This Row],[リリース数]]=0,"×","○")</f>
        <v>○</v>
      </c>
      <c r="N19" t="s">
        <v>30</v>
      </c>
      <c r="O19">
        <v>92</v>
      </c>
      <c r="P19">
        <v>366</v>
      </c>
      <c r="Q19" t="s">
        <v>30</v>
      </c>
      <c r="R19">
        <v>1</v>
      </c>
      <c r="S19">
        <v>144</v>
      </c>
      <c r="T19" t="s">
        <v>110</v>
      </c>
      <c r="U19" t="s">
        <v>109</v>
      </c>
    </row>
    <row r="20" spans="1:22" x14ac:dyDescent="0.15">
      <c r="A20">
        <v>25</v>
      </c>
      <c r="B20" s="7" t="s">
        <v>63</v>
      </c>
      <c r="C20">
        <v>3196</v>
      </c>
      <c r="D20">
        <v>97</v>
      </c>
      <c r="E20">
        <v>165</v>
      </c>
      <c r="F20">
        <v>2</v>
      </c>
      <c r="G20">
        <f t="shared" si="0"/>
        <v>462</v>
      </c>
      <c r="H20" s="15">
        <v>1</v>
      </c>
      <c r="I20">
        <f t="shared" si="1"/>
        <v>272</v>
      </c>
      <c r="J20">
        <v>0</v>
      </c>
      <c r="K20">
        <v>1</v>
      </c>
      <c r="L20" t="str">
        <f>IF(テーブル42[[#This Row],[branch数]]=1,"×","○")</f>
        <v>×</v>
      </c>
      <c r="M20" t="str">
        <f>IF(テーブル42[[#This Row],[リリース数]]=0,"×","○")</f>
        <v>○</v>
      </c>
      <c r="N20" t="s">
        <v>30</v>
      </c>
      <c r="O20">
        <v>30</v>
      </c>
      <c r="P20">
        <v>432</v>
      </c>
      <c r="Q20" t="s">
        <v>30</v>
      </c>
      <c r="R20">
        <v>4</v>
      </c>
      <c r="S20">
        <v>268</v>
      </c>
      <c r="T20" t="s">
        <v>114</v>
      </c>
      <c r="U20" t="s">
        <v>113</v>
      </c>
      <c r="V20" t="s">
        <v>126</v>
      </c>
    </row>
    <row r="21" spans="1:22" x14ac:dyDescent="0.15">
      <c r="A21">
        <v>16</v>
      </c>
      <c r="B21" s="7" t="s">
        <v>90</v>
      </c>
      <c r="C21">
        <v>4107</v>
      </c>
      <c r="D21">
        <v>195</v>
      </c>
      <c r="E21">
        <v>437</v>
      </c>
      <c r="F21">
        <v>34</v>
      </c>
      <c r="G21">
        <f t="shared" si="0"/>
        <v>660</v>
      </c>
      <c r="H21">
        <v>9</v>
      </c>
      <c r="I21">
        <f t="shared" si="1"/>
        <v>406</v>
      </c>
      <c r="J21">
        <v>1</v>
      </c>
      <c r="K21">
        <v>1</v>
      </c>
      <c r="L21" t="str">
        <f>IF(テーブル42[[#This Row],[branch数]]=1,"×","○")</f>
        <v>○</v>
      </c>
      <c r="M21" t="str">
        <f>IF(テーブル42[[#This Row],[リリース数]]=0,"×","○")</f>
        <v>○</v>
      </c>
      <c r="N21" t="s">
        <v>30</v>
      </c>
      <c r="O21">
        <v>229</v>
      </c>
      <c r="P21">
        <v>431</v>
      </c>
      <c r="Q21" t="s">
        <v>30</v>
      </c>
      <c r="R21">
        <v>19</v>
      </c>
      <c r="S21">
        <v>387</v>
      </c>
      <c r="T21" t="s">
        <v>113</v>
      </c>
      <c r="U21" t="s">
        <v>110</v>
      </c>
      <c r="V21" t="s">
        <v>108</v>
      </c>
    </row>
    <row r="22" spans="1:22" x14ac:dyDescent="0.15">
      <c r="A22">
        <v>19</v>
      </c>
      <c r="B22" s="7" t="s">
        <v>57</v>
      </c>
      <c r="C22">
        <v>1274</v>
      </c>
      <c r="D22">
        <v>420</v>
      </c>
      <c r="E22">
        <v>1101</v>
      </c>
      <c r="F22">
        <v>15</v>
      </c>
      <c r="G22">
        <f t="shared" si="0"/>
        <v>717</v>
      </c>
      <c r="H22">
        <v>7</v>
      </c>
      <c r="I22">
        <f t="shared" si="1"/>
        <v>409</v>
      </c>
      <c r="J22">
        <v>1</v>
      </c>
      <c r="K22">
        <v>1</v>
      </c>
      <c r="L22" t="str">
        <f>IF(テーブル42[[#This Row],[branch数]]=1,"×","○")</f>
        <v>○</v>
      </c>
      <c r="M22" t="str">
        <f>IF(テーブル42[[#This Row],[リリース数]]=0,"×","○")</f>
        <v>○</v>
      </c>
      <c r="N22" t="s">
        <v>30</v>
      </c>
      <c r="O22">
        <v>130</v>
      </c>
      <c r="P22">
        <v>587</v>
      </c>
      <c r="Q22" t="s">
        <v>30</v>
      </c>
      <c r="R22">
        <v>20</v>
      </c>
      <c r="S22">
        <v>389</v>
      </c>
      <c r="T22" t="s">
        <v>110</v>
      </c>
      <c r="U22" t="s">
        <v>109</v>
      </c>
    </row>
    <row r="23" spans="1:22" x14ac:dyDescent="0.15">
      <c r="A23">
        <v>20</v>
      </c>
      <c r="B23" s="7" t="s">
        <v>93</v>
      </c>
      <c r="C23">
        <v>2544</v>
      </c>
      <c r="D23">
        <v>547</v>
      </c>
      <c r="E23">
        <v>2133</v>
      </c>
      <c r="F23">
        <v>34</v>
      </c>
      <c r="G23">
        <f t="shared" si="0"/>
        <v>722</v>
      </c>
      <c r="H23">
        <v>3</v>
      </c>
      <c r="I23">
        <f t="shared" si="1"/>
        <v>572</v>
      </c>
      <c r="J23">
        <v>1</v>
      </c>
      <c r="K23">
        <v>1</v>
      </c>
      <c r="L23" t="str">
        <f>IF(テーブル42[[#This Row],[branch数]]=1,"×","○")</f>
        <v>○</v>
      </c>
      <c r="M23" t="str">
        <f>IF(テーブル42[[#This Row],[リリース数]]=0,"×","○")</f>
        <v>○</v>
      </c>
      <c r="N23" t="s">
        <v>30</v>
      </c>
      <c r="O23">
        <v>50</v>
      </c>
      <c r="P23">
        <v>672</v>
      </c>
      <c r="Q23" t="s">
        <v>30</v>
      </c>
      <c r="R23">
        <v>5</v>
      </c>
      <c r="S23">
        <v>567</v>
      </c>
      <c r="T23" t="s">
        <v>110</v>
      </c>
      <c r="U23" t="s">
        <v>109</v>
      </c>
      <c r="V23" t="s">
        <v>108</v>
      </c>
    </row>
    <row r="24" spans="1:22" x14ac:dyDescent="0.15">
      <c r="A24">
        <v>11</v>
      </c>
      <c r="B24" s="7" t="s">
        <v>49</v>
      </c>
      <c r="C24" s="2">
        <v>10189</v>
      </c>
      <c r="D24">
        <v>77</v>
      </c>
      <c r="E24" s="2">
        <v>313</v>
      </c>
      <c r="F24" s="2">
        <v>21</v>
      </c>
      <c r="G24">
        <f t="shared" si="0"/>
        <v>1018</v>
      </c>
      <c r="H24" s="2">
        <v>6</v>
      </c>
      <c r="I24">
        <f t="shared" si="1"/>
        <v>2057</v>
      </c>
      <c r="J24" s="2">
        <v>1</v>
      </c>
      <c r="K24" s="2">
        <v>1</v>
      </c>
      <c r="L24" s="2" t="str">
        <f>IF(テーブル42[[#This Row],[branch数]]=1,"×","○")</f>
        <v>○</v>
      </c>
      <c r="M24" s="2" t="str">
        <f>IF(テーブル42[[#This Row],[リリース数]]=0,"×","○")</f>
        <v>○</v>
      </c>
      <c r="N24" s="2" t="s">
        <v>42</v>
      </c>
      <c r="O24" s="2">
        <v>323</v>
      </c>
      <c r="P24" s="2">
        <v>695</v>
      </c>
      <c r="Q24" s="2" t="s">
        <v>42</v>
      </c>
      <c r="R24" s="2">
        <v>90</v>
      </c>
      <c r="S24" s="2">
        <v>1967</v>
      </c>
      <c r="T24" s="2" t="s">
        <v>113</v>
      </c>
      <c r="U24" s="2" t="s">
        <v>118</v>
      </c>
      <c r="V24" s="2" t="s">
        <v>108</v>
      </c>
    </row>
    <row r="25" spans="1:22" x14ac:dyDescent="0.15">
      <c r="A25">
        <v>7</v>
      </c>
      <c r="B25" s="7" t="s">
        <v>129</v>
      </c>
      <c r="C25">
        <v>5881</v>
      </c>
      <c r="D25">
        <v>424</v>
      </c>
      <c r="E25">
        <v>945</v>
      </c>
      <c r="F25">
        <v>163</v>
      </c>
      <c r="G25">
        <f t="shared" si="0"/>
        <v>1253</v>
      </c>
      <c r="H25">
        <v>12</v>
      </c>
      <c r="I25">
        <f t="shared" si="1"/>
        <v>257</v>
      </c>
      <c r="J25">
        <v>0</v>
      </c>
      <c r="K25">
        <v>1</v>
      </c>
      <c r="L25" t="str">
        <f>IF(テーブル42[[#This Row],[branch数]]=1,"×","○")</f>
        <v>○</v>
      </c>
      <c r="M25" t="str">
        <f>IF(テーブル42[[#This Row],[リリース数]]=0,"×","○")</f>
        <v>○</v>
      </c>
      <c r="N25" t="s">
        <v>30</v>
      </c>
      <c r="O25">
        <v>122</v>
      </c>
      <c r="P25">
        <v>1131</v>
      </c>
      <c r="Q25" t="s">
        <v>30</v>
      </c>
      <c r="R25">
        <v>4</v>
      </c>
      <c r="S25">
        <v>253</v>
      </c>
      <c r="T25" t="s">
        <v>106</v>
      </c>
      <c r="U25" t="s">
        <v>109</v>
      </c>
    </row>
    <row r="26" spans="1:22" x14ac:dyDescent="0.15">
      <c r="A26">
        <v>15</v>
      </c>
      <c r="B26" s="7" t="s">
        <v>89</v>
      </c>
      <c r="C26">
        <v>3610</v>
      </c>
      <c r="D26">
        <v>245</v>
      </c>
      <c r="E26">
        <v>701</v>
      </c>
      <c r="F26">
        <v>146</v>
      </c>
      <c r="G26">
        <f t="shared" si="0"/>
        <v>1276</v>
      </c>
      <c r="H26">
        <v>9</v>
      </c>
      <c r="I26">
        <f t="shared" si="1"/>
        <v>475</v>
      </c>
      <c r="J26">
        <v>1</v>
      </c>
      <c r="K26">
        <v>1</v>
      </c>
      <c r="L26" t="str">
        <f>IF(テーブル42[[#This Row],[branch数]]=1,"×","○")</f>
        <v>○</v>
      </c>
      <c r="M26" t="str">
        <f>IF(テーブル42[[#This Row],[リリース数]]=0,"×","○")</f>
        <v>○</v>
      </c>
      <c r="N26" t="s">
        <v>30</v>
      </c>
      <c r="O26">
        <v>144</v>
      </c>
      <c r="P26">
        <v>1132</v>
      </c>
      <c r="Q26" t="s">
        <v>30</v>
      </c>
      <c r="R26">
        <v>3</v>
      </c>
      <c r="S26">
        <v>472</v>
      </c>
      <c r="T26" t="s">
        <v>110</v>
      </c>
      <c r="U26" t="s">
        <v>109</v>
      </c>
    </row>
    <row r="27" spans="1:22" x14ac:dyDescent="0.15">
      <c r="A27">
        <v>29</v>
      </c>
      <c r="B27" s="7" t="s">
        <v>68</v>
      </c>
      <c r="C27">
        <v>3453</v>
      </c>
      <c r="D27">
        <v>71</v>
      </c>
      <c r="E27">
        <v>180</v>
      </c>
      <c r="F27">
        <v>32</v>
      </c>
      <c r="G27">
        <f t="shared" si="0"/>
        <v>1310</v>
      </c>
      <c r="H27">
        <v>24</v>
      </c>
      <c r="I27">
        <f t="shared" si="1"/>
        <v>665</v>
      </c>
      <c r="J27">
        <v>0</v>
      </c>
      <c r="K27">
        <v>1</v>
      </c>
      <c r="L27" t="str">
        <f>IF(テーブル42[[#This Row],[branch数]]=1,"×","○")</f>
        <v>○</v>
      </c>
      <c r="M27" t="str">
        <f>IF(テーブル42[[#This Row],[リリース数]]=0,"×","○")</f>
        <v>○</v>
      </c>
      <c r="N27" t="s">
        <v>30</v>
      </c>
      <c r="O27">
        <v>265</v>
      </c>
      <c r="P27">
        <v>1045</v>
      </c>
      <c r="Q27" t="s">
        <v>30</v>
      </c>
      <c r="R27">
        <v>16</v>
      </c>
      <c r="S27">
        <v>649</v>
      </c>
      <c r="T27" t="s">
        <v>128</v>
      </c>
      <c r="U27" t="s">
        <v>113</v>
      </c>
      <c r="V27" t="s">
        <v>108</v>
      </c>
    </row>
    <row r="28" spans="1:22" x14ac:dyDescent="0.15">
      <c r="A28">
        <v>24</v>
      </c>
      <c r="B28" s="7" t="s">
        <v>62</v>
      </c>
      <c r="C28">
        <v>4699</v>
      </c>
      <c r="D28">
        <v>1085</v>
      </c>
      <c r="E28">
        <v>3355</v>
      </c>
      <c r="F28">
        <v>152</v>
      </c>
      <c r="G28">
        <f t="shared" si="0"/>
        <v>1331</v>
      </c>
      <c r="H28">
        <v>13</v>
      </c>
      <c r="I28">
        <f t="shared" si="1"/>
        <v>794</v>
      </c>
      <c r="J28">
        <v>1</v>
      </c>
      <c r="K28">
        <v>1</v>
      </c>
      <c r="L28" t="str">
        <f>IF(テーブル42[[#This Row],[branch数]]=1,"×","○")</f>
        <v>○</v>
      </c>
      <c r="M28" t="str">
        <f>IF(テーブル42[[#This Row],[リリース数]]=0,"×","○")</f>
        <v>○</v>
      </c>
      <c r="N28" t="s">
        <v>30</v>
      </c>
      <c r="O28">
        <v>393</v>
      </c>
      <c r="P28">
        <v>938</v>
      </c>
      <c r="Q28" t="s">
        <v>30</v>
      </c>
      <c r="R28">
        <v>206</v>
      </c>
      <c r="S28">
        <v>588</v>
      </c>
      <c r="T28" t="s">
        <v>118</v>
      </c>
      <c r="U28" t="s">
        <v>125</v>
      </c>
      <c r="V28" t="s">
        <v>106</v>
      </c>
    </row>
    <row r="29" spans="1:22" x14ac:dyDescent="0.15">
      <c r="A29">
        <v>6</v>
      </c>
      <c r="B29" s="7" t="s">
        <v>40</v>
      </c>
      <c r="C29">
        <v>17275</v>
      </c>
      <c r="D29">
        <v>553</v>
      </c>
      <c r="E29">
        <v>2315</v>
      </c>
      <c r="F29">
        <v>121</v>
      </c>
      <c r="G29">
        <f t="shared" si="0"/>
        <v>1657</v>
      </c>
      <c r="H29">
        <v>12</v>
      </c>
      <c r="I29">
        <f t="shared" si="1"/>
        <v>3438</v>
      </c>
      <c r="J29">
        <v>1</v>
      </c>
      <c r="K29">
        <v>1</v>
      </c>
      <c r="L29" t="str">
        <f>IF(テーブル42[[#This Row],[branch数]]=1,"×","○")</f>
        <v>○</v>
      </c>
      <c r="M29" t="str">
        <f>IF(テーブル42[[#This Row],[リリース数]]=0,"×","○")</f>
        <v>○</v>
      </c>
      <c r="N29" t="s">
        <v>30</v>
      </c>
      <c r="O29">
        <v>110</v>
      </c>
      <c r="P29">
        <v>1547</v>
      </c>
      <c r="Q29" t="s">
        <v>30</v>
      </c>
      <c r="R29">
        <v>17</v>
      </c>
      <c r="S29">
        <v>3421</v>
      </c>
      <c r="T29" t="s">
        <v>111</v>
      </c>
      <c r="U29" t="s">
        <v>108</v>
      </c>
    </row>
    <row r="30" spans="1:22" x14ac:dyDescent="0.15">
      <c r="A30">
        <v>8</v>
      </c>
      <c r="B30" s="7" t="s">
        <v>45</v>
      </c>
      <c r="C30">
        <v>2124</v>
      </c>
      <c r="D30">
        <v>637</v>
      </c>
      <c r="E30">
        <v>2579</v>
      </c>
      <c r="F30">
        <v>32</v>
      </c>
      <c r="G30">
        <f t="shared" si="0"/>
        <v>1768</v>
      </c>
      <c r="H30" s="15">
        <v>3</v>
      </c>
      <c r="I30">
        <f t="shared" si="1"/>
        <v>504</v>
      </c>
      <c r="J30">
        <v>1</v>
      </c>
      <c r="K30">
        <v>1</v>
      </c>
      <c r="L30" t="str">
        <f>IF(テーブル42[[#This Row],[branch数]]=1,"×","○")</f>
        <v>○</v>
      </c>
      <c r="M30" t="str">
        <f>IF(テーブル42[[#This Row],[リリース数]]=0,"×","○")</f>
        <v>○</v>
      </c>
      <c r="N30" t="s">
        <v>30</v>
      </c>
      <c r="O30">
        <v>189</v>
      </c>
      <c r="P30">
        <v>1579</v>
      </c>
      <c r="Q30" t="s">
        <v>30</v>
      </c>
      <c r="R30">
        <v>12</v>
      </c>
      <c r="S30">
        <v>492</v>
      </c>
      <c r="T30" t="s">
        <v>110</v>
      </c>
      <c r="U30" t="s">
        <v>109</v>
      </c>
      <c r="V30" t="s">
        <v>112</v>
      </c>
    </row>
    <row r="31" spans="1:22" x14ac:dyDescent="0.15">
      <c r="A31">
        <v>5</v>
      </c>
      <c r="B31" s="7" t="s">
        <v>38</v>
      </c>
      <c r="C31">
        <v>47676</v>
      </c>
      <c r="D31">
        <v>1648</v>
      </c>
      <c r="E31">
        <v>9080</v>
      </c>
      <c r="F31">
        <v>237</v>
      </c>
      <c r="G31">
        <f t="shared" si="0"/>
        <v>6286</v>
      </c>
      <c r="H31">
        <v>37</v>
      </c>
      <c r="I31">
        <f t="shared" si="1"/>
        <v>11234</v>
      </c>
      <c r="J31">
        <v>0</v>
      </c>
      <c r="K31">
        <v>1</v>
      </c>
      <c r="L31" t="str">
        <f>IF(テーブル42[[#This Row],[branch数]]=1,"×","○")</f>
        <v>○</v>
      </c>
      <c r="M31" t="str">
        <f>IF(テーブル42[[#This Row],[リリース数]]=0,"×","○")</f>
        <v>○</v>
      </c>
      <c r="N31" t="s">
        <v>30</v>
      </c>
      <c r="O31">
        <v>327</v>
      </c>
      <c r="P31">
        <v>5959</v>
      </c>
      <c r="Q31" t="s">
        <v>30</v>
      </c>
      <c r="R31">
        <v>437</v>
      </c>
      <c r="S31">
        <v>10797</v>
      </c>
      <c r="T31" t="s">
        <v>106</v>
      </c>
      <c r="U31" t="s">
        <v>109</v>
      </c>
      <c r="V31" t="s">
        <v>110</v>
      </c>
    </row>
    <row r="32" spans="1:22" s="15" customFormat="1" x14ac:dyDescent="0.15">
      <c r="A32" s="16"/>
      <c r="B32" s="16"/>
      <c r="C32" s="16"/>
      <c r="D32" s="16"/>
      <c r="E32" s="16"/>
      <c r="F32" s="16"/>
      <c r="G32" s="16"/>
      <c r="I32" s="16"/>
      <c r="M32" s="16"/>
      <c r="Q32" s="16"/>
      <c r="S32" s="16"/>
    </row>
    <row r="33" spans="1:30" s="15" customFormat="1" x14ac:dyDescent="0.15">
      <c r="A33" s="16"/>
      <c r="B33" s="16" t="s">
        <v>196</v>
      </c>
      <c r="C33" s="16"/>
      <c r="D33" s="16" t="s">
        <v>197</v>
      </c>
      <c r="E33" s="16" t="s">
        <v>198</v>
      </c>
      <c r="F33" s="16"/>
      <c r="G33" s="16"/>
      <c r="I33" s="16"/>
      <c r="M33" s="16"/>
      <c r="Q33" s="16"/>
      <c r="S33" s="16"/>
    </row>
    <row r="34" spans="1:30" s="15" customFormat="1" x14ac:dyDescent="0.15">
      <c r="A34" s="3" t="s">
        <v>193</v>
      </c>
      <c r="B34" s="15">
        <v>566.375</v>
      </c>
      <c r="C34" s="3"/>
      <c r="D34" s="3">
        <v>9.5</v>
      </c>
      <c r="E34" s="3"/>
      <c r="F34" s="3"/>
      <c r="G34" s="3"/>
      <c r="I34" s="3"/>
      <c r="M34" s="3"/>
      <c r="Q34" s="3"/>
      <c r="S34" s="3"/>
    </row>
    <row r="35" spans="1:30" s="15" customFormat="1" x14ac:dyDescent="0.15">
      <c r="A35" s="3" t="s">
        <v>194</v>
      </c>
      <c r="B35" s="20">
        <v>2102.1666666666665</v>
      </c>
      <c r="C35" s="3"/>
      <c r="D35" s="3">
        <v>1571.8333333333333</v>
      </c>
      <c r="E35" s="3"/>
      <c r="F35" s="3"/>
      <c r="G35" s="3"/>
      <c r="I35" s="3"/>
      <c r="M35" s="3"/>
      <c r="Q35" s="3"/>
      <c r="S35" s="3"/>
    </row>
    <row r="36" spans="1:30" s="15" customFormat="1" x14ac:dyDescent="0.15">
      <c r="A36" s="15" t="s">
        <v>195</v>
      </c>
      <c r="B36" s="15">
        <v>993.1875</v>
      </c>
      <c r="D36" s="15">
        <v>664.375</v>
      </c>
    </row>
    <row r="37" spans="1:30" s="15" customFormat="1" x14ac:dyDescent="0.15">
      <c r="A37" s="16"/>
      <c r="B37" s="16"/>
      <c r="D37" s="16"/>
    </row>
    <row r="38" spans="1:30" s="15" customFormat="1" x14ac:dyDescent="0.15">
      <c r="A38" s="3"/>
      <c r="B38" s="3"/>
      <c r="C38" s="3"/>
      <c r="D38" s="3"/>
      <c r="E38" s="3"/>
      <c r="F38" s="3"/>
      <c r="G38" s="3"/>
      <c r="I38" s="3"/>
      <c r="J38" s="3"/>
      <c r="L38" s="3"/>
      <c r="M38" s="3"/>
      <c r="Q38" s="3"/>
      <c r="S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s="15" customFormat="1" x14ac:dyDescent="0.15">
      <c r="A39" s="3"/>
      <c r="B39" s="3"/>
      <c r="C39" s="3"/>
      <c r="D39" s="3"/>
      <c r="E39" s="3"/>
      <c r="F39" s="3"/>
      <c r="G39" s="3"/>
      <c r="I39" s="3"/>
      <c r="J39" s="3"/>
      <c r="L39" s="3"/>
      <c r="M39" s="3"/>
      <c r="Q39" s="3"/>
      <c r="S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s="15" customFormat="1" x14ac:dyDescent="0.15"/>
    <row r="41" spans="1:30" s="15" customFormat="1" x14ac:dyDescent="0.15"/>
    <row r="42" spans="1:30" s="15" customFormat="1" x14ac:dyDescent="0.15"/>
    <row r="43" spans="1:30" s="15" customFormat="1" x14ac:dyDescent="0.15"/>
    <row r="44" spans="1:30" s="15" customFormat="1" x14ac:dyDescent="0.15"/>
    <row r="45" spans="1:30" s="15" customFormat="1" x14ac:dyDescent="0.15"/>
    <row r="46" spans="1:30" s="15" customFormat="1" x14ac:dyDescent="0.15"/>
    <row r="47" spans="1:30" s="15" customFormat="1" x14ac:dyDescent="0.15"/>
    <row r="48" spans="1:30" s="15" customFormat="1" x14ac:dyDescent="0.15"/>
    <row r="49" s="15" customFormat="1" x14ac:dyDescent="0.15"/>
    <row r="50" s="15" customFormat="1" x14ac:dyDescent="0.15"/>
    <row r="51" s="15" customFormat="1" x14ac:dyDescent="0.15"/>
    <row r="52" s="15" customFormat="1" x14ac:dyDescent="0.15"/>
    <row r="53" s="15" customFormat="1" x14ac:dyDescent="0.15"/>
    <row r="54" s="15" customFormat="1" x14ac:dyDescent="0.15"/>
    <row r="55" s="15" customFormat="1" x14ac:dyDescent="0.15"/>
    <row r="56" s="15" customFormat="1" x14ac:dyDescent="0.15"/>
    <row r="57" s="15" customFormat="1" x14ac:dyDescent="0.15"/>
    <row r="58" s="15" customFormat="1" x14ac:dyDescent="0.15"/>
    <row r="59" s="15" customFormat="1" x14ac:dyDescent="0.15"/>
    <row r="60" s="15" customFormat="1" x14ac:dyDescent="0.15"/>
    <row r="61" s="15" customFormat="1" x14ac:dyDescent="0.15"/>
    <row r="62" s="15" customFormat="1" x14ac:dyDescent="0.15"/>
    <row r="63" s="15" customFormat="1" x14ac:dyDescent="0.15"/>
    <row r="64" s="15" customFormat="1" x14ac:dyDescent="0.15"/>
    <row r="65" s="15" customFormat="1" x14ac:dyDescent="0.15"/>
    <row r="66" s="15" customFormat="1" x14ac:dyDescent="0.15"/>
    <row r="67" s="15" customFormat="1" x14ac:dyDescent="0.15"/>
    <row r="68" s="15" customFormat="1" x14ac:dyDescent="0.15"/>
    <row r="69" s="15" customFormat="1" x14ac:dyDescent="0.15"/>
    <row r="70" s="15" customFormat="1" x14ac:dyDescent="0.15"/>
    <row r="71" s="15" customFormat="1" x14ac:dyDescent="0.15"/>
    <row r="72" s="15" customFormat="1" x14ac:dyDescent="0.15"/>
    <row r="73" s="15" customFormat="1" x14ac:dyDescent="0.15"/>
    <row r="74" s="15" customFormat="1" x14ac:dyDescent="0.15"/>
    <row r="75" s="15" customFormat="1" x14ac:dyDescent="0.15"/>
    <row r="76" s="15" customFormat="1" x14ac:dyDescent="0.15"/>
    <row r="77" s="15" customFormat="1" x14ac:dyDescent="0.15"/>
    <row r="78" s="15" customFormat="1" x14ac:dyDescent="0.15"/>
    <row r="79" s="15" customFormat="1" x14ac:dyDescent="0.15"/>
    <row r="80" s="15" customFormat="1" x14ac:dyDescent="0.15"/>
    <row r="81" s="15" customFormat="1" x14ac:dyDescent="0.15"/>
    <row r="82" s="15" customFormat="1" x14ac:dyDescent="0.15"/>
    <row r="83" s="15" customFormat="1" x14ac:dyDescent="0.15"/>
    <row r="84" s="15" customFormat="1" x14ac:dyDescent="0.15"/>
    <row r="85" s="15" customFormat="1" x14ac:dyDescent="0.15"/>
    <row r="86" s="15" customFormat="1" x14ac:dyDescent="0.15"/>
    <row r="87" s="15" customFormat="1" x14ac:dyDescent="0.15"/>
    <row r="88" s="15" customFormat="1" x14ac:dyDescent="0.15"/>
    <row r="89" s="15" customFormat="1" x14ac:dyDescent="0.15"/>
    <row r="90" s="15" customFormat="1" x14ac:dyDescent="0.15"/>
    <row r="91" s="15" customFormat="1" x14ac:dyDescent="0.15"/>
    <row r="92" s="15" customFormat="1" x14ac:dyDescent="0.15"/>
    <row r="93" s="15" customFormat="1" x14ac:dyDescent="0.15"/>
    <row r="94" s="15" customFormat="1" x14ac:dyDescent="0.15"/>
    <row r="95" s="15" customFormat="1" x14ac:dyDescent="0.15"/>
    <row r="96" s="15" customFormat="1" x14ac:dyDescent="0.15"/>
    <row r="97" s="15" customFormat="1" x14ac:dyDescent="0.15"/>
    <row r="98" s="15" customFormat="1" x14ac:dyDescent="0.15"/>
    <row r="99" s="15" customFormat="1" x14ac:dyDescent="0.15"/>
    <row r="100" s="15" customFormat="1" x14ac:dyDescent="0.15"/>
    <row r="101" s="15" customFormat="1" x14ac:dyDescent="0.15"/>
    <row r="102" s="15" customFormat="1" x14ac:dyDescent="0.15"/>
    <row r="103" s="15" customFormat="1" x14ac:dyDescent="0.15"/>
    <row r="104" s="15" customFormat="1" x14ac:dyDescent="0.15"/>
    <row r="105" s="15" customFormat="1" x14ac:dyDescent="0.15"/>
    <row r="106" s="15" customFormat="1" x14ac:dyDescent="0.15"/>
    <row r="107" s="15" customFormat="1" x14ac:dyDescent="0.15"/>
    <row r="108" s="15" customFormat="1" x14ac:dyDescent="0.15"/>
    <row r="109" s="15" customFormat="1" x14ac:dyDescent="0.15"/>
    <row r="110" s="15" customFormat="1" x14ac:dyDescent="0.15"/>
    <row r="111" s="15" customFormat="1" x14ac:dyDescent="0.15"/>
    <row r="112" s="15" customFormat="1" x14ac:dyDescent="0.15"/>
    <row r="113" s="15" customFormat="1" x14ac:dyDescent="0.15"/>
    <row r="114" s="15" customFormat="1" x14ac:dyDescent="0.15"/>
    <row r="115" s="15" customFormat="1" x14ac:dyDescent="0.15"/>
    <row r="116" s="15" customFormat="1" x14ac:dyDescent="0.15"/>
    <row r="117" s="15" customFormat="1" x14ac:dyDescent="0.15"/>
    <row r="118" s="15" customFormat="1" x14ac:dyDescent="0.15"/>
    <row r="119" s="15" customFormat="1" x14ac:dyDescent="0.15"/>
    <row r="120" s="15" customFormat="1" x14ac:dyDescent="0.15"/>
    <row r="121" s="15" customFormat="1" x14ac:dyDescent="0.15"/>
    <row r="122" s="15" customFormat="1" x14ac:dyDescent="0.15"/>
    <row r="123" s="15" customFormat="1" x14ac:dyDescent="0.15"/>
    <row r="124" s="15" customFormat="1" x14ac:dyDescent="0.15"/>
    <row r="125" s="15" customFormat="1" x14ac:dyDescent="0.15"/>
    <row r="126" s="15" customFormat="1" x14ac:dyDescent="0.15"/>
    <row r="127" s="15" customFormat="1" x14ac:dyDescent="0.15"/>
    <row r="128" s="15" customFormat="1" x14ac:dyDescent="0.15"/>
    <row r="129" s="15" customFormat="1" x14ac:dyDescent="0.15"/>
    <row r="130" s="15" customFormat="1" x14ac:dyDescent="0.15"/>
    <row r="131" s="15" customFormat="1" x14ac:dyDescent="0.15"/>
    <row r="132" s="15" customFormat="1" x14ac:dyDescent="0.15"/>
    <row r="133" s="15" customFormat="1" x14ac:dyDescent="0.15"/>
    <row r="134" s="15" customFormat="1" x14ac:dyDescent="0.15"/>
    <row r="135" s="15" customFormat="1" x14ac:dyDescent="0.15"/>
    <row r="136" s="15" customFormat="1" x14ac:dyDescent="0.15"/>
    <row r="137" s="15" customFormat="1" x14ac:dyDescent="0.15"/>
    <row r="138" s="15" customFormat="1" x14ac:dyDescent="0.15"/>
    <row r="139" s="15" customFormat="1" x14ac:dyDescent="0.15"/>
    <row r="140" s="15" customFormat="1" x14ac:dyDescent="0.15"/>
    <row r="141" s="15" customFormat="1" x14ac:dyDescent="0.15"/>
    <row r="142" s="15" customFormat="1" x14ac:dyDescent="0.15"/>
    <row r="143" s="15" customFormat="1" x14ac:dyDescent="0.15"/>
    <row r="144" s="15" customFormat="1" x14ac:dyDescent="0.15"/>
    <row r="145" s="15" customFormat="1" x14ac:dyDescent="0.15"/>
    <row r="146" s="15" customFormat="1" x14ac:dyDescent="0.15"/>
    <row r="147" s="15" customFormat="1" x14ac:dyDescent="0.15"/>
    <row r="148" s="15" customFormat="1" x14ac:dyDescent="0.15"/>
    <row r="149" s="15" customFormat="1" x14ac:dyDescent="0.15"/>
    <row r="150" s="15" customFormat="1" x14ac:dyDescent="0.15"/>
    <row r="151" s="15" customFormat="1" x14ac:dyDescent="0.15"/>
    <row r="152" s="15" customFormat="1" x14ac:dyDescent="0.15"/>
    <row r="153" s="15" customFormat="1" x14ac:dyDescent="0.15"/>
    <row r="154" s="15" customFormat="1" x14ac:dyDescent="0.15"/>
    <row r="155" s="15" customFormat="1" x14ac:dyDescent="0.15"/>
    <row r="156" s="15" customFormat="1" x14ac:dyDescent="0.15"/>
    <row r="157" s="15" customFormat="1" x14ac:dyDescent="0.15"/>
    <row r="158" s="15" customFormat="1" x14ac:dyDescent="0.15"/>
    <row r="159" s="15" customFormat="1" x14ac:dyDescent="0.15"/>
    <row r="160" s="15" customFormat="1" x14ac:dyDescent="0.15"/>
    <row r="161" s="15" customFormat="1" x14ac:dyDescent="0.15"/>
    <row r="162" s="15" customFormat="1" x14ac:dyDescent="0.15"/>
    <row r="163" s="15" customFormat="1" x14ac:dyDescent="0.15"/>
    <row r="164" s="15" customFormat="1" x14ac:dyDescent="0.15"/>
    <row r="165" s="15" customFormat="1" x14ac:dyDescent="0.15"/>
    <row r="166" s="15" customFormat="1" x14ac:dyDescent="0.15"/>
    <row r="167" s="15" customFormat="1" x14ac:dyDescent="0.15"/>
    <row r="168" s="15" customFormat="1" x14ac:dyDescent="0.15"/>
    <row r="169" s="15" customFormat="1" x14ac:dyDescent="0.15"/>
    <row r="170" s="15" customFormat="1" x14ac:dyDescent="0.15"/>
    <row r="171" s="15" customFormat="1" x14ac:dyDescent="0.15"/>
    <row r="172" s="15" customFormat="1" x14ac:dyDescent="0.15"/>
  </sheetData>
  <phoneticPr fontId="1"/>
  <hyperlinks>
    <hyperlink ref="B2" r:id="rId1"/>
    <hyperlink ref="B8" r:id="rId2"/>
    <hyperlink ref="B11" r:id="rId3"/>
    <hyperlink ref="B6" r:id="rId4"/>
    <hyperlink ref="B31" r:id="rId5"/>
    <hyperlink ref="B29" r:id="rId6"/>
    <hyperlink ref="B25" r:id="rId7"/>
    <hyperlink ref="B30" r:id="rId8"/>
    <hyperlink ref="B13" r:id="rId9"/>
    <hyperlink ref="B16" r:id="rId10"/>
    <hyperlink ref="B24" r:id="rId11"/>
    <hyperlink ref="B14" r:id="rId12" display="https://github.com/gabrielecirulli/2048"/>
    <hyperlink ref="B10" r:id="rId13"/>
    <hyperlink ref="B3" r:id="rId14"/>
    <hyperlink ref="B26" r:id="rId15"/>
    <hyperlink ref="B21" r:id="rId16"/>
    <hyperlink ref="B4" r:id="rId17"/>
    <hyperlink ref="B15" r:id="rId18"/>
    <hyperlink ref="B22" r:id="rId19"/>
    <hyperlink ref="B23" r:id="rId20"/>
    <hyperlink ref="B19" r:id="rId21"/>
    <hyperlink ref="B18" r:id="rId22"/>
    <hyperlink ref="B5" r:id="rId23"/>
    <hyperlink ref="B28" r:id="rId24"/>
    <hyperlink ref="B20" r:id="rId25"/>
    <hyperlink ref="B7" r:id="rId26"/>
    <hyperlink ref="B17" r:id="rId27"/>
    <hyperlink ref="B12" r:id="rId28"/>
    <hyperlink ref="B27" r:id="rId29"/>
    <hyperlink ref="B9" r:id="rId30"/>
  </hyperlinks>
  <pageMargins left="0.7" right="0.7" top="0.75" bottom="0.75" header="0.3" footer="0.3"/>
  <tableParts count="1">
    <tablePart r:id="rId3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opLeftCell="H1" workbookViewId="0">
      <selection activeCell="W1" sqref="A1:AB51"/>
    </sheetView>
  </sheetViews>
  <sheetFormatPr defaultColWidth="8.875" defaultRowHeight="14.25" x14ac:dyDescent="0.15"/>
  <cols>
    <col min="1" max="1" width="16.625" bestFit="1" customWidth="1"/>
    <col min="2" max="2" width="21.625" bestFit="1" customWidth="1"/>
    <col min="3" max="3" width="9.625" customWidth="1"/>
    <col min="4" max="4" width="9.5" customWidth="1"/>
    <col min="5" max="6" width="11.125" customWidth="1"/>
    <col min="7" max="7" width="11.875" customWidth="1"/>
    <col min="8" max="9" width="11.625" customWidth="1"/>
    <col min="10" max="10" width="12.5" customWidth="1"/>
    <col min="11" max="11" width="17.125" customWidth="1"/>
    <col min="12" max="12" width="12.625" customWidth="1"/>
    <col min="13" max="13" width="10.5" customWidth="1"/>
    <col min="14" max="14" width="11.875" customWidth="1"/>
    <col min="15" max="15" width="11.625" customWidth="1"/>
    <col min="16" max="16" width="14.625" customWidth="1"/>
    <col min="17" max="17" width="11.625" customWidth="1"/>
    <col min="18" max="18" width="13.125" customWidth="1"/>
    <col min="19" max="19" width="17" customWidth="1"/>
    <col min="20" max="20" width="12.625" bestFit="1" customWidth="1"/>
    <col min="21" max="21" width="12.625" customWidth="1"/>
    <col min="22" max="22" width="7.125" bestFit="1" customWidth="1"/>
    <col min="23" max="23" width="7.125" customWidth="1"/>
    <col min="24" max="24" width="12.125" bestFit="1" customWidth="1"/>
    <col min="25" max="25" width="10.875" bestFit="1" customWidth="1"/>
    <col min="26" max="26" width="12.125" bestFit="1" customWidth="1"/>
  </cols>
  <sheetData>
    <row r="1" spans="1:29" x14ac:dyDescent="0.15">
      <c r="A1" s="6" t="s">
        <v>20</v>
      </c>
      <c r="B1" s="6" t="s">
        <v>19</v>
      </c>
      <c r="C1" s="6" t="s">
        <v>169</v>
      </c>
      <c r="D1" s="6" t="s">
        <v>170</v>
      </c>
      <c r="E1" s="6" t="s">
        <v>171</v>
      </c>
      <c r="F1" s="6" t="s">
        <v>191</v>
      </c>
      <c r="G1" s="6" t="s">
        <v>100</v>
      </c>
      <c r="H1" s="6" t="s">
        <v>176</v>
      </c>
      <c r="I1" s="6" t="s">
        <v>98</v>
      </c>
      <c r="J1" s="6" t="s">
        <v>174</v>
      </c>
      <c r="K1" s="6" t="s">
        <v>175</v>
      </c>
      <c r="L1" s="6" t="s">
        <v>4</v>
      </c>
      <c r="M1" s="6" t="s">
        <v>172</v>
      </c>
      <c r="N1" s="6" t="s">
        <v>173</v>
      </c>
      <c r="O1" s="6" t="s">
        <v>184</v>
      </c>
      <c r="P1" s="6" t="s">
        <v>5</v>
      </c>
      <c r="Q1" s="6" t="s">
        <v>190</v>
      </c>
      <c r="R1" s="6" t="s">
        <v>187</v>
      </c>
      <c r="S1" s="6" t="s">
        <v>186</v>
      </c>
      <c r="T1" s="6" t="s">
        <v>6</v>
      </c>
      <c r="U1" s="6" t="s">
        <v>274</v>
      </c>
      <c r="V1" s="6" t="s">
        <v>16</v>
      </c>
      <c r="W1" s="6" t="s">
        <v>258</v>
      </c>
      <c r="X1" s="6" t="s">
        <v>101</v>
      </c>
      <c r="Y1" t="s">
        <v>188</v>
      </c>
      <c r="Z1" t="s">
        <v>189</v>
      </c>
      <c r="AA1" s="23" t="s">
        <v>235</v>
      </c>
      <c r="AB1" s="23" t="s">
        <v>244</v>
      </c>
    </row>
    <row r="2" spans="1:29" x14ac:dyDescent="0.15">
      <c r="A2" s="23">
        <v>1</v>
      </c>
      <c r="B2" s="7" t="s">
        <v>22</v>
      </c>
      <c r="C2" s="23">
        <v>40</v>
      </c>
      <c r="D2" s="23">
        <v>447</v>
      </c>
      <c r="E2" s="23">
        <v>93</v>
      </c>
      <c r="F2" s="23" t="str">
        <f>IF(テーブル46[[#This Row],[branch数]]=1,"×","○")</f>
        <v>○</v>
      </c>
      <c r="G2" s="25">
        <v>2</v>
      </c>
      <c r="H2" s="23">
        <v>75</v>
      </c>
      <c r="I2" s="23" t="str">
        <f>IF(テーブル46[[#This Row],[リリース数]]=0,"×","○")</f>
        <v>○</v>
      </c>
      <c r="J2" s="23">
        <v>5</v>
      </c>
      <c r="K2" s="23">
        <v>3</v>
      </c>
      <c r="L2" s="23" t="str">
        <f>IF(テーブル46[[#This Row],[Issues計]]=0,"×","○")</f>
        <v>×</v>
      </c>
      <c r="M2" s="23">
        <v>0</v>
      </c>
      <c r="N2" s="23">
        <v>0</v>
      </c>
      <c r="O2" s="23">
        <f>SUM(テーブル46[[#This Row],[Open数]:[Closed数]])</f>
        <v>0</v>
      </c>
      <c r="P2" s="23" t="s">
        <v>30</v>
      </c>
      <c r="Q2" s="23">
        <v>0</v>
      </c>
      <c r="R2" s="23">
        <v>2</v>
      </c>
      <c r="S2" s="23">
        <f>SUM(テーブル46[[#This Row],[Open数2]:[Closed数3]])</f>
        <v>2</v>
      </c>
      <c r="T2" s="23" t="s">
        <v>31</v>
      </c>
      <c r="U2" s="23">
        <v>0</v>
      </c>
      <c r="V2" s="23" t="s">
        <v>31</v>
      </c>
      <c r="W2" s="23">
        <v>0</v>
      </c>
      <c r="X2" s="23" t="s">
        <v>102</v>
      </c>
      <c r="Y2" s="23" t="s">
        <v>103</v>
      </c>
      <c r="Z2" s="23"/>
      <c r="AA2" s="23"/>
      <c r="AB2" s="23"/>
    </row>
    <row r="3" spans="1:29" x14ac:dyDescent="0.15">
      <c r="A3" s="23">
        <v>2</v>
      </c>
      <c r="B3" s="7" t="s">
        <v>130</v>
      </c>
      <c r="C3" s="23">
        <v>178</v>
      </c>
      <c r="D3" s="23">
        <v>1636</v>
      </c>
      <c r="E3" s="23">
        <v>259</v>
      </c>
      <c r="F3" s="23" t="str">
        <f>IF(テーブル46[[#This Row],[branch数]]=1,"×","○")</f>
        <v>×</v>
      </c>
      <c r="G3" s="25">
        <v>1</v>
      </c>
      <c r="H3" s="23">
        <v>57</v>
      </c>
      <c r="I3" s="23" t="str">
        <f>IF(テーブル46[[#This Row],[リリース数]]=0,"×","○")</f>
        <v>○</v>
      </c>
      <c r="J3" s="23">
        <v>1</v>
      </c>
      <c r="K3" s="23">
        <v>3</v>
      </c>
      <c r="L3" s="23" t="str">
        <f>IF(テーブル46[[#This Row],[Issues計]]=0,"×","○")</f>
        <v>○</v>
      </c>
      <c r="M3" s="23">
        <v>3</v>
      </c>
      <c r="N3" s="23">
        <v>8</v>
      </c>
      <c r="O3" s="23">
        <f>SUM(テーブル46[[#This Row],[Open数]:[Closed数]])</f>
        <v>11</v>
      </c>
      <c r="P3" s="23" t="s">
        <v>30</v>
      </c>
      <c r="Q3" s="23">
        <v>2</v>
      </c>
      <c r="R3" s="23">
        <v>5</v>
      </c>
      <c r="S3" s="23">
        <f>SUM(テーブル46[[#This Row],[Open数2]:[Closed数3]])</f>
        <v>7</v>
      </c>
      <c r="T3" s="23" t="s">
        <v>31</v>
      </c>
      <c r="U3" s="23">
        <v>0</v>
      </c>
      <c r="V3" s="23" t="s">
        <v>31</v>
      </c>
      <c r="W3" s="23">
        <v>0</v>
      </c>
      <c r="X3" s="23" t="s">
        <v>104</v>
      </c>
      <c r="Y3" s="23" t="s">
        <v>105</v>
      </c>
      <c r="Z3" s="23"/>
      <c r="AA3" s="23"/>
      <c r="AB3" s="23"/>
      <c r="AC3" s="18"/>
    </row>
    <row r="4" spans="1:29" x14ac:dyDescent="0.15">
      <c r="A4" s="23">
        <v>3</v>
      </c>
      <c r="B4" s="7" t="s">
        <v>36</v>
      </c>
      <c r="C4" s="23">
        <v>178</v>
      </c>
      <c r="D4" s="23">
        <v>2319</v>
      </c>
      <c r="E4" s="23">
        <v>463</v>
      </c>
      <c r="F4" s="23" t="str">
        <f>IF(テーブル46[[#This Row],[branch数]]=1,"×","○")</f>
        <v>×</v>
      </c>
      <c r="G4" s="23">
        <v>1</v>
      </c>
      <c r="H4" s="23">
        <v>221</v>
      </c>
      <c r="I4" s="23" t="str">
        <f>IF(テーブル46[[#This Row],[リリース数]]=0,"×","○")</f>
        <v>×</v>
      </c>
      <c r="J4" s="23">
        <v>0</v>
      </c>
      <c r="K4" s="23">
        <v>7</v>
      </c>
      <c r="L4" s="23" t="str">
        <f>IF(テーブル46[[#This Row],[Issues計]]=0,"×","○")</f>
        <v>○</v>
      </c>
      <c r="M4" s="23">
        <v>27</v>
      </c>
      <c r="N4" s="23">
        <v>28</v>
      </c>
      <c r="O4" s="23">
        <f>SUM(テーブル46[[#This Row],[Open数]:[Closed数]])</f>
        <v>55</v>
      </c>
      <c r="P4" s="23" t="str">
        <f>IF(テーブル46[[#This Row],[PullRequest計]]=0,"×","○")</f>
        <v>○</v>
      </c>
      <c r="Q4" s="23">
        <v>9</v>
      </c>
      <c r="R4" s="23">
        <v>13</v>
      </c>
      <c r="S4" s="23">
        <f>SUM(テーブル46[[#This Row],[Open数2]:[Closed数3]])</f>
        <v>22</v>
      </c>
      <c r="T4" s="23" t="s">
        <v>30</v>
      </c>
      <c r="U4" s="23">
        <v>26</v>
      </c>
      <c r="V4" s="23" t="s">
        <v>30</v>
      </c>
      <c r="W4" s="23">
        <v>7</v>
      </c>
      <c r="X4" s="23" t="s">
        <v>106</v>
      </c>
      <c r="Y4" s="23"/>
      <c r="Z4" s="23"/>
      <c r="AA4" s="23"/>
      <c r="AB4" s="23"/>
    </row>
    <row r="5" spans="1:29" x14ac:dyDescent="0.15">
      <c r="A5" s="23">
        <v>4</v>
      </c>
      <c r="B5" s="7" t="s">
        <v>37</v>
      </c>
      <c r="C5" s="23">
        <v>360</v>
      </c>
      <c r="D5" s="23">
        <v>11741</v>
      </c>
      <c r="E5" s="23">
        <v>4592</v>
      </c>
      <c r="F5" s="23" t="str">
        <f>IF(テーブル46[[#This Row],[branch数]]=1,"×","○")</f>
        <v>○</v>
      </c>
      <c r="G5" s="23">
        <v>39</v>
      </c>
      <c r="H5" s="23">
        <v>19052</v>
      </c>
      <c r="I5" s="23" t="str">
        <f>IF(テーブル46[[#This Row],[リリース数]]=0,"×","○")</f>
        <v>○</v>
      </c>
      <c r="J5" s="23">
        <v>86</v>
      </c>
      <c r="K5" s="23">
        <v>700</v>
      </c>
      <c r="L5" s="23" t="str">
        <f>IF(テーブル46[[#This Row],[Issues計]]=0,"×","○")</f>
        <v>×</v>
      </c>
      <c r="M5" s="23">
        <v>0</v>
      </c>
      <c r="N5" s="23">
        <v>0</v>
      </c>
      <c r="O5" s="23">
        <f>SUM(テーブル46[[#This Row],[Open数]:[Closed数]])</f>
        <v>0</v>
      </c>
      <c r="P5" s="23" t="str">
        <f>IF(テーブル46[[#This Row],[PullRequest計]]=0,"×","○")</f>
        <v>○</v>
      </c>
      <c r="Q5" s="23">
        <v>69</v>
      </c>
      <c r="R5" s="23">
        <v>3403</v>
      </c>
      <c r="S5" s="23">
        <f>SUM(テーブル46[[#This Row],[Open数2]:[Closed数3]])</f>
        <v>3472</v>
      </c>
      <c r="T5" s="23" t="s">
        <v>31</v>
      </c>
      <c r="U5" s="23">
        <v>0</v>
      </c>
      <c r="V5" s="23" t="s">
        <v>31</v>
      </c>
      <c r="W5" s="23">
        <v>0</v>
      </c>
      <c r="X5" s="23" t="s">
        <v>107</v>
      </c>
      <c r="Y5" s="23" t="s">
        <v>108</v>
      </c>
      <c r="Z5" s="23"/>
      <c r="AA5" s="23"/>
      <c r="AB5" s="23"/>
    </row>
    <row r="6" spans="1:29" x14ac:dyDescent="0.15">
      <c r="A6" s="23">
        <v>5</v>
      </c>
      <c r="B6" s="7" t="s">
        <v>38</v>
      </c>
      <c r="C6" s="23">
        <v>1648</v>
      </c>
      <c r="D6" s="23">
        <v>23753</v>
      </c>
      <c r="E6" s="23">
        <v>9080</v>
      </c>
      <c r="F6" s="23" t="str">
        <f>IF(テーブル46[[#This Row],[branch数]]=1,"×","○")</f>
        <v>○</v>
      </c>
      <c r="G6" s="23">
        <v>37</v>
      </c>
      <c r="H6" s="23">
        <v>47676</v>
      </c>
      <c r="I6" s="23" t="str">
        <f>IF(テーブル46[[#This Row],[リリース数]]=0,"×","○")</f>
        <v>○</v>
      </c>
      <c r="J6" s="23">
        <v>237</v>
      </c>
      <c r="K6" s="23">
        <v>2465</v>
      </c>
      <c r="L6" s="23" t="str">
        <f>IF(テーブル46[[#This Row],[Issues計]]=0,"×","○")</f>
        <v>○</v>
      </c>
      <c r="M6" s="23">
        <v>327</v>
      </c>
      <c r="N6" s="23">
        <v>5959</v>
      </c>
      <c r="O6" s="23">
        <f>SUM(テーブル46[[#This Row],[Open数]:[Closed数]])</f>
        <v>6286</v>
      </c>
      <c r="P6" s="23" t="str">
        <f>IF(テーブル46[[#This Row],[PullRequest計]]=0,"×","○")</f>
        <v>○</v>
      </c>
      <c r="Q6" s="23">
        <v>437</v>
      </c>
      <c r="R6" s="23">
        <v>10797</v>
      </c>
      <c r="S6" s="23">
        <f>SUM(テーブル46[[#This Row],[Open数2]:[Closed数3]])</f>
        <v>11234</v>
      </c>
      <c r="T6" s="23" t="s">
        <v>31</v>
      </c>
      <c r="U6" s="23">
        <v>0</v>
      </c>
      <c r="V6" s="23" t="s">
        <v>30</v>
      </c>
      <c r="W6" s="23">
        <v>29</v>
      </c>
      <c r="X6" s="23" t="s">
        <v>106</v>
      </c>
      <c r="Y6" s="23" t="s">
        <v>109</v>
      </c>
      <c r="Z6" s="23" t="s">
        <v>110</v>
      </c>
      <c r="AA6" s="23"/>
      <c r="AB6" s="23"/>
    </row>
    <row r="7" spans="1:29" x14ac:dyDescent="0.15">
      <c r="A7" s="23">
        <v>6</v>
      </c>
      <c r="B7" s="7" t="s">
        <v>259</v>
      </c>
      <c r="C7" s="23">
        <v>553</v>
      </c>
      <c r="D7" s="23">
        <v>5262</v>
      </c>
      <c r="E7" s="23">
        <v>2315</v>
      </c>
      <c r="F7" s="23" t="str">
        <f>IF(テーブル46[[#This Row],[branch数]]=1,"×","○")</f>
        <v>○</v>
      </c>
      <c r="G7" s="23">
        <v>12</v>
      </c>
      <c r="H7" s="23">
        <v>17275</v>
      </c>
      <c r="I7" s="23" t="str">
        <f>IF(テーブル46[[#This Row],[リリース数]]=0,"×","○")</f>
        <v>○</v>
      </c>
      <c r="J7" s="23">
        <v>121</v>
      </c>
      <c r="K7" s="23">
        <v>285</v>
      </c>
      <c r="L7" s="23" t="str">
        <f>IF(テーブル46[[#This Row],[Issues計]]=0,"×","○")</f>
        <v>○</v>
      </c>
      <c r="M7" s="23">
        <v>110</v>
      </c>
      <c r="N7" s="23">
        <v>1547</v>
      </c>
      <c r="O7" s="23">
        <f>SUM(テーブル46[[#This Row],[Open数]:[Closed数]])</f>
        <v>1657</v>
      </c>
      <c r="P7" s="23" t="str">
        <f>IF(テーブル46[[#This Row],[PullRequest計]]=0,"×","○")</f>
        <v>○</v>
      </c>
      <c r="Q7" s="23">
        <v>17</v>
      </c>
      <c r="R7" s="23">
        <v>3421</v>
      </c>
      <c r="S7" s="23">
        <f>SUM(テーブル46[[#This Row],[Open数2]:[Closed数3]])</f>
        <v>3438</v>
      </c>
      <c r="T7" s="23" t="s">
        <v>30</v>
      </c>
      <c r="U7" s="23">
        <v>42</v>
      </c>
      <c r="V7" s="23" t="s">
        <v>30</v>
      </c>
      <c r="W7" s="23">
        <v>5</v>
      </c>
      <c r="X7" s="23" t="s">
        <v>111</v>
      </c>
      <c r="Y7" s="23" t="s">
        <v>108</v>
      </c>
      <c r="Z7" s="23"/>
      <c r="AA7" s="23"/>
      <c r="AB7" s="23"/>
    </row>
    <row r="8" spans="1:29" x14ac:dyDescent="0.15">
      <c r="A8" s="23">
        <v>7</v>
      </c>
      <c r="B8" s="7" t="s">
        <v>129</v>
      </c>
      <c r="C8" s="23">
        <v>424</v>
      </c>
      <c r="D8" s="23">
        <v>4787</v>
      </c>
      <c r="E8" s="23">
        <v>945</v>
      </c>
      <c r="F8" s="23" t="str">
        <f>IF(テーブル46[[#This Row],[branch数]]=1,"×","○")</f>
        <v>○</v>
      </c>
      <c r="G8" s="23">
        <v>12</v>
      </c>
      <c r="H8" s="23">
        <v>5881</v>
      </c>
      <c r="I8" s="23" t="str">
        <f>IF(テーブル46[[#This Row],[リリース数]]=0,"×","○")</f>
        <v>○</v>
      </c>
      <c r="J8" s="23">
        <v>163</v>
      </c>
      <c r="K8" s="23">
        <v>153</v>
      </c>
      <c r="L8" s="23" t="str">
        <f>IF(テーブル46[[#This Row],[Issues計]]=0,"×","○")</f>
        <v>○</v>
      </c>
      <c r="M8" s="23">
        <v>122</v>
      </c>
      <c r="N8" s="23">
        <v>1131</v>
      </c>
      <c r="O8" s="23">
        <f>SUM(テーブル46[[#This Row],[Open数]:[Closed数]])</f>
        <v>1253</v>
      </c>
      <c r="P8" s="23" t="str">
        <f>IF(テーブル46[[#This Row],[PullRequest計]]=0,"×","○")</f>
        <v>○</v>
      </c>
      <c r="Q8" s="23">
        <v>4</v>
      </c>
      <c r="R8" s="23">
        <v>253</v>
      </c>
      <c r="S8" s="23">
        <f>SUM(テーブル46[[#This Row],[Open数2]:[Closed数3]])</f>
        <v>257</v>
      </c>
      <c r="T8" s="23" t="s">
        <v>31</v>
      </c>
      <c r="U8" s="23">
        <v>0</v>
      </c>
      <c r="V8" s="23" t="s">
        <v>30</v>
      </c>
      <c r="W8" s="23">
        <v>13</v>
      </c>
      <c r="X8" s="23" t="s">
        <v>106</v>
      </c>
      <c r="Y8" s="23" t="s">
        <v>109</v>
      </c>
      <c r="Z8" s="23"/>
      <c r="AA8" s="23"/>
      <c r="AB8" s="23"/>
    </row>
    <row r="9" spans="1:29" x14ac:dyDescent="0.15">
      <c r="A9" s="23">
        <v>8</v>
      </c>
      <c r="B9" s="7" t="s">
        <v>260</v>
      </c>
      <c r="C9" s="23">
        <v>637</v>
      </c>
      <c r="D9" s="23">
        <v>11276</v>
      </c>
      <c r="E9" s="23">
        <v>2579</v>
      </c>
      <c r="F9" s="23" t="str">
        <f>IF(テーブル46[[#This Row],[branch数]]=1,"×","○")</f>
        <v>○</v>
      </c>
      <c r="G9" s="25">
        <v>3</v>
      </c>
      <c r="H9" s="23">
        <v>2124</v>
      </c>
      <c r="I9" s="23" t="str">
        <f>IF(テーブル46[[#This Row],[リリース数]]=0,"×","○")</f>
        <v>○</v>
      </c>
      <c r="J9" s="23">
        <v>32</v>
      </c>
      <c r="K9" s="23">
        <v>169</v>
      </c>
      <c r="L9" s="23" t="str">
        <f>IF(テーブル46[[#This Row],[Issues計]]=0,"×","○")</f>
        <v>○</v>
      </c>
      <c r="M9" s="23">
        <v>189</v>
      </c>
      <c r="N9" s="23">
        <v>1579</v>
      </c>
      <c r="O9" s="23">
        <f>SUM(テーブル46[[#This Row],[Open数]:[Closed数]])</f>
        <v>1768</v>
      </c>
      <c r="P9" s="23" t="str">
        <f>IF(テーブル46[[#This Row],[PullRequest計]]=0,"×","○")</f>
        <v>○</v>
      </c>
      <c r="Q9" s="23">
        <v>12</v>
      </c>
      <c r="R9" s="23">
        <v>492</v>
      </c>
      <c r="S9" s="23">
        <f>SUM(テーブル46[[#This Row],[Open数2]:[Closed数3]])</f>
        <v>504</v>
      </c>
      <c r="T9" s="23" t="s">
        <v>30</v>
      </c>
      <c r="U9" s="23">
        <v>4</v>
      </c>
      <c r="V9" s="23" t="s">
        <v>30</v>
      </c>
      <c r="W9" s="23">
        <v>19</v>
      </c>
      <c r="X9" s="23" t="s">
        <v>110</v>
      </c>
      <c r="Y9" s="23" t="s">
        <v>109</v>
      </c>
      <c r="Z9" s="23" t="s">
        <v>112</v>
      </c>
      <c r="AA9" s="23"/>
      <c r="AB9" s="23"/>
    </row>
    <row r="10" spans="1:29" x14ac:dyDescent="0.15">
      <c r="A10" s="23">
        <v>9</v>
      </c>
      <c r="B10" s="7" t="s">
        <v>131</v>
      </c>
      <c r="C10" s="23">
        <v>52</v>
      </c>
      <c r="D10" s="23">
        <v>313</v>
      </c>
      <c r="E10" s="23">
        <v>152</v>
      </c>
      <c r="F10" s="23" t="str">
        <f>IF(テーブル46[[#This Row],[branch数]]=1,"×","○")</f>
        <v>○</v>
      </c>
      <c r="G10" s="25">
        <v>9</v>
      </c>
      <c r="H10" s="23">
        <v>480</v>
      </c>
      <c r="I10" s="23" t="str">
        <f>IF(テーブル46[[#This Row],[リリース数]]=0,"×","○")</f>
        <v>○</v>
      </c>
      <c r="J10" s="23">
        <v>5</v>
      </c>
      <c r="K10" s="23">
        <v>25</v>
      </c>
      <c r="L10" s="23" t="str">
        <f>IF(テーブル46[[#This Row],[Issues計]]=0,"×","○")</f>
        <v>○</v>
      </c>
      <c r="M10" s="23">
        <v>26</v>
      </c>
      <c r="N10" s="23">
        <v>54</v>
      </c>
      <c r="O10" s="23">
        <f>SUM(テーブル46[[#This Row],[Open数]:[Closed数]])</f>
        <v>80</v>
      </c>
      <c r="P10" s="23" t="str">
        <f>IF(テーブル46[[#This Row],[PullRequest計]]=0,"×","○")</f>
        <v>○</v>
      </c>
      <c r="Q10" s="23">
        <v>17</v>
      </c>
      <c r="R10" s="23">
        <v>41</v>
      </c>
      <c r="S10" s="23">
        <f>SUM(テーブル46[[#This Row],[Open数2]:[Closed数3]])</f>
        <v>58</v>
      </c>
      <c r="T10" s="23" t="s">
        <v>30</v>
      </c>
      <c r="U10" s="23">
        <v>3</v>
      </c>
      <c r="V10" s="23" t="s">
        <v>30</v>
      </c>
      <c r="W10" s="23">
        <v>6</v>
      </c>
      <c r="X10" s="23" t="s">
        <v>113</v>
      </c>
      <c r="Y10" s="23" t="s">
        <v>115</v>
      </c>
      <c r="Z10" s="23"/>
      <c r="AA10" s="23"/>
      <c r="AB10" s="23"/>
    </row>
    <row r="11" spans="1:29" x14ac:dyDescent="0.15">
      <c r="A11" s="23">
        <v>10</v>
      </c>
      <c r="B11" s="7" t="s">
        <v>261</v>
      </c>
      <c r="C11" s="23">
        <v>45</v>
      </c>
      <c r="D11" s="23">
        <v>188</v>
      </c>
      <c r="E11" s="23">
        <v>1109</v>
      </c>
      <c r="F11" s="23" t="str">
        <f>IF(テーブル46[[#This Row],[branch数]]=1,"×","○")</f>
        <v>○</v>
      </c>
      <c r="G11" s="25">
        <v>50</v>
      </c>
      <c r="H11" s="23">
        <v>139955</v>
      </c>
      <c r="I11" s="23" t="str">
        <f>IF(テーブル46[[#This Row],[リリース数]]=0,"×","○")</f>
        <v>○</v>
      </c>
      <c r="J11" s="23">
        <v>2610</v>
      </c>
      <c r="K11" s="23">
        <v>286</v>
      </c>
      <c r="L11" s="23" t="str">
        <f>IF(テーブル46[[#This Row],[Issues計]]=0,"×","○")</f>
        <v>○</v>
      </c>
      <c r="M11" s="23">
        <v>24</v>
      </c>
      <c r="N11" s="23">
        <v>173</v>
      </c>
      <c r="O11" s="23">
        <f>SUM(テーブル46[[#This Row],[Open数]:[Closed数]])</f>
        <v>197</v>
      </c>
      <c r="P11" s="23" t="str">
        <f>IF(テーブル46[[#This Row],[PullRequest計]]=0,"×","○")</f>
        <v>○</v>
      </c>
      <c r="Q11" s="23">
        <v>88</v>
      </c>
      <c r="R11" s="23">
        <v>5945</v>
      </c>
      <c r="S11" s="23">
        <f>SUM(テーブル46[[#This Row],[Open数2]:[Closed数3]])</f>
        <v>6033</v>
      </c>
      <c r="T11" s="23" t="s">
        <v>31</v>
      </c>
      <c r="U11" s="23">
        <v>0</v>
      </c>
      <c r="V11" s="23" t="s">
        <v>30</v>
      </c>
      <c r="W11" s="23">
        <v>69</v>
      </c>
      <c r="X11" s="23" t="s">
        <v>116</v>
      </c>
      <c r="Y11" s="23" t="s">
        <v>113</v>
      </c>
      <c r="Z11" s="23" t="s">
        <v>117</v>
      </c>
      <c r="AA11" s="23"/>
      <c r="AB11" s="23"/>
    </row>
    <row r="12" spans="1:29" x14ac:dyDescent="0.15">
      <c r="A12" s="23">
        <v>11</v>
      </c>
      <c r="B12" s="7" t="s">
        <v>262</v>
      </c>
      <c r="C12" s="23">
        <v>77</v>
      </c>
      <c r="D12" s="23">
        <v>461</v>
      </c>
      <c r="E12" s="29">
        <v>313</v>
      </c>
      <c r="F12" s="29" t="str">
        <f>IF(テーブル46[[#This Row],[branch数]]=1,"×","○")</f>
        <v>○</v>
      </c>
      <c r="G12" s="29">
        <v>6</v>
      </c>
      <c r="H12" s="29">
        <v>10189</v>
      </c>
      <c r="I12" s="29" t="str">
        <f>IF(テーブル46[[#This Row],[リリース数]]=0,"×","○")</f>
        <v>○</v>
      </c>
      <c r="J12" s="29">
        <v>21</v>
      </c>
      <c r="K12" s="29">
        <v>93</v>
      </c>
      <c r="L12" s="23" t="str">
        <f>IF(テーブル46[[#This Row],[Issues計]]=0,"×","○")</f>
        <v>○</v>
      </c>
      <c r="M12" s="29">
        <v>323</v>
      </c>
      <c r="N12" s="29">
        <v>695</v>
      </c>
      <c r="O12" s="23">
        <f>SUM(テーブル46[[#This Row],[Open数]:[Closed数]])</f>
        <v>1018</v>
      </c>
      <c r="P12" s="23" t="str">
        <f>IF(テーブル46[[#This Row],[PullRequest計]]=0,"×","○")</f>
        <v>○</v>
      </c>
      <c r="Q12" s="29">
        <v>90</v>
      </c>
      <c r="R12" s="29">
        <v>1967</v>
      </c>
      <c r="S12" s="23">
        <f>SUM(テーブル46[[#This Row],[Open数2]:[Closed数3]])</f>
        <v>2057</v>
      </c>
      <c r="T12" s="29" t="s">
        <v>42</v>
      </c>
      <c r="U12" s="29">
        <v>58</v>
      </c>
      <c r="V12" s="29" t="s">
        <v>42</v>
      </c>
      <c r="W12" s="29">
        <v>52</v>
      </c>
      <c r="X12" s="29" t="s">
        <v>113</v>
      </c>
      <c r="Y12" s="29" t="s">
        <v>118</v>
      </c>
      <c r="Z12" s="29" t="s">
        <v>108</v>
      </c>
      <c r="AA12" s="23"/>
      <c r="AB12" s="23"/>
    </row>
    <row r="13" spans="1:29" x14ac:dyDescent="0.15">
      <c r="A13" s="23">
        <v>12</v>
      </c>
      <c r="B13" s="19">
        <v>2048</v>
      </c>
      <c r="C13" s="23">
        <v>471</v>
      </c>
      <c r="D13" s="23">
        <v>6127</v>
      </c>
      <c r="E13" s="23">
        <v>10970</v>
      </c>
      <c r="F13" s="23" t="str">
        <f>IF(テーブル46[[#This Row],[branch数]]=1,"×","○")</f>
        <v>○</v>
      </c>
      <c r="G13" s="23">
        <v>2</v>
      </c>
      <c r="H13" s="23">
        <v>160</v>
      </c>
      <c r="I13" s="23" t="str">
        <f>IF(テーブル46[[#This Row],[リリース数]]=0,"×","○")</f>
        <v>×</v>
      </c>
      <c r="J13" s="23">
        <v>0</v>
      </c>
      <c r="K13" s="23">
        <v>21</v>
      </c>
      <c r="L13" s="23" t="str">
        <f>IF(テーブル46[[#This Row],[Issues計]]=0,"×","○")</f>
        <v>○</v>
      </c>
      <c r="M13" s="23">
        <v>56</v>
      </c>
      <c r="N13" s="23">
        <v>43</v>
      </c>
      <c r="O13" s="23">
        <f>SUM(テーブル46[[#This Row],[Open数]:[Closed数]])</f>
        <v>99</v>
      </c>
      <c r="P13" s="23" t="str">
        <f>IF(テーブル46[[#This Row],[PullRequest計]]=0,"×","○")</f>
        <v>○</v>
      </c>
      <c r="Q13" s="23">
        <v>53</v>
      </c>
      <c r="R13" s="23">
        <v>123</v>
      </c>
      <c r="S13" s="23">
        <f>SUM(テーブル46[[#This Row],[Open数2]:[Closed数3]])</f>
        <v>176</v>
      </c>
      <c r="T13" s="23" t="s">
        <v>31</v>
      </c>
      <c r="U13" s="23">
        <v>0</v>
      </c>
      <c r="V13" s="23" t="s">
        <v>30</v>
      </c>
      <c r="W13" s="23">
        <v>8</v>
      </c>
      <c r="X13" s="23" t="s">
        <v>109</v>
      </c>
      <c r="Y13" s="23" t="s">
        <v>110</v>
      </c>
      <c r="Z13" s="23" t="s">
        <v>106</v>
      </c>
      <c r="AA13" s="23"/>
      <c r="AB13" s="23"/>
    </row>
    <row r="14" spans="1:29" x14ac:dyDescent="0.15">
      <c r="A14" s="23">
        <v>13</v>
      </c>
      <c r="B14" s="7" t="s">
        <v>50</v>
      </c>
      <c r="C14" s="23">
        <v>80</v>
      </c>
      <c r="D14" s="23">
        <v>629</v>
      </c>
      <c r="E14" s="23">
        <v>360</v>
      </c>
      <c r="F14" s="23" t="str">
        <f>IF(テーブル46[[#This Row],[branch数]]=1,"×","○")</f>
        <v>○</v>
      </c>
      <c r="G14" s="25">
        <v>3</v>
      </c>
      <c r="H14" s="23">
        <v>214</v>
      </c>
      <c r="I14" s="23" t="str">
        <f>IF(テーブル46[[#This Row],[リリース数]]=0,"×","○")</f>
        <v>×</v>
      </c>
      <c r="J14" s="23">
        <v>0</v>
      </c>
      <c r="K14" s="23">
        <v>7</v>
      </c>
      <c r="L14" s="23" t="str">
        <f>IF(テーブル46[[#This Row],[Issues計]]=0,"×","○")</f>
        <v>○</v>
      </c>
      <c r="M14" s="23">
        <v>3</v>
      </c>
      <c r="N14" s="23">
        <v>31</v>
      </c>
      <c r="O14" s="23">
        <f>SUM(テーブル46[[#This Row],[Open数]:[Closed数]])</f>
        <v>34</v>
      </c>
      <c r="P14" s="23" t="str">
        <f>IF(テーブル46[[#This Row],[PullRequest計]]=0,"×","○")</f>
        <v>○</v>
      </c>
      <c r="Q14" s="23">
        <v>0</v>
      </c>
      <c r="R14" s="23">
        <v>20</v>
      </c>
      <c r="S14" s="23">
        <f>SUM(テーブル46[[#This Row],[Open数2]:[Closed数3]])</f>
        <v>20</v>
      </c>
      <c r="T14" s="23" t="s">
        <v>31</v>
      </c>
      <c r="U14" s="23">
        <v>0</v>
      </c>
      <c r="V14" s="23" t="s">
        <v>30</v>
      </c>
      <c r="W14" s="23">
        <v>6</v>
      </c>
      <c r="X14" s="23" t="s">
        <v>110</v>
      </c>
      <c r="Y14" s="23" t="s">
        <v>109</v>
      </c>
      <c r="Z14" s="23"/>
      <c r="AA14" s="23"/>
      <c r="AB14" s="23"/>
    </row>
    <row r="15" spans="1:29" x14ac:dyDescent="0.15">
      <c r="A15" s="23">
        <v>14</v>
      </c>
      <c r="B15" s="7" t="s">
        <v>132</v>
      </c>
      <c r="C15" s="23">
        <v>321</v>
      </c>
      <c r="D15" s="23">
        <v>4359</v>
      </c>
      <c r="E15" s="23">
        <v>1234</v>
      </c>
      <c r="F15" s="23" t="str">
        <f>IF(テーブル46[[#This Row],[branch数]]=1,"×","○")</f>
        <v>○</v>
      </c>
      <c r="G15" s="23">
        <v>4</v>
      </c>
      <c r="H15" s="23">
        <v>153</v>
      </c>
      <c r="I15" s="23" t="str">
        <f>IF(テーブル46[[#This Row],[リリース数]]=0,"×","○")</f>
        <v>×</v>
      </c>
      <c r="J15" s="23">
        <v>0</v>
      </c>
      <c r="K15" s="23">
        <v>4</v>
      </c>
      <c r="L15" s="23" t="str">
        <f>IF(テーブル46[[#This Row],[Issues計]]=0,"×","○")</f>
        <v>×</v>
      </c>
      <c r="M15" s="23">
        <v>0</v>
      </c>
      <c r="N15" s="23">
        <v>0</v>
      </c>
      <c r="O15" s="23">
        <f>SUM(テーブル46[[#This Row],[Open数]:[Closed数]])</f>
        <v>0</v>
      </c>
      <c r="P15" s="23" t="str">
        <f>IF(テーブル46[[#This Row],[PullRequest計]]=0,"×","○")</f>
        <v>○</v>
      </c>
      <c r="Q15" s="23">
        <v>0</v>
      </c>
      <c r="R15" s="23">
        <v>27</v>
      </c>
      <c r="S15" s="23">
        <f>SUM(テーブル46[[#This Row],[Open数2]:[Closed数3]])</f>
        <v>27</v>
      </c>
      <c r="T15" s="23" t="s">
        <v>31</v>
      </c>
      <c r="U15" s="23">
        <v>3</v>
      </c>
      <c r="V15" s="23" t="s">
        <v>31</v>
      </c>
      <c r="W15" s="23">
        <v>0</v>
      </c>
      <c r="X15" s="23" t="s">
        <v>110</v>
      </c>
      <c r="Y15" s="23" t="s">
        <v>120</v>
      </c>
      <c r="Z15" s="23"/>
      <c r="AA15" s="23"/>
      <c r="AB15" s="23"/>
    </row>
    <row r="16" spans="1:29" x14ac:dyDescent="0.15">
      <c r="A16" s="23">
        <v>15</v>
      </c>
      <c r="B16" s="7" t="s">
        <v>89</v>
      </c>
      <c r="C16" s="23">
        <v>245</v>
      </c>
      <c r="D16" s="23">
        <v>4977</v>
      </c>
      <c r="E16" s="23">
        <v>701</v>
      </c>
      <c r="F16" s="23" t="str">
        <f>IF(テーブル46[[#This Row],[branch数]]=1,"×","○")</f>
        <v>○</v>
      </c>
      <c r="G16" s="23">
        <v>9</v>
      </c>
      <c r="H16" s="23">
        <v>3610</v>
      </c>
      <c r="I16" s="23" t="str">
        <f>IF(テーブル46[[#This Row],[リリース数]]=0,"×","○")</f>
        <v>○</v>
      </c>
      <c r="J16" s="23">
        <v>146</v>
      </c>
      <c r="K16" s="23">
        <v>122</v>
      </c>
      <c r="L16" s="23" t="str">
        <f>IF(テーブル46[[#This Row],[Issues計]]=0,"×","○")</f>
        <v>○</v>
      </c>
      <c r="M16" s="23">
        <v>144</v>
      </c>
      <c r="N16" s="23">
        <v>1132</v>
      </c>
      <c r="O16" s="23">
        <f>SUM(テーブル46[[#This Row],[Open数]:[Closed数]])</f>
        <v>1276</v>
      </c>
      <c r="P16" s="23" t="str">
        <f>IF(テーブル46[[#This Row],[PullRequest計]]=0,"×","○")</f>
        <v>○</v>
      </c>
      <c r="Q16" s="23">
        <v>3</v>
      </c>
      <c r="R16" s="23">
        <v>472</v>
      </c>
      <c r="S16" s="23">
        <f>SUM(テーブル46[[#This Row],[Open数2]:[Closed数3]])</f>
        <v>475</v>
      </c>
      <c r="T16" s="23" t="s">
        <v>30</v>
      </c>
      <c r="U16" s="23">
        <v>2</v>
      </c>
      <c r="V16" s="23" t="s">
        <v>30</v>
      </c>
      <c r="W16" s="23">
        <v>19</v>
      </c>
      <c r="X16" s="23" t="s">
        <v>110</v>
      </c>
      <c r="Y16" s="23" t="s">
        <v>109</v>
      </c>
      <c r="Z16" s="23"/>
      <c r="AA16" s="23"/>
      <c r="AB16" s="23"/>
    </row>
    <row r="17" spans="1:28" x14ac:dyDescent="0.15">
      <c r="A17" s="23">
        <v>16</v>
      </c>
      <c r="B17" s="7" t="s">
        <v>90</v>
      </c>
      <c r="C17" s="23">
        <v>195</v>
      </c>
      <c r="D17" s="23">
        <v>3300</v>
      </c>
      <c r="E17" s="23">
        <v>437</v>
      </c>
      <c r="F17" s="23" t="str">
        <f>IF(テーブル46[[#This Row],[branch数]]=1,"×","○")</f>
        <v>○</v>
      </c>
      <c r="G17" s="23">
        <v>9</v>
      </c>
      <c r="H17" s="23">
        <v>4107</v>
      </c>
      <c r="I17" s="23" t="str">
        <f>IF(テーブル46[[#This Row],[リリース数]]=0,"×","○")</f>
        <v>○</v>
      </c>
      <c r="J17" s="23">
        <v>34</v>
      </c>
      <c r="K17" s="23">
        <v>119</v>
      </c>
      <c r="L17" s="23" t="str">
        <f>IF(テーブル46[[#This Row],[Issues計]]=0,"×","○")</f>
        <v>○</v>
      </c>
      <c r="M17" s="23">
        <v>229</v>
      </c>
      <c r="N17" s="23">
        <v>431</v>
      </c>
      <c r="O17" s="23">
        <f>SUM(テーブル46[[#This Row],[Open数]:[Closed数]])</f>
        <v>660</v>
      </c>
      <c r="P17" s="23" t="str">
        <f>IF(テーブル46[[#This Row],[PullRequest計]]=0,"×","○")</f>
        <v>○</v>
      </c>
      <c r="Q17" s="23">
        <v>19</v>
      </c>
      <c r="R17" s="23">
        <v>387</v>
      </c>
      <c r="S17" s="23">
        <f>SUM(テーブル46[[#This Row],[Open数2]:[Closed数3]])</f>
        <v>406</v>
      </c>
      <c r="T17" s="23" t="s">
        <v>30</v>
      </c>
      <c r="U17" s="23">
        <v>24</v>
      </c>
      <c r="V17" s="23" t="s">
        <v>30</v>
      </c>
      <c r="W17" s="23">
        <v>10</v>
      </c>
      <c r="X17" s="23" t="s">
        <v>113</v>
      </c>
      <c r="Y17" s="23" t="s">
        <v>110</v>
      </c>
      <c r="Z17" s="23" t="s">
        <v>108</v>
      </c>
      <c r="AA17" s="23"/>
      <c r="AB17" s="23"/>
    </row>
    <row r="18" spans="1:28" x14ac:dyDescent="0.15">
      <c r="A18" s="23">
        <v>17</v>
      </c>
      <c r="B18" s="7" t="s">
        <v>55</v>
      </c>
      <c r="C18" s="23">
        <v>173</v>
      </c>
      <c r="D18" s="23">
        <v>1999</v>
      </c>
      <c r="E18" s="23">
        <v>385</v>
      </c>
      <c r="F18" s="23" t="str">
        <f>IF(テーブル46[[#This Row],[branch数]]=1,"×","○")</f>
        <v>○</v>
      </c>
      <c r="G18" s="23">
        <v>14</v>
      </c>
      <c r="H18" s="23">
        <v>1162</v>
      </c>
      <c r="I18" s="23" t="str">
        <f>IF(テーブル46[[#This Row],[リリース数]]=0,"×","○")</f>
        <v>○</v>
      </c>
      <c r="J18" s="23">
        <v>36</v>
      </c>
      <c r="K18" s="23">
        <v>18</v>
      </c>
      <c r="L18" s="23" t="str">
        <f>IF(テーブル46[[#This Row],[Issues計]]=0,"×","○")</f>
        <v>×</v>
      </c>
      <c r="M18" s="23">
        <v>0</v>
      </c>
      <c r="N18" s="23">
        <v>0</v>
      </c>
      <c r="O18" s="23">
        <f>SUM(テーブル46[[#This Row],[Open数]:[Closed数]])</f>
        <v>0</v>
      </c>
      <c r="P18" s="23" t="str">
        <f>IF(テーブル46[[#This Row],[PullRequest計]]=0,"×","○")</f>
        <v>○</v>
      </c>
      <c r="Q18" s="23">
        <v>10</v>
      </c>
      <c r="R18" s="23">
        <v>44</v>
      </c>
      <c r="S18" s="23">
        <f>SUM(テーブル46[[#This Row],[Open数2]:[Closed数3]])</f>
        <v>54</v>
      </c>
      <c r="T18" s="23" t="s">
        <v>31</v>
      </c>
      <c r="U18" s="23">
        <v>0</v>
      </c>
      <c r="V18" s="23" t="s">
        <v>31</v>
      </c>
      <c r="W18" s="23">
        <v>0</v>
      </c>
      <c r="X18" s="23" t="s">
        <v>110</v>
      </c>
      <c r="Y18" s="23" t="s">
        <v>109</v>
      </c>
      <c r="Z18" s="23" t="s">
        <v>121</v>
      </c>
      <c r="AA18" s="23"/>
      <c r="AB18" s="23"/>
    </row>
    <row r="19" spans="1:28" x14ac:dyDescent="0.15">
      <c r="A19" s="23">
        <v>18</v>
      </c>
      <c r="B19" s="7" t="s">
        <v>56</v>
      </c>
      <c r="C19" s="23">
        <v>93</v>
      </c>
      <c r="D19" s="23">
        <v>2054</v>
      </c>
      <c r="E19" s="23">
        <v>278</v>
      </c>
      <c r="F19" s="23" t="str">
        <f>IF(テーブル46[[#This Row],[branch数]]=1,"×","○")</f>
        <v>○</v>
      </c>
      <c r="G19" s="25">
        <v>11</v>
      </c>
      <c r="H19" s="23">
        <v>710</v>
      </c>
      <c r="I19" s="23" t="str">
        <f>IF(テーブル46[[#This Row],[リリース数]]=0,"×","○")</f>
        <v>○</v>
      </c>
      <c r="J19" s="23">
        <v>9</v>
      </c>
      <c r="K19" s="23">
        <v>30</v>
      </c>
      <c r="L19" s="23" t="str">
        <f>IF(テーブル46[[#This Row],[Issues計]]=0,"×","○")</f>
        <v>○</v>
      </c>
      <c r="M19" s="23">
        <v>27</v>
      </c>
      <c r="N19" s="23">
        <v>163</v>
      </c>
      <c r="O19" s="23">
        <f>SUM(テーブル46[[#This Row],[Open数]:[Closed数]])</f>
        <v>190</v>
      </c>
      <c r="P19" s="23" t="str">
        <f>IF(テーブル46[[#This Row],[PullRequest計]]=0,"×","○")</f>
        <v>○</v>
      </c>
      <c r="Q19" s="23">
        <v>9</v>
      </c>
      <c r="R19" s="23">
        <v>179</v>
      </c>
      <c r="S19" s="23">
        <f>SUM(テーブル46[[#This Row],[Open数2]:[Closed数3]])</f>
        <v>188</v>
      </c>
      <c r="T19" s="23" t="s">
        <v>30</v>
      </c>
      <c r="U19" s="23">
        <v>3</v>
      </c>
      <c r="V19" s="23" t="s">
        <v>30</v>
      </c>
      <c r="W19" s="23">
        <v>3</v>
      </c>
      <c r="X19" s="23" t="s">
        <v>106</v>
      </c>
      <c r="Y19" s="23" t="s">
        <v>110</v>
      </c>
      <c r="Z19" s="23" t="s">
        <v>109</v>
      </c>
      <c r="AA19" s="23"/>
      <c r="AB19" s="23"/>
    </row>
    <row r="20" spans="1:28" x14ac:dyDescent="0.15">
      <c r="A20" s="23">
        <v>19</v>
      </c>
      <c r="B20" s="7" t="s">
        <v>57</v>
      </c>
      <c r="C20" s="23">
        <v>420</v>
      </c>
      <c r="D20" s="23">
        <v>5809</v>
      </c>
      <c r="E20" s="23">
        <v>1101</v>
      </c>
      <c r="F20" s="23" t="str">
        <f>IF(テーブル46[[#This Row],[branch数]]=1,"×","○")</f>
        <v>○</v>
      </c>
      <c r="G20" s="23">
        <v>7</v>
      </c>
      <c r="H20" s="23">
        <v>1274</v>
      </c>
      <c r="I20" s="23" t="str">
        <f>IF(テーブル46[[#This Row],[リリース数]]=0,"×","○")</f>
        <v>○</v>
      </c>
      <c r="J20" s="23">
        <v>15</v>
      </c>
      <c r="K20" s="23">
        <v>92</v>
      </c>
      <c r="L20" s="23" t="str">
        <f>IF(テーブル46[[#This Row],[Issues計]]=0,"×","○")</f>
        <v>○</v>
      </c>
      <c r="M20" s="23">
        <v>130</v>
      </c>
      <c r="N20" s="23">
        <v>587</v>
      </c>
      <c r="O20" s="23">
        <f>SUM(テーブル46[[#This Row],[Open数]:[Closed数]])</f>
        <v>717</v>
      </c>
      <c r="P20" s="23" t="str">
        <f>IF(テーブル46[[#This Row],[PullRequest計]]=0,"×","○")</f>
        <v>○</v>
      </c>
      <c r="Q20" s="23">
        <v>20</v>
      </c>
      <c r="R20" s="23">
        <v>389</v>
      </c>
      <c r="S20" s="23">
        <f>SUM(テーブル46[[#This Row],[Open数2]:[Closed数3]])</f>
        <v>409</v>
      </c>
      <c r="T20" s="23" t="s">
        <v>30</v>
      </c>
      <c r="U20" s="23">
        <v>3</v>
      </c>
      <c r="V20" s="23" t="s">
        <v>30</v>
      </c>
      <c r="W20" s="23">
        <v>12</v>
      </c>
      <c r="X20" s="23" t="s">
        <v>110</v>
      </c>
      <c r="Y20" s="23" t="s">
        <v>109</v>
      </c>
      <c r="Z20" s="23"/>
      <c r="AA20" s="23"/>
      <c r="AB20" s="23"/>
    </row>
    <row r="21" spans="1:28" x14ac:dyDescent="0.15">
      <c r="A21" s="23">
        <v>20</v>
      </c>
      <c r="B21" s="7" t="s">
        <v>93</v>
      </c>
      <c r="C21" s="23">
        <v>547</v>
      </c>
      <c r="D21" s="23">
        <v>6575</v>
      </c>
      <c r="E21" s="23">
        <v>2133</v>
      </c>
      <c r="F21" s="23" t="str">
        <f>IF(テーブル46[[#This Row],[branch数]]=1,"×","○")</f>
        <v>○</v>
      </c>
      <c r="G21" s="23">
        <v>3</v>
      </c>
      <c r="H21" s="23">
        <v>2544</v>
      </c>
      <c r="I21" s="23" t="str">
        <f>IF(テーブル46[[#This Row],[リリース数]]=0,"×","○")</f>
        <v>○</v>
      </c>
      <c r="J21" s="23">
        <v>34</v>
      </c>
      <c r="K21" s="23">
        <v>111</v>
      </c>
      <c r="L21" s="23" t="str">
        <f>IF(テーブル46[[#This Row],[Issues計]]=0,"×","○")</f>
        <v>○</v>
      </c>
      <c r="M21" s="23">
        <v>50</v>
      </c>
      <c r="N21" s="23">
        <v>672</v>
      </c>
      <c r="O21" s="23">
        <f>SUM(テーブル46[[#This Row],[Open数]:[Closed数]])</f>
        <v>722</v>
      </c>
      <c r="P21" s="23" t="str">
        <f>IF(テーブル46[[#This Row],[PullRequest計]]=0,"×","○")</f>
        <v>○</v>
      </c>
      <c r="Q21" s="23">
        <v>5</v>
      </c>
      <c r="R21" s="23">
        <v>567</v>
      </c>
      <c r="S21" s="23">
        <f>SUM(テーブル46[[#This Row],[Open数2]:[Closed数3]])</f>
        <v>572</v>
      </c>
      <c r="T21" s="23" t="s">
        <v>30</v>
      </c>
      <c r="U21" s="23">
        <v>14</v>
      </c>
      <c r="V21" s="23" t="s">
        <v>30</v>
      </c>
      <c r="W21" s="23">
        <v>10</v>
      </c>
      <c r="X21" s="23" t="s">
        <v>110</v>
      </c>
      <c r="Y21" s="23" t="s">
        <v>109</v>
      </c>
      <c r="Z21" s="23" t="s">
        <v>108</v>
      </c>
      <c r="AA21" s="23"/>
      <c r="AB21" s="23"/>
    </row>
    <row r="22" spans="1:28" x14ac:dyDescent="0.15">
      <c r="A22" s="23">
        <v>21</v>
      </c>
      <c r="B22" s="7" t="s">
        <v>59</v>
      </c>
      <c r="C22" s="23">
        <v>95</v>
      </c>
      <c r="D22" s="23">
        <v>1178</v>
      </c>
      <c r="E22" s="23">
        <v>278</v>
      </c>
      <c r="F22" s="23" t="str">
        <f>IF(テーブル46[[#This Row],[branch数]]=1,"×","○")</f>
        <v>○</v>
      </c>
      <c r="G22" s="23">
        <v>4</v>
      </c>
      <c r="H22" s="23">
        <v>2762</v>
      </c>
      <c r="I22" s="23" t="str">
        <f>IF(テーブル46[[#This Row],[リリース数]]=0,"×","○")</f>
        <v>○</v>
      </c>
      <c r="J22" s="23">
        <v>20</v>
      </c>
      <c r="K22" s="23">
        <v>26</v>
      </c>
      <c r="L22" s="23" t="str">
        <f>IF(テーブル46[[#This Row],[Issues計]]=0,"×","○")</f>
        <v>○</v>
      </c>
      <c r="M22" s="23">
        <v>92</v>
      </c>
      <c r="N22" s="23">
        <v>366</v>
      </c>
      <c r="O22" s="23">
        <f>SUM(テーブル46[[#This Row],[Open数]:[Closed数]])</f>
        <v>458</v>
      </c>
      <c r="P22" s="23" t="str">
        <f>IF(テーブル46[[#This Row],[PullRequest計]]=0,"×","○")</f>
        <v>○</v>
      </c>
      <c r="Q22" s="23">
        <v>1</v>
      </c>
      <c r="R22" s="23">
        <v>144</v>
      </c>
      <c r="S22" s="23">
        <f>SUM(テーブル46[[#This Row],[Open数2]:[Closed数3]])</f>
        <v>145</v>
      </c>
      <c r="T22" s="23" t="s">
        <v>30</v>
      </c>
      <c r="U22" s="23">
        <v>11</v>
      </c>
      <c r="V22" s="23" t="s">
        <v>30</v>
      </c>
      <c r="W22" s="23">
        <v>5</v>
      </c>
      <c r="X22" s="23" t="s">
        <v>110</v>
      </c>
      <c r="Y22" s="23" t="s">
        <v>109</v>
      </c>
      <c r="Z22" s="23"/>
      <c r="AA22" s="23"/>
      <c r="AB22" s="23"/>
    </row>
    <row r="23" spans="1:28" x14ac:dyDescent="0.15">
      <c r="A23" s="23">
        <v>22</v>
      </c>
      <c r="B23" s="7" t="s">
        <v>133</v>
      </c>
      <c r="C23" s="23">
        <v>232</v>
      </c>
      <c r="D23" s="23">
        <v>1852</v>
      </c>
      <c r="E23" s="23">
        <v>283</v>
      </c>
      <c r="F23" s="23" t="str">
        <f>IF(テーブル46[[#This Row],[branch数]]=1,"×","○")</f>
        <v>○</v>
      </c>
      <c r="G23" s="23">
        <v>166</v>
      </c>
      <c r="H23" s="23">
        <v>2792</v>
      </c>
      <c r="I23" s="23" t="str">
        <f>IF(テーブル46[[#This Row],[リリース数]]=0,"×","○")</f>
        <v>○</v>
      </c>
      <c r="J23" s="23">
        <v>178</v>
      </c>
      <c r="K23" s="23">
        <v>63</v>
      </c>
      <c r="L23" s="23" t="str">
        <f>IF(テーブル46[[#This Row],[Issues計]]=0,"×","○")</f>
        <v>○</v>
      </c>
      <c r="M23" s="23">
        <v>54</v>
      </c>
      <c r="N23" s="23">
        <v>198</v>
      </c>
      <c r="O23" s="23">
        <f>SUM(テーブル46[[#This Row],[Open数]:[Closed数]])</f>
        <v>252</v>
      </c>
      <c r="P23" s="23" t="str">
        <f>IF(テーブル46[[#This Row],[PullRequest計]]=0,"×","○")</f>
        <v>○</v>
      </c>
      <c r="Q23" s="23">
        <v>6</v>
      </c>
      <c r="R23" s="23">
        <v>361</v>
      </c>
      <c r="S23" s="23">
        <f>SUM(テーブル46[[#This Row],[Open数2]:[Closed数3]])</f>
        <v>367</v>
      </c>
      <c r="T23" s="23" t="s">
        <v>30</v>
      </c>
      <c r="U23" s="23">
        <v>4</v>
      </c>
      <c r="V23" s="23" t="s">
        <v>30</v>
      </c>
      <c r="W23" s="23">
        <v>20</v>
      </c>
      <c r="X23" s="23" t="s">
        <v>120</v>
      </c>
      <c r="Y23" s="23" t="s">
        <v>123</v>
      </c>
      <c r="Z23" s="23" t="s">
        <v>109</v>
      </c>
      <c r="AA23" s="23"/>
      <c r="AB23" s="23"/>
    </row>
    <row r="24" spans="1:28" x14ac:dyDescent="0.15">
      <c r="A24" s="23">
        <v>23</v>
      </c>
      <c r="B24" s="7" t="s">
        <v>61</v>
      </c>
      <c r="C24" s="23">
        <v>559</v>
      </c>
      <c r="D24" s="23">
        <v>5955</v>
      </c>
      <c r="E24" s="23">
        <v>1650</v>
      </c>
      <c r="F24" s="23" t="str">
        <f>IF(テーブル46[[#This Row],[branch数]]=1,"×","○")</f>
        <v>○</v>
      </c>
      <c r="G24" s="25">
        <v>14</v>
      </c>
      <c r="H24" s="23">
        <v>27747</v>
      </c>
      <c r="I24" s="23" t="str">
        <f>IF(テーブル46[[#This Row],[リリース数]]=0,"×","○")</f>
        <v>○</v>
      </c>
      <c r="J24" s="23">
        <v>230</v>
      </c>
      <c r="K24" s="23">
        <v>197</v>
      </c>
      <c r="L24" s="23" t="str">
        <f>IF(テーブル46[[#This Row],[Issues計]]=0,"×","○")</f>
        <v>×</v>
      </c>
      <c r="M24" s="23">
        <v>0</v>
      </c>
      <c r="N24" s="23">
        <v>0</v>
      </c>
      <c r="O24" s="23">
        <f>SUM(テーブル46[[#This Row],[Open数]:[Closed数]])</f>
        <v>0</v>
      </c>
      <c r="P24" s="23" t="str">
        <f>IF(テーブル46[[#This Row],[PullRequest計]]=0,"×","○")</f>
        <v>○</v>
      </c>
      <c r="Q24" s="23">
        <v>16</v>
      </c>
      <c r="R24" s="23">
        <v>847</v>
      </c>
      <c r="S24" s="23">
        <f>SUM(テーブル46[[#This Row],[Open数2]:[Closed数3]])</f>
        <v>863</v>
      </c>
      <c r="T24" s="23" t="s">
        <v>31</v>
      </c>
      <c r="U24" s="23">
        <v>0</v>
      </c>
      <c r="V24" s="23" t="s">
        <v>31</v>
      </c>
      <c r="W24" s="23">
        <v>0</v>
      </c>
      <c r="X24" s="23" t="s">
        <v>116</v>
      </c>
      <c r="Y24" s="23" t="s">
        <v>118</v>
      </c>
      <c r="Z24" s="23" t="s">
        <v>110</v>
      </c>
      <c r="AA24" s="23"/>
      <c r="AB24" s="23"/>
    </row>
    <row r="25" spans="1:28" x14ac:dyDescent="0.15">
      <c r="A25" s="23">
        <v>24</v>
      </c>
      <c r="B25" s="7" t="s">
        <v>62</v>
      </c>
      <c r="C25" s="23">
        <v>1085</v>
      </c>
      <c r="D25" s="23">
        <v>10901</v>
      </c>
      <c r="E25" s="23">
        <v>3355</v>
      </c>
      <c r="F25" s="23" t="str">
        <f>IF(テーブル46[[#This Row],[branch数]]=1,"×","○")</f>
        <v>○</v>
      </c>
      <c r="G25" s="23">
        <v>13</v>
      </c>
      <c r="H25" s="23">
        <v>4699</v>
      </c>
      <c r="I25" s="23" t="str">
        <f>IF(テーブル46[[#This Row],[リリース数]]=0,"×","○")</f>
        <v>○</v>
      </c>
      <c r="J25" s="23">
        <v>152</v>
      </c>
      <c r="K25" s="23">
        <v>144</v>
      </c>
      <c r="L25" s="23" t="str">
        <f>IF(テーブル46[[#This Row],[Issues計]]=0,"×","○")</f>
        <v>○</v>
      </c>
      <c r="M25" s="23">
        <v>393</v>
      </c>
      <c r="N25" s="23">
        <v>938</v>
      </c>
      <c r="O25" s="23">
        <f>SUM(テーブル46[[#This Row],[Open数]:[Closed数]])</f>
        <v>1331</v>
      </c>
      <c r="P25" s="23" t="str">
        <f>IF(テーブル46[[#This Row],[PullRequest計]]=0,"×","○")</f>
        <v>○</v>
      </c>
      <c r="Q25" s="23">
        <v>206</v>
      </c>
      <c r="R25" s="23">
        <v>588</v>
      </c>
      <c r="S25" s="23">
        <f>SUM(テーブル46[[#This Row],[Open数2]:[Closed数3]])</f>
        <v>794</v>
      </c>
      <c r="T25" s="23" t="s">
        <v>30</v>
      </c>
      <c r="U25" s="23">
        <v>4</v>
      </c>
      <c r="V25" s="23" t="s">
        <v>30</v>
      </c>
      <c r="W25" s="23">
        <v>15</v>
      </c>
      <c r="X25" s="23" t="s">
        <v>118</v>
      </c>
      <c r="Y25" s="23" t="s">
        <v>125</v>
      </c>
      <c r="Z25" s="23" t="s">
        <v>106</v>
      </c>
      <c r="AA25" s="23"/>
      <c r="AB25" s="23"/>
    </row>
    <row r="26" spans="1:28" x14ac:dyDescent="0.15">
      <c r="A26" s="23">
        <v>25</v>
      </c>
      <c r="B26" s="7" t="s">
        <v>63</v>
      </c>
      <c r="C26" s="23">
        <v>97</v>
      </c>
      <c r="D26" s="23">
        <v>800</v>
      </c>
      <c r="E26" s="23">
        <v>165</v>
      </c>
      <c r="F26" s="23" t="str">
        <f>IF(テーブル46[[#This Row],[branch数]]=1,"×","○")</f>
        <v>×</v>
      </c>
      <c r="G26" s="25">
        <v>1</v>
      </c>
      <c r="H26" s="23">
        <v>3196</v>
      </c>
      <c r="I26" s="23" t="str">
        <f>IF(テーブル46[[#This Row],[リリース数]]=0,"×","○")</f>
        <v>○</v>
      </c>
      <c r="J26" s="23">
        <v>2</v>
      </c>
      <c r="K26" s="23">
        <v>54</v>
      </c>
      <c r="L26" s="23" t="str">
        <f>IF(テーブル46[[#This Row],[Issues計]]=0,"×","○")</f>
        <v>○</v>
      </c>
      <c r="M26" s="23">
        <v>30</v>
      </c>
      <c r="N26" s="23">
        <v>432</v>
      </c>
      <c r="O26" s="23">
        <f>SUM(テーブル46[[#This Row],[Open数]:[Closed数]])</f>
        <v>462</v>
      </c>
      <c r="P26" s="23" t="str">
        <f>IF(テーブル46[[#This Row],[PullRequest計]]=0,"×","○")</f>
        <v>○</v>
      </c>
      <c r="Q26" s="23">
        <v>4</v>
      </c>
      <c r="R26" s="23">
        <v>268</v>
      </c>
      <c r="S26" s="23">
        <f>SUM(テーブル46[[#This Row],[Open数2]:[Closed数3]])</f>
        <v>272</v>
      </c>
      <c r="T26" s="23" t="s">
        <v>31</v>
      </c>
      <c r="U26" s="23">
        <v>0</v>
      </c>
      <c r="V26" s="23" t="s">
        <v>30</v>
      </c>
      <c r="W26" s="23">
        <v>8</v>
      </c>
      <c r="X26" s="23" t="s">
        <v>114</v>
      </c>
      <c r="Y26" s="23" t="s">
        <v>113</v>
      </c>
      <c r="Z26" s="23" t="s">
        <v>126</v>
      </c>
      <c r="AA26" s="23"/>
      <c r="AB26" s="23"/>
    </row>
    <row r="27" spans="1:28" x14ac:dyDescent="0.15">
      <c r="A27" s="23">
        <v>26</v>
      </c>
      <c r="B27" s="7" t="s">
        <v>64</v>
      </c>
      <c r="C27" s="23">
        <v>253</v>
      </c>
      <c r="D27" s="23">
        <v>2055</v>
      </c>
      <c r="E27" s="23">
        <v>1015</v>
      </c>
      <c r="F27" s="23" t="str">
        <f>IF(テーブル46[[#This Row],[branch数]]=1,"×","○")</f>
        <v>○</v>
      </c>
      <c r="G27" s="23">
        <v>5</v>
      </c>
      <c r="H27" s="23">
        <v>341</v>
      </c>
      <c r="I27" s="23" t="str">
        <f>IF(テーブル46[[#This Row],[リリース数]]=0,"×","○")</f>
        <v>×</v>
      </c>
      <c r="J27" s="23">
        <v>0</v>
      </c>
      <c r="K27" s="23">
        <v>19</v>
      </c>
      <c r="L27" s="23" t="str">
        <f>IF(テーブル46[[#This Row],[Issues計]]=0,"×","○")</f>
        <v>○</v>
      </c>
      <c r="M27" s="23">
        <v>6</v>
      </c>
      <c r="N27" s="23">
        <v>2</v>
      </c>
      <c r="O27" s="23">
        <f>SUM(テーブル46[[#This Row],[Open数]:[Closed数]])</f>
        <v>8</v>
      </c>
      <c r="P27" s="23" t="str">
        <f>IF(テーブル46[[#This Row],[PullRequest計]]=0,"×","○")</f>
        <v>○</v>
      </c>
      <c r="Q27" s="23">
        <v>17</v>
      </c>
      <c r="R27" s="23">
        <v>29</v>
      </c>
      <c r="S27" s="23">
        <f>SUM(テーブル46[[#This Row],[Open数2]:[Closed数3]])</f>
        <v>46</v>
      </c>
      <c r="T27" s="23" t="s">
        <v>31</v>
      </c>
      <c r="U27" s="23">
        <v>0</v>
      </c>
      <c r="V27" s="23" t="s">
        <v>31</v>
      </c>
      <c r="W27" s="23">
        <v>0</v>
      </c>
      <c r="X27" s="23" t="s">
        <v>109</v>
      </c>
      <c r="Y27" s="23" t="s">
        <v>110</v>
      </c>
      <c r="Z27" s="23" t="s">
        <v>111</v>
      </c>
      <c r="AA27" s="23"/>
      <c r="AB27" s="23"/>
    </row>
    <row r="28" spans="1:28" x14ac:dyDescent="0.15">
      <c r="A28" s="23">
        <v>27</v>
      </c>
      <c r="B28" s="7" t="s">
        <v>134</v>
      </c>
      <c r="C28" s="23">
        <v>422</v>
      </c>
      <c r="D28" s="23">
        <v>8467</v>
      </c>
      <c r="E28" s="23">
        <v>1337</v>
      </c>
      <c r="F28" s="23" t="str">
        <f>IF(テーブル46[[#This Row],[branch数]]=1,"×","○")</f>
        <v>○</v>
      </c>
      <c r="G28" s="23">
        <v>5</v>
      </c>
      <c r="H28" s="23">
        <v>1244</v>
      </c>
      <c r="I28" s="23" t="str">
        <f>IF(テーブル46[[#This Row],[リリース数]]=0,"×","○")</f>
        <v>○</v>
      </c>
      <c r="J28" s="23">
        <v>3</v>
      </c>
      <c r="K28" s="23">
        <v>187</v>
      </c>
      <c r="L28" s="23" t="str">
        <f>IF(テーブル46[[#This Row],[Issues計]]=0,"×","○")</f>
        <v>○</v>
      </c>
      <c r="M28" s="23">
        <v>34</v>
      </c>
      <c r="N28" s="23">
        <v>181</v>
      </c>
      <c r="O28" s="23">
        <f>SUM(テーブル46[[#This Row],[Open数]:[Closed数]])</f>
        <v>215</v>
      </c>
      <c r="P28" s="23" t="str">
        <f>IF(テーブル46[[#This Row],[PullRequest計]]=0,"×","○")</f>
        <v>○</v>
      </c>
      <c r="Q28" s="23">
        <v>4</v>
      </c>
      <c r="R28" s="23">
        <v>399</v>
      </c>
      <c r="S28" s="23">
        <f>SUM(テーブル46[[#This Row],[Open数2]:[Closed数3]])</f>
        <v>403</v>
      </c>
      <c r="T28" s="23" t="s">
        <v>30</v>
      </c>
      <c r="U28" s="23">
        <v>2</v>
      </c>
      <c r="V28" s="23" t="s">
        <v>30</v>
      </c>
      <c r="W28" s="23">
        <v>9</v>
      </c>
      <c r="X28" s="23" t="s">
        <v>110</v>
      </c>
      <c r="Y28" s="23" t="s">
        <v>109</v>
      </c>
      <c r="Z28" s="23" t="s">
        <v>108</v>
      </c>
      <c r="AA28" s="23"/>
      <c r="AB28" s="23"/>
    </row>
    <row r="29" spans="1:28" x14ac:dyDescent="0.15">
      <c r="A29" s="23">
        <v>28</v>
      </c>
      <c r="B29" s="7" t="s">
        <v>66</v>
      </c>
      <c r="C29" s="23">
        <v>59</v>
      </c>
      <c r="D29" s="23">
        <v>2271</v>
      </c>
      <c r="E29" s="23">
        <v>233</v>
      </c>
      <c r="F29" s="23" t="str">
        <f>IF(テーブル46[[#This Row],[branch数]]=1,"×","○")</f>
        <v>○</v>
      </c>
      <c r="G29" s="25">
        <v>3</v>
      </c>
      <c r="H29" s="23">
        <v>102</v>
      </c>
      <c r="I29" s="23" t="str">
        <f>IF(テーブル46[[#This Row],[リリース数]]=0,"×","○")</f>
        <v>○</v>
      </c>
      <c r="J29" s="23">
        <v>9</v>
      </c>
      <c r="K29" s="23">
        <v>22</v>
      </c>
      <c r="L29" s="23" t="str">
        <f>IF(テーブル46[[#This Row],[Issues計]]=0,"×","○")</f>
        <v>○</v>
      </c>
      <c r="M29" s="23">
        <v>15</v>
      </c>
      <c r="N29" s="23">
        <v>42</v>
      </c>
      <c r="O29" s="23">
        <f>SUM(テーブル46[[#This Row],[Open数]:[Closed数]])</f>
        <v>57</v>
      </c>
      <c r="P29" s="23" t="str">
        <f>IF(テーブル46[[#This Row],[PullRequest計]]=0,"×","○")</f>
        <v>○</v>
      </c>
      <c r="Q29" s="23">
        <v>9</v>
      </c>
      <c r="R29" s="23">
        <v>51</v>
      </c>
      <c r="S29" s="23">
        <f>SUM(テーブル46[[#This Row],[Open数2]:[Closed数3]])</f>
        <v>60</v>
      </c>
      <c r="T29" s="23" t="s">
        <v>31</v>
      </c>
      <c r="U29" s="23">
        <v>0</v>
      </c>
      <c r="V29" s="23" t="s">
        <v>31</v>
      </c>
      <c r="W29" s="23">
        <v>0</v>
      </c>
      <c r="X29" s="23" t="s">
        <v>106</v>
      </c>
      <c r="Y29" s="23" t="s">
        <v>127</v>
      </c>
      <c r="Z29" s="23" t="s">
        <v>110</v>
      </c>
      <c r="AA29" s="23"/>
      <c r="AB29" s="23"/>
    </row>
    <row r="30" spans="1:28" x14ac:dyDescent="0.15">
      <c r="A30" s="23">
        <v>29</v>
      </c>
      <c r="B30" s="7" t="s">
        <v>68</v>
      </c>
      <c r="C30" s="23">
        <v>71</v>
      </c>
      <c r="D30" s="23">
        <v>1680</v>
      </c>
      <c r="E30" s="23">
        <v>180</v>
      </c>
      <c r="F30" s="23" t="str">
        <f>IF(テーブル46[[#This Row],[branch数]]=1,"×","○")</f>
        <v>○</v>
      </c>
      <c r="G30" s="23">
        <v>24</v>
      </c>
      <c r="H30" s="23">
        <v>3453</v>
      </c>
      <c r="I30" s="23" t="str">
        <f>IF(テーブル46[[#This Row],[リリース数]]=0,"×","○")</f>
        <v>○</v>
      </c>
      <c r="J30" s="23">
        <v>32</v>
      </c>
      <c r="K30" s="23">
        <v>24</v>
      </c>
      <c r="L30" s="23" t="str">
        <f>IF(テーブル46[[#This Row],[Issues計]]=0,"×","○")</f>
        <v>○</v>
      </c>
      <c r="M30" s="23">
        <v>265</v>
      </c>
      <c r="N30" s="23">
        <v>1045</v>
      </c>
      <c r="O30" s="23">
        <f>SUM(テーブル46[[#This Row],[Open数]:[Closed数]])</f>
        <v>1310</v>
      </c>
      <c r="P30" s="23" t="str">
        <f>IF(テーブル46[[#This Row],[PullRequest計]]=0,"×","○")</f>
        <v>○</v>
      </c>
      <c r="Q30" s="23">
        <v>16</v>
      </c>
      <c r="R30" s="23">
        <v>649</v>
      </c>
      <c r="S30" s="23">
        <f>SUM(テーブル46[[#This Row],[Open数2]:[Closed数3]])</f>
        <v>665</v>
      </c>
      <c r="T30" s="23" t="s">
        <v>31</v>
      </c>
      <c r="U30" s="23">
        <v>0</v>
      </c>
      <c r="V30" s="23" t="s">
        <v>30</v>
      </c>
      <c r="W30" s="23">
        <v>13</v>
      </c>
      <c r="X30" s="23" t="s">
        <v>128</v>
      </c>
      <c r="Y30" s="23" t="s">
        <v>113</v>
      </c>
      <c r="Z30" s="23" t="s">
        <v>108</v>
      </c>
      <c r="AA30" s="23"/>
      <c r="AB30" s="23"/>
    </row>
    <row r="31" spans="1:28" x14ac:dyDescent="0.15">
      <c r="A31" s="23">
        <v>30</v>
      </c>
      <c r="B31" s="7" t="s">
        <v>69</v>
      </c>
      <c r="C31" s="23">
        <v>56</v>
      </c>
      <c r="D31" s="23">
        <v>392</v>
      </c>
      <c r="E31" s="23">
        <v>78</v>
      </c>
      <c r="F31" s="23" t="str">
        <f>IF(テーブル46[[#This Row],[branch数]]=1,"×","○")</f>
        <v>×</v>
      </c>
      <c r="G31" s="25">
        <v>1</v>
      </c>
      <c r="H31" s="23">
        <v>136</v>
      </c>
      <c r="I31" s="23" t="str">
        <f>IF(テーブル46[[#This Row],[リリース数]]=0,"×","○")</f>
        <v>○</v>
      </c>
      <c r="J31" s="23">
        <v>21</v>
      </c>
      <c r="K31" s="23">
        <v>3</v>
      </c>
      <c r="L31" s="23" t="str">
        <f>IF(テーブル46[[#This Row],[Issues計]]=0,"×","○")</f>
        <v>○</v>
      </c>
      <c r="M31" s="23">
        <v>0</v>
      </c>
      <c r="N31" s="23">
        <v>21</v>
      </c>
      <c r="O31" s="23">
        <f>SUM(テーブル46[[#This Row],[Open数]:[Closed数]])</f>
        <v>21</v>
      </c>
      <c r="P31" s="23" t="str">
        <f>IF(テーブル46[[#This Row],[PullRequest計]]=0,"×","○")</f>
        <v>○</v>
      </c>
      <c r="Q31" s="23">
        <v>1</v>
      </c>
      <c r="R31" s="23">
        <v>8</v>
      </c>
      <c r="S31" s="23">
        <f>SUM(テーブル46[[#This Row],[Open数2]:[Closed数3]])</f>
        <v>9</v>
      </c>
      <c r="T31" s="23" t="s">
        <v>31</v>
      </c>
      <c r="U31" s="23">
        <v>0</v>
      </c>
      <c r="V31" s="23" t="s">
        <v>30</v>
      </c>
      <c r="W31" s="23">
        <v>7</v>
      </c>
      <c r="X31" s="23" t="s">
        <v>110</v>
      </c>
      <c r="Y31" s="23" t="s">
        <v>109</v>
      </c>
      <c r="Z31" s="23"/>
      <c r="AA31" s="23"/>
      <c r="AB31" s="23"/>
    </row>
    <row r="32" spans="1:28" s="15" customFormat="1" x14ac:dyDescent="0.15">
      <c r="A32" s="23">
        <v>31</v>
      </c>
      <c r="B32" s="27" t="s">
        <v>263</v>
      </c>
      <c r="C32" s="24">
        <v>450</v>
      </c>
      <c r="D32" s="25">
        <v>1884</v>
      </c>
      <c r="E32" s="24">
        <v>142</v>
      </c>
      <c r="F32" s="26" t="str">
        <f>IF(テーブル46[[#This Row],[branch数]]=1,"×","○")</f>
        <v>×</v>
      </c>
      <c r="G32" s="24">
        <v>1</v>
      </c>
      <c r="H32" s="24">
        <v>12</v>
      </c>
      <c r="I32" s="26" t="str">
        <f>IF(テーブル46[[#This Row],[リリース数]]=0,"×","○")</f>
        <v>×</v>
      </c>
      <c r="J32" s="24">
        <v>0</v>
      </c>
      <c r="K32" s="24">
        <v>1</v>
      </c>
      <c r="L32" s="23" t="str">
        <f>IF(テーブル46[[#This Row],[Issues計]]=0,"×","○")</f>
        <v>○</v>
      </c>
      <c r="M32" s="24">
        <v>44</v>
      </c>
      <c r="N32" s="25">
        <v>3</v>
      </c>
      <c r="O32" s="23">
        <f>SUM(テーブル46[[#This Row],[Open数]:[Closed数]])</f>
        <v>47</v>
      </c>
      <c r="P32" s="23" t="str">
        <f>IF(テーブル46[[#This Row],[PullRequest計]]=0,"×","○")</f>
        <v>○</v>
      </c>
      <c r="Q32" s="25">
        <v>15</v>
      </c>
      <c r="R32" s="25">
        <v>3</v>
      </c>
      <c r="S32" s="23">
        <f>SUM(テーブル46[[#This Row],[Open数2]:[Closed数3]])</f>
        <v>18</v>
      </c>
      <c r="T32" s="25" t="s">
        <v>31</v>
      </c>
      <c r="U32" s="25">
        <v>0</v>
      </c>
      <c r="V32" s="25" t="s">
        <v>31</v>
      </c>
      <c r="W32" s="25">
        <v>0</v>
      </c>
      <c r="X32" s="23" t="s">
        <v>110</v>
      </c>
      <c r="Y32" s="25" t="s">
        <v>113</v>
      </c>
      <c r="Z32" s="25" t="s">
        <v>120</v>
      </c>
      <c r="AA32" s="25"/>
      <c r="AB32" s="25"/>
    </row>
    <row r="33" spans="1:28" s="15" customFormat="1" x14ac:dyDescent="0.15">
      <c r="A33" s="23">
        <v>32</v>
      </c>
      <c r="B33" s="27" t="s">
        <v>230</v>
      </c>
      <c r="C33" s="24">
        <v>197</v>
      </c>
      <c r="D33" s="25">
        <v>1296</v>
      </c>
      <c r="E33" s="24">
        <v>70</v>
      </c>
      <c r="F33" s="26" t="str">
        <f>IF(テーブル46[[#This Row],[branch数]]=1,"×","○")</f>
        <v>○</v>
      </c>
      <c r="G33" s="24">
        <v>4</v>
      </c>
      <c r="H33" s="24">
        <v>569</v>
      </c>
      <c r="I33" s="26" t="str">
        <f>IF(テーブル46[[#This Row],[リリース数]]=0,"×","○")</f>
        <v>×</v>
      </c>
      <c r="J33" s="24">
        <v>0</v>
      </c>
      <c r="K33" s="24">
        <v>2</v>
      </c>
      <c r="L33" s="23" t="str">
        <f>IF(テーブル46[[#This Row],[Issues計]]=0,"×","○")</f>
        <v>○</v>
      </c>
      <c r="M33" s="24">
        <v>15</v>
      </c>
      <c r="N33" s="25">
        <v>11</v>
      </c>
      <c r="O33" s="23">
        <f>SUM(テーブル46[[#This Row],[Open数]:[Closed数]])</f>
        <v>26</v>
      </c>
      <c r="P33" s="23" t="str">
        <f>IF(テーブル46[[#This Row],[PullRequest計]]=0,"×","○")</f>
        <v>○</v>
      </c>
      <c r="Q33" s="25">
        <v>1</v>
      </c>
      <c r="R33" s="25">
        <v>1</v>
      </c>
      <c r="S33" s="23">
        <f>SUM(テーブル46[[#This Row],[Open数2]:[Closed数3]])</f>
        <v>2</v>
      </c>
      <c r="T33" s="25" t="s">
        <v>31</v>
      </c>
      <c r="U33" s="25">
        <v>0</v>
      </c>
      <c r="V33" s="25" t="s">
        <v>30</v>
      </c>
      <c r="W33" s="25">
        <v>4</v>
      </c>
      <c r="X33" s="25"/>
      <c r="Y33" s="25"/>
      <c r="Z33" s="25"/>
      <c r="AA33" s="25"/>
      <c r="AB33" s="25"/>
    </row>
    <row r="34" spans="1:28" s="15" customFormat="1" x14ac:dyDescent="0.15">
      <c r="A34" s="23">
        <v>33</v>
      </c>
      <c r="B34" s="27" t="s">
        <v>231</v>
      </c>
      <c r="C34" s="3">
        <v>160</v>
      </c>
      <c r="D34" s="25">
        <v>1122</v>
      </c>
      <c r="E34" s="3">
        <v>69</v>
      </c>
      <c r="F34" s="14" t="str">
        <f>IF(テーブル46[[#This Row],[branch数]]=1,"×","○")</f>
        <v>○</v>
      </c>
      <c r="G34" s="3">
        <v>4</v>
      </c>
      <c r="H34" s="3">
        <v>238</v>
      </c>
      <c r="I34" s="14" t="str">
        <f>IF(テーブル46[[#This Row],[リリース数]]=0,"×","○")</f>
        <v>○</v>
      </c>
      <c r="J34" s="25">
        <v>2</v>
      </c>
      <c r="K34" s="3">
        <v>6</v>
      </c>
      <c r="L34" s="23" t="str">
        <f>IF(テーブル46[[#This Row],[Issues計]]=0,"×","○")</f>
        <v>○</v>
      </c>
      <c r="M34" s="3">
        <v>27</v>
      </c>
      <c r="N34" s="25">
        <v>25</v>
      </c>
      <c r="O34" s="23">
        <f>SUM(テーブル46[[#This Row],[Open数]:[Closed数]])</f>
        <v>52</v>
      </c>
      <c r="P34" s="23" t="str">
        <f>IF(テーブル46[[#This Row],[PullRequest計]]=0,"×","○")</f>
        <v>○</v>
      </c>
      <c r="Q34" s="25">
        <v>1</v>
      </c>
      <c r="R34" s="25">
        <v>7</v>
      </c>
      <c r="S34" s="23">
        <f>SUM(テーブル46[[#This Row],[Open数2]:[Closed数3]])</f>
        <v>8</v>
      </c>
      <c r="T34" s="25" t="s">
        <v>30</v>
      </c>
      <c r="U34" s="25">
        <v>6</v>
      </c>
      <c r="V34" s="25" t="s">
        <v>30</v>
      </c>
      <c r="W34" s="25">
        <v>5</v>
      </c>
      <c r="X34" s="25" t="s">
        <v>110</v>
      </c>
      <c r="Y34" s="25" t="s">
        <v>122</v>
      </c>
      <c r="Z34" s="25" t="s">
        <v>109</v>
      </c>
      <c r="AA34" s="25" t="s">
        <v>120</v>
      </c>
      <c r="AB34" s="25"/>
    </row>
    <row r="35" spans="1:28" s="15" customFormat="1" x14ac:dyDescent="0.15">
      <c r="A35" s="23">
        <v>34</v>
      </c>
      <c r="B35" s="27" t="s">
        <v>236</v>
      </c>
      <c r="C35" s="3">
        <v>242</v>
      </c>
      <c r="D35" s="25">
        <v>2577</v>
      </c>
      <c r="E35" s="3">
        <v>191</v>
      </c>
      <c r="F35" s="14" t="str">
        <f>IF(テーブル46[[#This Row],[branch数]]=1,"×","○")</f>
        <v>○</v>
      </c>
      <c r="G35" s="3">
        <v>3</v>
      </c>
      <c r="H35" s="3">
        <v>276</v>
      </c>
      <c r="I35" s="14" t="str">
        <f>IF(テーブル46[[#This Row],[リリース数]]=0,"×","○")</f>
        <v>○</v>
      </c>
      <c r="J35" s="25">
        <v>11</v>
      </c>
      <c r="K35" s="3">
        <v>11</v>
      </c>
      <c r="L35" s="23" t="str">
        <f>IF(テーブル46[[#This Row],[Issues計]]=0,"×","○")</f>
        <v>○</v>
      </c>
      <c r="M35" s="3">
        <v>62</v>
      </c>
      <c r="N35" s="25">
        <v>120</v>
      </c>
      <c r="O35" s="23">
        <f>SUM(テーブル46[[#This Row],[Open数]:[Closed数]])</f>
        <v>182</v>
      </c>
      <c r="P35" s="23" t="str">
        <f>IF(テーブル46[[#This Row],[PullRequest計]]=0,"×","○")</f>
        <v>○</v>
      </c>
      <c r="Q35" s="25">
        <v>4</v>
      </c>
      <c r="R35" s="25">
        <v>36</v>
      </c>
      <c r="S35" s="23">
        <f>SUM(テーブル46[[#This Row],[Open数2]:[Closed数3]])</f>
        <v>40</v>
      </c>
      <c r="T35" s="25" t="s">
        <v>30</v>
      </c>
      <c r="U35" s="25">
        <v>17</v>
      </c>
      <c r="V35" s="25" t="s">
        <v>30</v>
      </c>
      <c r="W35" s="25">
        <v>9</v>
      </c>
      <c r="X35" s="25" t="s">
        <v>110</v>
      </c>
      <c r="Y35" s="25" t="s">
        <v>237</v>
      </c>
      <c r="Z35" s="25"/>
      <c r="AA35" s="25"/>
      <c r="AB35" s="25"/>
    </row>
    <row r="36" spans="1:28" s="15" customFormat="1" x14ac:dyDescent="0.15">
      <c r="A36" s="23">
        <v>35</v>
      </c>
      <c r="B36" s="27" t="s">
        <v>264</v>
      </c>
      <c r="C36" s="25">
        <v>121</v>
      </c>
      <c r="D36" s="25">
        <v>457</v>
      </c>
      <c r="E36" s="25">
        <v>45</v>
      </c>
      <c r="F36" s="28" t="str">
        <f>IF(テーブル46[[#This Row],[branch数]]=1,"×","○")</f>
        <v>○</v>
      </c>
      <c r="G36" s="25">
        <v>25</v>
      </c>
      <c r="H36" s="25">
        <v>434</v>
      </c>
      <c r="I36" s="28" t="str">
        <f>IF(テーブル46[[#This Row],[リリース数]]=0,"×","○")</f>
        <v>○</v>
      </c>
      <c r="J36" s="25">
        <v>16</v>
      </c>
      <c r="K36" s="25">
        <v>7</v>
      </c>
      <c r="L36" s="23" t="str">
        <f>IF(テーブル46[[#This Row],[Issues計]]=0,"×","○")</f>
        <v>○</v>
      </c>
      <c r="M36" s="25">
        <v>13</v>
      </c>
      <c r="N36" s="25">
        <v>109</v>
      </c>
      <c r="O36" s="23">
        <f>SUM(テーブル46[[#This Row],[Open数]:[Closed数]])</f>
        <v>122</v>
      </c>
      <c r="P36" s="23" t="str">
        <f>IF(テーブル46[[#This Row],[PullRequest計]]=0,"×","○")</f>
        <v>○</v>
      </c>
      <c r="Q36" s="25">
        <v>0</v>
      </c>
      <c r="R36" s="25">
        <v>23</v>
      </c>
      <c r="S36" s="23">
        <f>SUM(テーブル46[[#This Row],[Open数2]:[Closed数3]])</f>
        <v>23</v>
      </c>
      <c r="T36" s="25" t="s">
        <v>30</v>
      </c>
      <c r="U36" s="25">
        <v>15</v>
      </c>
      <c r="V36" s="25" t="s">
        <v>30</v>
      </c>
      <c r="W36" s="25">
        <v>2</v>
      </c>
      <c r="X36" s="25" t="s">
        <v>110</v>
      </c>
      <c r="Y36" s="25"/>
      <c r="Z36" s="25"/>
      <c r="AA36" s="25"/>
      <c r="AB36" s="25"/>
    </row>
    <row r="37" spans="1:28" s="15" customFormat="1" x14ac:dyDescent="0.15">
      <c r="A37" s="23">
        <v>36</v>
      </c>
      <c r="B37" s="27" t="s">
        <v>238</v>
      </c>
      <c r="C37" s="24">
        <v>1631</v>
      </c>
      <c r="D37" s="25">
        <v>8991</v>
      </c>
      <c r="E37" s="25">
        <v>526</v>
      </c>
      <c r="F37" s="28" t="str">
        <f>IF(テーブル46[[#This Row],[branch数]]=1,"×","○")</f>
        <v>○</v>
      </c>
      <c r="G37" s="25">
        <v>14</v>
      </c>
      <c r="H37" s="25">
        <v>3385</v>
      </c>
      <c r="I37" s="28" t="str">
        <f>IF(テーブル46[[#This Row],[リリース数]]=0,"×","○")</f>
        <v>○</v>
      </c>
      <c r="J37" s="25">
        <v>22</v>
      </c>
      <c r="K37" s="25">
        <v>169</v>
      </c>
      <c r="L37" s="23" t="str">
        <f>IF(テーブル46[[#This Row],[Issues計]]=0,"×","○")</f>
        <v>○</v>
      </c>
      <c r="M37" s="25">
        <v>159</v>
      </c>
      <c r="N37" s="25">
        <v>1767</v>
      </c>
      <c r="O37" s="23">
        <f>SUM(テーブル46[[#This Row],[Open数]:[Closed数]])</f>
        <v>1926</v>
      </c>
      <c r="P37" s="23" t="str">
        <f>IF(テーブル46[[#This Row],[PullRequest計]]=0,"×","○")</f>
        <v>○</v>
      </c>
      <c r="Q37" s="25">
        <v>32</v>
      </c>
      <c r="R37" s="25">
        <v>1055</v>
      </c>
      <c r="S37" s="23">
        <f>SUM(テーブル46[[#This Row],[Open数2]:[Closed数3]])</f>
        <v>1087</v>
      </c>
      <c r="T37" s="25" t="s">
        <v>31</v>
      </c>
      <c r="U37" s="25">
        <v>0</v>
      </c>
      <c r="V37" s="25" t="s">
        <v>30</v>
      </c>
      <c r="W37" s="25">
        <v>20</v>
      </c>
      <c r="X37" s="25" t="s">
        <v>110</v>
      </c>
      <c r="Y37" s="25" t="s">
        <v>109</v>
      </c>
      <c r="Z37" s="25" t="s">
        <v>120</v>
      </c>
      <c r="AA37" s="25"/>
      <c r="AB37" s="25"/>
    </row>
    <row r="38" spans="1:28" s="15" customFormat="1" x14ac:dyDescent="0.15">
      <c r="A38" s="23">
        <v>37</v>
      </c>
      <c r="B38" s="27" t="s">
        <v>239</v>
      </c>
      <c r="C38" s="3">
        <v>973</v>
      </c>
      <c r="D38" s="3">
        <v>2028</v>
      </c>
      <c r="E38" s="3">
        <v>217</v>
      </c>
      <c r="F38" s="14" t="str">
        <f>IF(テーブル46[[#This Row],[branch数]]=1,"×","○")</f>
        <v>○</v>
      </c>
      <c r="G38" s="3">
        <v>3</v>
      </c>
      <c r="H38" s="3">
        <v>13121</v>
      </c>
      <c r="I38" s="14" t="str">
        <f>IF(テーブル46[[#This Row],[リリース数]]=0,"×","○")</f>
        <v>○</v>
      </c>
      <c r="J38" s="3">
        <v>41</v>
      </c>
      <c r="K38" s="3">
        <v>272</v>
      </c>
      <c r="L38" s="23" t="str">
        <f>IF(テーブル46[[#This Row],[Issues計]]=0,"×","○")</f>
        <v>○</v>
      </c>
      <c r="M38" s="3">
        <v>341</v>
      </c>
      <c r="N38" s="3">
        <v>1243</v>
      </c>
      <c r="O38" s="23">
        <f>SUM(テーブル46[[#This Row],[Open数]:[Closed数]])</f>
        <v>1584</v>
      </c>
      <c r="P38" s="23" t="str">
        <f>IF(テーブル46[[#This Row],[PullRequest計]]=0,"×","○")</f>
        <v>○</v>
      </c>
      <c r="Q38" s="3">
        <v>81</v>
      </c>
      <c r="R38" s="3">
        <v>2118</v>
      </c>
      <c r="S38" s="23">
        <f>SUM(テーブル46[[#This Row],[Open数2]:[Closed数3]])</f>
        <v>2199</v>
      </c>
      <c r="T38" s="25" t="s">
        <v>30</v>
      </c>
      <c r="U38" s="25">
        <v>25</v>
      </c>
      <c r="V38" s="25" t="s">
        <v>30</v>
      </c>
      <c r="W38" s="25">
        <v>37</v>
      </c>
      <c r="X38" s="3" t="s">
        <v>113</v>
      </c>
      <c r="Y38" s="3" t="s">
        <v>116</v>
      </c>
      <c r="Z38" s="3" t="s">
        <v>118</v>
      </c>
      <c r="AA38" s="25" t="s">
        <v>128</v>
      </c>
      <c r="AB38" s="25" t="s">
        <v>108</v>
      </c>
    </row>
    <row r="39" spans="1:28" s="15" customFormat="1" x14ac:dyDescent="0.15">
      <c r="A39" s="23">
        <v>38</v>
      </c>
      <c r="B39" s="27" t="s">
        <v>265</v>
      </c>
      <c r="C39" s="3">
        <v>161</v>
      </c>
      <c r="D39" s="3">
        <v>835</v>
      </c>
      <c r="E39" s="3">
        <v>88</v>
      </c>
      <c r="F39" s="14" t="str">
        <f>IF(テーブル46[[#This Row],[branch数]]=1,"×","○")</f>
        <v>○</v>
      </c>
      <c r="G39" s="3">
        <v>5</v>
      </c>
      <c r="H39" s="3">
        <v>642</v>
      </c>
      <c r="I39" s="14" t="str">
        <f>IF(テーブル46[[#This Row],[リリース数]]=0,"×","○")</f>
        <v>×</v>
      </c>
      <c r="J39" s="3">
        <v>0</v>
      </c>
      <c r="K39" s="3">
        <v>26</v>
      </c>
      <c r="L39" s="23" t="str">
        <f>IF(テーブル46[[#This Row],[Issues計]]=0,"×","○")</f>
        <v>○</v>
      </c>
      <c r="M39" s="3">
        <v>42</v>
      </c>
      <c r="N39" s="3">
        <v>79</v>
      </c>
      <c r="O39" s="23">
        <f>SUM(テーブル46[[#This Row],[Open数]:[Closed数]])</f>
        <v>121</v>
      </c>
      <c r="P39" s="23" t="str">
        <f>IF(テーブル46[[#This Row],[PullRequest計]]=0,"×","○")</f>
        <v>○</v>
      </c>
      <c r="Q39" s="3">
        <v>6</v>
      </c>
      <c r="R39" s="3">
        <v>42</v>
      </c>
      <c r="S39" s="23">
        <f>SUM(テーブル46[[#This Row],[Open数2]:[Closed数3]])</f>
        <v>48</v>
      </c>
      <c r="T39" s="25" t="s">
        <v>31</v>
      </c>
      <c r="U39" s="25">
        <v>0</v>
      </c>
      <c r="V39" s="25" t="s">
        <v>30</v>
      </c>
      <c r="W39" s="25">
        <v>4</v>
      </c>
      <c r="X39" s="3" t="s">
        <v>113</v>
      </c>
      <c r="Y39" s="3" t="s">
        <v>109</v>
      </c>
      <c r="Z39" s="3" t="s">
        <v>110</v>
      </c>
      <c r="AA39" s="25" t="s">
        <v>127</v>
      </c>
      <c r="AB39" s="25"/>
    </row>
    <row r="40" spans="1:28" s="15" customFormat="1" x14ac:dyDescent="0.15">
      <c r="A40" s="23">
        <v>39</v>
      </c>
      <c r="B40" s="27" t="s">
        <v>246</v>
      </c>
      <c r="C40" s="25">
        <v>753</v>
      </c>
      <c r="D40" s="25">
        <v>3396</v>
      </c>
      <c r="E40" s="25">
        <v>227</v>
      </c>
      <c r="F40" s="28" t="str">
        <f>IF(テーブル46[[#This Row],[branch数]]=1,"×","○")</f>
        <v>○</v>
      </c>
      <c r="G40" s="25">
        <v>5</v>
      </c>
      <c r="H40" s="25">
        <v>1492</v>
      </c>
      <c r="I40" s="28" t="str">
        <f>IF(テーブル46[[#This Row],[リリース数]]=0,"×","○")</f>
        <v>○</v>
      </c>
      <c r="J40" s="25">
        <v>23</v>
      </c>
      <c r="K40" s="25">
        <v>54</v>
      </c>
      <c r="L40" s="23" t="str">
        <f>IF(テーブル46[[#This Row],[Issues計]]=0,"×","○")</f>
        <v>○</v>
      </c>
      <c r="M40" s="25">
        <v>167</v>
      </c>
      <c r="N40" s="25">
        <v>375</v>
      </c>
      <c r="O40" s="23">
        <f>SUM(テーブル46[[#This Row],[Open数]:[Closed数]])</f>
        <v>542</v>
      </c>
      <c r="P40" s="23" t="str">
        <f>IF(テーブル46[[#This Row],[PullRequest計]]=0,"×","○")</f>
        <v>○</v>
      </c>
      <c r="Q40" s="25">
        <v>27</v>
      </c>
      <c r="R40" s="25">
        <v>189</v>
      </c>
      <c r="S40" s="23">
        <f>SUM(テーブル46[[#This Row],[Open数2]:[Closed数3]])</f>
        <v>216</v>
      </c>
      <c r="T40" s="25" t="s">
        <v>30</v>
      </c>
      <c r="U40" s="25">
        <v>6</v>
      </c>
      <c r="V40" s="25" t="s">
        <v>30</v>
      </c>
      <c r="W40" s="25">
        <v>9</v>
      </c>
      <c r="X40" s="25" t="s">
        <v>110</v>
      </c>
      <c r="Y40" s="25" t="s">
        <v>109</v>
      </c>
      <c r="Z40" s="25" t="s">
        <v>108</v>
      </c>
      <c r="AA40" s="25"/>
      <c r="AB40" s="25"/>
    </row>
    <row r="41" spans="1:28" s="15" customFormat="1" x14ac:dyDescent="0.15">
      <c r="A41" s="23">
        <v>40</v>
      </c>
      <c r="B41" s="27" t="s">
        <v>247</v>
      </c>
      <c r="C41" s="25">
        <v>3543</v>
      </c>
      <c r="D41" s="25">
        <v>12035</v>
      </c>
      <c r="E41" s="25">
        <v>656</v>
      </c>
      <c r="F41" s="28" t="str">
        <f>IF(テーブル46[[#This Row],[branch数]]=1,"×","○")</f>
        <v>○</v>
      </c>
      <c r="G41" s="25">
        <v>4</v>
      </c>
      <c r="H41" s="25">
        <v>97</v>
      </c>
      <c r="I41" s="28" t="str">
        <f>IF(テーブル46[[#This Row],[リリース数]]=0,"×","○")</f>
        <v>○</v>
      </c>
      <c r="J41" s="25">
        <v>6</v>
      </c>
      <c r="K41" s="25">
        <v>14</v>
      </c>
      <c r="L41" s="23" t="str">
        <f>IF(テーブル46[[#This Row],[Issues計]]=0,"×","○")</f>
        <v>○</v>
      </c>
      <c r="M41" s="25">
        <v>289</v>
      </c>
      <c r="N41" s="25">
        <v>289</v>
      </c>
      <c r="O41" s="23">
        <f>SUM(テーブル46[[#This Row],[Open数]:[Closed数]])</f>
        <v>578</v>
      </c>
      <c r="P41" s="23" t="str">
        <f>IF(テーブル46[[#This Row],[PullRequest計]]=0,"×","○")</f>
        <v>○</v>
      </c>
      <c r="Q41" s="25">
        <v>93</v>
      </c>
      <c r="R41" s="25">
        <v>80</v>
      </c>
      <c r="S41" s="23">
        <f>SUM(テーブル46[[#This Row],[Open数2]:[Closed数3]])</f>
        <v>173</v>
      </c>
      <c r="T41" s="25" t="s">
        <v>31</v>
      </c>
      <c r="U41" s="25">
        <v>0</v>
      </c>
      <c r="V41" s="25" t="s">
        <v>30</v>
      </c>
      <c r="W41" s="25">
        <v>11</v>
      </c>
      <c r="X41" s="25" t="s">
        <v>110</v>
      </c>
      <c r="Y41" s="25"/>
      <c r="Z41" s="25"/>
      <c r="AA41" s="25"/>
      <c r="AB41" s="25"/>
    </row>
    <row r="42" spans="1:28" s="15" customFormat="1" x14ac:dyDescent="0.15">
      <c r="A42" s="23">
        <v>41</v>
      </c>
      <c r="B42" s="27" t="s">
        <v>248</v>
      </c>
      <c r="C42" s="25">
        <v>150</v>
      </c>
      <c r="D42" s="25">
        <v>3591</v>
      </c>
      <c r="E42" s="25">
        <v>160</v>
      </c>
      <c r="F42" s="28" t="str">
        <f>IF(テーブル46[[#This Row],[branch数]]=1,"×","○")</f>
        <v>○</v>
      </c>
      <c r="G42" s="25">
        <v>2</v>
      </c>
      <c r="H42" s="25">
        <v>384</v>
      </c>
      <c r="I42" s="28" t="str">
        <f>IF(テーブル46[[#This Row],[リリース数]]=0,"×","○")</f>
        <v>○</v>
      </c>
      <c r="J42" s="25">
        <v>14</v>
      </c>
      <c r="K42" s="25">
        <v>7</v>
      </c>
      <c r="L42" s="23" t="str">
        <f>IF(テーブル46[[#This Row],[Issues計]]=0,"×","○")</f>
        <v>○</v>
      </c>
      <c r="M42" s="25">
        <v>34</v>
      </c>
      <c r="N42" s="25">
        <v>59</v>
      </c>
      <c r="O42" s="23">
        <f>SUM(テーブル46[[#This Row],[Open数]:[Closed数]])</f>
        <v>93</v>
      </c>
      <c r="P42" s="23" t="str">
        <f>IF(テーブル46[[#This Row],[PullRequest計]]=0,"×","○")</f>
        <v>○</v>
      </c>
      <c r="Q42" s="25">
        <v>0</v>
      </c>
      <c r="R42" s="25">
        <v>48</v>
      </c>
      <c r="S42" s="23">
        <f>SUM(テーブル46[[#This Row],[Open数2]:[Closed数3]])</f>
        <v>48</v>
      </c>
      <c r="T42" s="25" t="s">
        <v>31</v>
      </c>
      <c r="U42" s="25">
        <v>0</v>
      </c>
      <c r="V42" s="25" t="s">
        <v>30</v>
      </c>
      <c r="W42" s="25">
        <v>10</v>
      </c>
      <c r="X42" s="25" t="s">
        <v>122</v>
      </c>
      <c r="Y42" s="25" t="s">
        <v>109</v>
      </c>
      <c r="Z42" s="25" t="s">
        <v>110</v>
      </c>
      <c r="AA42" s="25"/>
      <c r="AB42" s="25"/>
    </row>
    <row r="43" spans="1:28" s="15" customFormat="1" x14ac:dyDescent="0.15">
      <c r="A43" s="23">
        <v>42</v>
      </c>
      <c r="B43" s="27" t="s">
        <v>249</v>
      </c>
      <c r="C43" s="25">
        <v>366</v>
      </c>
      <c r="D43" s="25">
        <v>2328</v>
      </c>
      <c r="E43" s="25">
        <v>185</v>
      </c>
      <c r="F43" s="28" t="str">
        <f>IF(テーブル46[[#This Row],[branch数]]=1,"×","○")</f>
        <v>○</v>
      </c>
      <c r="G43" s="25">
        <v>5</v>
      </c>
      <c r="H43" s="25">
        <v>218</v>
      </c>
      <c r="I43" s="28" t="str">
        <f>IF(テーブル46[[#This Row],[リリース数]]=0,"×","○")</f>
        <v>○</v>
      </c>
      <c r="J43" s="25">
        <v>5</v>
      </c>
      <c r="K43" s="25">
        <v>9</v>
      </c>
      <c r="L43" s="23" t="str">
        <f>IF(テーブル46[[#This Row],[Issues計]]=0,"×","○")</f>
        <v>○</v>
      </c>
      <c r="M43" s="25">
        <v>15</v>
      </c>
      <c r="N43" s="25">
        <v>52</v>
      </c>
      <c r="O43" s="23">
        <f>SUM(テーブル46[[#This Row],[Open数]:[Closed数]])</f>
        <v>67</v>
      </c>
      <c r="P43" s="23" t="str">
        <f>IF(テーブル46[[#This Row],[PullRequest計]]=0,"×","○")</f>
        <v>○</v>
      </c>
      <c r="Q43" s="25">
        <v>4</v>
      </c>
      <c r="R43" s="25">
        <v>9</v>
      </c>
      <c r="S43" s="23">
        <f>SUM(テーブル46[[#This Row],[Open数2]:[Closed数3]])</f>
        <v>13</v>
      </c>
      <c r="T43" s="25" t="s">
        <v>30</v>
      </c>
      <c r="U43" s="25">
        <v>13</v>
      </c>
      <c r="V43" s="25" t="s">
        <v>30</v>
      </c>
      <c r="W43" s="25">
        <v>10</v>
      </c>
      <c r="X43" s="25" t="s">
        <v>110</v>
      </c>
      <c r="Y43" s="25" t="s">
        <v>109</v>
      </c>
      <c r="Z43" s="25"/>
      <c r="AA43" s="25"/>
      <c r="AB43" s="25"/>
    </row>
    <row r="44" spans="1:28" s="15" customFormat="1" x14ac:dyDescent="0.15">
      <c r="A44" s="23">
        <v>43</v>
      </c>
      <c r="B44" s="27" t="s">
        <v>266</v>
      </c>
      <c r="C44" s="25">
        <v>232</v>
      </c>
      <c r="D44" s="25">
        <v>4336</v>
      </c>
      <c r="E44" s="25">
        <v>162</v>
      </c>
      <c r="F44" s="28" t="str">
        <f>IF(テーブル46[[#This Row],[branch数]]=1,"×","○")</f>
        <v>○</v>
      </c>
      <c r="G44" s="25">
        <v>4</v>
      </c>
      <c r="H44" s="25">
        <v>365</v>
      </c>
      <c r="I44" s="28" t="str">
        <f>IF(テーブル46[[#This Row],[リリース数]]=0,"×","○")</f>
        <v>○</v>
      </c>
      <c r="J44" s="25">
        <v>26</v>
      </c>
      <c r="K44" s="25">
        <v>14</v>
      </c>
      <c r="L44" s="23" t="str">
        <f>IF(テーブル46[[#This Row],[Issues計]]=0,"×","○")</f>
        <v>○</v>
      </c>
      <c r="M44" s="25">
        <v>16</v>
      </c>
      <c r="N44" s="25">
        <v>41</v>
      </c>
      <c r="O44" s="23">
        <f>SUM(テーブル46[[#This Row],[Open数]:[Closed数]])</f>
        <v>57</v>
      </c>
      <c r="P44" s="23" t="str">
        <f>IF(テーブル46[[#This Row],[PullRequest計]]=0,"×","○")</f>
        <v>○</v>
      </c>
      <c r="Q44" s="25">
        <v>1</v>
      </c>
      <c r="R44" s="25">
        <v>23</v>
      </c>
      <c r="S44" s="23">
        <f>SUM(テーブル46[[#This Row],[Open数2]:[Closed数3]])</f>
        <v>24</v>
      </c>
      <c r="T44" s="25" t="s">
        <v>31</v>
      </c>
      <c r="U44" s="25">
        <v>0</v>
      </c>
      <c r="V44" s="25" t="s">
        <v>30</v>
      </c>
      <c r="W44" s="25">
        <v>6</v>
      </c>
      <c r="X44" s="25" t="s">
        <v>110</v>
      </c>
      <c r="Y44" s="25" t="s">
        <v>109</v>
      </c>
      <c r="Z44" s="25"/>
      <c r="AA44" s="25"/>
      <c r="AB44" s="25"/>
    </row>
    <row r="45" spans="1:28" s="15" customFormat="1" x14ac:dyDescent="0.15">
      <c r="A45" s="23">
        <v>44</v>
      </c>
      <c r="B45" s="27" t="s">
        <v>250</v>
      </c>
      <c r="C45" s="25">
        <v>1325</v>
      </c>
      <c r="D45" s="25">
        <v>3043</v>
      </c>
      <c r="E45" s="25">
        <v>460</v>
      </c>
      <c r="F45" s="28" t="str">
        <f>IF(テーブル46[[#This Row],[branch数]]=1,"×","○")</f>
        <v>○</v>
      </c>
      <c r="G45" s="25">
        <v>3</v>
      </c>
      <c r="H45" s="25">
        <v>1184</v>
      </c>
      <c r="I45" s="28" t="str">
        <f>IF(テーブル46[[#This Row],[リリース数]]=0,"×","○")</f>
        <v>○</v>
      </c>
      <c r="J45" s="25">
        <v>19</v>
      </c>
      <c r="K45" s="25">
        <v>13</v>
      </c>
      <c r="L45" s="23" t="str">
        <f>IF(テーブル46[[#This Row],[Issues計]]=0,"×","○")</f>
        <v>○</v>
      </c>
      <c r="M45" s="25">
        <v>61</v>
      </c>
      <c r="N45" s="25">
        <v>757</v>
      </c>
      <c r="O45" s="23">
        <f>SUM(テーブル46[[#This Row],[Open数]:[Closed数]])</f>
        <v>818</v>
      </c>
      <c r="P45" s="23" t="str">
        <f>IF(テーブル46[[#This Row],[PullRequest計]]=0,"×","○")</f>
        <v>○</v>
      </c>
      <c r="Q45" s="25">
        <v>1</v>
      </c>
      <c r="R45" s="25">
        <v>59</v>
      </c>
      <c r="S45" s="23">
        <f>SUM(テーブル46[[#This Row],[Open数2]:[Closed数3]])</f>
        <v>60</v>
      </c>
      <c r="T45" s="25" t="s">
        <v>30</v>
      </c>
      <c r="U45" s="25">
        <v>5</v>
      </c>
      <c r="V45" s="25" t="s">
        <v>30</v>
      </c>
      <c r="W45" s="25">
        <v>24</v>
      </c>
      <c r="X45" s="25" t="s">
        <v>110</v>
      </c>
      <c r="Y45" s="25" t="s">
        <v>109</v>
      </c>
      <c r="Z45" s="25"/>
      <c r="AA45" s="25"/>
      <c r="AB45" s="25"/>
    </row>
    <row r="46" spans="1:28" s="15" customFormat="1" x14ac:dyDescent="0.15">
      <c r="A46" s="23">
        <v>45</v>
      </c>
      <c r="B46" s="27" t="s">
        <v>251</v>
      </c>
      <c r="C46" s="25">
        <v>985</v>
      </c>
      <c r="D46" s="25">
        <v>2399</v>
      </c>
      <c r="E46" s="25">
        <v>44</v>
      </c>
      <c r="F46" s="28" t="str">
        <f>IF(テーブル46[[#This Row],[branch数]]=1,"×","○")</f>
        <v>○</v>
      </c>
      <c r="G46" s="25">
        <v>21</v>
      </c>
      <c r="H46" s="25">
        <v>2951</v>
      </c>
      <c r="I46" s="28" t="str">
        <f>IF(テーブル46[[#This Row],[リリース数]]=0,"×","○")</f>
        <v>○</v>
      </c>
      <c r="J46" s="25">
        <v>47</v>
      </c>
      <c r="K46" s="25">
        <v>415</v>
      </c>
      <c r="L46" s="23" t="str">
        <f>IF(テーブル46[[#This Row],[Issues計]]=0,"×","○")</f>
        <v>○</v>
      </c>
      <c r="M46" s="25">
        <v>53</v>
      </c>
      <c r="N46" s="25">
        <v>517</v>
      </c>
      <c r="O46" s="23">
        <f>SUM(テーブル46[[#This Row],[Open数]:[Closed数]])</f>
        <v>570</v>
      </c>
      <c r="P46" s="23" t="str">
        <f>IF(テーブル46[[#This Row],[PullRequest計]]=0,"×","○")</f>
        <v>○</v>
      </c>
      <c r="Q46" s="25">
        <v>40</v>
      </c>
      <c r="R46" s="25">
        <v>1077</v>
      </c>
      <c r="S46" s="23">
        <f>SUM(テーブル46[[#This Row],[Open数2]:[Closed数3]])</f>
        <v>1117</v>
      </c>
      <c r="T46" s="25" t="s">
        <v>31</v>
      </c>
      <c r="U46" s="25">
        <v>0</v>
      </c>
      <c r="V46" s="25" t="s">
        <v>30</v>
      </c>
      <c r="W46" s="25">
        <v>13</v>
      </c>
      <c r="X46" s="25" t="s">
        <v>106</v>
      </c>
      <c r="Y46" s="25" t="s">
        <v>120</v>
      </c>
      <c r="Z46" s="25"/>
      <c r="AA46" s="25"/>
      <c r="AB46" s="25"/>
    </row>
    <row r="47" spans="1:28" s="15" customFormat="1" x14ac:dyDescent="0.15">
      <c r="A47" s="23">
        <v>46</v>
      </c>
      <c r="B47" s="27" t="s">
        <v>253</v>
      </c>
      <c r="C47" s="25">
        <v>1136</v>
      </c>
      <c r="D47" s="25">
        <v>10175</v>
      </c>
      <c r="E47" s="25">
        <v>438</v>
      </c>
      <c r="F47" s="28" t="str">
        <f>IF(テーブル46[[#This Row],[branch数]]=1,"×","○")</f>
        <v>○</v>
      </c>
      <c r="G47" s="25">
        <v>3</v>
      </c>
      <c r="H47" s="25">
        <v>394</v>
      </c>
      <c r="I47" s="28" t="str">
        <f>IF(テーブル46[[#This Row],[リリース数]]=0,"×","○")</f>
        <v>○</v>
      </c>
      <c r="J47" s="25">
        <v>21</v>
      </c>
      <c r="K47" s="25">
        <v>53</v>
      </c>
      <c r="L47" s="23" t="str">
        <f>IF(テーブル46[[#This Row],[Issues計]]=0,"×","○")</f>
        <v>○</v>
      </c>
      <c r="M47" s="25">
        <v>26</v>
      </c>
      <c r="N47" s="25">
        <v>220</v>
      </c>
      <c r="O47" s="23">
        <f>SUM(テーブル46[[#This Row],[Open数]:[Closed数]])</f>
        <v>246</v>
      </c>
      <c r="P47" s="23" t="str">
        <f>IF(テーブル46[[#This Row],[PullRequest計]]=0,"×","○")</f>
        <v>○</v>
      </c>
      <c r="Q47" s="25">
        <v>28</v>
      </c>
      <c r="R47" s="25">
        <v>181</v>
      </c>
      <c r="S47" s="23">
        <f>SUM(テーブル46[[#This Row],[Open数2]:[Closed数3]])</f>
        <v>209</v>
      </c>
      <c r="T47" s="25" t="s">
        <v>31</v>
      </c>
      <c r="U47" s="25">
        <v>0</v>
      </c>
      <c r="V47" s="25" t="s">
        <v>30</v>
      </c>
      <c r="W47" s="25">
        <v>3</v>
      </c>
      <c r="X47" s="25" t="s">
        <v>110</v>
      </c>
      <c r="Y47" s="25" t="s">
        <v>109</v>
      </c>
      <c r="Z47" s="25" t="s">
        <v>108</v>
      </c>
      <c r="AA47" s="25"/>
      <c r="AB47" s="25"/>
    </row>
    <row r="48" spans="1:28" s="15" customFormat="1" x14ac:dyDescent="0.15">
      <c r="A48" s="23">
        <v>47</v>
      </c>
      <c r="B48" s="27" t="s">
        <v>254</v>
      </c>
      <c r="C48" s="25">
        <v>7535</v>
      </c>
      <c r="D48" s="25">
        <v>31413</v>
      </c>
      <c r="E48" s="25">
        <v>714</v>
      </c>
      <c r="F48" s="28" t="str">
        <f>IF(テーブル46[[#This Row],[branch数]]=1,"×","○")</f>
        <v>○</v>
      </c>
      <c r="G48" s="25">
        <v>35</v>
      </c>
      <c r="H48" s="25">
        <v>3279</v>
      </c>
      <c r="I48" s="28" t="str">
        <f>IF(テーブル46[[#This Row],[リリース数]]=0,"×","○")</f>
        <v>○</v>
      </c>
      <c r="J48" s="25">
        <v>175</v>
      </c>
      <c r="K48" s="25">
        <v>81</v>
      </c>
      <c r="L48" s="23" t="str">
        <f>IF(テーブル46[[#This Row],[Issues計]]=0,"×","○")</f>
        <v>○</v>
      </c>
      <c r="M48" s="25">
        <v>147</v>
      </c>
      <c r="N48" s="25">
        <v>1078</v>
      </c>
      <c r="O48" s="23">
        <f>SUM(テーブル46[[#This Row],[Open数]:[Closed数]])</f>
        <v>1225</v>
      </c>
      <c r="P48" s="23" t="str">
        <f>IF(テーブル46[[#This Row],[PullRequest計]]=0,"×","○")</f>
        <v>○</v>
      </c>
      <c r="Q48" s="25">
        <v>66</v>
      </c>
      <c r="R48" s="25">
        <v>813</v>
      </c>
      <c r="S48" s="23">
        <f>SUM(テーブル46[[#This Row],[Open数2]:[Closed数3]])</f>
        <v>879</v>
      </c>
      <c r="T48" s="25" t="s">
        <v>30</v>
      </c>
      <c r="U48" s="25">
        <v>67</v>
      </c>
      <c r="V48" s="25" t="s">
        <v>30</v>
      </c>
      <c r="W48" s="25">
        <v>12</v>
      </c>
      <c r="X48" s="25" t="s">
        <v>110</v>
      </c>
      <c r="Y48" s="25" t="s">
        <v>109</v>
      </c>
      <c r="Z48" s="25"/>
      <c r="AA48" s="25"/>
      <c r="AB48" s="25"/>
    </row>
    <row r="49" spans="1:28" s="15" customFormat="1" x14ac:dyDescent="0.15">
      <c r="A49" s="23">
        <v>48</v>
      </c>
      <c r="B49" s="27" t="s">
        <v>255</v>
      </c>
      <c r="C49" s="25">
        <v>226</v>
      </c>
      <c r="D49" s="25">
        <v>2672</v>
      </c>
      <c r="E49" s="25">
        <v>94</v>
      </c>
      <c r="F49" s="28" t="str">
        <f>IF(テーブル46[[#This Row],[branch数]]=1,"×","○")</f>
        <v>○</v>
      </c>
      <c r="G49" s="25">
        <v>4</v>
      </c>
      <c r="H49" s="25">
        <v>269</v>
      </c>
      <c r="I49" s="28" t="str">
        <f>IF(テーブル46[[#This Row],[リリース数]]=0,"×","○")</f>
        <v>○</v>
      </c>
      <c r="J49" s="25">
        <v>27</v>
      </c>
      <c r="K49" s="25">
        <v>6</v>
      </c>
      <c r="L49" s="23" t="str">
        <f>IF(テーブル46[[#This Row],[Issues計]]=0,"×","○")</f>
        <v>○</v>
      </c>
      <c r="M49" s="25">
        <v>1</v>
      </c>
      <c r="N49" s="25">
        <v>27</v>
      </c>
      <c r="O49" s="23">
        <f>SUM(テーブル46[[#This Row],[Open数]:[Closed数]])</f>
        <v>28</v>
      </c>
      <c r="P49" s="23" t="str">
        <f>IF(テーブル46[[#This Row],[PullRequest計]]=0,"×","○")</f>
        <v>○</v>
      </c>
      <c r="Q49" s="25">
        <v>1</v>
      </c>
      <c r="R49" s="25">
        <v>19</v>
      </c>
      <c r="S49" s="23">
        <f>SUM(テーブル46[[#This Row],[Open数2]:[Closed数3]])</f>
        <v>20</v>
      </c>
      <c r="T49" s="25" t="s">
        <v>31</v>
      </c>
      <c r="U49" s="25">
        <v>0</v>
      </c>
      <c r="V49" s="25" t="s">
        <v>31</v>
      </c>
      <c r="W49" s="25">
        <v>0</v>
      </c>
      <c r="X49" s="25" t="s">
        <v>110</v>
      </c>
      <c r="Y49" s="25" t="s">
        <v>109</v>
      </c>
      <c r="Z49" s="25" t="s">
        <v>106</v>
      </c>
      <c r="AA49" s="25"/>
      <c r="AB49" s="25"/>
    </row>
    <row r="50" spans="1:28" s="15" customFormat="1" x14ac:dyDescent="0.15">
      <c r="A50" s="23">
        <v>49</v>
      </c>
      <c r="B50" s="27" t="s">
        <v>256</v>
      </c>
      <c r="C50" s="25">
        <v>246</v>
      </c>
      <c r="D50" s="25">
        <v>1464</v>
      </c>
      <c r="E50" s="25">
        <v>110</v>
      </c>
      <c r="F50" s="28" t="str">
        <f>IF(テーブル46[[#This Row],[branch数]]=1,"×","○")</f>
        <v>○</v>
      </c>
      <c r="G50" s="25">
        <v>17</v>
      </c>
      <c r="H50" s="25">
        <v>1299</v>
      </c>
      <c r="I50" s="28" t="str">
        <f>IF(テーブル46[[#This Row],[リリース数]]=0,"×","○")</f>
        <v>○</v>
      </c>
      <c r="J50" s="25">
        <v>6</v>
      </c>
      <c r="K50" s="25">
        <v>41</v>
      </c>
      <c r="L50" s="23" t="str">
        <f>IF(テーブル46[[#This Row],[Issues計]]=0,"×","○")</f>
        <v>○</v>
      </c>
      <c r="M50" s="25">
        <v>40</v>
      </c>
      <c r="N50" s="25">
        <v>302</v>
      </c>
      <c r="O50" s="23">
        <f>SUM(テーブル46[[#This Row],[Open数]:[Closed数]])</f>
        <v>342</v>
      </c>
      <c r="P50" s="23" t="str">
        <f>IF(テーブル46[[#This Row],[PullRequest計]]=0,"×","○")</f>
        <v>○</v>
      </c>
      <c r="Q50" s="25">
        <v>1</v>
      </c>
      <c r="R50" s="25">
        <v>111</v>
      </c>
      <c r="S50" s="23">
        <f>SUM(テーブル46[[#This Row],[Open数2]:[Closed数3]])</f>
        <v>112</v>
      </c>
      <c r="T50" s="25" t="s">
        <v>30</v>
      </c>
      <c r="U50" s="25">
        <v>2</v>
      </c>
      <c r="V50" s="25" t="s">
        <v>30</v>
      </c>
      <c r="W50" s="25">
        <v>10</v>
      </c>
      <c r="X50" s="25" t="s">
        <v>110</v>
      </c>
      <c r="Y50" s="25" t="s">
        <v>109</v>
      </c>
      <c r="Z50" s="25" t="s">
        <v>113</v>
      </c>
      <c r="AA50" s="25"/>
      <c r="AB50" s="25"/>
    </row>
    <row r="51" spans="1:28" s="15" customFormat="1" x14ac:dyDescent="0.15">
      <c r="A51" s="23">
        <v>50</v>
      </c>
      <c r="B51" s="27" t="s">
        <v>257</v>
      </c>
      <c r="C51" s="25">
        <v>574</v>
      </c>
      <c r="D51" s="25">
        <v>4122</v>
      </c>
      <c r="E51" s="25">
        <v>227</v>
      </c>
      <c r="F51" s="28" t="str">
        <f>IF(テーブル46[[#This Row],[branch数]]=1,"×","○")</f>
        <v>○</v>
      </c>
      <c r="G51" s="25">
        <v>8</v>
      </c>
      <c r="H51" s="25">
        <v>613</v>
      </c>
      <c r="I51" s="28" t="str">
        <f>IF(テーブル46[[#This Row],[リリース数]]=0,"×","○")</f>
        <v>○</v>
      </c>
      <c r="J51" s="25">
        <v>4</v>
      </c>
      <c r="K51" s="25">
        <v>32</v>
      </c>
      <c r="L51" s="23" t="str">
        <f>IF(テーブル46[[#This Row],[Issues計]]=0,"×","○")</f>
        <v>○</v>
      </c>
      <c r="M51" s="25">
        <v>104</v>
      </c>
      <c r="N51" s="25">
        <v>226</v>
      </c>
      <c r="O51" s="23">
        <f>SUM(テーブル46[[#This Row],[Open数]:[Closed数]])</f>
        <v>330</v>
      </c>
      <c r="P51" s="23" t="str">
        <f>IF(テーブル46[[#This Row],[PullRequest計]]=0,"×","○")</f>
        <v>○</v>
      </c>
      <c r="Q51" s="25">
        <v>8</v>
      </c>
      <c r="R51" s="25">
        <v>97</v>
      </c>
      <c r="S51" s="23">
        <f>SUM(テーブル46[[#This Row],[Open数2]:[Closed数3]])</f>
        <v>105</v>
      </c>
      <c r="T51" s="25" t="s">
        <v>30</v>
      </c>
      <c r="U51" s="25">
        <v>5</v>
      </c>
      <c r="V51" s="25" t="s">
        <v>30</v>
      </c>
      <c r="W51" s="25">
        <v>11</v>
      </c>
      <c r="X51" s="25" t="s">
        <v>110</v>
      </c>
      <c r="Y51" s="25" t="s">
        <v>109</v>
      </c>
      <c r="Z51" s="25"/>
      <c r="AA51" s="25"/>
      <c r="AB51" s="25"/>
    </row>
    <row r="52" spans="1:28" s="15" customFormat="1" x14ac:dyDescent="0.15"/>
    <row r="53" spans="1:28" s="15" customFormat="1" x14ac:dyDescent="0.15"/>
    <row r="54" spans="1:28" s="15" customFormat="1" x14ac:dyDescent="0.15"/>
    <row r="55" spans="1:28" s="15" customFormat="1" x14ac:dyDescent="0.15"/>
    <row r="56" spans="1:28" s="15" customFormat="1" x14ac:dyDescent="0.15">
      <c r="A56" s="15" t="s">
        <v>267</v>
      </c>
    </row>
    <row r="57" spans="1:28" s="15" customFormat="1" x14ac:dyDescent="0.15">
      <c r="A57" s="23">
        <v>4</v>
      </c>
      <c r="B57" s="7" t="s">
        <v>270</v>
      </c>
      <c r="C57" s="23">
        <v>360</v>
      </c>
      <c r="D57" s="23">
        <v>11741</v>
      </c>
      <c r="E57" s="23">
        <v>4592</v>
      </c>
      <c r="F57" s="23" t="s">
        <v>67</v>
      </c>
      <c r="G57" s="23">
        <v>39</v>
      </c>
      <c r="H57" s="23">
        <v>19052</v>
      </c>
      <c r="I57" s="30" t="s">
        <v>67</v>
      </c>
      <c r="J57" s="23">
        <v>86</v>
      </c>
      <c r="K57" s="23">
        <v>700</v>
      </c>
      <c r="L57" s="23" t="s">
        <v>269</v>
      </c>
      <c r="M57" s="23">
        <v>0</v>
      </c>
      <c r="N57" s="23">
        <v>0</v>
      </c>
      <c r="O57" s="23">
        <v>0</v>
      </c>
      <c r="P57" s="23" t="s">
        <v>67</v>
      </c>
      <c r="Q57" s="23">
        <v>69</v>
      </c>
      <c r="R57" s="23">
        <v>3403</v>
      </c>
      <c r="S57" s="23">
        <f>SUM(Q57:R57)</f>
        <v>3472</v>
      </c>
      <c r="T57" s="23" t="s">
        <v>31</v>
      </c>
      <c r="U57" s="23">
        <v>0</v>
      </c>
      <c r="V57" s="23" t="s">
        <v>31</v>
      </c>
      <c r="W57" s="23">
        <v>0</v>
      </c>
      <c r="X57" s="23" t="s">
        <v>107</v>
      </c>
      <c r="Y57" s="23" t="s">
        <v>108</v>
      </c>
      <c r="Z57" s="23"/>
      <c r="AA57" s="23"/>
      <c r="AB57" s="23"/>
    </row>
    <row r="58" spans="1:28" s="15" customFormat="1" x14ac:dyDescent="0.15">
      <c r="A58" s="23">
        <v>23</v>
      </c>
      <c r="B58" s="7" t="s">
        <v>271</v>
      </c>
      <c r="C58" s="23">
        <v>559</v>
      </c>
      <c r="D58" s="23">
        <v>5955</v>
      </c>
      <c r="E58" s="23">
        <v>1650</v>
      </c>
      <c r="F58" s="23" t="s">
        <v>67</v>
      </c>
      <c r="G58" s="25">
        <v>14</v>
      </c>
      <c r="H58" s="23">
        <v>27747</v>
      </c>
      <c r="I58" s="30" t="s">
        <v>67</v>
      </c>
      <c r="J58" s="23">
        <v>230</v>
      </c>
      <c r="K58" s="23">
        <v>197</v>
      </c>
      <c r="L58" s="23" t="s">
        <v>269</v>
      </c>
      <c r="M58" s="23">
        <v>0</v>
      </c>
      <c r="N58" s="23">
        <v>0</v>
      </c>
      <c r="O58" s="23">
        <v>0</v>
      </c>
      <c r="P58" s="23" t="s">
        <v>67</v>
      </c>
      <c r="Q58" s="23">
        <v>16</v>
      </c>
      <c r="R58" s="23">
        <v>847</v>
      </c>
      <c r="S58" s="23">
        <f>SUM(Q58:R58)</f>
        <v>863</v>
      </c>
      <c r="T58" s="23" t="s">
        <v>31</v>
      </c>
      <c r="U58" s="23">
        <v>0</v>
      </c>
      <c r="V58" s="23" t="s">
        <v>31</v>
      </c>
      <c r="W58" s="23">
        <v>0</v>
      </c>
      <c r="X58" s="23" t="s">
        <v>116</v>
      </c>
      <c r="Y58" s="23" t="s">
        <v>118</v>
      </c>
      <c r="Z58" s="23" t="s">
        <v>110</v>
      </c>
      <c r="AA58" s="23"/>
      <c r="AB58" s="23"/>
    </row>
    <row r="59" spans="1:28" x14ac:dyDescent="0.15">
      <c r="A59" s="23">
        <v>1</v>
      </c>
      <c r="B59" s="7" t="s">
        <v>22</v>
      </c>
      <c r="C59" s="23">
        <v>40</v>
      </c>
      <c r="D59" s="23">
        <v>447</v>
      </c>
      <c r="E59" s="23">
        <v>93</v>
      </c>
      <c r="F59" s="23" t="s">
        <v>42</v>
      </c>
      <c r="G59" s="25">
        <v>2</v>
      </c>
      <c r="H59" s="23">
        <v>75</v>
      </c>
      <c r="I59" s="23" t="s">
        <v>42</v>
      </c>
      <c r="J59" s="23">
        <v>5</v>
      </c>
      <c r="K59" s="23">
        <v>3</v>
      </c>
      <c r="L59" s="23" t="s">
        <v>268</v>
      </c>
      <c r="M59" s="23">
        <v>0</v>
      </c>
      <c r="N59" s="23">
        <v>0</v>
      </c>
      <c r="O59" s="23">
        <v>0</v>
      </c>
      <c r="P59" s="23" t="s">
        <v>30</v>
      </c>
      <c r="Q59" s="23">
        <v>0</v>
      </c>
      <c r="R59" s="23">
        <v>2</v>
      </c>
      <c r="S59" s="23">
        <v>2</v>
      </c>
      <c r="T59" s="23" t="s">
        <v>31</v>
      </c>
      <c r="U59" s="23">
        <v>0</v>
      </c>
      <c r="V59" s="23" t="s">
        <v>31</v>
      </c>
      <c r="W59" s="23">
        <v>0</v>
      </c>
      <c r="X59" s="23" t="s">
        <v>102</v>
      </c>
      <c r="Y59" s="23" t="s">
        <v>103</v>
      </c>
      <c r="Z59" s="23"/>
      <c r="AA59" s="23"/>
      <c r="AB59" s="23"/>
    </row>
    <row r="60" spans="1:28" x14ac:dyDescent="0.15">
      <c r="A60" s="23">
        <v>14</v>
      </c>
      <c r="B60" s="7" t="s">
        <v>132</v>
      </c>
      <c r="C60" s="23">
        <v>321</v>
      </c>
      <c r="D60" s="23">
        <v>4359</v>
      </c>
      <c r="E60" s="23">
        <v>1234</v>
      </c>
      <c r="F60" s="23" t="s">
        <v>42</v>
      </c>
      <c r="G60" s="23">
        <v>4</v>
      </c>
      <c r="H60" s="23">
        <v>153</v>
      </c>
      <c r="I60" s="23" t="s">
        <v>268</v>
      </c>
      <c r="J60" s="23">
        <v>0</v>
      </c>
      <c r="K60" s="23">
        <v>4</v>
      </c>
      <c r="L60" s="23" t="s">
        <v>268</v>
      </c>
      <c r="M60" s="23">
        <v>0</v>
      </c>
      <c r="N60" s="23">
        <v>0</v>
      </c>
      <c r="O60" s="23">
        <v>0</v>
      </c>
      <c r="P60" s="23" t="s">
        <v>42</v>
      </c>
      <c r="Q60" s="23">
        <v>0</v>
      </c>
      <c r="R60" s="23">
        <v>27</v>
      </c>
      <c r="S60" s="23">
        <v>27</v>
      </c>
      <c r="T60" s="23" t="s">
        <v>31</v>
      </c>
      <c r="U60" s="23">
        <v>3</v>
      </c>
      <c r="V60" s="23" t="s">
        <v>31</v>
      </c>
      <c r="W60" s="23">
        <v>0</v>
      </c>
      <c r="X60" s="23" t="s">
        <v>110</v>
      </c>
      <c r="Y60" s="23" t="s">
        <v>120</v>
      </c>
      <c r="Z60" s="23"/>
      <c r="AA60" s="23"/>
      <c r="AB60" s="23"/>
    </row>
    <row r="61" spans="1:28" x14ac:dyDescent="0.15">
      <c r="A61" s="23">
        <v>17</v>
      </c>
      <c r="B61" s="7" t="s">
        <v>55</v>
      </c>
      <c r="C61" s="23">
        <v>173</v>
      </c>
      <c r="D61" s="23">
        <v>1999</v>
      </c>
      <c r="E61" s="23">
        <v>385</v>
      </c>
      <c r="F61" s="23" t="s">
        <v>42</v>
      </c>
      <c r="G61" s="23">
        <v>14</v>
      </c>
      <c r="H61" s="23">
        <v>1162</v>
      </c>
      <c r="I61" s="23" t="s">
        <v>42</v>
      </c>
      <c r="J61" s="23">
        <v>36</v>
      </c>
      <c r="K61" s="23">
        <v>18</v>
      </c>
      <c r="L61" s="23" t="s">
        <v>268</v>
      </c>
      <c r="M61" s="23">
        <v>0</v>
      </c>
      <c r="N61" s="23">
        <v>0</v>
      </c>
      <c r="O61" s="23">
        <v>0</v>
      </c>
      <c r="P61" s="23" t="s">
        <v>42</v>
      </c>
      <c r="Q61" s="23">
        <v>10</v>
      </c>
      <c r="R61" s="23">
        <v>44</v>
      </c>
      <c r="S61" s="23">
        <v>54</v>
      </c>
      <c r="T61" s="23" t="s">
        <v>31</v>
      </c>
      <c r="U61" s="23">
        <v>0</v>
      </c>
      <c r="V61" s="23" t="s">
        <v>31</v>
      </c>
      <c r="W61" s="23">
        <v>0</v>
      </c>
      <c r="X61" s="23" t="s">
        <v>110</v>
      </c>
      <c r="Y61" s="23" t="s">
        <v>109</v>
      </c>
      <c r="Z61" s="23" t="s">
        <v>121</v>
      </c>
      <c r="AA61" s="23"/>
      <c r="AB61" s="23"/>
    </row>
    <row r="62" spans="1:28" s="15" customFormat="1" x14ac:dyDescent="0.15">
      <c r="A62" s="15" t="s">
        <v>272</v>
      </c>
    </row>
    <row r="63" spans="1:28" x14ac:dyDescent="0.15">
      <c r="A63" s="23">
        <v>7</v>
      </c>
      <c r="B63" s="7" t="s">
        <v>129</v>
      </c>
      <c r="C63" s="23">
        <v>424</v>
      </c>
      <c r="D63" s="23">
        <v>4787</v>
      </c>
      <c r="E63" s="23">
        <v>945</v>
      </c>
      <c r="F63" s="23" t="s">
        <v>42</v>
      </c>
      <c r="G63" s="23">
        <v>12</v>
      </c>
      <c r="H63" s="23">
        <v>5881</v>
      </c>
      <c r="I63" s="23" t="s">
        <v>42</v>
      </c>
      <c r="J63" s="23">
        <v>163</v>
      </c>
      <c r="K63" s="23">
        <v>153</v>
      </c>
      <c r="L63" s="23" t="s">
        <v>42</v>
      </c>
      <c r="M63" s="23">
        <v>122</v>
      </c>
      <c r="N63" s="23">
        <v>1131</v>
      </c>
      <c r="O63" s="23">
        <v>1253</v>
      </c>
      <c r="P63" s="23" t="s">
        <v>42</v>
      </c>
      <c r="Q63" s="23">
        <v>4</v>
      </c>
      <c r="R63" s="23">
        <v>253</v>
      </c>
      <c r="S63" s="23">
        <v>257</v>
      </c>
      <c r="T63" s="23" t="s">
        <v>31</v>
      </c>
      <c r="U63" s="23">
        <v>0</v>
      </c>
      <c r="V63" s="23" t="s">
        <v>30</v>
      </c>
      <c r="W63" s="23">
        <v>13</v>
      </c>
      <c r="X63" s="23" t="s">
        <v>106</v>
      </c>
      <c r="Y63" s="23" t="s">
        <v>109</v>
      </c>
      <c r="Z63" s="23"/>
      <c r="AA63" s="23"/>
      <c r="AB63" s="23"/>
    </row>
    <row r="64" spans="1:28" x14ac:dyDescent="0.15">
      <c r="A64" s="23">
        <v>11</v>
      </c>
      <c r="B64" s="7" t="s">
        <v>262</v>
      </c>
      <c r="C64" s="23">
        <v>77</v>
      </c>
      <c r="D64" s="23">
        <v>461</v>
      </c>
      <c r="E64" s="29">
        <v>313</v>
      </c>
      <c r="F64" s="29" t="s">
        <v>42</v>
      </c>
      <c r="G64" s="29">
        <v>6</v>
      </c>
      <c r="H64" s="29">
        <v>10189</v>
      </c>
      <c r="I64" s="29" t="s">
        <v>42</v>
      </c>
      <c r="J64" s="29">
        <v>21</v>
      </c>
      <c r="K64" s="29">
        <v>93</v>
      </c>
      <c r="L64" s="23" t="s">
        <v>42</v>
      </c>
      <c r="M64" s="29">
        <v>323</v>
      </c>
      <c r="N64" s="29">
        <v>695</v>
      </c>
      <c r="O64" s="23">
        <v>1018</v>
      </c>
      <c r="P64" s="23" t="s">
        <v>42</v>
      </c>
      <c r="Q64" s="29">
        <v>90</v>
      </c>
      <c r="R64" s="29">
        <v>1967</v>
      </c>
      <c r="S64" s="23">
        <v>2057</v>
      </c>
      <c r="T64" s="29" t="s">
        <v>42</v>
      </c>
      <c r="U64" s="29">
        <v>58</v>
      </c>
      <c r="V64" s="29" t="s">
        <v>42</v>
      </c>
      <c r="W64" s="29">
        <v>52</v>
      </c>
      <c r="X64" s="29" t="s">
        <v>113</v>
      </c>
      <c r="Y64" s="29" t="s">
        <v>118</v>
      </c>
      <c r="Z64" s="29" t="s">
        <v>108</v>
      </c>
      <c r="AA64" s="23"/>
      <c r="AB64" s="23"/>
    </row>
    <row r="65" spans="1:28" x14ac:dyDescent="0.15">
      <c r="A65" s="23">
        <v>18</v>
      </c>
      <c r="B65" s="7" t="s">
        <v>56</v>
      </c>
      <c r="C65" s="23">
        <v>93</v>
      </c>
      <c r="D65" s="23">
        <v>2054</v>
      </c>
      <c r="E65" s="23">
        <v>278</v>
      </c>
      <c r="F65" s="23" t="s">
        <v>42</v>
      </c>
      <c r="G65" s="25">
        <v>11</v>
      </c>
      <c r="H65" s="23">
        <v>710</v>
      </c>
      <c r="I65" s="23" t="s">
        <v>42</v>
      </c>
      <c r="J65" s="23">
        <v>9</v>
      </c>
      <c r="K65" s="23">
        <v>30</v>
      </c>
      <c r="L65" s="23" t="s">
        <v>42</v>
      </c>
      <c r="M65" s="23">
        <v>27</v>
      </c>
      <c r="N65" s="23">
        <v>163</v>
      </c>
      <c r="O65" s="23">
        <v>190</v>
      </c>
      <c r="P65" s="23" t="s">
        <v>42</v>
      </c>
      <c r="Q65" s="23">
        <v>9</v>
      </c>
      <c r="R65" s="23">
        <v>179</v>
      </c>
      <c r="S65" s="23">
        <v>188</v>
      </c>
      <c r="T65" s="23" t="s">
        <v>30</v>
      </c>
      <c r="U65" s="23">
        <v>3</v>
      </c>
      <c r="V65" s="23" t="s">
        <v>30</v>
      </c>
      <c r="W65" s="23">
        <v>3</v>
      </c>
      <c r="X65" s="23" t="s">
        <v>106</v>
      </c>
      <c r="Y65" s="23" t="s">
        <v>110</v>
      </c>
      <c r="Z65" s="23" t="s">
        <v>109</v>
      </c>
      <c r="AA65" s="23"/>
      <c r="AB65" s="23"/>
    </row>
    <row r="66" spans="1:28" x14ac:dyDescent="0.15">
      <c r="A66" s="23">
        <v>21</v>
      </c>
      <c r="B66" s="7" t="s">
        <v>59</v>
      </c>
      <c r="C66" s="23">
        <v>95</v>
      </c>
      <c r="D66" s="23">
        <v>1178</v>
      </c>
      <c r="E66" s="23">
        <v>278</v>
      </c>
      <c r="F66" s="23" t="s">
        <v>42</v>
      </c>
      <c r="G66" s="23">
        <v>4</v>
      </c>
      <c r="H66" s="23">
        <v>2762</v>
      </c>
      <c r="I66" s="23" t="s">
        <v>42</v>
      </c>
      <c r="J66" s="23">
        <v>20</v>
      </c>
      <c r="K66" s="23">
        <v>26</v>
      </c>
      <c r="L66" s="23" t="s">
        <v>42</v>
      </c>
      <c r="M66" s="23">
        <v>92</v>
      </c>
      <c r="N66" s="23">
        <v>366</v>
      </c>
      <c r="O66" s="23">
        <v>458</v>
      </c>
      <c r="P66" s="23" t="s">
        <v>42</v>
      </c>
      <c r="Q66" s="23">
        <v>1</v>
      </c>
      <c r="R66" s="23">
        <v>144</v>
      </c>
      <c r="S66" s="23">
        <v>145</v>
      </c>
      <c r="T66" s="23" t="s">
        <v>30</v>
      </c>
      <c r="U66" s="23">
        <v>11</v>
      </c>
      <c r="V66" s="23" t="s">
        <v>30</v>
      </c>
      <c r="W66" s="23">
        <v>5</v>
      </c>
      <c r="X66" s="23" t="s">
        <v>110</v>
      </c>
      <c r="Y66" s="23" t="s">
        <v>109</v>
      </c>
      <c r="Z66" s="23"/>
      <c r="AA66" s="23"/>
      <c r="AB66" s="23"/>
    </row>
    <row r="67" spans="1:28" x14ac:dyDescent="0.15">
      <c r="A67" s="23">
        <v>29</v>
      </c>
      <c r="B67" s="7" t="s">
        <v>68</v>
      </c>
      <c r="C67" s="23">
        <v>71</v>
      </c>
      <c r="D67" s="23">
        <v>1680</v>
      </c>
      <c r="E67" s="23">
        <v>180</v>
      </c>
      <c r="F67" s="23" t="s">
        <v>42</v>
      </c>
      <c r="G67" s="23">
        <v>24</v>
      </c>
      <c r="H67" s="23">
        <v>3453</v>
      </c>
      <c r="I67" s="23" t="s">
        <v>42</v>
      </c>
      <c r="J67" s="23">
        <v>32</v>
      </c>
      <c r="K67" s="23">
        <v>24</v>
      </c>
      <c r="L67" s="23" t="s">
        <v>42</v>
      </c>
      <c r="M67" s="23">
        <v>265</v>
      </c>
      <c r="N67" s="23">
        <v>1045</v>
      </c>
      <c r="O67" s="23">
        <v>1310</v>
      </c>
      <c r="P67" s="23" t="s">
        <v>42</v>
      </c>
      <c r="Q67" s="23">
        <v>16</v>
      </c>
      <c r="R67" s="23">
        <v>649</v>
      </c>
      <c r="S67" s="23">
        <v>665</v>
      </c>
      <c r="T67" s="23" t="s">
        <v>31</v>
      </c>
      <c r="U67" s="23">
        <v>0</v>
      </c>
      <c r="V67" s="23" t="s">
        <v>30</v>
      </c>
      <c r="W67" s="23">
        <v>13</v>
      </c>
      <c r="X67" s="23" t="s">
        <v>128</v>
      </c>
      <c r="Y67" s="23" t="s">
        <v>113</v>
      </c>
      <c r="Z67" s="23" t="s">
        <v>108</v>
      </c>
      <c r="AA67" s="23"/>
      <c r="AB67" s="23"/>
    </row>
    <row r="68" spans="1:28" s="15" customFormat="1" x14ac:dyDescent="0.15"/>
    <row r="69" spans="1:28" s="15" customFormat="1" x14ac:dyDescent="0.15"/>
    <row r="70" spans="1:28" s="15" customFormat="1" x14ac:dyDescent="0.15"/>
    <row r="71" spans="1:28" s="15" customFormat="1" x14ac:dyDescent="0.15"/>
    <row r="72" spans="1:28" s="15" customFormat="1" x14ac:dyDescent="0.15"/>
    <row r="73" spans="1:28" s="15" customFormat="1" x14ac:dyDescent="0.15"/>
    <row r="74" spans="1:28" s="15" customFormat="1" x14ac:dyDescent="0.15"/>
    <row r="75" spans="1:28" s="15" customFormat="1" x14ac:dyDescent="0.15"/>
    <row r="76" spans="1:28" s="15" customFormat="1" x14ac:dyDescent="0.15"/>
    <row r="77" spans="1:28" s="15" customFormat="1" x14ac:dyDescent="0.15"/>
    <row r="78" spans="1:28" s="15" customFormat="1" x14ac:dyDescent="0.15"/>
    <row r="79" spans="1:28" s="15" customFormat="1" x14ac:dyDescent="0.15"/>
    <row r="80" spans="1:28" s="15" customFormat="1" x14ac:dyDescent="0.15"/>
    <row r="81" s="15" customFormat="1" x14ac:dyDescent="0.15"/>
    <row r="82" s="15" customFormat="1" x14ac:dyDescent="0.15"/>
    <row r="83" s="15" customFormat="1" x14ac:dyDescent="0.15"/>
    <row r="84" s="15" customFormat="1" x14ac:dyDescent="0.15"/>
    <row r="85" s="15" customFormat="1" x14ac:dyDescent="0.15"/>
    <row r="86" s="15" customFormat="1" x14ac:dyDescent="0.15"/>
    <row r="87" s="15" customFormat="1" x14ac:dyDescent="0.15"/>
    <row r="88" s="15" customFormat="1" x14ac:dyDescent="0.15"/>
    <row r="89" s="15" customFormat="1" x14ac:dyDescent="0.15"/>
    <row r="90" s="15" customFormat="1" x14ac:dyDescent="0.15"/>
    <row r="91" s="15" customFormat="1" x14ac:dyDescent="0.15"/>
    <row r="92" s="15" customFormat="1" x14ac:dyDescent="0.15"/>
    <row r="93" s="15" customFormat="1" x14ac:dyDescent="0.15"/>
    <row r="94" s="15" customFormat="1" x14ac:dyDescent="0.15"/>
    <row r="95" s="15" customFormat="1" x14ac:dyDescent="0.15"/>
    <row r="96" s="15" customFormat="1" x14ac:dyDescent="0.15"/>
    <row r="97" s="15" customFormat="1" x14ac:dyDescent="0.15"/>
    <row r="98" s="15" customFormat="1" x14ac:dyDescent="0.15"/>
    <row r="99" s="15" customFormat="1" x14ac:dyDescent="0.15"/>
    <row r="100" s="15" customFormat="1" x14ac:dyDescent="0.15"/>
    <row r="101" s="15" customFormat="1" x14ac:dyDescent="0.15"/>
    <row r="102" s="15" customFormat="1" x14ac:dyDescent="0.15"/>
    <row r="103" s="15" customFormat="1" x14ac:dyDescent="0.15"/>
    <row r="104" s="15" customFormat="1" x14ac:dyDescent="0.15"/>
    <row r="105" s="15" customFormat="1" x14ac:dyDescent="0.15"/>
    <row r="106" s="15" customFormat="1" x14ac:dyDescent="0.15"/>
    <row r="107" s="15" customFormat="1" x14ac:dyDescent="0.15"/>
    <row r="108" s="15" customFormat="1" x14ac:dyDescent="0.15"/>
    <row r="109" s="15" customFormat="1" x14ac:dyDescent="0.15"/>
    <row r="110" s="15" customFormat="1" x14ac:dyDescent="0.15"/>
    <row r="111" s="15" customFormat="1" x14ac:dyDescent="0.15"/>
    <row r="112" s="15" customFormat="1" x14ac:dyDescent="0.15"/>
    <row r="113" s="15" customFormat="1" x14ac:dyDescent="0.15"/>
    <row r="114" s="15" customFormat="1" x14ac:dyDescent="0.15"/>
    <row r="115" s="15" customFormat="1" x14ac:dyDescent="0.15"/>
    <row r="116" s="15" customFormat="1" x14ac:dyDescent="0.15"/>
    <row r="117" s="15" customFormat="1" x14ac:dyDescent="0.15"/>
    <row r="118" s="15" customFormat="1" x14ac:dyDescent="0.15"/>
    <row r="119" s="15" customFormat="1" x14ac:dyDescent="0.15"/>
    <row r="120" s="15" customFormat="1" x14ac:dyDescent="0.15"/>
    <row r="121" s="15" customFormat="1" x14ac:dyDescent="0.15"/>
    <row r="122" s="15" customFormat="1" x14ac:dyDescent="0.15"/>
    <row r="123" s="15" customFormat="1" x14ac:dyDescent="0.15"/>
    <row r="124" s="15" customFormat="1" x14ac:dyDescent="0.15"/>
    <row r="125" s="15" customFormat="1" x14ac:dyDescent="0.15"/>
    <row r="126" s="15" customFormat="1" x14ac:dyDescent="0.15"/>
    <row r="127" s="15" customFormat="1" x14ac:dyDescent="0.15"/>
    <row r="128" s="15" customFormat="1" x14ac:dyDescent="0.15"/>
    <row r="129" s="15" customFormat="1" x14ac:dyDescent="0.15"/>
    <row r="130" s="15" customFormat="1" x14ac:dyDescent="0.15"/>
    <row r="131" s="15" customFormat="1" x14ac:dyDescent="0.15"/>
    <row r="132" s="15" customFormat="1" x14ac:dyDescent="0.15"/>
    <row r="133" s="15" customFormat="1" x14ac:dyDescent="0.15"/>
    <row r="134" s="15" customFormat="1" x14ac:dyDescent="0.15"/>
    <row r="135" s="15" customFormat="1" x14ac:dyDescent="0.15"/>
    <row r="136" s="15" customFormat="1" x14ac:dyDescent="0.15"/>
    <row r="137" s="15" customFormat="1" x14ac:dyDescent="0.15"/>
    <row r="138" s="15" customFormat="1" x14ac:dyDescent="0.15"/>
    <row r="139" s="15" customFormat="1" x14ac:dyDescent="0.15"/>
    <row r="140" s="15" customFormat="1" x14ac:dyDescent="0.15"/>
    <row r="141" s="15" customFormat="1" x14ac:dyDescent="0.15"/>
    <row r="142" s="15" customFormat="1" x14ac:dyDescent="0.15"/>
    <row r="143" s="15" customFormat="1" x14ac:dyDescent="0.15"/>
    <row r="144" s="15" customFormat="1" x14ac:dyDescent="0.15"/>
    <row r="145" s="15" customFormat="1" x14ac:dyDescent="0.15"/>
    <row r="146" s="15" customFormat="1" x14ac:dyDescent="0.15"/>
    <row r="147" s="15" customFormat="1" x14ac:dyDescent="0.15"/>
    <row r="148" s="15" customFormat="1" x14ac:dyDescent="0.15"/>
    <row r="149" s="15" customFormat="1" x14ac:dyDescent="0.15"/>
    <row r="150" s="15" customFormat="1" x14ac:dyDescent="0.15"/>
    <row r="151" s="15" customFormat="1" x14ac:dyDescent="0.15"/>
    <row r="152" s="15" customFormat="1" x14ac:dyDescent="0.15"/>
    <row r="153" s="15" customFormat="1" x14ac:dyDescent="0.15"/>
    <row r="154" s="15" customFormat="1" x14ac:dyDescent="0.15"/>
    <row r="155" s="15" customFormat="1" x14ac:dyDescent="0.15"/>
    <row r="156" s="15" customFormat="1" x14ac:dyDescent="0.15"/>
    <row r="157" s="15" customFormat="1" x14ac:dyDescent="0.15"/>
    <row r="158" s="15" customFormat="1" x14ac:dyDescent="0.15"/>
    <row r="159" s="15" customFormat="1" x14ac:dyDescent="0.15"/>
    <row r="160" s="15" customFormat="1" x14ac:dyDescent="0.15"/>
    <row r="161" s="15" customFormat="1" x14ac:dyDescent="0.15"/>
    <row r="162" s="15" customFormat="1" x14ac:dyDescent="0.15"/>
    <row r="163" s="15" customFormat="1" x14ac:dyDescent="0.15"/>
    <row r="164" s="15" customFormat="1" x14ac:dyDescent="0.15"/>
    <row r="165" s="15" customFormat="1" x14ac:dyDescent="0.15"/>
    <row r="166" s="15" customFormat="1" x14ac:dyDescent="0.15"/>
    <row r="167" s="15" customFormat="1" x14ac:dyDescent="0.15"/>
    <row r="168" s="15" customFormat="1" x14ac:dyDescent="0.15"/>
    <row r="169" s="15" customFormat="1" x14ac:dyDescent="0.15"/>
    <row r="170" s="15" customFormat="1" x14ac:dyDescent="0.15"/>
    <row r="171" s="15" customFormat="1" x14ac:dyDescent="0.15"/>
    <row r="172" s="15" customFormat="1" x14ac:dyDescent="0.15"/>
  </sheetData>
  <phoneticPr fontId="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display="https://github.com/gabrielecirulli/2048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 display="https://github.com/samizdatco/arbor"/>
    <hyperlink ref="B33" r:id="rId32" display="https://github.com/HumbleSoftware/envisionjs"/>
    <hyperlink ref="B34" r:id="rId33" display="https://github.com/kartograph/kartograph.js"/>
    <hyperlink ref="B35" r:id="rId34" display="https://github.com/trifacta/vega"/>
    <hyperlink ref="B36" r:id="rId35" display="https://github.com/stamen/modestmaps-js"/>
    <hyperlink ref="B37" r:id="rId36" display="https://github.com/Leaflet/Leaflet"/>
    <hyperlink ref="B38" r:id="rId37" display="https://github.com/matplotlib/matplotlib"/>
    <hyperlink ref="B39" r:id="rId38" display="https://github.com/Kozea/pygal"/>
    <hyperlink ref="B40" r:id="rId39" display="https://github.com/dc-js/dc.js"/>
    <hyperlink ref="B41" r:id="rId40" display="https://github.com/nnnick/Chart.js"/>
    <hyperlink ref="B42" r:id="rId41" display="https://github.com/fastly/epoch"/>
    <hyperlink ref="B43" r:id="rId42" display="https://github.com/densitydesign/raw"/>
    <hyperlink ref="B44" r:id="rId43" display="https://github.com/gionkunz/chartist-js"/>
    <hyperlink ref="B45" r:id="rId44" display="https://github.com/ecomfe/echarts"/>
    <hyperlink ref="B46" r:id="rId45" display="https://github.com/github/linguist"/>
    <hyperlink ref="B47" r:id="rId46" display="https://github.com/defunkt/jquery-pjax"/>
    <hyperlink ref="B48" r:id="rId47" display="https://github.com/mbostock/d3"/>
    <hyperlink ref="B49" r:id="rId48" display="https://github.com/benpickles/peity"/>
    <hyperlink ref="B50" r:id="rId49" display="https://github.com/okfn/recline"/>
    <hyperlink ref="B51" r:id="rId50" display="https://github.com/jacomyal/sigma.js"/>
    <hyperlink ref="B57" r:id="rId51"/>
    <hyperlink ref="B58" r:id="rId52"/>
    <hyperlink ref="B59" r:id="rId53"/>
    <hyperlink ref="B60" r:id="rId54"/>
    <hyperlink ref="B61" r:id="rId55"/>
    <hyperlink ref="B63" r:id="rId56"/>
    <hyperlink ref="B64" r:id="rId57"/>
    <hyperlink ref="B65" r:id="rId58"/>
    <hyperlink ref="B66" r:id="rId59"/>
    <hyperlink ref="B67" r:id="rId60"/>
  </hyperlinks>
  <pageMargins left="0.7" right="0.7" top="0.75" bottom="0.75" header="0.3" footer="0.3"/>
  <pageSetup paperSize="9" orientation="portrait" horizontalDpi="4294967292" verticalDpi="4294967292"/>
  <tableParts count="1">
    <tablePart r:id="rId6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メイン</vt:lpstr>
      <vt:lpstr>すべて＝0.984819692</vt:lpstr>
      <vt:lpstr>contributionなし＝0.985571155</vt:lpstr>
      <vt:lpstr>starなし＝0.98623964</vt:lpstr>
      <vt:lpstr>Sheet5</vt:lpstr>
      <vt:lpstr>複製＠メイン</vt:lpstr>
      <vt:lpstr>Sheet6</vt:lpstr>
      <vt:lpstr>メイン２</vt:lpstr>
      <vt:lpstr>Sheet8</vt:lpstr>
      <vt:lpstr>メイン3</vt:lpstr>
      <vt:lpstr>Sheet10</vt:lpstr>
      <vt:lpstr>開発フロー</vt:lpstr>
      <vt:lpstr>開発フローとヒストグラム</vt:lpstr>
    </vt:vector>
  </TitlesOfParts>
  <Company>千葉工業大学社会システム科学部プロジェクトマネジメント学科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若月 純</dc:creator>
  <cp:lastModifiedBy>wakatsuki</cp:lastModifiedBy>
  <dcterms:created xsi:type="dcterms:W3CDTF">2014-11-05T01:43:07Z</dcterms:created>
  <dcterms:modified xsi:type="dcterms:W3CDTF">2014-11-25T04:54:44Z</dcterms:modified>
</cp:coreProperties>
</file>