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ocuments\Year_4\Project\Mineral data\"/>
    </mc:Choice>
  </mc:AlternateContent>
  <xr:revisionPtr revIDLastSave="0" documentId="13_ncr:1_{9247D869-7991-456D-8B39-B9C86563F0CD}" xr6:coauthVersionLast="47" xr6:coauthVersionMax="47" xr10:uidLastSave="{00000000-0000-0000-0000-000000000000}"/>
  <bookViews>
    <workbookView xWindow="-120" yWindow="16080" windowWidth="29040" windowHeight="7965" xr2:uid="{2AC46C4D-D2CB-4885-8F35-414BA7CC29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O37" i="1"/>
  <c r="N37" i="1"/>
  <c r="J37" i="1"/>
  <c r="F37" i="1"/>
  <c r="R24" i="1"/>
  <c r="K24" i="1"/>
  <c r="F24" i="1"/>
  <c r="L24" i="1" s="1"/>
  <c r="D24" i="1"/>
  <c r="E24" i="1" s="1"/>
  <c r="Q43" i="1" l="1"/>
  <c r="R33" i="1"/>
  <c r="R31" i="1"/>
  <c r="R32" i="1"/>
  <c r="R34" i="1"/>
  <c r="R35" i="1"/>
  <c r="R36" i="1"/>
  <c r="R38" i="1"/>
  <c r="R39" i="1"/>
  <c r="R40" i="1"/>
  <c r="R41" i="1"/>
  <c r="R30" i="1"/>
  <c r="R27" i="1"/>
  <c r="R28" i="1"/>
  <c r="R29" i="1"/>
  <c r="R13" i="1" l="1"/>
  <c r="R14" i="1"/>
  <c r="R15" i="1"/>
  <c r="R16" i="1"/>
  <c r="R17" i="1"/>
  <c r="R18" i="1"/>
  <c r="R19" i="1"/>
  <c r="R20" i="1"/>
  <c r="R21" i="1"/>
  <c r="R22" i="1"/>
  <c r="R23" i="1"/>
  <c r="R25" i="1"/>
  <c r="R26" i="1"/>
  <c r="R3" i="1"/>
  <c r="R4" i="1"/>
  <c r="R5" i="1"/>
  <c r="R6" i="1"/>
  <c r="R7" i="1"/>
  <c r="R8" i="1"/>
  <c r="R9" i="1"/>
  <c r="R10" i="1"/>
  <c r="R11" i="1"/>
  <c r="R12" i="1"/>
  <c r="R2" i="1"/>
  <c r="R43" i="1" s="1"/>
  <c r="D41" i="1" l="1"/>
  <c r="E2" i="1"/>
  <c r="D4" i="1"/>
  <c r="J4" i="1"/>
  <c r="F4" i="1"/>
  <c r="L4" i="1" s="1"/>
  <c r="M14" i="2"/>
  <c r="K4" i="1" l="1"/>
  <c r="N4" i="1" s="1"/>
  <c r="O4" i="1" s="1"/>
  <c r="L6" i="1"/>
  <c r="L9" i="1"/>
  <c r="L10" i="1"/>
  <c r="L12" i="1"/>
  <c r="L13" i="1"/>
  <c r="L14" i="1"/>
  <c r="L18" i="1"/>
  <c r="L23" i="1"/>
  <c r="L27" i="1"/>
  <c r="L38" i="1"/>
  <c r="L39" i="1"/>
  <c r="F40" i="1"/>
  <c r="L40" i="1" s="1"/>
  <c r="F36" i="1"/>
  <c r="L36" i="1" s="1"/>
  <c r="F33" i="1"/>
  <c r="L33" i="1" s="1"/>
  <c r="F30" i="1"/>
  <c r="F32" i="1" s="1"/>
  <c r="L32" i="1" s="1"/>
  <c r="F26" i="1"/>
  <c r="L26" i="1" s="1"/>
  <c r="F22" i="1"/>
  <c r="F19" i="1"/>
  <c r="L19" i="1" s="1"/>
  <c r="F17" i="1"/>
  <c r="F16" i="1"/>
  <c r="L16" i="1" s="1"/>
  <c r="F15" i="1"/>
  <c r="L15" i="1" s="1"/>
  <c r="F11" i="1"/>
  <c r="L11" i="1" s="1"/>
  <c r="F8" i="1"/>
  <c r="L8" i="1" s="1"/>
  <c r="F7" i="1"/>
  <c r="L7" i="1" s="1"/>
  <c r="F3" i="1"/>
  <c r="F21" i="1"/>
  <c r="L21" i="1" s="1"/>
  <c r="F25" i="1"/>
  <c r="L25" i="1" s="1"/>
  <c r="F5" i="1"/>
  <c r="L5" i="1" s="1"/>
  <c r="L41" i="1"/>
  <c r="L35" i="1"/>
  <c r="F28" i="1"/>
  <c r="M13" i="2"/>
  <c r="D30" i="1"/>
  <c r="D5" i="1"/>
  <c r="M3" i="2"/>
  <c r="M4" i="2"/>
  <c r="M5" i="2"/>
  <c r="M6" i="2"/>
  <c r="M7" i="2"/>
  <c r="M8" i="2"/>
  <c r="M9" i="2"/>
  <c r="M10" i="2"/>
  <c r="M11" i="2"/>
  <c r="M12" i="2"/>
  <c r="M2" i="2"/>
  <c r="D40" i="1"/>
  <c r="K40" i="1" s="1"/>
  <c r="D39" i="1"/>
  <c r="K39" i="1" s="1"/>
  <c r="D38" i="1"/>
  <c r="K38" i="1" s="1"/>
  <c r="D34" i="1"/>
  <c r="K34" i="1" s="1"/>
  <c r="D33" i="1"/>
  <c r="D32" i="1"/>
  <c r="D28" i="1"/>
  <c r="D27" i="1"/>
  <c r="D25" i="1"/>
  <c r="D23" i="1"/>
  <c r="D20" i="1"/>
  <c r="K20" i="1" s="1"/>
  <c r="D19" i="1"/>
  <c r="D13" i="1"/>
  <c r="K13" i="1" s="1"/>
  <c r="D9" i="1"/>
  <c r="K9" i="1" s="1"/>
  <c r="D8" i="1"/>
  <c r="K35" i="1"/>
  <c r="K31" i="1"/>
  <c r="K29" i="1"/>
  <c r="K26" i="1"/>
  <c r="K22" i="1"/>
  <c r="K21" i="1"/>
  <c r="K18" i="1"/>
  <c r="K17" i="1"/>
  <c r="K15" i="1"/>
  <c r="K14" i="1"/>
  <c r="K12" i="1"/>
  <c r="K11" i="1"/>
  <c r="K10" i="1"/>
  <c r="K7" i="1"/>
  <c r="K6" i="1"/>
  <c r="K3" i="1"/>
  <c r="J3" i="1"/>
  <c r="J5" i="1"/>
  <c r="J6" i="1"/>
  <c r="J8" i="1"/>
  <c r="J11" i="1"/>
  <c r="J14" i="1"/>
  <c r="J15" i="1"/>
  <c r="J16" i="1"/>
  <c r="J17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E6" i="1"/>
  <c r="H43" i="1"/>
  <c r="I2" i="1"/>
  <c r="I18" i="1"/>
  <c r="J18" i="1" s="1"/>
  <c r="I12" i="1"/>
  <c r="J12" i="1" s="1"/>
  <c r="I13" i="1"/>
  <c r="J13" i="1" s="1"/>
  <c r="I9" i="1"/>
  <c r="J9" i="1" s="1"/>
  <c r="I10" i="1"/>
  <c r="J10" i="1" s="1"/>
  <c r="I7" i="1"/>
  <c r="J7" i="1" s="1"/>
  <c r="E3" i="1"/>
  <c r="E7" i="1"/>
  <c r="E10" i="1"/>
  <c r="E11" i="1"/>
  <c r="E12" i="1"/>
  <c r="E14" i="1"/>
  <c r="E15" i="1"/>
  <c r="E18" i="1"/>
  <c r="E22" i="1"/>
  <c r="E26" i="1"/>
  <c r="E29" i="1"/>
  <c r="E36" i="1" s="1"/>
  <c r="D36" i="1" s="1"/>
  <c r="E31" i="1"/>
  <c r="E35" i="1"/>
  <c r="K41" i="1"/>
  <c r="G41" i="1"/>
  <c r="G40" i="1"/>
  <c r="G39" i="1"/>
  <c r="G38" i="1"/>
  <c r="G36" i="1"/>
  <c r="G35" i="1"/>
  <c r="G34" i="1"/>
  <c r="G33" i="1"/>
  <c r="G32" i="1"/>
  <c r="G31" i="1"/>
  <c r="F31" i="1"/>
  <c r="L31" i="1" s="1"/>
  <c r="G30" i="1"/>
  <c r="G29" i="1"/>
  <c r="G28" i="1"/>
  <c r="G27" i="1"/>
  <c r="G26" i="1"/>
  <c r="G25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5" i="1"/>
  <c r="G3" i="1"/>
  <c r="G2" i="1"/>
  <c r="J2" i="1" l="1"/>
  <c r="J24" i="1" s="1"/>
  <c r="N24" i="1" s="1"/>
  <c r="O24" i="1" s="1"/>
  <c r="I24" i="1"/>
  <c r="L30" i="1"/>
  <c r="E43" i="1"/>
  <c r="N14" i="1"/>
  <c r="O14" i="1" s="1"/>
  <c r="N6" i="1"/>
  <c r="O6" i="1" s="1"/>
  <c r="N35" i="1"/>
  <c r="O35" i="1" s="1"/>
  <c r="K36" i="1"/>
  <c r="N36" i="1" s="1"/>
  <c r="O36" i="1" s="1"/>
  <c r="N34" i="1"/>
  <c r="O34" i="1" s="1"/>
  <c r="N20" i="1"/>
  <c r="O20" i="1" s="1"/>
  <c r="K30" i="1"/>
  <c r="N30" i="1" s="1"/>
  <c r="O30" i="1" s="1"/>
  <c r="N21" i="1"/>
  <c r="O21" i="1" s="1"/>
  <c r="N12" i="1"/>
  <c r="O12" i="1" s="1"/>
  <c r="N38" i="1"/>
  <c r="O38" i="1" s="1"/>
  <c r="N3" i="1"/>
  <c r="O3" i="1" s="1"/>
  <c r="N31" i="1"/>
  <c r="O31" i="1" s="1"/>
  <c r="N41" i="1"/>
  <c r="O41" i="1" s="1"/>
  <c r="K23" i="1"/>
  <c r="N23" i="1" s="1"/>
  <c r="O23" i="1" s="1"/>
  <c r="K25" i="1"/>
  <c r="N25" i="1" s="1"/>
  <c r="O25" i="1" s="1"/>
  <c r="N39" i="1"/>
  <c r="O39" i="1" s="1"/>
  <c r="N7" i="1"/>
  <c r="O7" i="1" s="1"/>
  <c r="N26" i="1"/>
  <c r="O26" i="1" s="1"/>
  <c r="L17" i="1"/>
  <c r="L43" i="1" s="1"/>
  <c r="N27" i="1"/>
  <c r="O27" i="1" s="1"/>
  <c r="N40" i="1"/>
  <c r="O40" i="1" s="1"/>
  <c r="K27" i="1"/>
  <c r="K8" i="1"/>
  <c r="N8" i="1"/>
  <c r="O8" i="1" s="1"/>
  <c r="K28" i="1"/>
  <c r="N28" i="1"/>
  <c r="O28" i="1" s="1"/>
  <c r="N11" i="1"/>
  <c r="O11" i="1" s="1"/>
  <c r="N9" i="1"/>
  <c r="O9" i="1" s="1"/>
  <c r="K32" i="1"/>
  <c r="N32" i="1" s="1"/>
  <c r="O32" i="1" s="1"/>
  <c r="N15" i="1"/>
  <c r="O15" i="1" s="1"/>
  <c r="N18" i="1"/>
  <c r="O18" i="1" s="1"/>
  <c r="N10" i="1"/>
  <c r="O10" i="1" s="1"/>
  <c r="N29" i="1"/>
  <c r="O29" i="1" s="1"/>
  <c r="K19" i="1"/>
  <c r="N19" i="1" s="1"/>
  <c r="O19" i="1" s="1"/>
  <c r="N13" i="1"/>
  <c r="O13" i="1" s="1"/>
  <c r="K33" i="1"/>
  <c r="N33" i="1" s="1"/>
  <c r="O33" i="1" s="1"/>
  <c r="L22" i="1"/>
  <c r="N22" i="1" s="1"/>
  <c r="O22" i="1" s="1"/>
  <c r="K5" i="1"/>
  <c r="N5" i="1" s="1"/>
  <c r="O5" i="1" s="1"/>
  <c r="J43" i="1"/>
  <c r="N2" i="1"/>
  <c r="O2" i="1" s="1"/>
  <c r="I43" i="1"/>
  <c r="N17" i="1" l="1"/>
  <c r="O17" i="1" s="1"/>
  <c r="D16" i="1"/>
  <c r="K16" i="1" l="1"/>
  <c r="K43" i="1" s="1"/>
  <c r="N16" i="1"/>
  <c r="D43" i="1"/>
  <c r="F43" i="1"/>
  <c r="N43" i="1" l="1"/>
  <c r="O16" i="1"/>
  <c r="O43" i="1" s="1"/>
</calcChain>
</file>

<file path=xl/sharedStrings.xml><?xml version="1.0" encoding="utf-8"?>
<sst xmlns="http://schemas.openxmlformats.org/spreadsheetml/2006/main" count="81" uniqueCount="81">
  <si>
    <t>Mineral</t>
  </si>
  <si>
    <t>Mr</t>
  </si>
  <si>
    <t>Cp (J/kmol)</t>
  </si>
  <si>
    <t>Hm kcal</t>
  </si>
  <si>
    <t>Hm (kJ/mol)</t>
  </si>
  <si>
    <t>Tv</t>
  </si>
  <si>
    <t>Albite</t>
  </si>
  <si>
    <t>Andalusite</t>
  </si>
  <si>
    <t>Augite</t>
  </si>
  <si>
    <t>Calcite</t>
  </si>
  <si>
    <t>Coesite</t>
  </si>
  <si>
    <t>Corundum</t>
  </si>
  <si>
    <t>Cristobalite</t>
  </si>
  <si>
    <t>Diopside</t>
  </si>
  <si>
    <t>Dolomite</t>
  </si>
  <si>
    <t>Enstatite</t>
  </si>
  <si>
    <t>Fayalite</t>
  </si>
  <si>
    <t>Forsterite</t>
  </si>
  <si>
    <t>Grossular garnet</t>
  </si>
  <si>
    <t>Gypsum</t>
  </si>
  <si>
    <t>Hematite</t>
  </si>
  <si>
    <t>Ilmenite</t>
  </si>
  <si>
    <t>Jadeite</t>
  </si>
  <si>
    <t>Kyanite</t>
  </si>
  <si>
    <t>Magnetite</t>
  </si>
  <si>
    <t>Microcline</t>
  </si>
  <si>
    <t>Nepheline</t>
  </si>
  <si>
    <t>Orthoclase</t>
  </si>
  <si>
    <t>Periclase</t>
  </si>
  <si>
    <t>Perovskite</t>
  </si>
  <si>
    <t>Pyrite</t>
  </si>
  <si>
    <t>Quartz</t>
  </si>
  <si>
    <t>Ruby</t>
  </si>
  <si>
    <t>Rutile</t>
  </si>
  <si>
    <t>Sapphire</t>
  </si>
  <si>
    <t>Serpentine</t>
  </si>
  <si>
    <t>Sillimanite</t>
  </si>
  <si>
    <t>Spinel</t>
  </si>
  <si>
    <t>Stishovite</t>
  </si>
  <si>
    <t>Topaz</t>
  </si>
  <si>
    <t>Tourmaline</t>
  </si>
  <si>
    <t>Tremolite</t>
  </si>
  <si>
    <t>Wollastonite</t>
  </si>
  <si>
    <t>Mr (g/mol)</t>
  </si>
  <si>
    <t>Cp L (J/kmol)</t>
  </si>
  <si>
    <t>Tm (K)</t>
  </si>
  <si>
    <t>T0 (K)</t>
  </si>
  <si>
    <t>Hm (J/kmol)</t>
  </si>
  <si>
    <t>Eiv (J/kmol)</t>
  </si>
  <si>
    <t>mineral</t>
  </si>
  <si>
    <t>augite</t>
  </si>
  <si>
    <t># of Ca</t>
  </si>
  <si>
    <t># of Na</t>
  </si>
  <si>
    <t># of Mg</t>
  </si>
  <si>
    <t># of Fe</t>
  </si>
  <si>
    <t># of Al</t>
  </si>
  <si>
    <t># of Ti</t>
  </si>
  <si>
    <t># of Si</t>
  </si>
  <si>
    <t># of O</t>
  </si>
  <si>
    <t>corundum</t>
  </si>
  <si>
    <t># of H</t>
  </si>
  <si>
    <t># of S</t>
  </si>
  <si>
    <t>gypsum</t>
  </si>
  <si>
    <t>hematite</t>
  </si>
  <si>
    <t>magnetite</t>
  </si>
  <si>
    <t># of K</t>
  </si>
  <si>
    <t>orthoclase</t>
  </si>
  <si>
    <t>periclase</t>
  </si>
  <si>
    <t>pyrite</t>
  </si>
  <si>
    <t>ruby</t>
  </si>
  <si>
    <t>sapphire</t>
  </si>
  <si>
    <t>serpentine</t>
  </si>
  <si>
    <t>topaz</t>
  </si>
  <si>
    <t>Anorthite</t>
  </si>
  <si>
    <t>anorthite</t>
  </si>
  <si>
    <t>Cp (J/kg) *10^3</t>
  </si>
  <si>
    <t>Hf (kJ/mol)</t>
  </si>
  <si>
    <t>Ecv (J/kg) *10^6</t>
  </si>
  <si>
    <t>Eiv (J/kg) *10^5</t>
  </si>
  <si>
    <t>Oligoclase</t>
  </si>
  <si>
    <t>Titanium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</si>
</sst>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235857</xdr:colOff>
      <xdr:row>16</xdr:row>
      <xdr:rowOff>54429</xdr:rowOff>
    </xdr:from>
    <xdr:to>
      <xdr:col>17</xdr:col>
      <xdr:colOff>350157</xdr:colOff>
      <xdr:row>49</xdr:row>
      <xdr:rowOff>149678</xdr:rowOff>
    </xdr:to>
    <xdr:pic>
      <xdr:nvPicPr>
        <xdr:cNvPr id="2" name="Picture 1" descr="The Periodic Table - MR. HUTTON'S WEBSITE">
          <a:extLst>
            <a:ext uri="{FF2B5EF4-FFF2-40B4-BE49-F238E27FC236}">
              <a16:creationId xmlns:a16="http://schemas.microsoft.com/office/drawing/2014/main" id="{1FDC8C53-7F03-4E2E-8B39-67EC0D40A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7" y="2957286"/>
          <a:ext cx="10446657" cy="6082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1F86-519E-43F8-B448-F43ECAA692BC}">
  <dimension ref="B1:R43"/>
  <sheetViews>
    <sheetView tabSelected="1" zoomScale="91" workbookViewId="0">
      <pane ySplit="1" topLeftCell="A30" activePane="bottomLeft" state="frozen"/>
      <selection pane="bottomLeft" activeCell="R38" sqref="R38"/>
    </sheetView>
  </sheetViews>
  <sheetFormatPr defaultRowHeight="14.5" x14ac:dyDescent="0.35"/>
  <cols>
    <col min="2" max="2" width="15.08984375" customWidth="1"/>
    <col min="3" max="3" width="9.90625" customWidth="1"/>
    <col min="4" max="4" width="10.26953125" customWidth="1"/>
    <col min="5" max="5" width="13.54296875" customWidth="1"/>
    <col min="6" max="8" width="8.7265625" customWidth="1"/>
    <col min="9" max="10" width="11" customWidth="1"/>
    <col min="11" max="11" width="11.81640625" customWidth="1"/>
    <col min="12" max="13" width="8.7265625" customWidth="1"/>
    <col min="14" max="14" width="12.54296875" bestFit="1" customWidth="1"/>
    <col min="15" max="15" width="13.81640625" bestFit="1" customWidth="1"/>
    <col min="16" max="16" width="8.7265625" customWidth="1"/>
    <col min="17" max="17" width="10" customWidth="1"/>
    <col min="18" max="18" width="14.08984375" bestFit="1" customWidth="1"/>
  </cols>
  <sheetData>
    <row r="1" spans="2:18" x14ac:dyDescent="0.35">
      <c r="B1" s="1" t="s">
        <v>0</v>
      </c>
      <c r="C1" s="1" t="s">
        <v>43</v>
      </c>
      <c r="D1" s="1" t="s">
        <v>2</v>
      </c>
      <c r="E1" s="1" t="s">
        <v>75</v>
      </c>
      <c r="F1" s="1" t="s">
        <v>45</v>
      </c>
      <c r="G1" s="1" t="s">
        <v>46</v>
      </c>
      <c r="H1" s="1" t="s">
        <v>3</v>
      </c>
      <c r="I1" s="1" t="s">
        <v>4</v>
      </c>
      <c r="J1" s="1" t="s">
        <v>47</v>
      </c>
      <c r="K1" s="1" t="s">
        <v>44</v>
      </c>
      <c r="L1" s="1" t="s">
        <v>5</v>
      </c>
      <c r="N1" t="s">
        <v>48</v>
      </c>
      <c r="O1" s="1" t="s">
        <v>78</v>
      </c>
      <c r="Q1" t="s">
        <v>76</v>
      </c>
      <c r="R1" t="s">
        <v>77</v>
      </c>
    </row>
    <row r="2" spans="2:18" x14ac:dyDescent="0.35">
      <c r="B2" s="1" t="s">
        <v>6</v>
      </c>
      <c r="C2" s="1">
        <v>262.22399999999999</v>
      </c>
      <c r="D2" s="1">
        <v>205.1</v>
      </c>
      <c r="E2" s="1">
        <f>D2/C2</f>
        <v>0.78215571419854779</v>
      </c>
      <c r="F2" s="1">
        <v>1391</v>
      </c>
      <c r="G2" s="1">
        <f>298</f>
        <v>298</v>
      </c>
      <c r="H2" s="1">
        <v>13.555999999999999</v>
      </c>
      <c r="I2" s="1">
        <f>H2*4.184</f>
        <v>56.718303999999996</v>
      </c>
      <c r="J2" s="1">
        <f>I2*10^6</f>
        <v>56718304</v>
      </c>
      <c r="K2" s="1">
        <v>359</v>
      </c>
      <c r="L2" s="1">
        <v>1700</v>
      </c>
      <c r="N2">
        <f>D2*(F2-G2)+J2+K2*(L2-F2)</f>
        <v>57053409.299999997</v>
      </c>
      <c r="O2" s="2">
        <f>N2/C2/10^5</f>
        <v>2.17575085804503</v>
      </c>
      <c r="Q2">
        <v>3935.1149999999998</v>
      </c>
      <c r="R2" s="2">
        <f>Q2/C2</f>
        <v>15.006692751235585</v>
      </c>
    </row>
    <row r="3" spans="2:18" x14ac:dyDescent="0.35">
      <c r="B3" s="1" t="s">
        <v>7</v>
      </c>
      <c r="C3" s="1">
        <v>162.04599999999999</v>
      </c>
      <c r="D3" s="1">
        <v>115.7</v>
      </c>
      <c r="E3" s="1">
        <f t="shared" ref="E3:E35" si="0">D3/C3</f>
        <v>0.71399479160238455</v>
      </c>
      <c r="F3" s="1">
        <f>F2*L3/L2</f>
        <v>1472.8235294117646</v>
      </c>
      <c r="G3" s="1">
        <f>298</f>
        <v>298</v>
      </c>
      <c r="H3" s="1"/>
      <c r="I3" s="1">
        <v>59.947900363636357</v>
      </c>
      <c r="J3" s="1">
        <f t="shared" ref="J3:J41" si="1">I3*10^6</f>
        <v>59947900.36363636</v>
      </c>
      <c r="K3" s="1">
        <f t="shared" ref="K3:K40" si="2">D3*$K$2/$D$2</f>
        <v>202.51730862993665</v>
      </c>
      <c r="L3" s="1">
        <v>1800</v>
      </c>
      <c r="N3">
        <f t="shared" ref="N3:N41" si="3">D3*(F3-G3)+J3+K3*(L3-F3)</f>
        <v>60150086.344259873</v>
      </c>
      <c r="O3" s="2">
        <f t="shared" ref="O3:O41" si="4">N3/C3/10^5</f>
        <v>3.7119142925008868</v>
      </c>
      <c r="Q3">
        <v>2592.08</v>
      </c>
      <c r="R3" s="2">
        <f t="shared" ref="R3:R41" si="5">Q3/C3</f>
        <v>15.995951766782271</v>
      </c>
    </row>
    <row r="4" spans="2:18" x14ac:dyDescent="0.35">
      <c r="B4" s="1" t="s">
        <v>73</v>
      </c>
      <c r="C4" s="1">
        <v>278.18</v>
      </c>
      <c r="D4" s="1">
        <f>E4*C4</f>
        <v>166.90799999999999</v>
      </c>
      <c r="E4" s="1">
        <v>0.6</v>
      </c>
      <c r="F4" s="1">
        <f>1553+273.15</f>
        <v>1826.15</v>
      </c>
      <c r="G4" s="1">
        <v>298</v>
      </c>
      <c r="H4" s="1"/>
      <c r="I4" s="1">
        <v>32.4</v>
      </c>
      <c r="J4" s="1">
        <f t="shared" si="1"/>
        <v>32400000</v>
      </c>
      <c r="K4" s="1">
        <f t="shared" si="2"/>
        <v>292.15003412969281</v>
      </c>
      <c r="L4" s="1">
        <f>F4*$L$34/$F$34</f>
        <v>2231.8152408339392</v>
      </c>
      <c r="N4">
        <f t="shared" si="3"/>
        <v>32773575.574154865</v>
      </c>
      <c r="O4" s="2">
        <f t="shared" si="4"/>
        <v>1.1781427699387039</v>
      </c>
      <c r="Q4">
        <v>100.1</v>
      </c>
      <c r="R4" s="2">
        <f t="shared" si="5"/>
        <v>0.35983895319577247</v>
      </c>
    </row>
    <row r="5" spans="2:18" x14ac:dyDescent="0.35">
      <c r="B5" s="1" t="s">
        <v>8</v>
      </c>
      <c r="C5" s="1">
        <v>236.36200000000002</v>
      </c>
      <c r="D5" s="1">
        <f>E5*C5</f>
        <v>189.08960000000002</v>
      </c>
      <c r="E5" s="1">
        <v>0.8</v>
      </c>
      <c r="F5" s="1">
        <f>1182+273.15</f>
        <v>1455.15</v>
      </c>
      <c r="G5" s="1">
        <f>298</f>
        <v>298</v>
      </c>
      <c r="H5" s="1"/>
      <c r="I5" s="1">
        <v>59.947900363636357</v>
      </c>
      <c r="J5" s="1">
        <f t="shared" si="1"/>
        <v>59947900.36363636</v>
      </c>
      <c r="K5" s="1">
        <f t="shared" si="2"/>
        <v>330.9759453924915</v>
      </c>
      <c r="L5" s="1">
        <f>F5*L2/F2</f>
        <v>1778.4004313443565</v>
      </c>
      <c r="N5">
        <f t="shared" si="3"/>
        <v>60273693.511389084</v>
      </c>
      <c r="O5" s="2">
        <f t="shared" si="4"/>
        <v>2.5500585335793859</v>
      </c>
      <c r="Q5">
        <v>2771.3312857142851</v>
      </c>
      <c r="R5" s="2">
        <f t="shared" si="5"/>
        <v>11.724944304559466</v>
      </c>
    </row>
    <row r="6" spans="2:18" x14ac:dyDescent="0.35">
      <c r="B6" s="1" t="s">
        <v>9</v>
      </c>
      <c r="C6" s="1">
        <v>100.089</v>
      </c>
      <c r="D6" s="1">
        <v>83.5</v>
      </c>
      <c r="E6" s="1">
        <f>D6/C6</f>
        <v>0.83425751081537436</v>
      </c>
      <c r="F6" s="1">
        <v>1500</v>
      </c>
      <c r="G6" s="1">
        <f>298</f>
        <v>298</v>
      </c>
      <c r="H6" s="1"/>
      <c r="I6" s="1">
        <v>60</v>
      </c>
      <c r="J6" s="1">
        <f t="shared" si="1"/>
        <v>60000000</v>
      </c>
      <c r="K6" s="1">
        <f t="shared" si="2"/>
        <v>146.15553388590931</v>
      </c>
      <c r="L6" s="1">
        <f t="shared" ref="L6:L19" si="6">F6*$L$34/$F$34</f>
        <v>1833.2135154565119</v>
      </c>
      <c r="N6">
        <f t="shared" si="3"/>
        <v>60149067.999249548</v>
      </c>
      <c r="O6" s="2">
        <f t="shared" si="4"/>
        <v>6.0095582930441456</v>
      </c>
      <c r="Q6">
        <v>1206</v>
      </c>
      <c r="R6" s="2">
        <f t="shared" si="5"/>
        <v>12.049276144231634</v>
      </c>
    </row>
    <row r="7" spans="2:18" x14ac:dyDescent="0.35">
      <c r="B7" s="1" t="s">
        <v>10</v>
      </c>
      <c r="C7" s="1">
        <v>60.085000000000001</v>
      </c>
      <c r="D7" s="1">
        <v>79</v>
      </c>
      <c r="E7" s="1">
        <f t="shared" si="0"/>
        <v>1.3148040276275277</v>
      </c>
      <c r="F7" s="1">
        <f>2450+273</f>
        <v>2723</v>
      </c>
      <c r="G7" s="1">
        <f>298</f>
        <v>298</v>
      </c>
      <c r="H7" s="1">
        <v>6.55</v>
      </c>
      <c r="I7" s="1">
        <f>H7*4184/1000</f>
        <v>27.405200000000001</v>
      </c>
      <c r="J7" s="1">
        <f t="shared" si="1"/>
        <v>27405200</v>
      </c>
      <c r="K7" s="1">
        <f t="shared" si="2"/>
        <v>138.27888834714773</v>
      </c>
      <c r="L7" s="1">
        <f t="shared" si="6"/>
        <v>3327.8936017253877</v>
      </c>
      <c r="N7">
        <f t="shared" si="3"/>
        <v>27680419.014814887</v>
      </c>
      <c r="O7" s="2">
        <f t="shared" si="4"/>
        <v>4.6068767603919261</v>
      </c>
      <c r="Q7">
        <v>907.8</v>
      </c>
      <c r="R7" s="2">
        <f t="shared" si="5"/>
        <v>15.108596155446451</v>
      </c>
    </row>
    <row r="8" spans="2:18" x14ac:dyDescent="0.35">
      <c r="B8" s="1" t="s">
        <v>11</v>
      </c>
      <c r="C8" s="1">
        <v>101.92</v>
      </c>
      <c r="D8" s="1">
        <f>E8*C8</f>
        <v>42.806399999999996</v>
      </c>
      <c r="E8" s="1">
        <v>0.42</v>
      </c>
      <c r="F8" s="1">
        <f>2040+273</f>
        <v>2313</v>
      </c>
      <c r="G8" s="1">
        <f>298</f>
        <v>298</v>
      </c>
      <c r="H8" s="1"/>
      <c r="I8" s="1">
        <v>59.947900363636357</v>
      </c>
      <c r="J8" s="1">
        <f t="shared" si="1"/>
        <v>59947900.36363636</v>
      </c>
      <c r="K8" s="1">
        <f t="shared" si="2"/>
        <v>74.926853242320817</v>
      </c>
      <c r="L8" s="1">
        <f t="shared" si="6"/>
        <v>2826.8152408339411</v>
      </c>
      <c r="N8">
        <f t="shared" si="3"/>
        <v>60072653.81877999</v>
      </c>
      <c r="O8" s="2">
        <f t="shared" si="4"/>
        <v>5.8940986870859478</v>
      </c>
      <c r="Q8">
        <v>1675.3</v>
      </c>
      <c r="R8" s="2">
        <f t="shared" si="5"/>
        <v>16.437401883830454</v>
      </c>
    </row>
    <row r="9" spans="2:18" x14ac:dyDescent="0.35">
      <c r="B9" s="1" t="s">
        <v>12</v>
      </c>
      <c r="C9" s="1">
        <v>60.085000000000001</v>
      </c>
      <c r="D9" s="1">
        <f>E9*C9</f>
        <v>48.513946459342094</v>
      </c>
      <c r="E9" s="1">
        <v>0.80742192659302814</v>
      </c>
      <c r="F9" s="1">
        <v>1996</v>
      </c>
      <c r="G9" s="1">
        <f>298</f>
        <v>298</v>
      </c>
      <c r="H9" s="1">
        <v>1.95</v>
      </c>
      <c r="I9" s="1">
        <f t="shared" ref="I9:I13" si="7">H9*4184/1000</f>
        <v>8.1587999999999994</v>
      </c>
      <c r="J9" s="1">
        <f t="shared" si="1"/>
        <v>8158799.9999999991</v>
      </c>
      <c r="K9" s="1">
        <f t="shared" si="2"/>
        <v>84.917146654821124</v>
      </c>
      <c r="L9" s="1">
        <f t="shared" si="6"/>
        <v>2439.3961179007983</v>
      </c>
      <c r="N9">
        <f t="shared" si="3"/>
        <v>8278828.6142579224</v>
      </c>
      <c r="O9" s="2">
        <f t="shared" si="4"/>
        <v>1.3778528108942203</v>
      </c>
      <c r="Q9">
        <v>908.35</v>
      </c>
      <c r="R9" s="2">
        <f t="shared" si="5"/>
        <v>15.117749854372972</v>
      </c>
    </row>
    <row r="10" spans="2:18" x14ac:dyDescent="0.35">
      <c r="B10" s="1" t="s">
        <v>13</v>
      </c>
      <c r="C10" s="1">
        <v>216.56</v>
      </c>
      <c r="D10" s="1">
        <v>166.5</v>
      </c>
      <c r="E10" s="1">
        <f t="shared" si="0"/>
        <v>0.76884004432951603</v>
      </c>
      <c r="F10" s="1">
        <v>1664</v>
      </c>
      <c r="G10" s="1">
        <f>298</f>
        <v>298</v>
      </c>
      <c r="H10" s="1">
        <v>18.5</v>
      </c>
      <c r="I10" s="1">
        <f t="shared" si="7"/>
        <v>77.403999999999996</v>
      </c>
      <c r="J10" s="1">
        <f t="shared" si="1"/>
        <v>77404000</v>
      </c>
      <c r="K10" s="1">
        <f t="shared" si="2"/>
        <v>291.43588493417843</v>
      </c>
      <c r="L10" s="1">
        <f t="shared" si="6"/>
        <v>2033.6448598130905</v>
      </c>
      <c r="N10">
        <f t="shared" si="3"/>
        <v>77739166.776831001</v>
      </c>
      <c r="O10" s="2">
        <f t="shared" si="4"/>
        <v>3.5897287946449481</v>
      </c>
      <c r="Q10">
        <v>2932.7</v>
      </c>
      <c r="R10" s="2">
        <f t="shared" si="5"/>
        <v>13.542205393424455</v>
      </c>
    </row>
    <row r="11" spans="2:18" x14ac:dyDescent="0.35">
      <c r="B11" s="1" t="s">
        <v>14</v>
      </c>
      <c r="C11" s="1">
        <v>184.411</v>
      </c>
      <c r="D11" s="1">
        <v>157.5</v>
      </c>
      <c r="E11" s="1">
        <f t="shared" si="0"/>
        <v>0.85407052724620547</v>
      </c>
      <c r="F11" s="1">
        <f>1391+273.15</f>
        <v>1664.15</v>
      </c>
      <c r="G11" s="1">
        <f>298</f>
        <v>298</v>
      </c>
      <c r="H11" s="1"/>
      <c r="I11" s="1">
        <v>59.947900363636357</v>
      </c>
      <c r="J11" s="1">
        <f t="shared" si="1"/>
        <v>59947900.36363636</v>
      </c>
      <c r="K11" s="1">
        <f t="shared" si="2"/>
        <v>275.68259385665527</v>
      </c>
      <c r="L11" s="1">
        <f t="shared" si="6"/>
        <v>2033.8281811646361</v>
      </c>
      <c r="N11">
        <f t="shared" si="3"/>
        <v>60264982.828512035</v>
      </c>
      <c r="O11" s="2">
        <f t="shared" si="4"/>
        <v>3.2679711529416378</v>
      </c>
      <c r="Q11">
        <v>2330.09</v>
      </c>
      <c r="R11" s="2">
        <f t="shared" si="5"/>
        <v>12.635309173530864</v>
      </c>
    </row>
    <row r="12" spans="2:18" x14ac:dyDescent="0.35">
      <c r="B12" s="1" t="s">
        <v>15</v>
      </c>
      <c r="C12" s="1">
        <v>100.396</v>
      </c>
      <c r="D12" s="1">
        <v>82.1</v>
      </c>
      <c r="E12" s="1">
        <f t="shared" si="0"/>
        <v>0.81776166381130722</v>
      </c>
      <c r="F12" s="1">
        <v>1830</v>
      </c>
      <c r="G12" s="1">
        <f>298</f>
        <v>298</v>
      </c>
      <c r="H12" s="1">
        <v>14.7</v>
      </c>
      <c r="I12" s="1">
        <f t="shared" si="7"/>
        <v>61.504799999999996</v>
      </c>
      <c r="J12" s="1">
        <f t="shared" si="1"/>
        <v>61504799.999999993</v>
      </c>
      <c r="K12" s="1">
        <f t="shared" si="2"/>
        <v>143.70502194051681</v>
      </c>
      <c r="L12" s="1">
        <f t="shared" si="6"/>
        <v>2236.5204888569447</v>
      </c>
      <c r="N12">
        <f t="shared" si="3"/>
        <v>61688996.235770449</v>
      </c>
      <c r="O12" s="2">
        <f t="shared" si="4"/>
        <v>6.1445671377117073</v>
      </c>
      <c r="Q12">
        <v>2771.3312857142851</v>
      </c>
      <c r="R12" s="2">
        <f t="shared" si="5"/>
        <v>27.604001013130851</v>
      </c>
    </row>
    <row r="13" spans="2:18" x14ac:dyDescent="0.35">
      <c r="B13" s="1" t="s">
        <v>16</v>
      </c>
      <c r="C13" s="1">
        <v>203.77799999999999</v>
      </c>
      <c r="D13" s="1">
        <f>E13*C13</f>
        <v>164.53482535727409</v>
      </c>
      <c r="E13" s="1">
        <v>0.80742192659302814</v>
      </c>
      <c r="F13" s="1">
        <v>1490</v>
      </c>
      <c r="G13" s="1"/>
      <c r="H13" s="1">
        <v>22.03</v>
      </c>
      <c r="I13" s="1">
        <f t="shared" si="7"/>
        <v>92.173520000000011</v>
      </c>
      <c r="J13" s="1">
        <f t="shared" si="1"/>
        <v>92173520.000000015</v>
      </c>
      <c r="K13" s="1">
        <f t="shared" si="2"/>
        <v>287.9961106936197</v>
      </c>
      <c r="L13" s="1">
        <f t="shared" si="6"/>
        <v>1820.992092020135</v>
      </c>
      <c r="N13">
        <f t="shared" si="3"/>
        <v>92514001.324954495</v>
      </c>
      <c r="O13" s="2">
        <f t="shared" si="4"/>
        <v>4.5399405885303858</v>
      </c>
      <c r="Q13">
        <v>1478.17</v>
      </c>
      <c r="R13" s="2">
        <f t="shared" si="5"/>
        <v>7.2538252411938489</v>
      </c>
    </row>
    <row r="14" spans="2:18" x14ac:dyDescent="0.35">
      <c r="B14" s="1" t="s">
        <v>17</v>
      </c>
      <c r="C14" s="1">
        <v>140.708</v>
      </c>
      <c r="D14" s="1">
        <v>117.9</v>
      </c>
      <c r="E14" s="1">
        <f t="shared" si="0"/>
        <v>0.83790544958353474</v>
      </c>
      <c r="F14" s="1">
        <v>2163</v>
      </c>
      <c r="G14" s="1">
        <f>298</f>
        <v>298</v>
      </c>
      <c r="H14" s="1"/>
      <c r="I14" s="1">
        <v>114</v>
      </c>
      <c r="J14" s="1">
        <f t="shared" si="1"/>
        <v>114000000</v>
      </c>
      <c r="K14" s="1">
        <f t="shared" si="2"/>
        <v>206.3681131155534</v>
      </c>
      <c r="L14" s="1">
        <f t="shared" si="6"/>
        <v>2643.4938892882901</v>
      </c>
      <c r="N14">
        <f t="shared" si="3"/>
        <v>114319042.11729598</v>
      </c>
      <c r="O14" s="2">
        <f t="shared" si="4"/>
        <v>8.1245588109628439</v>
      </c>
      <c r="Q14">
        <v>2176.9299999999998</v>
      </c>
      <c r="R14" s="2">
        <f t="shared" si="5"/>
        <v>15.47125962987179</v>
      </c>
    </row>
    <row r="15" spans="2:18" x14ac:dyDescent="0.35">
      <c r="B15" s="1" t="s">
        <v>18</v>
      </c>
      <c r="C15" s="1">
        <v>450.45400000000001</v>
      </c>
      <c r="D15" s="1">
        <v>330.1</v>
      </c>
      <c r="E15" s="1">
        <f t="shared" si="0"/>
        <v>0.73281622540814384</v>
      </c>
      <c r="F15" s="1">
        <f>1570+273</f>
        <v>1843</v>
      </c>
      <c r="G15" s="1">
        <f>298</f>
        <v>298</v>
      </c>
      <c r="H15" s="1"/>
      <c r="I15" s="1">
        <v>59.947900363636357</v>
      </c>
      <c r="J15" s="1">
        <f t="shared" si="1"/>
        <v>59947900.36363636</v>
      </c>
      <c r="K15" s="1">
        <f t="shared" si="2"/>
        <v>577.79570941004397</v>
      </c>
      <c r="L15" s="1">
        <f t="shared" si="6"/>
        <v>2252.408339324234</v>
      </c>
      <c r="N15">
        <f t="shared" si="3"/>
        <v>60694459.245494597</v>
      </c>
      <c r="O15" s="2">
        <f t="shared" si="4"/>
        <v>1.3474063776877236</v>
      </c>
      <c r="Q15">
        <v>6672</v>
      </c>
      <c r="R15" s="2">
        <f t="shared" si="5"/>
        <v>14.811723283620525</v>
      </c>
    </row>
    <row r="16" spans="2:18" x14ac:dyDescent="0.35">
      <c r="B16" s="1" t="s">
        <v>19</v>
      </c>
      <c r="C16" s="1">
        <v>172.18999999999997</v>
      </c>
      <c r="D16" s="1">
        <f>E16*C16</f>
        <v>187.68709999999999</v>
      </c>
      <c r="E16" s="1">
        <v>1.0900000000000001</v>
      </c>
      <c r="F16" s="1">
        <f>150+273</f>
        <v>423</v>
      </c>
      <c r="G16" s="1">
        <f>298</f>
        <v>298</v>
      </c>
      <c r="H16" s="1"/>
      <c r="I16" s="1">
        <v>59.947900363636357</v>
      </c>
      <c r="J16" s="1">
        <f t="shared" si="1"/>
        <v>59947900.36363636</v>
      </c>
      <c r="K16" s="1">
        <f t="shared" si="2"/>
        <v>328.52105753291073</v>
      </c>
      <c r="L16" s="1">
        <f t="shared" si="6"/>
        <v>516.96621135873636</v>
      </c>
      <c r="N16">
        <f t="shared" si="3"/>
        <v>60002231.130264297</v>
      </c>
      <c r="O16" s="2">
        <f t="shared" si="4"/>
        <v>3.4846524844801849</v>
      </c>
      <c r="Q16">
        <v>2024.1</v>
      </c>
      <c r="R16" s="2">
        <f t="shared" si="5"/>
        <v>11.75503803937511</v>
      </c>
    </row>
    <row r="17" spans="2:18" x14ac:dyDescent="0.35">
      <c r="B17" s="1" t="s">
        <v>20</v>
      </c>
      <c r="C17" s="1">
        <v>159.69999999999999</v>
      </c>
      <c r="D17" s="1">
        <v>103.9</v>
      </c>
      <c r="E17" s="1">
        <v>0.67</v>
      </c>
      <c r="F17" s="1">
        <f>2849+273</f>
        <v>3122</v>
      </c>
      <c r="G17" s="1">
        <f>298</f>
        <v>298</v>
      </c>
      <c r="H17" s="1"/>
      <c r="I17" s="1">
        <v>59.947900363636357</v>
      </c>
      <c r="J17" s="1">
        <f t="shared" si="1"/>
        <v>59947900.36363636</v>
      </c>
      <c r="K17" s="1">
        <f t="shared" si="2"/>
        <v>181.86299366162848</v>
      </c>
      <c r="L17" s="1">
        <f t="shared" si="6"/>
        <v>3815.5283968368199</v>
      </c>
      <c r="N17">
        <f t="shared" si="3"/>
        <v>60367441.114074454</v>
      </c>
      <c r="O17" s="2">
        <f t="shared" si="4"/>
        <v>3.7800526683828717</v>
      </c>
      <c r="Q17">
        <v>825.5</v>
      </c>
      <c r="R17" s="2">
        <f t="shared" si="5"/>
        <v>5.1690670006261747</v>
      </c>
    </row>
    <row r="18" spans="2:18" x14ac:dyDescent="0.35">
      <c r="B18" s="1" t="s">
        <v>21</v>
      </c>
      <c r="C18" s="1">
        <v>151.71</v>
      </c>
      <c r="D18" s="1">
        <v>99.5</v>
      </c>
      <c r="E18" s="1">
        <f t="shared" si="0"/>
        <v>0.65585656845296947</v>
      </c>
      <c r="F18" s="1">
        <v>1640</v>
      </c>
      <c r="G18" s="1">
        <f>298</f>
        <v>298</v>
      </c>
      <c r="H18" s="1">
        <v>21.67</v>
      </c>
      <c r="I18" s="1">
        <f>H18*4.184</f>
        <v>90.667280000000005</v>
      </c>
      <c r="J18" s="1">
        <f t="shared" si="1"/>
        <v>90667280</v>
      </c>
      <c r="K18" s="1">
        <f t="shared" si="2"/>
        <v>174.16138469039493</v>
      </c>
      <c r="L18" s="1">
        <f t="shared" si="6"/>
        <v>2004.3134435657862</v>
      </c>
      <c r="N18">
        <f t="shared" si="3"/>
        <v>90864258.333792746</v>
      </c>
      <c r="O18" s="2">
        <f t="shared" si="4"/>
        <v>5.9893387603844666</v>
      </c>
      <c r="Q18">
        <v>1234.08</v>
      </c>
      <c r="R18" s="2">
        <f t="shared" si="5"/>
        <v>8.1344670753411101</v>
      </c>
    </row>
    <row r="19" spans="2:18" x14ac:dyDescent="0.35">
      <c r="B19" s="1" t="s">
        <v>22</v>
      </c>
      <c r="C19" s="1">
        <v>202.14</v>
      </c>
      <c r="D19" s="1">
        <f>E19*C19</f>
        <v>163.21226824151469</v>
      </c>
      <c r="E19" s="1">
        <v>0.80742192659302814</v>
      </c>
      <c r="F19" s="1">
        <f>1150+273</f>
        <v>1423</v>
      </c>
      <c r="G19" s="1">
        <f>298</f>
        <v>298</v>
      </c>
      <c r="H19" s="1"/>
      <c r="I19" s="1">
        <v>59.947900363636357</v>
      </c>
      <c r="J19" s="1">
        <f t="shared" si="1"/>
        <v>59947900.36363636</v>
      </c>
      <c r="K19" s="1">
        <f t="shared" si="2"/>
        <v>285.68115211459667</v>
      </c>
      <c r="L19" s="1">
        <f t="shared" si="6"/>
        <v>1739.1085549964109</v>
      </c>
      <c r="N19">
        <f t="shared" si="3"/>
        <v>60221820.421592712</v>
      </c>
      <c r="O19" s="2">
        <f t="shared" si="4"/>
        <v>2.9792134373005199</v>
      </c>
      <c r="Q19">
        <v>3011</v>
      </c>
      <c r="R19" s="2">
        <f t="shared" si="5"/>
        <v>14.895616899178789</v>
      </c>
    </row>
    <row r="20" spans="2:18" x14ac:dyDescent="0.35">
      <c r="B20" s="1" t="s">
        <v>23</v>
      </c>
      <c r="C20" s="1">
        <v>162.04599999999999</v>
      </c>
      <c r="D20" s="1">
        <f>E20*C20</f>
        <v>130.83949351669384</v>
      </c>
      <c r="E20" s="1">
        <v>0.80742192659302814</v>
      </c>
      <c r="F20" s="1">
        <v>1472.8235294117646</v>
      </c>
      <c r="G20" s="1">
        <f>298</f>
        <v>298</v>
      </c>
      <c r="H20" s="1"/>
      <c r="I20" s="1">
        <v>59.947900363636357</v>
      </c>
      <c r="J20" s="1">
        <f t="shared" si="1"/>
        <v>59947900.36363636</v>
      </c>
      <c r="K20" s="1">
        <f t="shared" si="2"/>
        <v>229.01695842268694</v>
      </c>
      <c r="L20" s="1">
        <v>1800</v>
      </c>
      <c r="N20">
        <f t="shared" si="3"/>
        <v>60176542.639357679</v>
      </c>
      <c r="O20" s="2">
        <f t="shared" si="4"/>
        <v>3.713546933547121</v>
      </c>
      <c r="Q20">
        <v>2594.34</v>
      </c>
      <c r="R20" s="2">
        <f t="shared" si="5"/>
        <v>16.009898423904325</v>
      </c>
    </row>
    <row r="21" spans="2:18" x14ac:dyDescent="0.35">
      <c r="B21" s="1" t="s">
        <v>24</v>
      </c>
      <c r="C21" s="1">
        <v>231.55</v>
      </c>
      <c r="D21" s="1">
        <v>150.80000000000001</v>
      </c>
      <c r="E21" s="1">
        <v>0.67</v>
      </c>
      <c r="F21" s="1">
        <f>1590+273.15</f>
        <v>1863.15</v>
      </c>
      <c r="G21" s="1">
        <f>298</f>
        <v>298</v>
      </c>
      <c r="H21" s="1"/>
      <c r="I21" s="1">
        <v>59.947900363636357</v>
      </c>
      <c r="J21" s="1">
        <f t="shared" si="1"/>
        <v>59947900.36363636</v>
      </c>
      <c r="K21" s="1">
        <f t="shared" si="2"/>
        <v>263.95514383227697</v>
      </c>
      <c r="L21" s="1">
        <f t="shared" ref="L21:L26" si="8">F21*$L$34/$F$34</f>
        <v>2277.0345075485334</v>
      </c>
      <c r="N21">
        <f t="shared" si="3"/>
        <v>60293171.928356282</v>
      </c>
      <c r="O21" s="2">
        <f t="shared" si="4"/>
        <v>2.60389427459971</v>
      </c>
      <c r="Q21">
        <v>1120.8900000000001</v>
      </c>
      <c r="R21" s="2">
        <f t="shared" si="5"/>
        <v>4.8408119196717774</v>
      </c>
    </row>
    <row r="22" spans="2:18" x14ac:dyDescent="0.35">
      <c r="B22" s="1" t="s">
        <v>25</v>
      </c>
      <c r="C22" s="1">
        <v>278.33699999999999</v>
      </c>
      <c r="D22" s="1">
        <v>202.4</v>
      </c>
      <c r="E22" s="1">
        <f t="shared" si="0"/>
        <v>0.72717604917779533</v>
      </c>
      <c r="F22" s="1">
        <f>970+273</f>
        <v>1243</v>
      </c>
      <c r="G22" s="1">
        <f>298</f>
        <v>298</v>
      </c>
      <c r="H22" s="1"/>
      <c r="I22" s="1">
        <v>59.947900363636357</v>
      </c>
      <c r="J22" s="1">
        <f t="shared" si="1"/>
        <v>59947900.36363636</v>
      </c>
      <c r="K22" s="1">
        <f t="shared" si="2"/>
        <v>354.2740126767431</v>
      </c>
      <c r="L22" s="1">
        <f t="shared" si="8"/>
        <v>1519.1229331416296</v>
      </c>
      <c r="N22">
        <f t="shared" si="3"/>
        <v>60236991.543152519</v>
      </c>
      <c r="O22" s="2">
        <f t="shared" si="4"/>
        <v>2.1641747788886323</v>
      </c>
      <c r="Q22">
        <v>2323.1</v>
      </c>
      <c r="R22" s="2">
        <f t="shared" si="5"/>
        <v>8.3463571138583799</v>
      </c>
    </row>
    <row r="23" spans="2:18" x14ac:dyDescent="0.35">
      <c r="B23" s="1" t="s">
        <v>26</v>
      </c>
      <c r="C23" s="1">
        <v>142.05500000000001</v>
      </c>
      <c r="D23" s="1">
        <f>E23*C23</f>
        <v>114.69832178217261</v>
      </c>
      <c r="E23" s="1">
        <v>0.80742192659302814</v>
      </c>
      <c r="F23" s="1">
        <v>1375</v>
      </c>
      <c r="G23" s="1">
        <f>298</f>
        <v>298</v>
      </c>
      <c r="H23" s="1"/>
      <c r="I23" s="1">
        <v>59.947900363636357</v>
      </c>
      <c r="J23" s="1">
        <f t="shared" si="1"/>
        <v>59947900.36363636</v>
      </c>
      <c r="K23" s="1">
        <f t="shared" si="2"/>
        <v>200.76400545977557</v>
      </c>
      <c r="L23" s="1">
        <f t="shared" si="8"/>
        <v>1680.4457225018025</v>
      </c>
      <c r="N23">
        <f t="shared" si="3"/>
        <v>60132752.962895773</v>
      </c>
      <c r="O23" s="2">
        <f t="shared" si="4"/>
        <v>4.2330613468653526</v>
      </c>
      <c r="Q23">
        <v>2771.3312857142851</v>
      </c>
      <c r="R23" s="2">
        <f t="shared" si="5"/>
        <v>19.508861255952166</v>
      </c>
    </row>
    <row r="24" spans="2:18" x14ac:dyDescent="0.35">
      <c r="B24" s="1" t="s">
        <v>79</v>
      </c>
      <c r="C24" s="1">
        <v>265.42</v>
      </c>
      <c r="D24" s="1">
        <f>D2</f>
        <v>205.1</v>
      </c>
      <c r="E24" s="1">
        <f>D24/C24</f>
        <v>0.77273754803707329</v>
      </c>
      <c r="F24" s="1">
        <f>F2</f>
        <v>1391</v>
      </c>
      <c r="G24" s="1"/>
      <c r="H24" s="1"/>
      <c r="I24" s="1">
        <f>I2</f>
        <v>56.718303999999996</v>
      </c>
      <c r="J24" s="1">
        <f>J2</f>
        <v>56718304</v>
      </c>
      <c r="K24" s="1">
        <f>K2</f>
        <v>359</v>
      </c>
      <c r="L24" s="1">
        <f t="shared" si="8"/>
        <v>1700.0000000000052</v>
      </c>
      <c r="N24">
        <f t="shared" si="3"/>
        <v>57114529.100000001</v>
      </c>
      <c r="O24" s="2">
        <f t="shared" si="4"/>
        <v>2.1518547622635822</v>
      </c>
      <c r="Q24">
        <v>3794.0511999999999</v>
      </c>
      <c r="R24" s="2">
        <f t="shared" si="5"/>
        <v>14.294518875744103</v>
      </c>
    </row>
    <row r="25" spans="2:18" x14ac:dyDescent="0.35">
      <c r="B25" s="1" t="s">
        <v>27</v>
      </c>
      <c r="C25" s="1">
        <v>278.33</v>
      </c>
      <c r="D25" s="1">
        <f>E25*C25</f>
        <v>222.66399999999999</v>
      </c>
      <c r="E25" s="1">
        <v>0.8</v>
      </c>
      <c r="F25" s="1">
        <f>1177+273.15</f>
        <v>1450.15</v>
      </c>
      <c r="G25" s="1">
        <f>298</f>
        <v>298</v>
      </c>
      <c r="H25" s="1"/>
      <c r="I25" s="1">
        <v>59.947900363636357</v>
      </c>
      <c r="J25" s="1">
        <f t="shared" si="1"/>
        <v>59947900.36363636</v>
      </c>
      <c r="K25" s="1">
        <f t="shared" si="2"/>
        <v>389.74342272062404</v>
      </c>
      <c r="L25" s="1">
        <f t="shared" si="8"/>
        <v>1772.2897196261738</v>
      </c>
      <c r="N25">
        <f t="shared" si="3"/>
        <v>60329994.528157726</v>
      </c>
      <c r="O25" s="2">
        <f t="shared" si="4"/>
        <v>2.1675706725167152</v>
      </c>
      <c r="Q25">
        <v>3921.2</v>
      </c>
      <c r="R25" s="2">
        <f t="shared" si="5"/>
        <v>14.088312434879461</v>
      </c>
    </row>
    <row r="26" spans="2:18" x14ac:dyDescent="0.35">
      <c r="B26" s="1" t="s">
        <v>28</v>
      </c>
      <c r="C26" s="1">
        <v>40.299999999999997</v>
      </c>
      <c r="D26" s="1">
        <v>37.799999999999997</v>
      </c>
      <c r="E26" s="1">
        <f t="shared" si="0"/>
        <v>0.93796526054590568</v>
      </c>
      <c r="F26" s="1">
        <f>2825+723</f>
        <v>3548</v>
      </c>
      <c r="G26" s="1">
        <f>298</f>
        <v>298</v>
      </c>
      <c r="H26" s="1"/>
      <c r="I26" s="1">
        <v>59.947900363636357</v>
      </c>
      <c r="J26" s="1">
        <f t="shared" si="1"/>
        <v>59947900.36363636</v>
      </c>
      <c r="K26" s="1">
        <f t="shared" si="2"/>
        <v>66.163822525597269</v>
      </c>
      <c r="L26" s="1">
        <f t="shared" si="8"/>
        <v>4336.1610352264697</v>
      </c>
      <c r="N26">
        <f t="shared" si="3"/>
        <v>60122898.110492676</v>
      </c>
      <c r="O26" s="2">
        <f t="shared" si="4"/>
        <v>14.918833278037887</v>
      </c>
      <c r="Q26">
        <v>601.25</v>
      </c>
      <c r="R26" s="2">
        <f t="shared" si="5"/>
        <v>14.919354838709678</v>
      </c>
    </row>
    <row r="27" spans="2:18" x14ac:dyDescent="0.35">
      <c r="B27" s="1" t="s">
        <v>29</v>
      </c>
      <c r="C27" s="1">
        <v>135.97800000000001</v>
      </c>
      <c r="D27" s="1">
        <f>E27*C27</f>
        <v>109.79161873426679</v>
      </c>
      <c r="E27" s="1">
        <v>0.80742192659302814</v>
      </c>
      <c r="F27" s="1">
        <v>2188</v>
      </c>
      <c r="G27" s="1">
        <f>298</f>
        <v>298</v>
      </c>
      <c r="H27" s="1"/>
      <c r="I27" s="1">
        <v>59.947900363636357</v>
      </c>
      <c r="J27" s="1">
        <f t="shared" si="1"/>
        <v>59947900.36363636</v>
      </c>
      <c r="K27" s="1">
        <f t="shared" si="2"/>
        <v>192.17548086592774</v>
      </c>
      <c r="L27" s="1">
        <f t="shared" ref="L27" si="9">F27*$L$34/$F$34</f>
        <v>2674.0474478792321</v>
      </c>
      <c r="N27">
        <f t="shared" si="3"/>
        <v>60248812.925063975</v>
      </c>
      <c r="O27" s="2">
        <f t="shared" si="4"/>
        <v>4.4307765171618918</v>
      </c>
      <c r="Q27">
        <v>1662.7</v>
      </c>
      <c r="R27" s="2">
        <f t="shared" si="5"/>
        <v>12.227713306564297</v>
      </c>
    </row>
    <row r="28" spans="2:18" x14ac:dyDescent="0.35">
      <c r="B28" s="1" t="s">
        <v>30</v>
      </c>
      <c r="C28" s="1">
        <v>119.99000000000001</v>
      </c>
      <c r="D28" s="1">
        <f>E28*C28</f>
        <v>96.882556971897458</v>
      </c>
      <c r="E28" s="1">
        <v>0.80742192659302814</v>
      </c>
      <c r="F28" s="1">
        <f>L28*F2/L2</f>
        <v>589.12941176470588</v>
      </c>
      <c r="G28" s="1">
        <f>298</f>
        <v>298</v>
      </c>
      <c r="H28" s="1"/>
      <c r="I28" s="1">
        <v>59.947900363636357</v>
      </c>
      <c r="J28" s="1">
        <f t="shared" si="1"/>
        <v>59947900.36363636</v>
      </c>
      <c r="K28" s="1">
        <f t="shared" si="2"/>
        <v>169.57990225700237</v>
      </c>
      <c r="L28" s="1">
        <v>720</v>
      </c>
      <c r="N28">
        <f t="shared" si="3"/>
        <v>59998298.747019105</v>
      </c>
      <c r="O28" s="2">
        <f t="shared" si="4"/>
        <v>5.0002749184947994</v>
      </c>
      <c r="Q28">
        <v>167.36</v>
      </c>
      <c r="R28" s="2">
        <f t="shared" si="5"/>
        <v>1.3947828985748814</v>
      </c>
    </row>
    <row r="29" spans="2:18" x14ac:dyDescent="0.35">
      <c r="B29" s="1" t="s">
        <v>31</v>
      </c>
      <c r="C29" s="1">
        <v>60.085000000000001</v>
      </c>
      <c r="D29" s="1">
        <v>44.59</v>
      </c>
      <c r="E29" s="1">
        <f t="shared" si="0"/>
        <v>0.74211533660647422</v>
      </c>
      <c r="F29" s="1">
        <v>1700</v>
      </c>
      <c r="G29" s="1">
        <f>298</f>
        <v>298</v>
      </c>
      <c r="H29" s="1"/>
      <c r="I29" s="1">
        <v>9.3949999999999996</v>
      </c>
      <c r="J29" s="1">
        <f t="shared" si="1"/>
        <v>9395000</v>
      </c>
      <c r="K29" s="1">
        <f t="shared" si="2"/>
        <v>78.048805460750856</v>
      </c>
      <c r="L29" s="1">
        <v>6303</v>
      </c>
      <c r="N29">
        <f t="shared" si="3"/>
        <v>9816773.8315358367</v>
      </c>
      <c r="O29" s="2">
        <f t="shared" si="4"/>
        <v>1.6338144015204854</v>
      </c>
      <c r="Q29">
        <v>910.86</v>
      </c>
      <c r="R29" s="2">
        <f t="shared" si="5"/>
        <v>15.15952400765582</v>
      </c>
    </row>
    <row r="30" spans="2:18" x14ac:dyDescent="0.35">
      <c r="B30" s="1" t="s">
        <v>32</v>
      </c>
      <c r="C30" s="1">
        <v>101.92</v>
      </c>
      <c r="D30" s="1">
        <f>E30*C30</f>
        <v>82.292442758361432</v>
      </c>
      <c r="E30" s="1">
        <v>0.80742192659302814</v>
      </c>
      <c r="F30" s="1">
        <f>2050+273</f>
        <v>2323</v>
      </c>
      <c r="G30" s="1">
        <f>298</f>
        <v>298</v>
      </c>
      <c r="H30" s="1"/>
      <c r="I30" s="1">
        <v>59.947900363636357</v>
      </c>
      <c r="J30" s="1">
        <f t="shared" si="1"/>
        <v>59947900.36363636</v>
      </c>
      <c r="K30" s="1">
        <f t="shared" si="2"/>
        <v>144.04186713920893</v>
      </c>
      <c r="L30" s="1">
        <f t="shared" ref="L30:L32" si="10">F30*$L$34/$F$34</f>
        <v>2839.0366642703179</v>
      </c>
      <c r="N30">
        <f t="shared" si="3"/>
        <v>60188873.444855832</v>
      </c>
      <c r="O30" s="2">
        <f t="shared" si="4"/>
        <v>5.9055017116224322</v>
      </c>
      <c r="Q30">
        <v>1675.7</v>
      </c>
      <c r="R30" s="2">
        <f t="shared" si="5"/>
        <v>16.441326530612244</v>
      </c>
    </row>
    <row r="31" spans="2:18" x14ac:dyDescent="0.35">
      <c r="B31" s="1" t="s">
        <v>33</v>
      </c>
      <c r="C31" s="1">
        <v>79.899000000000001</v>
      </c>
      <c r="D31" s="1">
        <v>55.1</v>
      </c>
      <c r="E31" s="1">
        <f t="shared" si="0"/>
        <v>0.68962064606565787</v>
      </c>
      <c r="F31" s="1">
        <f>2103</f>
        <v>2103</v>
      </c>
      <c r="G31" s="1">
        <f>298</f>
        <v>298</v>
      </c>
      <c r="H31" s="1"/>
      <c r="I31" s="1">
        <v>59.947900363636357</v>
      </c>
      <c r="J31" s="1">
        <f t="shared" si="1"/>
        <v>59947900.36363636</v>
      </c>
      <c r="K31" s="1">
        <f t="shared" si="2"/>
        <v>96.445148707947354</v>
      </c>
      <c r="L31" s="1">
        <f t="shared" si="10"/>
        <v>2570.1653486700297</v>
      </c>
      <c r="N31">
        <f t="shared" si="3"/>
        <v>60092411.695160039</v>
      </c>
      <c r="O31" s="2">
        <f t="shared" si="4"/>
        <v>7.5210467834591217</v>
      </c>
      <c r="Q31">
        <v>944</v>
      </c>
      <c r="R31" s="2">
        <f t="shared" si="5"/>
        <v>11.814916331868984</v>
      </c>
    </row>
    <row r="32" spans="2:18" x14ac:dyDescent="0.35">
      <c r="B32" s="1" t="s">
        <v>34</v>
      </c>
      <c r="C32" s="1">
        <v>101.92</v>
      </c>
      <c r="D32" s="1">
        <f>E32*C32</f>
        <v>82.292442758361432</v>
      </c>
      <c r="E32" s="1">
        <v>0.80742192659302814</v>
      </c>
      <c r="F32" s="1">
        <f>F30</f>
        <v>2323</v>
      </c>
      <c r="G32" s="1">
        <f>298</f>
        <v>298</v>
      </c>
      <c r="H32" s="1"/>
      <c r="I32" s="1">
        <v>59.947900363636357</v>
      </c>
      <c r="J32" s="1">
        <f t="shared" si="1"/>
        <v>59947900.36363636</v>
      </c>
      <c r="K32" s="1">
        <f t="shared" si="2"/>
        <v>144.04186713920893</v>
      </c>
      <c r="L32" s="1">
        <f t="shared" si="10"/>
        <v>2839.0366642703179</v>
      </c>
      <c r="N32">
        <f t="shared" si="3"/>
        <v>60188873.444855832</v>
      </c>
      <c r="O32" s="2">
        <f t="shared" si="4"/>
        <v>5.9055017116224322</v>
      </c>
      <c r="Q32">
        <v>1675.7</v>
      </c>
      <c r="R32" s="2">
        <f t="shared" si="5"/>
        <v>16.441326530612244</v>
      </c>
    </row>
    <row r="33" spans="2:18" x14ac:dyDescent="0.35">
      <c r="B33" s="1" t="s">
        <v>35</v>
      </c>
      <c r="C33" s="1">
        <v>277.15000000000003</v>
      </c>
      <c r="D33" s="1">
        <f>E33*C33</f>
        <v>302.09350000000006</v>
      </c>
      <c r="E33" s="1">
        <v>1.0900000000000001</v>
      </c>
      <c r="F33" s="1">
        <f>1490+273</f>
        <v>1763</v>
      </c>
      <c r="G33" s="1">
        <f>298</f>
        <v>298</v>
      </c>
      <c r="H33" s="1"/>
      <c r="I33" s="1">
        <v>59.947900363636357</v>
      </c>
      <c r="J33" s="1">
        <f t="shared" si="1"/>
        <v>59947900.36363636</v>
      </c>
      <c r="K33" s="1">
        <f t="shared" si="2"/>
        <v>528.77409312530483</v>
      </c>
      <c r="L33" s="1">
        <f t="shared" ref="L33" si="11">F33*$L$34/$F$34</f>
        <v>2154.6369518332203</v>
      </c>
      <c r="N33">
        <f t="shared" si="3"/>
        <v>60597554.815176331</v>
      </c>
      <c r="O33" s="2">
        <f t="shared" si="4"/>
        <v>2.1864533579352812</v>
      </c>
      <c r="Q33">
        <v>8903</v>
      </c>
      <c r="R33" s="2">
        <f t="shared" si="5"/>
        <v>32.12339888147212</v>
      </c>
    </row>
    <row r="34" spans="2:18" x14ac:dyDescent="0.35">
      <c r="B34" s="1" t="s">
        <v>36</v>
      </c>
      <c r="C34" s="1">
        <v>162.04599999999999</v>
      </c>
      <c r="D34" s="1">
        <f>E34*C34</f>
        <v>130.83949351669384</v>
      </c>
      <c r="E34" s="1">
        <v>0.80742192659302814</v>
      </c>
      <c r="F34" s="1">
        <v>1472.8235294117601</v>
      </c>
      <c r="G34" s="1">
        <f>298</f>
        <v>298</v>
      </c>
      <c r="H34" s="1"/>
      <c r="I34" s="1">
        <v>59.947900363636357</v>
      </c>
      <c r="J34" s="1">
        <f t="shared" si="1"/>
        <v>59947900.36363636</v>
      </c>
      <c r="K34" s="1">
        <f t="shared" si="2"/>
        <v>229.01695842268694</v>
      </c>
      <c r="L34" s="1">
        <v>1800</v>
      </c>
      <c r="N34">
        <f t="shared" si="3"/>
        <v>60176542.639357679</v>
      </c>
      <c r="O34" s="2">
        <f t="shared" si="4"/>
        <v>3.713546933547121</v>
      </c>
      <c r="Q34">
        <v>2592.08</v>
      </c>
      <c r="R34" s="2">
        <f t="shared" si="5"/>
        <v>15.995951766782271</v>
      </c>
    </row>
    <row r="35" spans="2:18" x14ac:dyDescent="0.35">
      <c r="B35" s="1" t="s">
        <v>37</v>
      </c>
      <c r="C35" s="1">
        <v>142.273</v>
      </c>
      <c r="D35" s="1">
        <v>115.9</v>
      </c>
      <c r="E35" s="1">
        <f t="shared" si="0"/>
        <v>0.81463102626640338</v>
      </c>
      <c r="F35" s="1">
        <v>2408</v>
      </c>
      <c r="G35" s="1">
        <f>298</f>
        <v>298</v>
      </c>
      <c r="H35" s="1"/>
      <c r="I35" s="1">
        <v>59.947900363636357</v>
      </c>
      <c r="J35" s="1">
        <f t="shared" si="1"/>
        <v>59947900.36363636</v>
      </c>
      <c r="K35" s="1">
        <f t="shared" si="2"/>
        <v>202.86738176499267</v>
      </c>
      <c r="L35" s="1">
        <f>F35*$L$34/$F$34</f>
        <v>2942.9187634795203</v>
      </c>
      <c r="N35">
        <f t="shared" si="3"/>
        <v>60300966.932640418</v>
      </c>
      <c r="O35" s="2">
        <f t="shared" si="4"/>
        <v>4.2383984967379913</v>
      </c>
      <c r="Q35">
        <v>2301.61</v>
      </c>
      <c r="R35" s="2">
        <f t="shared" si="5"/>
        <v>16.177419468205493</v>
      </c>
    </row>
    <row r="36" spans="2:18" x14ac:dyDescent="0.35">
      <c r="B36" s="1" t="s">
        <v>38</v>
      </c>
      <c r="C36" s="1">
        <v>60.085000000000001</v>
      </c>
      <c r="D36" s="1">
        <f>E36*C36</f>
        <v>44.59</v>
      </c>
      <c r="E36" s="1">
        <f>E29</f>
        <v>0.74211533660647422</v>
      </c>
      <c r="F36" s="1">
        <f>F29</f>
        <v>1700</v>
      </c>
      <c r="G36" s="1">
        <f>298</f>
        <v>298</v>
      </c>
      <c r="H36" s="1"/>
      <c r="I36" s="1">
        <v>59.947900363636357</v>
      </c>
      <c r="J36" s="1">
        <f t="shared" si="1"/>
        <v>59947900.36363636</v>
      </c>
      <c r="K36" s="1">
        <f t="shared" si="2"/>
        <v>78.048805460750856</v>
      </c>
      <c r="L36" s="1">
        <f t="shared" ref="L36:L40" si="12">F36*$L$34/$F$34</f>
        <v>2077.6419841840466</v>
      </c>
      <c r="N36">
        <f t="shared" si="3"/>
        <v>60039890.049393751</v>
      </c>
      <c r="O36" s="2">
        <f t="shared" si="4"/>
        <v>9.9924923107920023</v>
      </c>
      <c r="Q36">
        <v>910.86</v>
      </c>
      <c r="R36" s="2">
        <f t="shared" si="5"/>
        <v>15.15952400765582</v>
      </c>
    </row>
    <row r="37" spans="2:18" x14ac:dyDescent="0.35">
      <c r="B37" s="1" t="s">
        <v>80</v>
      </c>
      <c r="C37" s="1">
        <v>47.866999999999997</v>
      </c>
      <c r="D37" s="1"/>
      <c r="E37" s="1">
        <v>5.23</v>
      </c>
      <c r="F37" s="1">
        <f>1668+273</f>
        <v>1941</v>
      </c>
      <c r="G37" s="1">
        <v>298</v>
      </c>
      <c r="H37" s="1"/>
      <c r="I37" s="1">
        <v>15.45</v>
      </c>
      <c r="J37" s="1">
        <f t="shared" si="1"/>
        <v>15450000</v>
      </c>
      <c r="K37" s="1">
        <v>33510</v>
      </c>
      <c r="L37" s="1">
        <v>3287</v>
      </c>
      <c r="N37">
        <f t="shared" si="3"/>
        <v>60554460</v>
      </c>
      <c r="O37" s="2">
        <f t="shared" si="4"/>
        <v>12.650565107485324</v>
      </c>
      <c r="Q37">
        <v>468</v>
      </c>
      <c r="R37" s="2">
        <f>Q37/C37+O37</f>
        <v>22.42765579626883</v>
      </c>
    </row>
    <row r="38" spans="2:18" x14ac:dyDescent="0.35">
      <c r="B38" s="1" t="s">
        <v>39</v>
      </c>
      <c r="C38" s="1">
        <v>180.03</v>
      </c>
      <c r="D38" s="1">
        <f>E38*C38</f>
        <v>158.4264</v>
      </c>
      <c r="E38" s="1">
        <v>0.88</v>
      </c>
      <c r="F38" s="1">
        <v>1774.7277777777776</v>
      </c>
      <c r="G38" s="1">
        <f>298</f>
        <v>298</v>
      </c>
      <c r="H38" s="1"/>
      <c r="I38" s="1">
        <v>59.947900363636357</v>
      </c>
      <c r="J38" s="1">
        <f t="shared" si="1"/>
        <v>59947900.36363636</v>
      </c>
      <c r="K38" s="1">
        <f t="shared" si="2"/>
        <v>277.30413261823497</v>
      </c>
      <c r="L38" s="1">
        <f t="shared" si="12"/>
        <v>2168.9699656522153</v>
      </c>
      <c r="N38">
        <f t="shared" si="3"/>
        <v>60291178.017199725</v>
      </c>
      <c r="O38" s="2">
        <f t="shared" si="4"/>
        <v>3.348951731222559</v>
      </c>
      <c r="Q38">
        <v>3084.45</v>
      </c>
      <c r="R38" s="2">
        <f t="shared" si="5"/>
        <v>17.132977837027163</v>
      </c>
    </row>
    <row r="39" spans="2:18" x14ac:dyDescent="0.35">
      <c r="B39" s="1" t="s">
        <v>40</v>
      </c>
      <c r="C39" s="1">
        <v>1054</v>
      </c>
      <c r="D39" s="1">
        <f>E39*C39</f>
        <v>851.02271062905163</v>
      </c>
      <c r="E39" s="1">
        <v>0.80742192659302814</v>
      </c>
      <c r="F39" s="1">
        <v>1125</v>
      </c>
      <c r="G39" s="1">
        <f>298</f>
        <v>298</v>
      </c>
      <c r="H39" s="1"/>
      <c r="I39" s="1">
        <v>59.947900363636357</v>
      </c>
      <c r="J39" s="1">
        <f t="shared" si="1"/>
        <v>59947900.36363636</v>
      </c>
      <c r="K39" s="1">
        <f t="shared" si="2"/>
        <v>1489.6009415691346</v>
      </c>
      <c r="L39" s="1">
        <f t="shared" si="12"/>
        <v>1374.9101365923839</v>
      </c>
      <c r="N39">
        <f t="shared" si="3"/>
        <v>61023962.52010227</v>
      </c>
      <c r="O39" s="2">
        <f t="shared" si="4"/>
        <v>0.5789749764715586</v>
      </c>
      <c r="Q39">
        <v>15209.37</v>
      </c>
      <c r="R39" s="2">
        <f t="shared" si="5"/>
        <v>14.430142314990514</v>
      </c>
    </row>
    <row r="40" spans="2:18" x14ac:dyDescent="0.35">
      <c r="B40" s="1" t="s">
        <v>41</v>
      </c>
      <c r="C40" s="1">
        <v>812.40899999999999</v>
      </c>
      <c r="D40" s="1">
        <f>E40*C40</f>
        <v>655.95683996151536</v>
      </c>
      <c r="E40" s="1">
        <v>0.80742192659302814</v>
      </c>
      <c r="F40" s="1">
        <f>1040+273</f>
        <v>1313</v>
      </c>
      <c r="G40" s="1">
        <f>298</f>
        <v>298</v>
      </c>
      <c r="H40" s="1"/>
      <c r="I40" s="1">
        <v>59.947900363636357</v>
      </c>
      <c r="J40" s="1">
        <f t="shared" si="1"/>
        <v>59947900.36363636</v>
      </c>
      <c r="K40" s="1">
        <f t="shared" si="2"/>
        <v>1148.1643371340031</v>
      </c>
      <c r="L40" s="1">
        <f t="shared" si="12"/>
        <v>1604.6728971962666</v>
      </c>
      <c r="N40">
        <f t="shared" si="3"/>
        <v>60948584.974866606</v>
      </c>
      <c r="O40" s="2">
        <f t="shared" si="4"/>
        <v>0.75022045515087366</v>
      </c>
      <c r="Q40">
        <v>12299.2</v>
      </c>
      <c r="R40" s="2">
        <f t="shared" si="5"/>
        <v>15.139172510398089</v>
      </c>
    </row>
    <row r="41" spans="2:18" x14ac:dyDescent="0.35">
      <c r="B41" s="1" t="s">
        <v>42</v>
      </c>
      <c r="C41" s="1">
        <v>116.164</v>
      </c>
      <c r="D41" s="1">
        <f>E41*C41</f>
        <v>97.577759999999998</v>
      </c>
      <c r="E41" s="1">
        <v>0.84</v>
      </c>
      <c r="F41" s="1">
        <v>1817</v>
      </c>
      <c r="G41" s="1">
        <f>298</f>
        <v>298</v>
      </c>
      <c r="H41" s="1">
        <v>6.55</v>
      </c>
      <c r="I41" s="1">
        <v>62</v>
      </c>
      <c r="J41" s="1">
        <f t="shared" si="1"/>
        <v>62000000</v>
      </c>
      <c r="K41" s="1">
        <f>D41*$K$2/$D$2</f>
        <v>170.79676177474403</v>
      </c>
      <c r="L41" s="1">
        <f>F41*$L$34/$F$34</f>
        <v>2220.6326383896549</v>
      </c>
      <c r="N41">
        <f t="shared" si="3"/>
        <v>62217159.765023552</v>
      </c>
      <c r="O41" s="2">
        <f t="shared" si="4"/>
        <v>5.3559760136551384</v>
      </c>
      <c r="Q41">
        <v>89.61</v>
      </c>
      <c r="R41" s="2">
        <f t="shared" si="5"/>
        <v>0.77140938672910708</v>
      </c>
    </row>
    <row r="42" spans="2:18" x14ac:dyDescent="0.35">
      <c r="B42" s="1"/>
      <c r="C42" s="1"/>
      <c r="D42" s="1"/>
      <c r="G42" s="1"/>
      <c r="I42" s="1"/>
      <c r="J42" s="1"/>
      <c r="K42" s="1"/>
      <c r="L42" s="1"/>
    </row>
    <row r="43" spans="2:18" x14ac:dyDescent="0.35">
      <c r="D43">
        <f>AVERAGE(D2:D41)</f>
        <v>163.97973642787554</v>
      </c>
      <c r="E43">
        <f>AVERAGE(E2:E41)</f>
        <v>0.91294717113744128</v>
      </c>
      <c r="F43">
        <f>AVERAGE(F2:F41)</f>
        <v>1770.5769444444443</v>
      </c>
      <c r="H43">
        <f>AVERAGE(H2:H41)</f>
        <v>13.18825</v>
      </c>
      <c r="I43">
        <f>AVERAGE(I2:I41)</f>
        <v>58.066015436363635</v>
      </c>
      <c r="J43">
        <f>AVERAGE(J2:J41)</f>
        <v>58066015.4363636</v>
      </c>
      <c r="K43">
        <f>AVERAGE(K2:K41)</f>
        <v>1117.5988895327505</v>
      </c>
      <c r="L43">
        <f>AVERAGE(L2:L41)</f>
        <v>2292.4015496445459</v>
      </c>
      <c r="N43">
        <f t="shared" ref="N43:O43" si="13">AVERAGE(N2:N41)</f>
        <v>59504983.958003804</v>
      </c>
      <c r="O43">
        <f t="shared" si="13"/>
        <v>4.3979278673026396</v>
      </c>
      <c r="Q43">
        <f>AVERAGE(Q2:Q41)</f>
        <v>2739.3160014285713</v>
      </c>
      <c r="R43">
        <f t="shared" ref="R43" si="14">AVERAGE(R2:R41)</f>
        <v>13.697958025027145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320C-5DE2-44AB-A72E-542BFF92F00C}">
  <dimension ref="A1:M15"/>
  <sheetViews>
    <sheetView topLeftCell="E1" zoomScale="97" zoomScaleNormal="130" workbookViewId="0">
      <pane ySplit="1" topLeftCell="A2" activePane="bottomLeft" state="frozen"/>
      <selection pane="bottomLeft" activeCell="M12" sqref="M12"/>
    </sheetView>
  </sheetViews>
  <sheetFormatPr defaultRowHeight="14.5" x14ac:dyDescent="0.35"/>
  <sheetData>
    <row r="1" spans="1:13" x14ac:dyDescent="0.35">
      <c r="A1" t="s">
        <v>49</v>
      </c>
      <c r="B1" t="s">
        <v>51</v>
      </c>
      <c r="C1" t="s">
        <v>52</v>
      </c>
      <c r="D1" t="s">
        <v>65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60</v>
      </c>
      <c r="L1" t="s">
        <v>61</v>
      </c>
      <c r="M1" t="s">
        <v>1</v>
      </c>
    </row>
    <row r="2" spans="1:13" x14ac:dyDescent="0.35">
      <c r="A2" t="s">
        <v>50</v>
      </c>
      <c r="B2">
        <v>0.9</v>
      </c>
      <c r="C2">
        <v>0.1</v>
      </c>
      <c r="E2">
        <v>0.9</v>
      </c>
      <c r="F2">
        <v>0.2</v>
      </c>
      <c r="G2">
        <v>0.4</v>
      </c>
      <c r="H2">
        <v>0.1</v>
      </c>
      <c r="I2">
        <v>1.9</v>
      </c>
      <c r="J2">
        <v>6</v>
      </c>
      <c r="M2">
        <f>B2*$B$15+C2*$C$15+D2*$D$15+E2*$E$15+F2*$F$15+G2*$G$15+H2*$H$15+I2*$I$15+J2*$J$15+K2*$K$15+L2*$L$15</f>
        <v>236.36200000000002</v>
      </c>
    </row>
    <row r="3" spans="1:13" x14ac:dyDescent="0.35">
      <c r="A3" t="s">
        <v>59</v>
      </c>
      <c r="G3">
        <v>2</v>
      </c>
      <c r="J3">
        <v>3</v>
      </c>
      <c r="M3">
        <f t="shared" ref="M3:M14" si="0">B3*$B$15+C3*$C$15+D3*$D$15+E3*$E$15+F3*$F$15+G3*$G$15+H3*$H$15+I3*$I$15+J3*$J$15+K3*$K$15+L3*$L$15</f>
        <v>101.92</v>
      </c>
    </row>
    <row r="4" spans="1:13" x14ac:dyDescent="0.35">
      <c r="A4" t="s">
        <v>62</v>
      </c>
      <c r="B4">
        <v>1</v>
      </c>
      <c r="J4">
        <v>6</v>
      </c>
      <c r="K4">
        <v>4</v>
      </c>
      <c r="L4">
        <v>1</v>
      </c>
      <c r="M4">
        <f t="shared" si="0"/>
        <v>172.18999999999997</v>
      </c>
    </row>
    <row r="5" spans="1:13" x14ac:dyDescent="0.35">
      <c r="A5" t="s">
        <v>63</v>
      </c>
      <c r="F5">
        <v>2</v>
      </c>
      <c r="J5">
        <v>3</v>
      </c>
      <c r="M5">
        <f t="shared" si="0"/>
        <v>159.69999999999999</v>
      </c>
    </row>
    <row r="6" spans="1:13" x14ac:dyDescent="0.35">
      <c r="A6" t="s">
        <v>64</v>
      </c>
      <c r="F6">
        <v>3</v>
      </c>
      <c r="J6">
        <v>4</v>
      </c>
      <c r="M6">
        <f t="shared" si="0"/>
        <v>231.55</v>
      </c>
    </row>
    <row r="7" spans="1:13" x14ac:dyDescent="0.35">
      <c r="A7" t="s">
        <v>66</v>
      </c>
      <c r="D7">
        <v>1</v>
      </c>
      <c r="G7">
        <v>1</v>
      </c>
      <c r="I7">
        <v>3</v>
      </c>
      <c r="J7">
        <v>8</v>
      </c>
      <c r="M7">
        <f t="shared" si="0"/>
        <v>278.33</v>
      </c>
    </row>
    <row r="8" spans="1:13" x14ac:dyDescent="0.35">
      <c r="A8" t="s">
        <v>67</v>
      </c>
      <c r="E8">
        <v>1</v>
      </c>
      <c r="J8">
        <v>1</v>
      </c>
      <c r="M8">
        <f t="shared" si="0"/>
        <v>40.31</v>
      </c>
    </row>
    <row r="9" spans="1:13" x14ac:dyDescent="0.35">
      <c r="A9" t="s">
        <v>68</v>
      </c>
      <c r="F9">
        <v>1</v>
      </c>
      <c r="L9">
        <v>2</v>
      </c>
      <c r="M9">
        <f t="shared" si="0"/>
        <v>119.99000000000001</v>
      </c>
    </row>
    <row r="10" spans="1:13" x14ac:dyDescent="0.35">
      <c r="A10" t="s">
        <v>69</v>
      </c>
      <c r="G10">
        <v>2</v>
      </c>
      <c r="J10">
        <v>3</v>
      </c>
      <c r="M10">
        <f t="shared" si="0"/>
        <v>101.92</v>
      </c>
    </row>
    <row r="11" spans="1:13" x14ac:dyDescent="0.35">
      <c r="A11" t="s">
        <v>70</v>
      </c>
      <c r="G11">
        <v>2</v>
      </c>
      <c r="J11">
        <v>3</v>
      </c>
      <c r="M11">
        <f t="shared" si="0"/>
        <v>101.92</v>
      </c>
    </row>
    <row r="12" spans="1:13" x14ac:dyDescent="0.35">
      <c r="A12" t="s">
        <v>71</v>
      </c>
      <c r="E12">
        <v>3</v>
      </c>
      <c r="I12">
        <v>2</v>
      </c>
      <c r="J12">
        <v>9</v>
      </c>
      <c r="K12">
        <v>4</v>
      </c>
      <c r="M12">
        <f t="shared" si="0"/>
        <v>277.15000000000003</v>
      </c>
    </row>
    <row r="13" spans="1:13" x14ac:dyDescent="0.35">
      <c r="A13" t="s">
        <v>72</v>
      </c>
      <c r="G13">
        <v>2</v>
      </c>
      <c r="I13">
        <v>1</v>
      </c>
      <c r="J13">
        <v>6</v>
      </c>
      <c r="K13">
        <v>2</v>
      </c>
      <c r="M13">
        <f t="shared" si="0"/>
        <v>180.03</v>
      </c>
    </row>
    <row r="14" spans="1:13" x14ac:dyDescent="0.35">
      <c r="A14" t="s">
        <v>74</v>
      </c>
      <c r="B14">
        <v>1</v>
      </c>
      <c r="G14">
        <v>2</v>
      </c>
      <c r="I14">
        <v>2</v>
      </c>
      <c r="J14">
        <v>8</v>
      </c>
      <c r="M14">
        <f t="shared" si="0"/>
        <v>278.18</v>
      </c>
    </row>
    <row r="15" spans="1:13" x14ac:dyDescent="0.35">
      <c r="B15">
        <v>40.08</v>
      </c>
      <c r="C15">
        <v>22.99</v>
      </c>
      <c r="D15">
        <v>39.1</v>
      </c>
      <c r="E15">
        <v>24.31</v>
      </c>
      <c r="F15">
        <v>55.85</v>
      </c>
      <c r="G15">
        <v>26.96</v>
      </c>
      <c r="H15">
        <v>47.87</v>
      </c>
      <c r="I15">
        <v>28.09</v>
      </c>
      <c r="J15">
        <v>16</v>
      </c>
      <c r="K15">
        <v>1.01</v>
      </c>
      <c r="L15">
        <v>32.07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 Quirk</cp:lastModifiedBy>
  <dcterms:created xsi:type="dcterms:W3CDTF">2023-11-10T13:21:58Z</dcterms:created>
  <dcterms:modified xsi:type="dcterms:W3CDTF">2024-03-13T16:05:38Z</dcterms:modified>
</cp:coreProperties>
</file>