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商品タイトル</t>
        </is>
      </c>
      <c r="C1" s="1" t="inlineStr">
        <is>
          <t>金額</t>
        </is>
      </c>
      <c r="D1" s="1" t="inlineStr">
        <is>
          <t>レビュー点数</t>
        </is>
      </c>
      <c r="E1" s="1" t="inlineStr">
        <is>
          <t>リンク</t>
        </is>
      </c>
    </row>
    <row r="2">
      <c r="A2" s="1" t="n">
        <v>0</v>
      </c>
      <c r="B2" t="inlineStr">
        <is>
          <t>【最新版 4本セット 1M*2/1.8M*2/3M】USB Type C ケーブル 高速データ伝送 ナイロン編み 急速充電 USB同期＆充電 安全性 技術のアップグレード　高耐久　延長　断線防止 Sony Xperia Samsung Galaxy Macbook Pro Nexus 5X/6P GoPro Hero 5/6対応 TypeC全機種対応 ブラック</t>
        </is>
      </c>
      <c r="C2" t="inlineStr">
        <is>
          <t>￥1,079</t>
        </is>
      </c>
      <c r="D2" t="inlineStr">
        <is>
          <t>5</t>
        </is>
      </c>
      <c r="E2">
        <f>HYPERLINK("https://www.amazon.co.jp/%E9%AB%98%E9%80%9F%E3%83%87%E3%83%BC%E3%82%BF%E4%BC%9D%E9%80%81-USB%E5%90%8C%E6%9C%9F%EF%BC%86%E5%85%85%E9%9B%BB-%E6%8A%80%E8%A1%93%E3%81%AE%E3%82%A2%E3%83%83%E3%83%97%E3%82%B0%E3%83%AC%E3%83%BC%E3%83%89-%E9%AB%98%E8%80%90%E4%B9%85-%E5%BB%B6%E9%95%B7-%E6%96%AD%E7%B7%9A%E9%98%B2%E6%AD%A2-Samsung-TypeC%E5%85%A8%E6%A9%9F%E7%A8%AE%E5%AF%BE%E5%BF%9C/dp/B087CF6Q2Y/ref=sr_1_1?__mk_ja_JP=%E3%82%AB%E3%82%BF%E3%82%AB%E3%83%8A&amp;dchild=1&amp;keywords=Galaxy&amp;qid=1598526202&amp;sr=8-1", "Go")</f>
        <v/>
      </c>
    </row>
    <row r="3">
      <c r="A3" s="1" t="n">
        <v>1</v>
      </c>
      <c r="B3" t="inlineStr">
        <is>
          <t>【4本セット 0.25m+1m+1m+2m】USB Type C ケーブル タイプc ケーブル 急速充電 高速データ転送 高耐久 ナイロン編み アンドロイド 充電ケーブル HUAWEI、Galaxy、ASUS、AQUOS、Xperia、Nexus、Moto、Kindle、PS4、Xbox、Echo Dot Android microusb 各種対応(ピンク)</t>
        </is>
      </c>
      <c r="C3" t="inlineStr">
        <is>
          <t>￥989</t>
        </is>
      </c>
      <c r="D3" t="inlineStr">
        <is>
          <t>5</t>
        </is>
      </c>
      <c r="E3">
        <f>HYPERLINK("https://www.amazon.co.jp/KT-DJDL-TYPE-C-4SET-PINK-001/dp/B087D1HKKZ/ref=sr_1_2?__mk_ja_JP=%E3%82%AB%E3%82%BF%E3%82%AB%E3%83%8A&amp;dchild=1&amp;keywords=Galaxy&amp;qid=1598526202&amp;sr=8-2", "Go")</f>
        <v/>
      </c>
    </row>
    <row r="4">
      <c r="A4" s="1" t="n">
        <v>2</v>
      </c>
      <c r="B4" t="inlineStr">
        <is>
          <t>Nulaxy A5タブレットスタンド 完全折りたたみ式タブレットホルダースタンド iPad Pro 12.9、10.5、9.7、Air Mini 4 3 2、iPhone 11 pro Xs Max Xr X、Kindle、Nexus、Tab、E-Reader（4.7～13インチ）に対応 - ブラック</t>
        </is>
      </c>
      <c r="C4" t="inlineStr">
        <is>
          <t>￥8,159</t>
        </is>
      </c>
      <c r="D4" t="inlineStr">
        <is>
          <t>4.9</t>
        </is>
      </c>
      <c r="E4">
        <f>HYPERLINK("https://www.amazon.co.jp/Nulaxy-%E5%AE%8C%E5%85%A8%E6%8A%98%E3%82%8A%E3%81%9F%E3%81%9F%E3%81%BF%E5%BC%8F%E3%82%BF%E3%83%96%E3%83%AC%E3%83%83%E3%83%88%E3%83%9B%E3%83%AB%E3%83%80%E3%83%BC%E3%82%B9%E3%82%BF%E3%83%B3%E3%83%89-12-9%E3%80%8110-5%E3%80%819-7%E3%80%81Air-X%E3%80%81Kindle%E3%80%81Nexus%E3%80%81Tab%E3%80%81-Reader%EF%BC%884-7%EF%BD%9E13%E3%82%A4%E3%83%B3%E3%83%81%EF%BC%89%E3%81%AB%E5%AF%BE%E5%BF%9C/dp/B08731BKPL/ref=sr_1_3?__mk_ja_JP=%E3%82%AB%E3%82%BF%E3%82%AB%E3%83%8A&amp;dchild=1&amp;keywords=Galaxy&amp;qid=1598526202&amp;sr=8-3", "Go")</f>
        <v/>
      </c>
    </row>
    <row r="5">
      <c r="A5" s="1" t="n">
        <v>3</v>
      </c>
      <c r="B5" t="inlineStr">
        <is>
          <t>スマホ スタンド ホルダー 角度調整可能, 携帯電話卓上スタンド : 卓上 充電スタンド スマホ スタンド ホルダー 角度調整可能, 横, 縦, 携帯電話卓上スタンド : 卓上 充電スタンド, スマフォスタンド, アイフォンデスク置き台, aluminium, Nintendo Switch 対応, アイフォン, アンドロイド, iPhone 11, 11 Pro , 11 Pro Max, 11 プロ マックス XS XS Max XR X 8 plus 7 7plus 6 6s 6plus 5 5s se se2 第二世代, Xiaomi Redmi Note 8 9 10 pro mi, huawei p20 p30 lite, Sony Xperia, Nexus, android対応 (黒)</t>
        </is>
      </c>
      <c r="C5" t="inlineStr">
        <is>
          <t>￥1,299</t>
        </is>
      </c>
      <c r="D5" t="inlineStr">
        <is>
          <t>5</t>
        </is>
      </c>
      <c r="E5">
        <f>HYPERLINK("https://www.amazon.co.jp/%E3%82%B9%E3%83%9E%E3%83%9B-%E3%82%B9%E3%82%BF%E3%83%B3%E3%83%89-%E3%83%9B%E3%83%AB%E3%83%80%E3%83%BC-%E8%A7%92%E5%BA%A6%E8%AA%BF%E6%95%B4%E5%8F%AF%E8%83%BD-%E6%90%BA%E5%B8%AF%E9%9B%BB%E8%A9%B1%E5%8D%93%E4%B8%8A%E3%82%B9%E3%82%BF%E3%83%B3%E3%83%89/dp/B089QD4JMP/ref=sr_1_4?__mk_ja_JP=%E3%82%AB%E3%82%BF%E3%82%AB%E3%83%8A&amp;dchild=1&amp;keywords=Galaxy&amp;qid=1598526202&amp;sr=8-4", "Go")</f>
        <v/>
      </c>
    </row>
    <row r="6">
      <c r="A6" s="1" t="n">
        <v>4</v>
      </c>
      <c r="B6" t="inlineStr">
        <is>
          <t>【最新進化版】イヤホン 3.5mm 有線 カナル型 高音質 重低音 ステレオ マイク・リモコン付き ヘッドホン コンパクト ノイズ遮断 音漏れ防止 通話可能 インナーイヤー型 イヤフォン Android/iPhone/iPad/PC多機種対応</t>
        </is>
      </c>
      <c r="C6" t="inlineStr">
        <is>
          <t>￥1,399</t>
        </is>
      </c>
      <c r="D6" t="inlineStr">
        <is>
          <t>4.9</t>
        </is>
      </c>
      <c r="E6">
        <f>HYPERLINK("https://www.amazon.co.jp/%E3%80%90%E6%9C%80%E6%96%B0%E9%80%B2%E5%8C%96%E7%89%88%E3%80%91%E3%82%A4%E3%83%A4%E3%83%9B%E3%83%B3-%E3%83%9E%E3%82%A4%E3%82%AF%E3%83%BB%E3%83%AA%E3%83%A2%E3%82%B3%E3%83%B3%E4%BB%98%E3%81%8D-%E3%82%A4%E3%83%B3%E3%83%8A%E3%83%BC%E3%82%A4%E3%83%A4%E3%83%BC%E5%9E%8B-Android-PC%E5%A4%9A%E6%A9%9F%E7%A8%AE%E5%AF%BE%E5%BF%9C/dp/B08BFM1V8X/ref=sr_1_5?__mk_ja_JP=%E3%82%AB%E3%82%BF%E3%82%AB%E3%83%8A&amp;dchild=1&amp;keywords=Galaxy&amp;qid=1598526202&amp;sr=8-5", "Go")</f>
        <v/>
      </c>
    </row>
    <row r="7">
      <c r="A7" s="1" t="n">
        <v>5</v>
      </c>
      <c r="B7" t="inlineStr">
        <is>
          <t>有線イヤホン マイク付き 高音質 【2020最新版】 イヤフォン カナル型 Hi-Fi 重低音 リモコン 3.5mm ジャック ヘッドホン ハイレゾ 音量調整 遮音 騒音低減 音漏れ防止 携帯 スマホ Phone/Android/PC/Ipodに適用 (白)</t>
        </is>
      </c>
      <c r="C7" t="inlineStr">
        <is>
          <t>￥1,699</t>
        </is>
      </c>
      <c r="D7" t="inlineStr">
        <is>
          <t>4.9</t>
        </is>
      </c>
      <c r="E7">
        <f>HYPERLINK("https://www.amazon.co.jp/%E6%9C%89%E7%B7%9A%E3%82%A4%E3%83%A4%E3%83%9B%E3%83%B3-%E3%83%9E%E3%82%A4%E3%82%AF%E4%BB%98%E3%81%8D-%E3%80%902020%E6%9C%80%E6%96%B0%E7%89%88%E3%80%91-Android-Ipod%E3%81%AB%E9%81%A9%E7%94%A8/dp/B08DNWR5MQ/ref=sr_1_7?__mk_ja_JP=%E3%82%AB%E3%82%BF%E3%82%AB%E3%83%8A&amp;dchild=1&amp;keywords=Galaxy&amp;qid=1598526202&amp;sr=8-7", "Go")</f>
        <v/>
      </c>
    </row>
    <row r="8">
      <c r="A8" s="1" t="n">
        <v>6</v>
      </c>
      <c r="B8" t="inlineStr">
        <is>
          <t>【2枚セット】 Galaxy A41 ガラスフィルム SC-41A SCV48 フィルム /硬度9H/99%高透過率/Galaxy A41 強化ガラスフィルム/防指紋/自動吸着/スクラッチ防止/気泡ゼロ/飛散防止処理 Galaxy A41 液晶保護 フィルム -透明</t>
        </is>
      </c>
      <c r="C8" t="inlineStr">
        <is>
          <t>￥899</t>
        </is>
      </c>
      <c r="D8" t="inlineStr">
        <is>
          <t>4.9</t>
        </is>
      </c>
      <c r="E8">
        <f>HYPERLINK("https://www.amazon.co.jp/dp/B08F9ZLFW4/ref=sr_1_8?__mk_ja_JP=%E3%82%AB%E3%82%BF%E3%82%AB%E3%83%8A&amp;dchild=1&amp;keywords=Galaxy&amp;qid=1598526202&amp;sr=8-8", "Go")</f>
        <v/>
      </c>
    </row>
    <row r="9">
      <c r="A9" s="1" t="n">
        <v>7</v>
      </c>
      <c r="B9" t="inlineStr">
        <is>
          <t>USB Type C ケーブル【4本セット 0.25m+1m+1m+2m】タイプc ケーブル 急速充電 高速データ転送 高耐久 ナイロン編み アンドロイド 充電ケーブル HUAWEI、Galaxy、ASUS、AQUOS、Xperia、Nexus、Moto、Kindle、PS4、Xbox、Echo Dot Android microusb 各種対応(シルバー)</t>
        </is>
      </c>
      <c r="C9" t="inlineStr">
        <is>
          <t>￥1,079</t>
        </is>
      </c>
      <c r="D9" t="inlineStr">
        <is>
          <t>4.9</t>
        </is>
      </c>
      <c r="E9">
        <f>HYPERLINK("https://www.amazon.co.jp/dp/B08BZ2Z7LN/ref=sr_1_9?__mk_ja_JP=%E3%82%AB%E3%82%BF%E3%82%AB%E3%83%8A&amp;dchild=1&amp;keywords=Galaxy&amp;qid=1598526202&amp;sr=8-9", "Go")</f>
        <v/>
      </c>
    </row>
    <row r="10">
      <c r="A10" s="1" t="n">
        <v>8</v>
      </c>
      <c r="B10" t="inlineStr">
        <is>
          <t>Galaxy S10 フィルム高品質強化ガラスフィルム（SC-03L/SCV41 対応） 日本旭硝子製 Galaxy S10 ガラスフィルム 液晶保護フィルム 3D曲面/硬度9H/極高透過率/指紋防止/気泡なし/防油汚れ/飛散防止/3D Touch対応/全面保護 フィルム-透明</t>
        </is>
      </c>
      <c r="C10" t="inlineStr">
        <is>
          <t>￥599</t>
        </is>
      </c>
      <c r="D10" t="inlineStr">
        <is>
          <t>4.9</t>
        </is>
      </c>
      <c r="E10">
        <f>HYPERLINK("https://www.amazon.co.jp/%E3%83%95%E3%82%A3%E3%83%AB%E3%83%A0%E9%AB%98%E5%93%81%E8%B3%AA%E5%BC%B7%E5%8C%96%E3%82%AC%E3%83%A9%E3%82%B9%E3%83%95%E3%82%A3%E3%83%AB%E3%83%A0%EF%BC%88SC-03L-%E3%82%AC%E3%83%A9%E3%82%B9%E3%83%95%E3%82%A3%E3%83%AB%E3%83%A0-%E6%B6%B2%E6%99%B6%E4%BF%9D%E8%AD%B7%E3%83%95%E3%82%A3%E3%83%AB%E3%83%A0-Touch%E5%AF%BE%E5%BF%9C-%E3%83%95%E3%82%A3%E3%83%AB%E3%83%A0-%E9%80%8F%E6%98%8E/dp/B08BNJX15G/ref=sr_1_10?__mk_ja_JP=%E3%82%AB%E3%82%BF%E3%82%AB%E3%83%8A&amp;dchild=1&amp;keywords=Galaxy&amp;qid=1598526202&amp;sr=8-10", "Go")</f>
        <v/>
      </c>
    </row>
    <row r="11">
      <c r="A11" s="1" t="n">
        <v>9</v>
      </c>
      <c r="B11" t="inlineStr">
        <is>
          <t>Yootech USB C - USBアダプター (4個パック) [サイドバイサイド使用] アルミニウム製サンダーボルト 3 - USB 3.0 OTGコネクター MacBook Pro 2019/2018、MacBook Air 2018、Dell XPS、iPhone 11 Pro、Galaxy Note10に対応 ブラック RR-YT-US-CA01(Black)</t>
        </is>
      </c>
      <c r="C11" t="inlineStr">
        <is>
          <t>￥7,800</t>
        </is>
      </c>
      <c r="D11" t="inlineStr">
        <is>
          <t>4.9</t>
        </is>
      </c>
      <c r="E11">
        <f>HYPERLINK("https://www.amazon.co.jp/CA01/dp/B0827X6R2X/ref=sr_1_11?__mk_ja_JP=%E3%82%AB%E3%82%BF%E3%82%AB%E3%83%8A&amp;dchild=1&amp;keywords=Galaxy&amp;qid=1598526202&amp;sr=8-11", "Go")</f>
        <v/>
      </c>
    </row>
    <row r="12">
      <c r="A12" s="1" t="n">
        <v>10</v>
      </c>
      <c r="B12" t="inlineStr">
        <is>
          <t>SIATOES ワイヤレス充電器 急速 Qi 認証 10W 7.5W 5W ワイヤレス充電器 スマートフォンスタンド付き、Samsung Galaxy S20 / Note 10 / S10 / S9 Iphone SE 2020/11/11 Pro / 11 Pro Max/XR/XS/X / 8 Huawei Nokia/AirPods/AirPods Pro に対応</t>
        </is>
      </c>
      <c r="C12" t="inlineStr">
        <is>
          <t>￥2,780</t>
        </is>
      </c>
      <c r="D12" t="inlineStr">
        <is>
          <t>4.9</t>
        </is>
      </c>
      <c r="E12">
        <f>HYPERLINK("https://www.amazon.co.jp/SIATOES-%E3%83%AF%E3%82%A4%E3%83%A4%E3%83%AC%E3%82%B9%E5%85%85%E9%9B%BB%E5%99%A8-%E3%82%B9%E3%83%9E%E3%83%BC%E3%83%88%E3%83%95%E3%82%A9%E3%83%B3%E3%82%B9%E3%82%BF%E3%83%B3%E3%83%89%E4%BB%98%E3%81%8D%E3%80%81Samsung-Galaxy-AirPods/dp/B088RD5M11/ref=sr_1_12?__mk_ja_JP=%E3%82%AB%E3%82%BF%E3%82%AB%E3%83%8A&amp;dchild=1&amp;keywords=Galaxy&amp;qid=1598526202&amp;sr=8-12", "Go")</f>
        <v/>
      </c>
    </row>
    <row r="13">
      <c r="A13" s="1" t="n">
        <v>11</v>
      </c>
      <c r="B13" t="inlineStr">
        <is>
          <t>Blitzforce 65W PD 3.0 GaN 壁充電器 超小型 USB-C充電器 高速充電アダプター ノートパソコン タブレット スマートフォン用</t>
        </is>
      </c>
      <c r="C13" t="inlineStr">
        <is>
          <t>￥15,969</t>
        </is>
      </c>
      <c r="D13" t="inlineStr">
        <is>
          <t>5</t>
        </is>
      </c>
      <c r="E13">
        <f>HYPERLINK("https://www.amazon.co.jp/Blitzforce-USB-C%E5%85%85%E9%9B%BB%E5%99%A8-%E9%AB%98%E9%80%9F%E5%85%85%E9%9B%BB%E3%82%A2%E3%83%80%E3%83%97%E3%82%BF%E3%83%BC-%E3%83%8E%E3%83%BC%E3%83%88%E3%83%91%E3%82%BD%E3%82%B3%E3%83%B3-%E3%82%B9%E3%83%9E%E3%83%BC%E3%83%88%E3%83%95%E3%82%A9%E3%83%B3%E7%94%A8/dp/B086QG4XSY/ref=sr_1_13?__mk_ja_JP=%E3%82%AB%E3%82%BF%E3%82%AB%E3%83%8A&amp;dchild=1&amp;keywords=Galaxy&amp;qid=1598526202&amp;sr=8-13", "Go")</f>
        <v/>
      </c>
    </row>
    <row r="14">
      <c r="A14" s="1" t="n">
        <v>12</v>
      </c>
      <c r="B14" t="inlineStr">
        <is>
          <t>【2020年最新版18W急速充電30000mAh 】モバイルバッテリー ソーラーチャージャー 大容量 ソーラー充電器 急速充電 3USB+1Type-C出力ポート 地震/災害/旅行/出張/アウトドア活動など iPhone/iPad/Android対応</t>
        </is>
      </c>
      <c r="C14" t="inlineStr">
        <is>
          <t>￥3,799</t>
        </is>
      </c>
      <c r="D14" t="inlineStr">
        <is>
          <t>5</t>
        </is>
      </c>
      <c r="E14">
        <f>HYPERLINK("https://www.amazon.co.jp/%E3%80%902020%E5%B9%B4%E6%9C%80%E6%96%B0%E7%89%8818W%E6%80%A5%E9%80%9F%E5%85%85%E9%9B%BB30000mAh-%E3%80%91%E3%83%A2%E3%83%90%E3%82%A4%E3%83%AB%E3%83%90%E3%83%83%E3%83%86%E3%83%AA%E3%83%BC-%E3%82%BD%E3%83%BC%E3%83%A9%E3%83%BC%E3%83%81%E3%83%A3%E3%83%BC%E3%82%B8%E3%83%A3%E3%83%BC-1Type-C%E5%87%BA%E5%8A%9B%E3%83%9D%E3%83%BC%E3%83%88-%E3%82%A2%E3%82%A6%E3%83%88%E3%83%89%E3%82%A2%E6%B4%BB%E5%8B%95%E3%81%AA%E3%81%A9/dp/B08BK6N3MP/ref=sr_1_14?__mk_ja_JP=%E3%82%AB%E3%82%BF%E3%82%AB%E3%83%8A&amp;dchild=1&amp;keywords=Galaxy&amp;qid=1598526202&amp;sr=8-14", "Go")</f>
        <v/>
      </c>
    </row>
    <row r="15">
      <c r="A15" s="1" t="n">
        <v>13</v>
      </c>
      <c r="B15" t="inlineStr">
        <is>
          <t>「2020最新進化版」イヤホン 有線 Hi-Fi 高音質 重低音 ハイレゾ イヤフォン カナル型イヤホン マイク付き ヘッドホン ステレオイヤフォン 音量調節 遮音性 通話可能 騒音低減 音漏れ防止 フィット感抜群 iPhone＆iPad＆Sony＆Huawei＆PC＆Android多機種対応 3.5MM金属端子で対応 リモコン付き</t>
        </is>
      </c>
      <c r="C15" t="inlineStr">
        <is>
          <t>￥1,298</t>
        </is>
      </c>
      <c r="D15" t="inlineStr">
        <is>
          <t>5</t>
        </is>
      </c>
      <c r="E15">
        <f>HYPERLINK("https://www.amazon.co.jp/%E3%80%8C2020%E6%9C%80%E6%96%B0%E9%80%B2%E5%8C%96%E7%89%88%E3%80%8D%E3%82%A4%E3%83%A4%E3%83%9B%E3%83%B3-%E3%82%AB%E3%83%8A%E3%83%AB%E5%9E%8B%E3%82%A4%E3%83%A4%E3%83%9B%E3%83%B3-%E3%82%B9%E3%83%86%E3%83%AC%E3%82%AA%E3%82%A4%E3%83%A4%E3%83%95%E3%82%A9%E3%83%B3-iPhone%EF%BC%86iPad%EF%BC%86Sony%EF%BC%86Huawei%EF%BC%86PC%EF%BC%86Android%E5%A4%9A%E6%A9%9F%E7%A8%AE%E5%AF%BE%E5%BF%9C-3-5MM%E9%87%91%E5%B1%9E%E7%AB%AF%E5%AD%90%E3%81%A7%E5%AF%BE%E5%BF%9C/dp/B0885Y1YF3/ref=sr_1_15?__mk_ja_JP=%E3%82%AB%E3%82%BF%E3%82%AB%E3%83%8A&amp;dchild=1&amp;keywords=Galaxy&amp;qid=1598526202&amp;sr=8-15", "Go")</f>
        <v/>
      </c>
    </row>
    <row r="16">
      <c r="A16" s="1" t="n">
        <v>14</v>
      </c>
      <c r="B16" t="inlineStr">
        <is>
          <t>IMDEN ワイヤレス充電器 10W/7.5W/5W 【Qi認証】 【PSE認証済み】 LEDカラ フルなライト付き置くだけ充電 表面は布生地 microUSB接続 AirPods2/AirPods Pro/iPhone SE2/iPhone 11/ iPhone 11 Pro/iPhone 11 Pro Max/ iPhone Xs Max/ iPhoneXs/Galaxy S8/S8 plus/S7/S7 Edge/Nexus/LG G6/Xperia他のQi対応 の機種 対応 日本語説明書付き</t>
        </is>
      </c>
      <c r="C16" t="inlineStr">
        <is>
          <t>￥1,000</t>
        </is>
      </c>
      <c r="D16" t="inlineStr">
        <is>
          <t>5</t>
        </is>
      </c>
      <c r="E16">
        <f>HYPERLINK("https://www.amazon.co.jp/IMDEN-%E3%80%90PSE%E8%AA%8D%E8%A8%BC%E6%B8%88%E3%81%BF%E3%80%91-%E3%83%95%E3%83%AB%E3%81%AA%E3%83%A9%E3%82%A4%E3%83%88%E4%BB%98%E3%81%8D%E7%BD%AE%E3%81%8F%E3%81%A0%E3%81%91%E5%85%85%E9%9B%BB-microUSB%E6%8E%A5%E7%B6%9A-Xperia%E4%BB%96%E3%81%AEQi%E5%AF%BE%E5%BF%9C/dp/B08DJ914DV/ref=sr_1_16?__mk_ja_JP=%E3%82%AB%E3%82%BF%E3%82%AB%E3%83%8A&amp;dchild=1&amp;keywords=Galaxy&amp;qid=1598526202&amp;sr=8-16", "Go")</f>
        <v/>
      </c>
    </row>
    <row r="17">
      <c r="A17" s="1" t="n">
        <v>15</v>
      </c>
      <c r="B17" t="inlineStr">
        <is>
          <t>iNassen USB Type C - 3.5mm ヘッドホンジャックアダプター Type C - Aux オーディオドングルケーブルコード Hi-Res DAC Samsung Galaxy S20 Ultra Z Flip S20+ Note 10 Note 10+ Pixel 4 3 2 XL iPad Pro用 (ブラック)</t>
        </is>
      </c>
      <c r="C17" t="inlineStr">
        <is>
          <t>￥1,880</t>
        </is>
      </c>
      <c r="D17" t="inlineStr">
        <is>
          <t>4.9</t>
        </is>
      </c>
      <c r="E17">
        <f>HYPERLINK("https://www.amazon.co.jp/iNassen-USB-Type-%E3%83%98%E3%83%83%E3%83%89%E3%83%9B%E3%83%B3%E3%82%B8%E3%83%A3%E3%83%83%E3%82%AF%E3%82%A2%E3%83%80%E3%83%97%E3%82%BF%E3%83%BC-%E3%82%AA%E3%83%BC%E3%83%87%E3%82%A3%E3%82%AA%E3%83%89%E3%83%B3%E3%82%B0%E3%83%AB%E3%82%B1%E3%83%BC%E3%83%96%E3%83%AB%E3%82%B3%E3%83%BC%E3%83%89/dp/B005HNOKFG/ref=sr_1_17?__mk_ja_JP=%E3%82%AB%E3%82%BF%E3%82%AB%E3%83%8A&amp;dchild=1&amp;keywords=Galaxy&amp;qid=1598526202&amp;sr=8-17", "Go")</f>
        <v/>
      </c>
    </row>
    <row r="18">
      <c r="A18" s="1" t="n">
        <v>16</v>
      </c>
      <c r="B18" t="inlineStr">
        <is>
          <t>クアッドロック(QUAD LOCK) CASE - Quad Lock Case - Galaxy Note9QLC-GN9</t>
        </is>
      </c>
      <c r="C18" t="inlineStr">
        <is>
          <t>￥4,045</t>
        </is>
      </c>
      <c r="D18" t="inlineStr">
        <is>
          <t>5</t>
        </is>
      </c>
      <c r="E18">
        <f>HYPERLINK("https://www.amazon.co.jp/QUAD-LOCK-Samsung-Galaxy-Note9%E7%94%A8%E3%82%AF%E3%82%A2%E3%83%83%E3%83%89%E3%83%AD%E3%83%83%E3%82%AF%E3%82%B1%E3%83%BC%E3%82%B9/dp/B07R4LZBKH/ref=sr_1_18?__mk_ja_JP=%E3%82%AB%E3%82%BF%E3%82%AB%E3%83%8A&amp;dchild=1&amp;keywords=Galaxy&amp;qid=1598526202&amp;sr=8-18", "Go")</f>
        <v/>
      </c>
    </row>
    <row r="19">
      <c r="A19" s="1" t="n">
        <v>17</v>
      </c>
      <c r="B19" t="inlineStr">
        <is>
          <t>12X42 強力双眼鏡 大人と子供用 YVELINES 18mm 大型接眼レンズ 16.5mm BAK4 プリズムレンズ 防水双眼鏡 バードウォッチング 旅行 スポーツゲーム コンサート用</t>
        </is>
      </c>
      <c r="C19" t="inlineStr">
        <is>
          <t>￥23,682</t>
        </is>
      </c>
      <c r="D19" t="inlineStr">
        <is>
          <t>5</t>
        </is>
      </c>
      <c r="E19">
        <f>HYPERLINK("https://www.amazon.co.jp/dp/B08CR2VPRK/ref=sr_1_19?__mk_ja_JP=%E3%82%AB%E3%82%BF%E3%82%AB%E3%83%8A&amp;dchild=1&amp;keywords=Galaxy&amp;qid=1598526202&amp;sr=8-19", "Go")</f>
        <v/>
      </c>
    </row>
    <row r="20">
      <c r="A20" s="1" t="n">
        <v>18</v>
      </c>
      <c r="B20" t="inlineStr">
        <is>
          <t>Galaxy A7 2018 ケース 手帳型+液晶ガラスフィルム 2枚 ギャラクシー A7 フィルム 耐衝撃 セット 保護フィルム 日本製旭硝子 耐指紋 撥油性 高透過率 気泡ゼロ 自動吸着 軽量</t>
        </is>
      </c>
      <c r="C20" t="inlineStr">
        <is>
          <t>￥1,299</t>
        </is>
      </c>
      <c r="D20" t="inlineStr">
        <is>
          <t>4.9</t>
        </is>
      </c>
      <c r="E20">
        <f>HYPERLINK("https://www.amazon.co.jp/Galaxy-%E6%B6%B2%E6%99%B6%E3%82%AC%E3%83%A9%E3%82%B9%E3%83%95%E3%82%A3%E3%83%AB%E3%83%A0-%E3%82%AE%E3%83%A3%E3%83%A9%E3%82%AF%E3%82%B7%E3%83%BC-%E4%BF%9D%E8%AD%B7%E3%83%95%E3%82%A3%E3%83%AB%E3%83%A0-%E6%97%A5%E6%9C%AC%E8%A3%BD%E6%97%AD%E7%A1%9D%E5%AD%90/dp/B089T2WWJZ/ref=sr_1_20?__mk_ja_JP=%E3%82%AB%E3%82%BF%E3%82%AB%E3%83%8A&amp;dchild=1&amp;keywords=Galaxy&amp;qid=1598526202&amp;sr=8-20", "Go")</f>
        <v/>
      </c>
    </row>
    <row r="21">
      <c r="A21" s="1" t="n">
        <v>19</v>
      </c>
      <c r="B21" t="inlineStr">
        <is>
          <t>SUNCOON【3枚入り・最新改良】Galaxy S20 Plus カメラフイルム 日本製素材旭硝子製 硬度9H 高透過率 SC-51A SCG01 Galaxy S20 Plus カメラ保護フィルム (Galaxy S20 Plus)</t>
        </is>
      </c>
      <c r="C21" t="inlineStr">
        <is>
          <t>￥1,299</t>
        </is>
      </c>
      <c r="D21" t="inlineStr">
        <is>
          <t>5</t>
        </is>
      </c>
      <c r="E21">
        <f>HYPERLINK("https://www.amazon.co.jp/SUNCOON%E3%80%903%E6%9E%9A%E5%85%A5%E3%82%8A%E3%83%BB%E6%9C%80%E6%96%B0%E6%94%B9%E8%89%AF%E3%80%91Galaxy-%E3%82%AB%E3%83%A1%E3%83%A9%E3%83%95%E3%82%A4%E3%83%AB%E3%83%A0-%E6%97%A5%E6%9C%AC%E8%A3%BD%E7%B4%A0%E6%9D%90%E6%97%AD%E7%A1%9D%E5%AD%90%E8%A3%BD-SC-51A-%E3%82%AB%E3%83%A1%E3%83%A9%E4%BF%9D%E8%AD%B7%E3%83%95%E3%82%A3%E3%83%AB%E3%83%A0/dp/B08DKFPR7B/ref=sr_1_21?__mk_ja_JP=%E3%82%AB%E3%82%BF%E3%82%AB%E3%83%8A&amp;dchild=1&amp;keywords=Galaxy&amp;qid=1598526202&amp;sr=8-21", "Go")</f>
        <v/>
      </c>
    </row>
    <row r="22">
      <c r="A22" s="1" t="n">
        <v>20</v>
      </c>
      <c r="B22" t="inlineStr">
        <is>
          <t>Sandisk SDSQXAO-128G-GNCZN memory card 128 GB MicroSDXC</t>
        </is>
      </c>
      <c r="C22" t="inlineStr">
        <is>
          <t>￥2,989</t>
        </is>
      </c>
      <c r="D22" t="inlineStr">
        <is>
          <t>4.8</t>
        </is>
      </c>
      <c r="E22">
        <f>HYPERLINK("https://www.amazon.co.jp/Sandisk-SDSQXAO-128G-GNCZN-memory-card-MicroSDXC/dp/B07KXQX3S3/ref=sr_1_22?__mk_ja_JP=%E3%82%AB%E3%82%BF%E3%82%AB%E3%83%8A&amp;dchild=1&amp;keywords=Galaxy&amp;qid=1598526202&amp;sr=8-22", "Go")</f>
        <v/>
      </c>
    </row>
    <row r="23">
      <c r="A23" s="1" t="n">
        <v>21</v>
      </c>
      <c r="B23" t="inlineStr">
        <is>
          <t>iPhone11 ケース クリア 6.1インチ 対応 全面 米軍MIL規格取得 耐衝撃 カメラ保護 衝撃吸収 Qi充電 ワイヤレス充電</t>
        </is>
      </c>
      <c r="C23" t="inlineStr">
        <is>
          <t>￥5,002</t>
        </is>
      </c>
      <c r="D23" t="inlineStr">
        <is>
          <t>4.8</t>
        </is>
      </c>
      <c r="E23">
        <f>HYPERLINK("https://www.amazon.co.jp/iPhone11-6-1%E3%82%A4%E3%83%B3%E3%83%81-%E7%B1%B3%E8%BB%8DMIL%E8%A6%8F%E6%A0%BC%E5%8F%96%E5%BE%97-%E3%82%AB%E3%83%A1%E3%83%A9%E4%BF%9D%E8%AD%B7-%E3%83%AF%E3%82%A4%E3%83%A4%E3%83%AC%E3%82%B9%E5%85%85%E9%9B%BB/dp/B07W4FMQ5Y/ref=sr_1_23?__mk_ja_JP=%E3%82%AB%E3%82%BF%E3%82%AB%E3%83%8A&amp;dchild=1&amp;keywords=Galaxy&amp;qid=1598526202&amp;sr=8-23", "Go")</f>
        <v/>
      </c>
    </row>
    <row r="24">
      <c r="A24" s="1" t="n">
        <v>22</v>
      </c>
      <c r="B24" t="inlineStr">
        <is>
          <t>OMOTONスマホ スタンドデスクトップ携帯電話スタンド[アップデートされたソリッドバージョン]、スイッチ、携帯電話、iPhone 11 Pro Xs Max Xr用の高度な4mm厚アルミニウムスタンドホルダー、 銀</t>
        </is>
      </c>
      <c r="C24" t="inlineStr">
        <is>
          <t>￥1,299</t>
        </is>
      </c>
      <c r="D24" t="inlineStr">
        <is>
          <t>4.8</t>
        </is>
      </c>
      <c r="E24">
        <f>HYPERLINK("https://www.amazon.co.jp/OMOTON-FBA_4326950253-%E6%9B%B4%E6%96%B0%E3%81%95%E3%82%8C%E3%81%9F%E3%82%BD%E3%83%AA%E3%83%83%E3%83%89%E3%83%90%E3%83%BC%E3%82%B8%E3%83%A7%E3%83%B3-1%E3%82%A4%E3%83%B3%E3%83%81%EF%BC%89%E3%80%81%E3%82%B7%E3%83%AB%E3%83%90%E3%83%BC/dp/B01E8B4V38/ref=sr_1_24?__mk_ja_JP=%E3%82%AB%E3%82%BF%E3%82%AB%E3%83%8A&amp;dchild=1&amp;keywords=Galaxy&amp;qid=1598526202&amp;sr=8-24", "Go")</f>
        <v/>
      </c>
    </row>
    <row r="25">
      <c r="A25" s="1" t="n">
        <v>23</v>
      </c>
      <c r="B25" t="inlineStr">
        <is>
          <t>Crucial MX500 CT500MX500SSD1 500 GB Internal SSD (3D NAND, SATA, 2.5 Inch)</t>
        </is>
      </c>
      <c r="C25" t="inlineStr">
        <is>
          <t>￥10,404</t>
        </is>
      </c>
      <c r="D25" t="inlineStr">
        <is>
          <t>4.8</t>
        </is>
      </c>
      <c r="E25">
        <f>HYPERLINK("https://www.amazon.co.jp/CT500MX500SSD1/dp/B0786QNS9B/ref=sr_1_25?__mk_ja_JP=%E3%82%AB%E3%82%BF%E3%82%AB%E3%83%8A&amp;dchild=1&amp;keywords=Galaxy&amp;qid=1598526202&amp;sr=8-25", "Go")</f>
        <v/>
      </c>
    </row>
    <row r="26">
      <c r="A26" s="1" t="n">
        <v>24</v>
      </c>
      <c r="B26" t="inlineStr">
        <is>
          <t>Lamicall Desktop Cell Phone Stand : Cradle, Dock For all Android Smartphone, iPhone 6 6s 7 Plus 5 5s 5c charging, Accessories Desk - Silver by Lamicall</t>
        </is>
      </c>
      <c r="C26" t="inlineStr">
        <is>
          <t>￥6,282</t>
        </is>
      </c>
      <c r="D26" t="inlineStr">
        <is>
          <t>4.8</t>
        </is>
      </c>
      <c r="E26">
        <f>HYPERLINK("https://www.amazon.co.jp/Lamicall-Desktop-Cell-Phone-Stand/dp/B014INJCT4/ref=sr_1_26?__mk_ja_JP=%E3%82%AB%E3%82%BF%E3%82%AB%E3%83%8A&amp;dchild=1&amp;keywords=Galaxy&amp;qid=1598526202&amp;sr=8-26", "Go")</f>
        <v/>
      </c>
    </row>
    <row r="27">
      <c r="A27" s="1" t="n">
        <v>25</v>
      </c>
      <c r="B27" t="inlineStr">
        <is>
          <t>調節可能な携帯電話スタンド、滑り止めベースと便利な充電ポートを備えたOMOTONアルミニウムデスクトップ携帯電話スタンド、すべてのスマートフォンに適合、 銀</t>
        </is>
      </c>
      <c r="C27" t="inlineStr">
        <is>
          <t>￥1,399</t>
        </is>
      </c>
      <c r="D27" t="inlineStr">
        <is>
          <t>4.8</t>
        </is>
      </c>
      <c r="E27">
        <f>HYPERLINK("https://www.amazon.co.jp/Adjustable-Aluminum-Convenient-Charging-Smartphones/dp/B0744DM3Y3/ref=sr_1_27?__mk_ja_JP=%E3%82%AB%E3%82%BF%E3%82%AB%E3%83%8A&amp;dchild=1&amp;keywords=Galaxy&amp;qid=1598526202&amp;sr=8-27", "Go")</f>
        <v/>
      </c>
    </row>
    <row r="28">
      <c r="A28" s="1" t="n">
        <v>26</v>
      </c>
      <c r="B28" t="inlineStr">
        <is>
          <t>A</t>
        </is>
      </c>
      <c r="C28" t="inlineStr">
        <is>
          <t>￥5,280</t>
        </is>
      </c>
      <c r="D28" t="inlineStr">
        <is>
          <t>4.8</t>
        </is>
      </c>
      <c r="E28">
        <f>HYPERLINK("https://www.amazon.co.jp/BRG-AirPods%E7%94%A8%E3%82%B1%E3%83%BC%E3%82%B9%E3%82%AB%E3%83%90%E3%83%BC-%E3%83%9D%E3%83%B3%E3%83%95%E3%82%A1%E3%83%BC%E3%83%9C%E3%83%BC%E3%83%AB%E3%82%AD%E3%83%BC%E3%83%81%E3%82%A7%E3%83%BC%E3%83%B3-%E3%82%A4%E3%83%A4%E3%83%9B%E3%83%B3%E3%82%A2%E3%82%AF%E3%82%BB%E3%82%B5%E3%83%AA%E3%83%BC%E4%BB%98%E3%81%8D-%E3%83%95%E3%83%AD%E3%83%B3%E3%83%88LED%E8%A1%A8%E7%A4%BA/dp/B07TYHZX6V/ref=sr_1_28?__mk_ja_JP=%E3%82%AB%E3%82%BF%E3%82%AB%E3%83%8A&amp;dchild=1&amp;keywords=Galaxy&amp;qid=1598526202&amp;sr=8-28", "Go")</f>
        <v/>
      </c>
    </row>
    <row r="29">
      <c r="A29" s="1" t="n">
        <v>27</v>
      </c>
      <c r="B29" t="inlineStr">
        <is>
          <t>Drhob イヤホン 有線 HIFI高音質 ハイレゾ イヤフォン 遮音性 マイク内蔵 通話可能 音量調節 ステレオイヤフォン 軽量 着け心地抜群 iPhone/ipod/Androidなどに対応 リモコン付き 3.5ｍｍ黒</t>
        </is>
      </c>
      <c r="C29" t="inlineStr">
        <is>
          <t>￥1,699</t>
        </is>
      </c>
      <c r="D29" t="inlineStr">
        <is>
          <t>4.7</t>
        </is>
      </c>
      <c r="E29">
        <f>HYPERLINK("https://www.amazon.co.jp/Drhob-HIFI%E9%AB%98%E9%9F%B3%E8%B3%AA-%E3%82%B9%E3%83%86%E3%83%AC%E3%82%AA%E3%82%A4%E3%83%A4%E3%83%95%E3%82%A9%E3%83%B3-%E7%9D%80%E3%81%91%E5%BF%83%E5%9C%B0%E6%8A%9C%E7%BE%A4-Android%E3%81%AA%E3%81%A9%E3%81%AB%E5%AF%BE%E5%BF%9C/dp/B08CZK61YP/ref=sr_1_29?__mk_ja_JP=%E3%82%AB%E3%82%BF%E3%82%AB%E3%83%8A&amp;dchild=1&amp;keywords=Galaxy&amp;qid=1598526202&amp;sr=8-29", "Go")</f>
        <v/>
      </c>
    </row>
    <row r="30">
      <c r="A30" s="1" t="n">
        <v>28</v>
      </c>
      <c r="B30" t="inlineStr">
        <is>
          <t>iPhone 11ケース [ミリタリーグレード] 15フィート。 落下テスト済み保護ケース | キックスタンド | Apple iPhone 11 6.1インチ対応 - ブラック</t>
        </is>
      </c>
      <c r="C30" t="inlineStr">
        <is>
          <t>￥6,398</t>
        </is>
      </c>
      <c r="D30" t="inlineStr">
        <is>
          <t>4.8</t>
        </is>
      </c>
      <c r="E30">
        <f>HYPERLINK("https://www.amazon.co.jp/%E3%83%9F%E3%83%AA%E3%82%BF%E3%83%AA%E3%83%BC%E3%82%B0%E3%83%AC%E3%83%BC%E3%83%89-15%E3%83%95%E3%82%A3%E3%83%BC%E3%83%88%E3%80%82-%E8%90%BD%E4%B8%8B%E3%83%86%E3%82%B9%E3%83%88%E6%B8%88%E3%81%BF%E4%BF%9D%E8%AD%B7%E3%82%B1%E3%83%BC%E3%82%B9-%E3%82%AD%E3%83%83%E3%82%AF%E3%82%B9%E3%82%BF%E3%83%B3%E3%83%89-6-1%E3%82%A4%E3%83%B3%E3%83%81%E5%AF%BE%E5%BF%9C/dp/B07Y88PCKL/ref=sr_1_30?__mk_ja_JP=%E3%82%AB%E3%82%BF%E3%82%AB%E3%83%8A&amp;dchild=1&amp;keywords=Galaxy&amp;qid=1598526202&amp;sr=8-30", "Go")</f>
        <v/>
      </c>
    </row>
    <row r="31">
      <c r="A31" s="1" t="n">
        <v>29</v>
      </c>
      <c r="B31" t="inlineStr">
        <is>
          <t>Procase Galaxy Tab E 9.6ケース – ヴィンテージスタンドフォリオケースカバー Galaxy Tab E 9.6インチ/ Tab E Nook 9.6インチタブレット(SM-T560 / T561 / T565 / SM-T567V Verizon 4G LTEバージョン) Galaxy Tab E 9.6 (SM-T560) パープル PC-08361028</t>
        </is>
      </c>
      <c r="C31" t="inlineStr">
        <is>
          <t>￥14,317</t>
        </is>
      </c>
      <c r="D31" t="inlineStr">
        <is>
          <t>4.8</t>
        </is>
      </c>
      <c r="E31">
        <f>HYPERLINK("https://www.amazon.co.jp/ProCase-9-6%E3%82%B1%E3%83%BC%E3%82%B9-%E2%80%93-%E3%83%B4%E3%82%A3%E3%83%B3%E3%83%86%E3%83%BC%E3%82%B8%E3%82%B9%E3%82%BF%E3%83%B3%E3%83%89%E3%83%95%E3%82%A9%E3%83%AA%E3%82%AA%E3%82%B1%E3%83%BC%E3%82%B9%E3%82%AB%E3%83%90%E3%83%BCfor-9-6-inch%E3%82%BF%E3%83%96%E3%83%AC%E3%83%83%E3%83%88-sm-t560-PC-08361028/dp/B07CQG4XPS/ref=sr_1_31?__mk_ja_JP=%E3%82%AB%E3%82%BF%E3%82%AB%E3%83%8A&amp;dchild=1&amp;keywords=Galaxy&amp;qid=1598526202&amp;sr=8-31", "Go")</f>
        <v/>
      </c>
    </row>
    <row r="32">
      <c r="A32" s="1" t="n">
        <v>30</v>
      </c>
      <c r="B32" t="inlineStr">
        <is>
          <t>モバイルバッテリー 大容量 35000mAh 急速充電 LCD残量表示 充電器 LEDライト付き 充電バッテリー 携帯バッテリー 持ち運び充電器 4USB出力ポート4台同時充電 各種のスマホ タブレット iPhone/iPad/Android対応 防災/緊急用/旅行/出張などの必携品</t>
        </is>
      </c>
      <c r="C32" t="inlineStr">
        <is>
          <t>￥3,950</t>
        </is>
      </c>
      <c r="D32" t="inlineStr">
        <is>
          <t>4.8</t>
        </is>
      </c>
      <c r="E32">
        <f>HYPERLINK("https://www.amazon.co.jp/%E5%85%89%E7%BE%8E%E5%AE%B9%E5%99%A8-IPL%E5%85%89%E8%84%B1%E6%AF%9B%E5%99%A8-%E5%AE%B6%E5%BA%AD%E7%94%A8%E8%84%B1%E6%AF%9B%E5%99%A8-%E7%BE%8E%E8%82%8C%E6%A9%9F%E8%83%BD%E4%BB%98%E3%81%8D-%E6%97%A5%E6%9C%AC%E8%AA%9E%E8%AA%AC%E6%98%8E%E6%9B%B8%E4%BB%98%E3%81%8D/dp/B07TF73QZS/ref=sr_1_32?__mk_ja_JP=%E3%82%AB%E3%82%BF%E3%82%AB%E3%83%8A&amp;dchild=1&amp;keywords=Galaxy&amp;qid=1598526202&amp;sr=8-32", "Go")</f>
        <v/>
      </c>
    </row>
    <row r="33">
      <c r="A33" s="1" t="n">
        <v>31</v>
      </c>
      <c r="B33" t="inlineStr">
        <is>
          <t>イヤホン 有線 Hi-Fi高音質 遮音性 マイク内蔵 通話可能 リモコン付き 音量調節 ステレオイヤフォン スポーツイヤホン 軽量 iPhone/ipod/Android対応 3.5ｍｍ 黒</t>
        </is>
      </c>
      <c r="C33" t="inlineStr">
        <is>
          <t>￥1,899</t>
        </is>
      </c>
      <c r="D33" t="inlineStr">
        <is>
          <t>4.8</t>
        </is>
      </c>
      <c r="E33">
        <f>HYPERLINK("https://www.amazon.co.jp/Hi-Fi%E9%AB%98%E9%9F%B3%E8%B3%AA-%E3%83%AA%E3%83%A2%E3%82%B3%E3%83%B3%E4%BB%98%E3%81%8D-%E3%82%B9%E3%83%86%E3%83%AC%E3%82%AA%E3%82%A4%E3%83%A4%E3%83%95%E3%82%A9%E3%83%B3-%E3%82%B9%E3%83%9D%E3%83%BC%E3%83%84%E3%82%A4%E3%83%A4%E3%83%9B%E3%83%B3-Android%E5%AF%BE%E5%BF%9C/dp/B088PRXMJB/ref=sr_1_33?__mk_ja_JP=%E3%82%AB%E3%82%BF%E3%82%AB%E3%83%8A&amp;dchild=1&amp;keywords=Galaxy&amp;qid=1598526202&amp;sr=8-33", "Go")</f>
        <v/>
      </c>
    </row>
    <row r="34">
      <c r="A34" s="1" t="n">
        <v>32</v>
      </c>
      <c r="B34" t="inlineStr">
        <is>
          <t>Mkeke USB Cケーブル USB Type Cケーブル 高速充電 [3パック] USB A - Type C充電器 サムスン Galaxy S10 S9 S8 その他のUSB-Cデバイスと互換性あり</t>
        </is>
      </c>
      <c r="C34" t="inlineStr">
        <is>
          <t>￥5,191</t>
        </is>
      </c>
      <c r="D34" t="inlineStr">
        <is>
          <t>4.8</t>
        </is>
      </c>
      <c r="E34">
        <f>HYPERLINK("https://www.amazon.co.jp/Mkeke-USB-C%E3%82%B1%E3%83%BC%E3%83%96%E3%83%AB-Type-%E3%81%9D%E3%81%AE%E4%BB%96%E3%81%AEUSB-C%E3%83%87%E3%83%90%E3%82%A4%E3%82%B9%E3%81%A8%E4%BA%92%E6%8F%9B%E6%80%A7%E3%81%82%E3%82%8A/dp/B07WWF89MS/ref=sr_1_34?__mk_ja_JP=%E3%82%AB%E3%82%BF%E3%82%AB%E3%83%8A&amp;dchild=1&amp;keywords=Galaxy&amp;qid=1598526202&amp;sr=8-34", "Go")</f>
        <v/>
      </c>
    </row>
    <row r="35">
      <c r="A35" s="1" t="n">
        <v>33</v>
      </c>
      <c r="B35" t="inlineStr">
        <is>
          <t>BESTEK 8-アウトレット600ジュール 4つ USB充電ポートと6フィートヘビーデューティ延長コードとプロテクターパワーストリップサージ FCC ETL上場 ホワイト 6フィート - 600ジュール ホワイト</t>
        </is>
      </c>
      <c r="C35" t="inlineStr">
        <is>
          <t>￥2,980</t>
        </is>
      </c>
      <c r="D35" t="inlineStr">
        <is>
          <t>4.8</t>
        </is>
      </c>
      <c r="E35">
        <f>HYPERLINK("https://www.amazon.co.jp/BESTEK-8-%E3%82%A2%E3%82%A6%E3%83%88%E3%83%AC%E3%83%83%E3%83%88600%E3%82%B8%E3%83%A5%E3%83%BC%E3%83%AB-USB%E5%85%85%E9%9B%BB%E3%83%9D%E3%83%BC%E3%83%88%E3%81%A86%E3%83%95%E3%82%A3%E3%83%BC%E3%83%88%E3%83%98%E3%83%93%E3%83%BC%E3%83%87%E3%83%A5%E3%83%BC%E3%83%86%E3%82%A3%E5%BB%B6%E9%95%B7%E3%82%B3%E3%83%BC%E3%83%89%E3%81%A8%E3%83%97%E3%83%AD%E3%83%86%E3%82%AF%E3%82%BF%E3%83%BC%E3%83%91%E3%83%AF%E3%83%BC%E3%82%B9%E3%83%88%E3%83%AA%E3%83%83%E3%83%97%E3%82%B5%E3%83%BC%E3%82%B8-ETL%E4%B8%8A%E5%A0%B4-6%E3%83%95%E3%82%A3%E3%83%BC%E3%83%88/dp/B00RPWO3W2/ref=sr_1_35?__mk_ja_JP=%E3%82%AB%E3%82%BF%E3%82%AB%E3%83%8A&amp;dchild=1&amp;keywords=Galaxy&amp;qid=1598526202&amp;sr=8-35", "Go")</f>
        <v/>
      </c>
    </row>
    <row r="36">
      <c r="A36" s="1" t="n">
        <v>34</v>
      </c>
      <c r="B36" t="inlineStr">
        <is>
          <t>【2020最新版】イヤホン HIFI 高音質 重低音 ステレオイヤホン 内蔵 マイククリア通話 3.5mmジャック iPhone/Android/iPad/PC 多機種対応</t>
        </is>
      </c>
      <c r="C36" t="inlineStr">
        <is>
          <t>￥8,939</t>
        </is>
      </c>
      <c r="D36" t="inlineStr">
        <is>
          <t>4.8</t>
        </is>
      </c>
      <c r="E36">
        <f>HYPERLINK("https://www.amazon.co.jp/%E3%80%902020%E6%9C%80%E6%96%B0%E7%89%88%E3%80%91%E3%82%A4%E3%83%A4%E3%83%9B%E3%83%B3-%E3%82%B9%E3%83%86%E3%83%AC%E3%82%AA%E3%82%A4%E3%83%A4%E3%83%9B%E3%83%B3-%E3%83%9E%E3%82%A4%E3%82%AF%E3%82%AF%E3%83%AA%E3%82%A2%E9%80%9A%E8%A9%B1-3-5mm%E3%82%B8%E3%83%A3%E3%83%83%E3%82%AF-Android/dp/B083NX7DKB/ref=sr_1_36?__mk_ja_JP=%E3%82%AB%E3%82%BF%E3%82%AB%E3%83%8A&amp;dchild=1&amp;keywords=Galaxy&amp;qid=1598526202&amp;sr=8-36", "Go")</f>
        <v/>
      </c>
    </row>
    <row r="37">
      <c r="A37" s="1" t="n">
        <v>35</v>
      </c>
      <c r="B37" t="inlineStr">
        <is>
          <t>Micro SDカード Netac メモリーカード MicroSDHC microSD高速転送 A1 C10 U1 MicroSDHC TFカード セメラ/電話/任天堂スイッチ/Galaxy/ドローン/ダッシュカム/GOPRO/タブレット/PC/コンピュータ用 アダプター付き 256GB</t>
        </is>
      </c>
      <c r="C37" t="inlineStr">
        <is>
          <t>￥2,989</t>
        </is>
      </c>
      <c r="D37" t="inlineStr">
        <is>
          <t>4.8</t>
        </is>
      </c>
      <c r="E37">
        <f>HYPERLINK("https://www.amazon.co.jp/Netac-%E3%83%A1%E3%83%A2%E3%83%AA%E3%83%BC%E3%82%AB%E3%83%BC%E3%83%89-MicroSDHC-microSD%E9%AB%98%E9%80%9F%E8%BB%A2%E9%80%81-%E4%BB%BB%E5%A4%A9%E5%A0%82%E3%82%B9%E3%82%A4%E3%83%83%E3%83%81/dp/B07T1CZVMQ/ref=sr_1_37?__mk_ja_JP=%E3%82%AB%E3%82%BF%E3%82%AB%E3%83%8A&amp;dchild=1&amp;keywords=Galaxy&amp;qid=1598526202&amp;sr=8-37", "Go")</f>
        <v/>
      </c>
    </row>
    <row r="38">
      <c r="A38" s="1" t="n">
        <v>36</v>
      </c>
      <c r="B38" t="inlineStr">
        <is>
          <t>Meifigno New Magic Series EPhone XRケース 6.1インチ</t>
        </is>
      </c>
      <c r="C38" t="inlineStr">
        <is>
          <t>￥8,031</t>
        </is>
      </c>
      <c r="D38" t="inlineStr">
        <is>
          <t>4.8</t>
        </is>
      </c>
      <c r="E38">
        <f>HYPERLINK("https://www.amazon.co.jp/Meifigno-Magic-EPhone-XR%E3%82%B1%E3%83%BC%E3%82%B9-6-1%E3%82%A4%E3%83%B3%E3%83%81/dp/B07WS93W75/ref=sr_1_38?__mk_ja_JP=%E3%82%AB%E3%82%BF%E3%82%AB%E3%83%8A&amp;dchild=1&amp;keywords=Galaxy&amp;qid=1598526202&amp;sr=8-38", "Go")</f>
        <v/>
      </c>
    </row>
    <row r="39">
      <c r="A39" s="1" t="n">
        <v>37</v>
      </c>
      <c r="B39" t="inlineStr">
        <is>
          <t>6 ft 2ピン壁電源コードfor Samsung UNシリーズテレビ、SAMSUNGスマートテレビ、SAMSUNG Curvedテレビ、8000シリーズ、Apple Airport時間カプセル、Mac Mini ( 2014 ) Apple TV</t>
        </is>
      </c>
      <c r="C39" t="inlineStr">
        <is>
          <t>￥2,857</t>
        </is>
      </c>
      <c r="D39" t="inlineStr">
        <is>
          <t>4.9</t>
        </is>
      </c>
      <c r="E39">
        <f>HYPERLINK("https://www.amazon.co.jp/2%E3%83%94%E3%83%B3%E5%A3%81%E9%9B%BB%E6%BA%90%E3%82%B3%E3%83%BC%E3%83%89for-Samsung-UN%E3%82%B7%E3%83%AA%E3%83%BC%E3%82%BA%E3%83%86%E3%83%AC%E3%83%93%E3%80%81SAMSUNG%E3%82%B9%E3%83%9E%E3%83%BC%E3%83%88%E3%83%86%E3%83%AC%E3%83%93%E3%80%81SAMSUNG-Curved%E3%83%86%E3%83%AC%E3%83%93%E3%80%818000%E3%82%B7%E3%83%AA%E3%83%BC%E3%82%BA%E3%80%81Apple-Airport%E6%99%82%E9%96%93%E3%82%AB%E3%83%97%E3%82%BB%E3%83%AB%E3%80%81Mac/dp/B06XTWWNVC/ref=sr_1_39?__mk_ja_JP=%E3%82%AB%E3%82%BF%E3%82%AB%E3%83%8A&amp;dchild=1&amp;keywords=Galaxy&amp;qid=1598526202&amp;sr=8-39", "Go")</f>
        <v/>
      </c>
    </row>
    <row r="40">
      <c r="A40" s="1" t="n">
        <v>38</v>
      </c>
      <c r="B40" t="inlineStr">
        <is>
          <t>Mkeke iPhone 8 Plus用ケース iPhone 7 Plus用ケース 透明 傷防止 衝撃吸収カバーケース iPhone 8 Plus/7 Plus用</t>
        </is>
      </c>
      <c r="C40" t="inlineStr">
        <is>
          <t>￥7,449</t>
        </is>
      </c>
      <c r="D40" t="inlineStr">
        <is>
          <t>4.8</t>
        </is>
      </c>
      <c r="E40">
        <f>HYPERLINK("https://www.amazon.co.jp/Mkeke-iPhone-Plus%E3%82%B1%E3%83%BC%E3%82%B9-%E3%82%AF%E3%83%AA%E3%82%A2%E8%A1%9D%E6%92%83%E5%90%B8%E5%8F%8E%E3%82%B1%E3%83%BC%E3%82%B9-Plus%E3%82%AB%E3%83%90%E3%83%BC%E7%94%A8/dp/B07V6D1X19/ref=sr_1_40?__mk_ja_JP=%E3%82%AB%E3%82%BF%E3%82%AB%E3%83%8A&amp;dchild=1&amp;keywords=Galaxy&amp;qid=1598526202&amp;sr=8-40", "Go")</f>
        <v/>
      </c>
    </row>
    <row r="41">
      <c r="A41" s="1" t="n">
        <v>39</v>
      </c>
      <c r="B41" t="inlineStr">
        <is>
          <t>OMOTON調整可能なタブレットスタンドiPadスタンドiPad 10.2 2019、新しいiPad Pro 11 / 12.9インチ2020、iPad 9.7 2018、iPad Mini、iPad Air、Nintendo Switch、およびすべての携帯電話スマートフォンと互換性があります、銀</t>
        </is>
      </c>
      <c r="C41" t="inlineStr">
        <is>
          <t>￥1,999</t>
        </is>
      </c>
      <c r="D41" t="inlineStr">
        <is>
          <t>4.8</t>
        </is>
      </c>
      <c r="E41">
        <f>HYPERLINK("https://www.amazon.co.jp/OMOTON%E3%83%87%E3%82%B9%E3%82%AF%E3%83%88%E3%83%83%E3%83%97%E3%82%BF%E3%83%96%E3%83%AC%E3%83%83%E3%83%88%E3%82%B9%E3%82%BF%E3%83%B3%E3%83%89%E3%80%81%E3%83%9E%E3%83%AB%E3%83%81%E3%82%A2%E3%83%B3%E3%82%B0%E3%83%AB%E3%82%A2%E3%83%AB%E3%83%9F%E3%83%8B%E3%82%A6%E3%83%A0%E5%85%85%E9%9B%BB%E3%83%89%E3%83%83%E3%82%AF%E3%83%9B%E3%83%AB%E3%83%80%E3%83%BCwith-Sticky%E3%82%B5%E3%82%AF%E3%82%B7%E3%83%A7%E3%83%B3%E3%83%9E%E3%82%A6%E3%83%B3%E3%83%88%E3%83%99%E3%83%BC%E3%82%B9%E3%80%81%E3%83%95%E3%82%A3%E3%83%83%E3%83%88%E3%81%99%E3%81%B9%E3%81%A6%E3%81%AE%E3%82%B9%E3%83%9E%E3%83%BC%E3%83%88%E3%83%95%E3%82%A9%E3%83%B3%E3%80%81%E9%9B%BB%E5%AD%90%E3%83%96%E3%83%83%E3%82%AF%E3%83%AA%E3%83%BC%E3%83%80%E3%83%BC%E3%80%81%E3%82%BF%E3%83%96%E3%83%AC%E3%83%83%E3%83%88-om-ipad-stand-silver/dp/B015FH0XKE/ref=sr_1_41?__mk_ja_JP=%E3%82%AB%E3%82%BF%E3%82%AB%E3%83%8A&amp;dchild=1&amp;keywords=Galaxy&amp;qid=1598526202&amp;sr=8-41", "Go")</f>
        <v/>
      </c>
    </row>
    <row r="42">
      <c r="A42" s="1" t="n">
        <v>40</v>
      </c>
      <c r="B42" t="inlineStr">
        <is>
          <t>MONGOORA メタルカーチャージャー - Qualcomm Quick Charge 3.0 デュアルUSB 6A/36W 高速カーチャージャーアダプター - 2ポート QC 3.0 3A - あらゆるiPhone - Galaxy S20 S10 S9 S8 S7 Note LG Nexus などに対応</t>
        </is>
      </c>
      <c r="C42" t="inlineStr">
        <is>
          <t>￥5,723</t>
        </is>
      </c>
      <c r="D42" t="inlineStr">
        <is>
          <t>4.8</t>
        </is>
      </c>
      <c r="E42">
        <f>HYPERLINK("https://www.amazon.co.jp/IBD330-Q3/dp/B07VQ8GS26/ref=sr_1_42?__mk_ja_JP=%E3%82%AB%E3%82%BF%E3%82%AB%E3%83%8A&amp;dchild=1&amp;keywords=Galaxy&amp;qid=1598526202&amp;sr=8-42", "Go")</f>
        <v/>
      </c>
    </row>
    <row r="43">
      <c r="A43" s="1" t="n">
        <v>41</v>
      </c>
      <c r="B43" t="inlineStr">
        <is>
          <t>UtechSmart RGB ゲーム用マウスパッド 大型拡張ソフトLEDマウスパッド 14種類の照明モード 2段階明るさレベル付き コンピューターキーボードマウスパッドマット 800×300mm / 31.5×11.8インチ</t>
        </is>
      </c>
      <c r="C43" t="inlineStr">
        <is>
          <t>￥8,540</t>
        </is>
      </c>
      <c r="D43" t="inlineStr">
        <is>
          <t>4.8</t>
        </is>
      </c>
      <c r="E43">
        <f>HYPERLINK("https://www.amazon.co.jp/UtechSmart-RGB%E3%82%B2%E3%83%BC%E3%83%A0%E7%94%A8%E3%83%9E%E3%82%A6%E3%82%B9%E3%83%91%E3%83%83%E3%83%89-%E5%A4%A7%E5%9E%8B%E6%8B%A1%E5%BC%B5%E3%82%BD%E3%83%95%E3%83%88LED%E3%83%9E%E3%82%A6%E3%82%B9%E3%83%91%E3%83%83%E3%83%89-14%E7%A8%AE%E9%A1%9E%E3%81%AE%E7%85%A7%E6%98%8E%E3%83%A2%E3%83%BC%E3%83%89-%E3%82%B3%E3%83%B3%E3%83%94%E3%83%A5%E3%83%BC%E3%82%BF%E3%82%AD%E3%83%BC%E3%83%9C%E3%83%BC%E3%83%89%E3%83%9E%E3%82%A6%E3%82%B9%E3%83%91%E3%83%83%E3%83%89/dp/B07PQDLF51/ref=sr_1_43?__mk_ja_JP=%E3%82%AB%E3%82%BF%E3%82%AB%E3%83%8A&amp;dchild=1&amp;keywords=Galaxy&amp;qid=1598526202&amp;sr=8-43", "Go")</f>
        <v/>
      </c>
    </row>
    <row r="44">
      <c r="A44" s="1" t="n">
        <v>42</v>
      </c>
      <c r="B44" t="inlineStr">
        <is>
          <t>GalaxyS10 ガラスフィルム SC-03L 完璧な指紋ロック SCV41 S10 ガラス ブルーライト フィルム 保護ガラス 強化ガラス 全面 ふぃるむ ギャラクシーS10 保護フィルム 【貼り付け簡単/本体の湾曲する端まで貼れる/最高硬度9H/気泡ゼロ】1枚セット</t>
        </is>
      </c>
      <c r="C44" t="inlineStr">
        <is>
          <t>￥1,599</t>
        </is>
      </c>
      <c r="D44" t="inlineStr">
        <is>
          <t>4.8</t>
        </is>
      </c>
      <c r="E44">
        <f>HYPERLINK("https://www.amazon.co.jp/GalaxyS10-%E5%AE%8C%E7%92%A7%E3%81%AA%E6%8C%87%E7%B4%8B%E3%83%AD%E3%83%83%E3%82%AF-%E3%82%AE%E3%83%A3%E3%83%A9%E3%82%AF%E3%82%B7%E3%83%BCS10-%E6%9C%AC%E4%BD%93%E3%81%AE%E6%B9%BE%E6%9B%B2%E3%81%99%E3%82%8B%E7%AB%AF%E3%81%BE%E3%81%A7%E8%B2%BC%E3%82%8C%E3%82%8B-%E6%B0%97%E6%B3%A1%E3%82%BC%E3%83%AD%E3%80%911%E6%9E%9A%E3%82%BB%E3%83%83%E3%83%88/dp/B08B3BV4TW/ref=sr_1_44?__mk_ja_JP=%E3%82%AB%E3%82%BF%E3%82%AB%E3%83%8A&amp;dchild=1&amp;keywords=Galaxy&amp;qid=1598526202&amp;sr=8-44", "Go")</f>
        <v/>
      </c>
    </row>
    <row r="45">
      <c r="A45" s="1" t="n">
        <v>43</v>
      </c>
      <c r="B45" t="inlineStr">
        <is>
          <t>【2020最新進化版】イヤホン有線 高音質 重低音 カナル型 イヤホン マイク・リモコン付 イヤホン インナーイヤー型 イヤフォン 音量調節 クリア通話 音漏れ防止 外音遮断 軽量磁気 マグネット式 3.5mmステレオイヤホンiPhone/iPad/iPod/PC/Androidスマホ対応 【黒】</t>
        </is>
      </c>
      <c r="C45" t="inlineStr">
        <is>
          <t>￥1,299</t>
        </is>
      </c>
      <c r="D45" t="inlineStr">
        <is>
          <t>4.8</t>
        </is>
      </c>
      <c r="E45">
        <f>HYPERLINK("https://www.amazon.co.jp/%E3%80%902020%E6%9C%80%E6%96%B0%E9%80%B2%E5%8C%96%E7%89%88%E3%80%91%E3%82%A4%E3%83%A4%E3%83%9B%E3%83%B3%E6%9C%89%E7%B7%9A-%E3%83%9E%E3%82%A4%E3%82%AF%E3%83%BB%E3%83%AA%E3%83%A2%E3%82%B3%E3%83%B3%E4%BB%98-%E3%82%A4%E3%83%B3%E3%83%8A%E3%83%BC%E3%82%A4%E3%83%A4%E3%83%BC%E5%9E%8B-3-5mm%E3%82%B9%E3%83%86%E3%83%AC%E3%82%AA%E3%82%A4%E3%83%A4%E3%83%9B%E3%83%B3iPhone-Android%E3%82%B9%E3%83%9E%E3%83%9B%E5%AF%BE%E5%BF%9C/dp/B08DFL59YW/ref=sr_1_46?__mk_ja_JP=%E3%82%AB%E3%82%BF%E3%82%AB%E3%83%8A&amp;dchild=1&amp;keywords=Galaxy&amp;qid=1598526202&amp;sr=8-46", "Go")</f>
        <v/>
      </c>
    </row>
    <row r="46">
      <c r="A46" s="1" t="n">
        <v>44</v>
      </c>
      <c r="B46" t="inlineStr">
        <is>
          <t>【 4-12.9インチ機種に対応】IMDEN リフト機能付 スマホスタンド 卓上 スタンド ホルダー おりたたみ 滑り止め 高度調整可能 折り畳み式 携帯 ミ合金素材 iPhone/iPad/Android/Nintendo Switch Lite/Kindleなど</t>
        </is>
      </c>
      <c r="C46" t="inlineStr">
        <is>
          <t>￥990</t>
        </is>
      </c>
      <c r="D46" t="inlineStr">
        <is>
          <t>5</t>
        </is>
      </c>
      <c r="E46">
        <f>HYPERLINK("https://www.amazon.co.jp/4-12-9%E3%82%A4%E3%83%B3%E3%83%81%E6%A9%9F%E7%A8%AE%E3%81%AB%E5%AF%BE%E5%BF%9C%E3%80%91IMDEN-%E3%82%B9%E3%83%9E%E3%83%9B%E3%82%B9%E3%82%BF%E3%83%B3%E3%83%89-Android-Nintendo-Kindle%E3%81%AA%E3%81%A9/dp/B08BMN2PRQ/ref=sr_1_47?__mk_ja_JP=%E3%82%AB%E3%82%BF%E3%82%AB%E3%83%8A&amp;dchild=1&amp;keywords=Galaxy&amp;qid=1598526202&amp;sr=8-47", "Go")</f>
        <v/>
      </c>
    </row>
    <row r="47">
      <c r="A47" s="1" t="n">
        <v>45</v>
      </c>
      <c r="B47" t="inlineStr">
        <is>
          <t>【2020最新進化版】イヤホン イヤフォン ハイレゾ 高音質 重低音 有線イヤフォン マイク付き カナル型 イヤホン ステレオイヤフォン インナーイヤー型 ヘッドホン音漏れ防止 軽量 クリア通話 リモコン ヘッドホン 3.5 mm Samsung/Huawei/Sony/Xiaomi/Android/iPhone/iPad/PC多機種対応 【黒】</t>
        </is>
      </c>
      <c r="C47" t="inlineStr">
        <is>
          <t>￥1,199</t>
        </is>
      </c>
      <c r="D47" t="inlineStr">
        <is>
          <t>4.8</t>
        </is>
      </c>
      <c r="E47">
        <f>HYPERLINK("https://www.amazon.co.jp/%E3%80%902020%E6%9C%80%E6%96%B0%E9%80%B2%E5%8C%96%E7%89%88%E3%80%91%E3%82%A4%E3%83%A4%E3%83%9B%E3%83%B3-%E6%9C%89%E7%B7%9A%E3%82%A4%E3%83%A4%E3%83%95%E3%82%A9%E3%83%B3-%E3%82%B9%E3%83%86%E3%83%AC%E3%82%AA%E3%82%A4%E3%83%A4%E3%83%95%E3%82%A9%E3%83%B3-%E3%82%A4%E3%83%B3%E3%83%8A%E3%83%BC%E3%82%A4%E3%83%A4%E3%83%BC%E5%9E%8B-%E3%83%98%E3%83%83%E3%83%89%E3%83%9B%E3%83%B3%E9%9F%B3%E6%BC%8F%E3%82%8C%E9%98%B2%E6%AD%A2/dp/B08BN8CW4L/ref=sr_1_48?__mk_ja_JP=%E3%82%AB%E3%82%BF%E3%82%AB%E3%83%8A&amp;dchild=1&amp;keywords=Galaxy&amp;qid=1598526202&amp;sr=8-48", "Go")</f>
        <v/>
      </c>
    </row>
    <row r="48">
      <c r="A48" s="1" t="n">
        <v>46</v>
      </c>
      <c r="B48" t="inlineStr">
        <is>
          <t>Galaxy A7 2018 ケース シリコン ソフトなTPU [耐衝撃 落下 衝撃吸収] [薄型 軽量] [Qi充電対応] [全面保護 指紋防止 耐久] [炭素繊維シリコンケース] [レンズ保護] [滑り防止 黄変防止 すり傷防止] Galaxy A7 2018 カバー 黒</t>
        </is>
      </c>
      <c r="C48" t="inlineStr">
        <is>
          <t>￥899</t>
        </is>
      </c>
      <c r="D48" t="inlineStr">
        <is>
          <t>4.2</t>
        </is>
      </c>
      <c r="E48">
        <f>HYPERLINK("https://www.amazon.co.jp/Galaxy-%E3%82%BD%E3%83%95%E3%83%88%E3%81%AATPU-Qi%E5%85%85%E9%9B%BB%E5%AF%BE%E5%BF%9C-%E7%82%AD%E7%B4%A0%E7%B9%8A%E7%B6%AD%E3%82%B7%E3%83%AA%E3%82%B3%E3%83%B3%E3%82%B1%E3%83%BC%E3%82%B9-%E3%83%AC%E3%83%B3%E3%82%BA%E4%BF%9D%E8%AD%B7/dp/B08B8QQDKG/ref=sr_1_49_sspa?__mk_ja_JP=%E3%82%AB%E3%82%BF%E3%82%AB%E3%83%8A&amp;dchild=1&amp;keywords=Galaxy&amp;qid=1598526202&amp;sr=8-49-spons&amp;psc=1&amp;spLa=ZW5jcnlwdGVkUXVhbGlmaWVyPUE4RUxDOVZUVFBSNFAmZW5jcnlwdGVkSWQ9QTA0MjcxMDczN0Y4V1NKUkpMNFpCJmVuY3J5cHRlZEFkSWQ9QTMyWUFZWUVaTlFGTDcmd2lkZ2V0TmFtZT1zcF9idGYmYWN0aW9uPWNsaWNrUmVkaXJlY3QmZG9Ob3RMb2dDbGljaz10cnVl", "Go")</f>
        <v/>
      </c>
    </row>
    <row r="49">
      <c r="A49" s="1" t="n">
        <v>47</v>
      </c>
      <c r="B49" t="inlineStr">
        <is>
          <t>SAMSUNG GALAXY Tab S5e SM-T725N LTE 韓国版 並行輸入品 (Black)</t>
        </is>
      </c>
      <c r="C49" t="inlineStr">
        <is>
          <t>￥59,900</t>
        </is>
      </c>
      <c r="D49" t="inlineStr">
        <is>
          <t>4.6</t>
        </is>
      </c>
      <c r="E49">
        <f>HYPERLINK("https://www.amazon.co.jp/SAMSUNG-SM-T725N-Version-Parallel-Product/dp/B07NR5MMW8/ref=sr_1_52_sspa?__mk_ja_JP=%E3%82%AB%E3%82%BF%E3%82%AB%E3%83%8A&amp;dchild=1&amp;keywords=Galaxy&amp;qid=1598526202&amp;sr=8-52-spons&amp;psc=1&amp;spLa=ZW5jcnlwdGVkUXVhbGlmaWVyPUE4RUxDOVZUVFBSNFAmZW5jcnlwdGVkSWQ9QTA0MjcxMDczN0Y4V1NKUkpMNFpCJmVuY3J5cHRlZEFkSWQ9QTE4V0dRUVZGNEtQMzAmd2lkZ2V0TmFtZT1zcF9idGYmYWN0aW9uPWNsaWNrUmVkaXJlY3QmZG9Ob3RMb2dDbGljaz10cnVl", "Go")</f>
        <v/>
      </c>
    </row>
    <row r="50">
      <c r="A50" s="1" t="n">
        <v>48</v>
      </c>
      <c r="B50" t="inlineStr">
        <is>
          <t>[3 in 1] Galaxy A7 ガラスフィルム+ケース 両用ストラップ付き クリアケースカバー Galaxy A7 スマホカバー 薄型 軽量 TPU クリアケース 全面保護 フィルム 防指紋 高透過率 保護フィルム [ストラップホール付属 ハンドストラップ＆ネックストラップ付] (Galaxy A7 透明)</t>
        </is>
      </c>
      <c r="C50" t="inlineStr">
        <is>
          <t>￥890</t>
        </is>
      </c>
      <c r="D50" t="inlineStr">
        <is>
          <t>4.2</t>
        </is>
      </c>
      <c r="E50">
        <f>HYPERLINK("https://www.amazon.co.jp/Galaxy-A7-%E4%B8%A1%E7%94%A8%E3%82%B9%E3%83%88%E3%83%A9%E3%83%83%E3%83%97%E4%BB%98%E3%81%8D-%E3%82%B9%E3%83%88%E3%83%A9%E3%83%83%E3%83%97%E3%83%9B%E3%83%BC%E3%83%AB%E4%BB%98%E5%B1%9E-%E3%83%8F%E3%83%B3%E3%83%89%E3%82%B9%E3%83%88%E3%83%A9%E3%83%83%E3%83%97%EF%BC%86%E3%83%8D%E3%83%83%E3%82%AF%E3%82%B9%E3%83%88%E3%83%A9%E3%83%83%E3%83%97%E4%BB%98/dp/B08BL6XW1C/ref=sr_1_49_sspa?__mk_ja_JP=%E3%82%AB%E3%82%BF%E3%82%AB%E3%83%8A&amp;dchild=1&amp;keywords=Galaxy&amp;qid=1598526498&amp;sr=8-49-spons&amp;psc=1&amp;spLa=ZW5jcnlwdGVkUXVhbGlmaWVyPUEzU0owNkJJVklQVEQmZW5jcnlwdGVkSWQ9QTAwMzIxNTIxTTZUOTlPSlpEMkpXJmVuY3J5cHRlZEFkSWQ9QTFYUDlINzVMOUFVMEQmd2lkZ2V0TmFtZT1zcF9hdGZfbmV4dCZhY3Rpb249Y2xpY2tSZWRpcmVjdCZkb05vdExvZ0NsaWNrPXRydWU=", "Go")</f>
        <v/>
      </c>
    </row>
    <row r="51">
      <c r="A51" s="1" t="n">
        <v>49</v>
      </c>
      <c r="B51" t="inlineStr">
        <is>
          <t>[MOLAN CANO] Samsung Galaxy S20 ケース 6.2インチ TPU材質 スリム ソフト 軽量 カバー かわいいケース衝撃吸収 ワイヤレス充電 キュート 3D Ears Design マットな質感のスマートフォンケース (GALAXY S20, ブラック)</t>
        </is>
      </c>
      <c r="C51" t="inlineStr">
        <is>
          <t>￥1,380</t>
        </is>
      </c>
      <c r="D51" t="inlineStr">
        <is>
          <t>4.1</t>
        </is>
      </c>
      <c r="E51">
        <f>HYPERLINK("https://www.amazon.co.jp/Samsung-S20-%E3%81%8B%E3%82%8F%E3%81%84%E3%81%84%E3%82%B1%E3%83%BC%E3%82%B9%E8%A1%9D%E6%92%83%E5%90%B8%E5%8F%8E-%E3%83%AF%E3%82%A4%E3%83%A4%E3%83%AC%E3%82%B9%E5%85%85%E9%9B%BB-%E3%83%9E%E3%83%83%E3%83%88%E3%81%AA%E8%B3%AA%E6%84%9F%E3%81%AE%E3%82%B9%E3%83%9E%E3%83%BC%E3%83%88%E3%83%95%E3%82%A9%E3%83%B3%E3%82%B1%E3%83%BC%E3%82%B9/dp/B088R35Y49/ref=sr_1_51_sspa?__mk_ja_JP=%E3%82%AB%E3%82%BF%E3%82%AB%E3%83%8A&amp;dchild=1&amp;keywords=Galaxy&amp;qid=1598526498&amp;sr=8-51-spons&amp;psc=1&amp;spLa=ZW5jcnlwdGVkUXVhbGlmaWVyPUEzU0owNkJJVklQVEQmZW5jcnlwdGVkSWQ9QTAwMzIxNTIxTTZUOTlPSlpEMkpXJmVuY3J5cHRlZEFkSWQ9QTNWQTZJMFc4WjUyODYmd2lkZ2V0TmFtZT1zcF9hdGZfbmV4dCZhY3Rpb249Y2xpY2tSZWRpcmVjdCZkb05vdExvZ0NsaWNrPXRydWU=", "Go")</f>
        <v/>
      </c>
    </row>
    <row r="52">
      <c r="A52" s="1" t="n">
        <v>50</v>
      </c>
      <c r="B52" t="inlineStr">
        <is>
          <t>UMIDIGI A7 Pro スマートフォン,シムフリー スマホ本体 au不可 4GB RAM + 64GB Android 10 スマホ グローバルLTEバンド対応 6.3インチ FHD+ディスプレイクアッドカメラGoogleアプリ対応 [一年保証] コズミックブラック</t>
        </is>
      </c>
      <c r="C52" t="inlineStr">
        <is>
          <t>￥15,969</t>
        </is>
      </c>
      <c r="D52" t="inlineStr">
        <is>
          <t>4.7</t>
        </is>
      </c>
      <c r="E52">
        <f>HYPERLINK("https://www.amazon.co.jp/a7pro-A7-Pro-P/dp/B0895VKCL6/ref=sr_1_52_sspa?__mk_ja_JP=%E3%82%AB%E3%82%BF%E3%82%AB%E3%83%8A&amp;dchild=1&amp;keywords=Galaxy&amp;qid=1598526498&amp;sr=8-52-spons&amp;psc=1&amp;spLa=ZW5jcnlwdGVkUXVhbGlmaWVyPUEzU0owNkJJVklQVEQmZW5jcnlwdGVkSWQ9QTAwMzIxNTIxTTZUOTlPSlpEMkpXJmVuY3J5cHRlZEFkSWQ9QThSUjBQVTVJMjJaWiZ3aWRnZXROYW1lPXNwX2F0Zl9uZXh0JmFjdGlvbj1jbGlja1JlZGlyZWN0JmRvTm90TG9nQ2xpY2s9dHJ1ZQ==", "Go")</f>
        <v/>
      </c>
    </row>
    <row r="53">
      <c r="A53" s="1" t="n">
        <v>51</v>
      </c>
      <c r="B53" t="inlineStr">
        <is>
          <t>USB Type C Type C充電ケーブル [3m/pd対応/急速]uni USB-C USB2.0急速充電ケーブル延長powerline,c to c pd ケーブル(100w/20V/5A/480Mbpsデータ転送) MacBook Air/Pro 2018/ iPad Pro/ iMac/ Surface Go/ Sony Xperia/ Huawei/ Chromebook/ Samsung Galaxy S9/S8/ HP Spectre x360/ Dell XPS 13/15/ ENVY/ EliteBook/ Nintendo Switch 他USB C,グレー</t>
        </is>
      </c>
      <c r="C53" t="inlineStr">
        <is>
          <t>￥999</t>
        </is>
      </c>
      <c r="D53" t="inlineStr">
        <is>
          <t>4.8</t>
        </is>
      </c>
      <c r="E53">
        <f>HYPERLINK("https://www.amazon.co.jp/uni-USB2-0%E6%80%A5%E9%80%9F%E5%85%85%E9%9B%BB%E3%82%B1%E3%83%BC%E3%83%96%E3%83%AB%E5%BB%B6%E9%95%B7powerline-480Mbps%E3%83%87%E3%83%BC%E3%82%BF%E8%BB%A2%E9%80%81-Chromebook-EliteBook/dp/B07LF1FNRV/ref=sr_1_53?__mk_ja_JP=%E3%82%AB%E3%82%BF%E3%82%AB%E3%83%8A&amp;dchild=1&amp;keywords=Galaxy&amp;qid=1598526498&amp;sr=8-53", "Go")</f>
        <v/>
      </c>
    </row>
    <row r="54">
      <c r="A54" s="1" t="n">
        <v>52</v>
      </c>
      <c r="B54" t="inlineStr">
        <is>
          <t>PopGrip The Child Cup POPSOCKETS（ポップソケッツ） スマホリング スマホスタンド スマホグリップ スマホアクセサリー iPhone Android</t>
        </is>
      </c>
      <c r="C54" t="inlineStr">
        <is>
          <t>￥2,420</t>
        </is>
      </c>
      <c r="D54" t="inlineStr">
        <is>
          <t>4.8</t>
        </is>
      </c>
      <c r="E54">
        <f>HYPERLINK("https://www.amazon.co.jp/PopGrip-POPSOCKETS%EF%BC%88%E3%83%9D%E3%83%83%E3%83%97%E3%82%BD%E3%82%B1%E3%83%83%E3%83%84%EF%BC%89-%E3%82%B9%E3%83%9E%E3%83%9B%E3%82%B9%E3%82%BF%E3%83%B3%E3%83%89-%E3%82%B9%E3%83%9E%E3%83%9B%E3%82%B0%E3%83%AA%E3%83%83%E3%83%97-%E3%82%B9%E3%83%9E%E3%83%9B%E3%82%A2%E3%82%AF%E3%82%BB%E3%82%B5%E3%83%AA%E3%83%BC/dp/B082PJW2YQ/ref=sr_1_54?__mk_ja_JP=%E3%82%AB%E3%82%BF%E3%82%AB%E3%83%8A&amp;dchild=1&amp;keywords=Galaxy&amp;qid=1598526498&amp;sr=8-54", "Go")</f>
        <v/>
      </c>
    </row>
    <row r="55">
      <c r="A55" s="1" t="n">
        <v>53</v>
      </c>
      <c r="B55" t="inlineStr">
        <is>
          <t>スピーカーワイヤ 14ゲージスピーカーワイヤー GearIT 14AWG 100フィート 30.48m アウトドアインストール高品質スピーカーワイヤー ブラック 100 Feet GI-SPKR-14AWG-CC-100FT</t>
        </is>
      </c>
      <c r="C55" t="inlineStr">
        <is>
          <t>￥4,625</t>
        </is>
      </c>
      <c r="D55" t="inlineStr">
        <is>
          <t>4.8</t>
        </is>
      </c>
      <c r="E55">
        <f>HYPERLINK("https://www.amazon.co.jp/dp/B00HZWYP1G/ref=sr_1_55?__mk_ja_JP=%E3%82%AB%E3%82%BF%E3%82%AB%E3%83%8A&amp;dchild=1&amp;keywords=Galaxy&amp;qid=1598526498&amp;sr=8-55", "Go")</f>
        <v/>
      </c>
    </row>
    <row r="56">
      <c r="A56" s="1" t="n">
        <v>54</v>
      </c>
      <c r="B56" t="inlineStr">
        <is>
          <t>GVIEWIN iPhone 11 Pro Maxケース クリアフラワーデザイン ソフト＆柔軟 TPU 超薄型 耐衝撃 透明 バンパー 保護フローラルカバーケース iPhone 11 Pro Max 6.5インチ2019用</t>
        </is>
      </c>
      <c r="C56" t="inlineStr">
        <is>
          <t>￥7,056</t>
        </is>
      </c>
      <c r="D56" t="inlineStr">
        <is>
          <t>4.8</t>
        </is>
      </c>
      <c r="E56">
        <f>HYPERLINK("https://www.amazon.co.jp/GVIEWIN-iPhone-%E3%82%AF%E3%83%AA%E3%82%A2%E3%83%95%E3%83%A9%E3%83%AF%E3%83%BC%E3%83%87%E3%82%B6%E3%82%A4%E3%83%B3-%E4%BF%9D%E8%AD%B7%E3%83%95%E3%83%AD%E3%83%BC%E3%83%A9%E3%83%AB%E3%82%AB%E3%83%90%E3%83%BC%E3%82%B1%E3%83%BC%E3%82%B9-6-5%E3%82%A4%E3%83%B3%E3%83%812019%E7%94%A8/dp/B07VT11QK2/ref=sr_1_56?__mk_ja_JP=%E3%82%AB%E3%82%BF%E3%82%AB%E3%83%8A&amp;dchild=1&amp;keywords=Galaxy&amp;qid=1598526498&amp;sr=8-56", "Go")</f>
        <v/>
      </c>
    </row>
    <row r="57">
      <c r="A57" s="1" t="n">
        <v>55</v>
      </c>
      <c r="B57" t="inlineStr">
        <is>
          <t>HooToo USBのCハブ、電力供給、4K HDMI、3 USB 3と6-IN-1のUSB Cアダプター（2019アップグレード）。 MacBook/プロ/空気とタイプCのWindowsラップトップ用の0（グレー）</t>
        </is>
      </c>
      <c r="C57" t="inlineStr">
        <is>
          <t>￥4,634</t>
        </is>
      </c>
      <c r="D57" t="inlineStr">
        <is>
          <t>4.8</t>
        </is>
      </c>
      <c r="E57">
        <f>HYPERLINK("https://www.amazon.co.jp/HooToo-USB%E3%81%AEC%E3%83%8F%E3%83%96%E3%80%81%E9%9B%BB%E5%8A%9B%E4%BE%9B%E7%B5%A6%E3%80%814K-C%E3%82%A2%E3%83%80%E3%83%97%E3%82%BF%E3%83%BC%EF%BC%882019%E3%82%A2%E3%83%83%E3%83%97%E3%82%B0%E3%83%AC%E3%83%BC%E3%83%89%EF%BC%89%E3%80%82-MacBook-%E7%A9%BA%E6%B0%97%E3%81%A8%E3%82%BF%E3%82%A4%E3%83%97C%E3%81%AEWindows%E3%83%A9%E3%83%83%E3%83%97%E3%83%88%E3%83%83%E3%83%97%E7%94%A8%E3%81%AE0%EF%BC%88%E3%82%B0%E3%83%AC%E3%83%BC%EF%BC%89/dp/B07M6R3CPB/ref=sr_1_57?__mk_ja_JP=%E3%82%AB%E3%82%BF%E3%82%AB%E3%83%8A&amp;dchild=1&amp;keywords=Galaxy&amp;qid=1598526498&amp;sr=8-57", "Go")</f>
        <v/>
      </c>
    </row>
    <row r="58">
      <c r="A58" s="1" t="n">
        <v>56</v>
      </c>
      <c r="B58" t="inlineStr">
        <is>
          <t>MagicFiber マイクロファイバークリーニングクロス 2枚セット</t>
        </is>
      </c>
      <c r="C58" t="inlineStr">
        <is>
          <t>￥4,661</t>
        </is>
      </c>
      <c r="D58" t="inlineStr">
        <is>
          <t>4.8</t>
        </is>
      </c>
      <c r="E58">
        <f>HYPERLINK("https://www.amazon.co.jp/MagicFiber-UT0571-%E3%83%9E%E3%82%A4%E3%82%AF%E3%83%AD%E3%83%95%E3%82%A1%E3%82%A4%E3%83%90%E3%83%BC%E3%82%AF%E3%83%AA%E3%83%BC%E3%83%8B%E3%83%B3%E3%82%B0%E3%82%AF%E3%83%AD%E3%82%B9-2%E6%9E%9A%E3%82%BB%E3%83%83%E3%83%88/dp/B0043WJRRS/ref=sr_1_58?__mk_ja_JP=%E3%82%AB%E3%82%BF%E3%82%AB%E3%83%8A&amp;dchild=1&amp;keywords=Galaxy&amp;qid=1598526498&amp;sr=8-58", "Go")</f>
        <v/>
      </c>
    </row>
    <row r="59">
      <c r="A59" s="1" t="n">
        <v>57</v>
      </c>
      <c r="B59" t="inlineStr">
        <is>
          <t>iTeknic TWS Bluetooth 5.0 ワイヤレスイヤホン IPX8 防水スポーツワイヤレスイヤホン マイク付き ワイヤレス充電ケース USB-C急速充電 タッチコントロール iPhone Android用</t>
        </is>
      </c>
      <c r="C59" t="inlineStr">
        <is>
          <t>￥14,934</t>
        </is>
      </c>
      <c r="D59" t="inlineStr">
        <is>
          <t>4.8</t>
        </is>
      </c>
      <c r="E59">
        <f>HYPERLINK("https://www.amazon.co.jp/iTeknic-Bluetooth-%E3%83%AF%E3%82%A4%E3%83%A4%E3%83%AC%E3%82%B9%E3%82%A4%E3%83%A4%E3%83%9B%E3%83%B3-%E9%98%B2%E6%B0%B4%E3%82%B9%E3%83%9D%E3%83%BC%E3%83%84%E3%83%AF%E3%82%A4%E3%83%A4%E3%83%AC%E3%82%B9%E3%82%A4%E3%83%A4%E3%83%9B%E3%83%B3-%E3%83%AF%E3%82%A4%E3%83%A4%E3%83%AC%E3%82%B9%E5%85%85%E9%9B%BB%E3%82%B1%E3%83%BC%E3%82%B9/dp/B083Y19JTN/ref=sr_1_59?__mk_ja_JP=%E3%82%AB%E3%82%BF%E3%82%AB%E3%83%8A&amp;dchild=1&amp;keywords=Galaxy&amp;qid=1598526498&amp;sr=8-59", "Go")</f>
        <v/>
      </c>
    </row>
    <row r="60">
      <c r="A60" s="1" t="n">
        <v>58</v>
      </c>
      <c r="B60" t="inlineStr">
        <is>
          <t>MAI</t>
        </is>
      </c>
      <c r="C60" t="inlineStr">
        <is>
          <t>￥23,045</t>
        </is>
      </c>
      <c r="D60" t="inlineStr">
        <is>
          <t>4.8</t>
        </is>
      </c>
      <c r="E60">
        <f>HYPERLINK("https://www.amazon.co.jp/BOSOBO-%E3%83%8E%E3%83%B3%E3%82%B9%E3%83%AA%E3%83%83%E3%83%97%E3%82%B4%E3%83%A0%E3%83%9E%E3%82%A6%E3%82%B9%E3%83%91%E3%83%83%E3%83%89-%E5%B0%8F%E5%9E%8B%E3%82%B3%E3%83%B3%E3%83%94%E3%83%A5%E3%83%BC%E3%82%BF%E3%83%BCPC%E3%83%A9%E3%82%A6%E3%83%B3%E3%83%89%E3%83%9E%E3%82%A6%E3%82%B9%E3%83%9E%E3%83%83%E3%83%88-%E3%82%A8%E3%83%83%E3%82%B8%E3%82%B9%E3%83%86%E3%83%83%E3%83%81-%E9%AB%98%E9%80%9F%E3%81%A7%E6%AD%A3%E7%A2%BA%E3%81%AA%E3%82%B3%E3%83%B3%E3%83%88%E3%83%AD%E3%83%BC%E3%83%AB%E3%81%AE%E3%81%9F%E3%82%81%E3%81%AE%E8%A1%A8%E9%9D%A2/dp/B07LH6L2W6/ref=sr_1_60?__mk_ja_JP=%E3%82%AB%E3%82%BF%E3%82%AB%E3%83%8A&amp;dchild=1&amp;keywords=Galaxy&amp;qid=1598526498&amp;sr=8-60", "Go")</f>
        <v/>
      </c>
    </row>
    <row r="61">
      <c r="A61" s="1" t="n">
        <v>59</v>
      </c>
      <c r="B61" t="inlineStr">
        <is>
          <t>Samsung MicroSD EVO PlusシリーズMicro SDHCメモリカードアダプタ 64GB</t>
        </is>
      </c>
      <c r="C61" t="inlineStr">
        <is>
          <t>￥12,383から1個のオプション</t>
        </is>
      </c>
      <c r="D61" t="inlineStr">
        <is>
          <t>4.8</t>
        </is>
      </c>
      <c r="E61">
        <f>HYPERLINK("https://www.amazon.co.jp/Samsung-MicroSD-Plus%E3%82%B7%E3%83%AA%E3%83%BC%E3%82%BAMicro-SDHC%E3%83%A1%E3%83%A2%E3%83%AA%E3%82%AB%E3%83%BC%E3%83%89%E3%82%A2%E3%83%80%E3%83%97%E3%82%BF-64GB/dp/B07F22X6C4/ref=sr_1_61?__mk_ja_JP=%E3%82%AB%E3%82%BF%E3%82%AB%E3%83%8A&amp;dchild=1&amp;keywords=Galaxy&amp;qid=1598526498&amp;sr=8-61", "Go")</f>
        <v/>
      </c>
    </row>
    <row r="62">
      <c r="A62" s="1" t="n">
        <v>60</v>
      </c>
      <c r="B62" t="inlineStr">
        <is>
          <t>Xenvo Squidgrip Iphone三脚、Gopro三脚 - Iphone、Android、Samsung、Google Smartphones、およびあらゆる携帯電話と互換性があるボールヘッド360が付いている適用範囲が広い携帯電話の三脚の立場 赤</t>
        </is>
      </c>
      <c r="C62" t="inlineStr">
        <is>
          <t>￥1,080</t>
        </is>
      </c>
      <c r="D62" t="inlineStr">
        <is>
          <t>4.8</t>
        </is>
      </c>
      <c r="E62">
        <f>HYPERLINK("https://www.amazon.co.jp/Xenvo-4332321322-SquidGrip-Iphone%E4%B8%89%E8%84%9A%E3%80%81GoPro%E4%B8%89%E8%84%9A-%E2%80%93-%E6%9F%94%E8%BB%9F%E3%81%AA%E3%82%BB%E3%83%AB%E6%90%BA%E5%B8%AF%E9%9B%BB%E8%A9%B1%E4%B8%89%E8%84%9A%E3%82%B9%E3%82%BF%E3%83%B3%E3%83%89ball-head-360%E3%80%81iPhone%E3%80%81Android%E3%80%81SAMSUNG%E3%80%81Google%E3%82%B9%E3%83%9E%E3%83%BC%E3%83%88%E3%83%95%E3%82%A9%E3%83%B3%E3%80%81%E3%81%A8%E4%BA%92%E6%8F%9B%E6%80%A7%E3%80%81%E4%BB%BB%E6%84%8F%E3%81%AE%E6%90%BA%E5%B8%AF%E9%9B%BB%E8%A9%B1/dp/B06XKX4DPJ/ref=sr_1_62?__mk_ja_JP=%E3%82%AB%E3%82%BF%E3%82%AB%E3%83%8A&amp;dchild=1&amp;keywords=Galaxy&amp;qid=1598526498&amp;sr=8-62", "Go")</f>
        <v/>
      </c>
    </row>
    <row r="63">
      <c r="A63" s="1" t="n">
        <v>61</v>
      </c>
      <c r="B63" t="inlineStr">
        <is>
          <t>iPad miniケース iPad mini 4スリーブ Lacdo耐衝撃タブレットスリーブ iPad mini 4/3/2 サムスン Galaxy Tab A 8インチ Asus ZenPad 各対応保護バッグ B1A44C1</t>
        </is>
      </c>
      <c r="C63" t="inlineStr">
        <is>
          <t>￥17,668</t>
        </is>
      </c>
      <c r="D63" t="inlineStr">
        <is>
          <t>4.8</t>
        </is>
      </c>
      <c r="E63">
        <f>HYPERLINK("https://www.amazon.co.jp/mini%E3%82%B1%E3%83%BC%E3%82%B9-Lacdo%E8%80%90%E8%A1%9D%E6%92%83%E3%82%BF%E3%83%96%E3%83%AC%E3%83%83%E3%83%88%E3%82%B9%E3%83%AA%E3%83%BC%E3%83%96-Galaxy-%E5%90%84%E5%AF%BE%E5%BF%9C%E4%BF%9D%E8%AD%B7%E3%83%90%E3%83%83%E3%82%B0-B1A44C1/dp/B00RK1I5QI/ref=sr_1_63?__mk_ja_JP=%E3%82%AB%E3%82%BF%E3%82%AB%E3%83%8A&amp;dchild=1&amp;keywords=Galaxy&amp;qid=1598526498&amp;sr=8-63", "Go")</f>
        <v/>
      </c>
    </row>
    <row r="64">
      <c r="A64" s="1" t="n">
        <v>62</v>
      </c>
      <c r="B64" t="inlineStr">
        <is>
          <t>WARRKY-CD11 - USB C - DPケーブル 4K@60Hz - US</t>
        </is>
      </c>
      <c r="C64" t="inlineStr">
        <is>
          <t>￥4,018</t>
        </is>
      </c>
      <c r="D64" t="inlineStr">
        <is>
          <t>4.8</t>
        </is>
      </c>
      <c r="E64">
        <f>HYPERLINK("https://www.amazon.co.jp/WARRKY-CD11-USB-DP%E3%82%B1%E3%83%BC%E3%83%96%E3%83%AB-4K-60Hz/dp/B07RY75V7Q/ref=sr_1_64?__mk_ja_JP=%E3%82%AB%E3%82%BF%E3%82%AB%E3%83%8A&amp;dchild=1&amp;keywords=Galaxy&amp;qid=1598526498&amp;sr=8-64", "Go")</f>
        <v/>
      </c>
    </row>
    <row r="65">
      <c r="A65" s="1" t="n">
        <v>63</v>
      </c>
      <c r="B65" t="inlineStr">
        <is>
          <t>SAMSUNG GALAXY Tab S5e SM-T725N LTE 韓国版 並行輸入品 (Silver)</t>
        </is>
      </c>
      <c r="C65" t="inlineStr">
        <is>
          <t>￥59,900</t>
        </is>
      </c>
      <c r="D65" t="inlineStr">
        <is>
          <t>4.4</t>
        </is>
      </c>
      <c r="E65">
        <f>HYPERLINK("https://www.amazon.co.jp/SAMSUNG-GALAXY-SM-T725N-%E4%B8%A6%E8%A1%8C%E8%BC%B8%E5%85%A5%E5%93%81-Silver/dp/B07NR3B1HJ/ref=sr_1_65_sspa?__mk_ja_JP=%E3%82%AB%E3%82%BF%E3%82%AB%E3%83%8A&amp;dchild=1&amp;keywords=Galaxy&amp;qid=1598526498&amp;sr=8-65-spons&amp;psc=1&amp;spLa=ZW5jcnlwdGVkUXVhbGlmaWVyPUEzU0owNkJJVklQVEQmZW5jcnlwdGVkSWQ9QTAwMzIxNTIxTTZUOTlPSlpEMkpXJmVuY3J5cHRlZEFkSWQ9QVA1TEFLRzc3Q0NGQyZ3aWRnZXROYW1lPXNwX210ZiZhY3Rpb249Y2xpY2tSZWRpcmVjdCZkb05vdExvZ0NsaWNrPXRydWU=", "Go")</f>
        <v/>
      </c>
    </row>
    <row r="66">
      <c r="A66" s="1" t="n">
        <v>64</v>
      </c>
      <c r="B66" t="inlineStr">
        <is>
          <t>SAMSUNG GALAXY Tab S5e SM-T720N WiFi 韓国版 並行輸入品 (Black, 128GB)</t>
        </is>
      </c>
      <c r="C66" t="inlineStr">
        <is>
          <t>￥65,499</t>
        </is>
      </c>
      <c r="D66" t="inlineStr">
        <is>
          <t>4.6</t>
        </is>
      </c>
      <c r="E66">
        <f>HYPERLINK("https://www.amazon.co.jp/SAMSUNG-GALAXY-SM-T720N-%E4%B8%A6%E8%A1%8C%E8%BC%B8%E5%85%A5%E5%93%81-Black/dp/B07Q84QZSJ/ref=sr_1_66_sspa?__mk_ja_JP=%E3%82%AB%E3%82%BF%E3%82%AB%E3%83%8A&amp;dchild=1&amp;keywords=Galaxy&amp;qid=1598526498&amp;sr=8-66-spons&amp;psc=1&amp;smid=A1E5PAJ8GW5C5O&amp;spLa=ZW5jcnlwdGVkUXVhbGlmaWVyPUEzU0owNkJJVklQVEQmZW5jcnlwdGVkSWQ9QTAwMzIxNTIxTTZUOTlPSlpEMkpXJmVuY3J5cHRlZEFkSWQ9QTMxSzhQTjRPVkIxRkomd2lkZ2V0TmFtZT1zcF9tdGYmYWN0aW9uPWNsaWNrUmVkaXJlY3QmZG9Ob3RMb2dDbGljaz10cnVl", "Go")</f>
        <v/>
      </c>
    </row>
    <row r="67">
      <c r="A67" s="1" t="n">
        <v>65</v>
      </c>
      <c r="B67" t="inlineStr">
        <is>
          <t>BobjGear Bobj 丈夫なタブレットケース Samsung Galaxy Tab A 10.1 (2019) SM-T510 SM-T515 子供に優しい グリーン</t>
        </is>
      </c>
      <c r="C67" t="inlineStr">
        <is>
          <t>￥15,700</t>
        </is>
      </c>
      <c r="D67" t="inlineStr">
        <is>
          <t>4.9</t>
        </is>
      </c>
      <c r="E67">
        <f>HYPERLINK("https://www.amazon.co.jp/BobjGear-%E4%B8%88%E5%A4%AB%E3%81%AA%E3%82%BF%E3%83%96%E3%83%AC%E3%83%83%E3%83%88%E3%82%B1%E3%83%BC%E3%82%B9-Samsung-SM-T510-SM-T515/dp/B07Z2V5646/ref=sr_1_68?__mk_ja_JP=%E3%82%AB%E3%82%BF%E3%82%AB%E3%83%8A&amp;dchild=1&amp;keywords=Galaxy&amp;qid=1598526498&amp;sr=8-68", "Go")</f>
        <v/>
      </c>
    </row>
    <row r="68">
      <c r="A68" s="1" t="n">
        <v>66</v>
      </c>
      <c r="B68" t="inlineStr">
        <is>
          <t>[2020令和最新版] イヤホン イヤフォン ハイレゾ高音質 重低音 イヤホン 有線 マイク・リモコン付 カナル型 ステレオ イヤホン 通話可能 音量調整 軽量 音漏れ防止 ノイズキャンセリング 3.5mm インナーイヤー型 イヤフォン Android/iPhone/PC多機種対応(グレー)</t>
        </is>
      </c>
      <c r="C68" t="inlineStr">
        <is>
          <t>￥999</t>
        </is>
      </c>
      <c r="D68" t="inlineStr">
        <is>
          <t>4.8</t>
        </is>
      </c>
      <c r="E68">
        <f>HYPERLINK("https://www.amazon.co.jp/2020%E4%BB%A4%E5%92%8C%E6%9C%80%E6%96%B0%E7%89%88-%E3%83%8F%E3%82%A4%E3%83%AC%E3%82%BE%E9%AB%98%E9%9F%B3%E8%B3%AA-%E3%83%9E%E3%82%A4%E3%82%AF%E3%83%BB%E3%83%AA%E3%83%A2%E3%82%B3%E3%83%B3%E4%BB%98-%E3%83%8E%E3%82%A4%E3%82%BA%E3%82%AD%E3%83%A3%E3%83%B3%E3%82%BB%E3%83%AA%E3%83%B3%E3%82%B0-%E3%82%A4%E3%83%B3%E3%83%8A%E3%83%BC%E3%82%A4%E3%83%A4%E3%83%BC%E5%9E%8B/dp/B08DFXWD95/ref=sr_1_69?__mk_ja_JP=%E3%82%AB%E3%82%BF%E3%82%AB%E3%83%8A&amp;dchild=1&amp;keywords=Galaxy&amp;qid=1598526498&amp;sr=8-69", "Go")</f>
        <v/>
      </c>
    </row>
    <row r="69">
      <c r="A69" s="1" t="n">
        <v>67</v>
      </c>
      <c r="B69" t="inlineStr">
        <is>
          <t>【2020令 最新版 】イヤホン イヤフォン ハイレゾ 高音質 重低音 有線イヤフォン マイク付き カナル型 イヤホン ステレオイヤフォン インナーイヤー型 音漏れ防止 軽量 クリア通話 3.5mm ジャック iPhone iPad PC Android 対応 イヤホン【ブラック】</t>
        </is>
      </c>
      <c r="C69" t="inlineStr">
        <is>
          <t>￥899</t>
        </is>
      </c>
      <c r="D69" t="inlineStr">
        <is>
          <t>4.8</t>
        </is>
      </c>
      <c r="E69">
        <f>HYPERLINK("https://www.amazon.co.jp/%E6%9C%89%E7%B7%9A%E3%82%A4%E3%83%A4%E3%83%95%E3%82%A9%E3%83%B3-%E3%82%B9%E3%83%86%E3%83%AC%E3%82%AA%E3%82%A4%E3%83%A4%E3%83%95%E3%82%A9%E3%83%B3-%E3%82%A4%E3%83%B3%E3%83%8A%E3%83%BC%E3%82%A4%E3%83%A4%E3%83%BC%E5%9E%8B-Android-%E3%82%A4%E3%83%A4%E3%83%9B%E3%83%B3%E3%80%90%E3%83%96%E3%83%A9%E3%83%83%E3%82%AF%E3%80%91/dp/B0894SKFP6/ref=sr_1_70?__mk_ja_JP=%E3%82%AB%E3%82%BF%E3%82%AB%E3%83%8A&amp;dchild=1&amp;keywords=Galaxy&amp;qid=1598526498&amp;sr=8-70", "Go")</f>
        <v/>
      </c>
    </row>
    <row r="70">
      <c r="A70" s="1" t="n">
        <v>68</v>
      </c>
      <c r="B70" t="inlineStr">
        <is>
          <t>スマホ スタンド ホルダー、 角度調整 可能、卓上 スタンド ホルダー、アイフォンデスク置き台、スマートフォン 携帯 置き 台 卓上、iphone、ipad、android 対応 (ピンク)</t>
        </is>
      </c>
      <c r="C70" t="inlineStr">
        <is>
          <t>￥1,088</t>
        </is>
      </c>
      <c r="D70" t="inlineStr">
        <is>
          <t>4.8</t>
        </is>
      </c>
      <c r="E70">
        <f>HYPERLINK("https://www.amazon.co.jp/Bright-Stone-%E3%83%87%E3%82%B9%E3%82%AF%E7%94%A8%E9%9B%BB%E8%A9%B1%E3%82%B9%E3%82%BF%E3%83%B3%E3%83%89-%E6%90%BA%E5%B8%AF%E9%9B%BB%E8%A9%B1%E3%82%B9%E3%82%BF%E3%83%B3%E3%83%89%E8%AA%BF%E7%AF%80%E5%8F%AF%E8%83%BD%E3%81%AA%E3%83%87%E3%82%B9%E3%82%AF%E3%83%95%E3%82%A9%E3%83%B3%E3%83%9B%E3%83%AB%E3%83%80%E3%83%BC%E3%82%BF%E3%83%96%E3%83%AC%E3%83%83%E3%83%88%E3%83%9B%E3%83%AB%E3%83%80%E3%83%BC%E9%9B%BB%E8%A9%B1%E3%83%89%E3%83%83%E3%82%AF-%E3%83%94%E3%83%B3%E3%82%AF/dp/B07XHFRP4C/ref=sr_1_71?__mk_ja_JP=%E3%82%AB%E3%82%BF%E3%82%AB%E3%83%8A&amp;dchild=1&amp;keywords=Galaxy&amp;qid=1598526498&amp;sr=8-71", "Go")</f>
        <v/>
      </c>
    </row>
    <row r="71">
      <c r="A71" s="1" t="n">
        <v>69</v>
      </c>
      <c r="B71" t="inlineStr">
        <is>
          <t>【18W急速充電/ワイヤレス充電/QC3.0対応】 モバイルバッテリー 大容量 13800mAh 無線と有線両用 携帯バッテリー iphone 軽量 ワイヤレス充電器 LCD残量表示 LEDライト付き Qi 充電器 高速充電 PD3.0 持ち運び 薄型 3台同時充電 置くだけ充電 iPad / iPhone / Android / docomo / softbank / au 各種他QI対応 出張 旅行 地震防災 アウトドア活動 PSE認証済 黒</t>
        </is>
      </c>
      <c r="C71" t="inlineStr">
        <is>
          <t>￥2,920</t>
        </is>
      </c>
      <c r="D71" t="inlineStr">
        <is>
          <t>4.8</t>
        </is>
      </c>
      <c r="E71">
        <f>HYPERLINK("https://www.amazon.co.jp/%E3%80%9018W%E6%80%A5%E9%80%9F%E5%85%85%E9%9B%BB-QC3-0%E5%AF%BE%E5%BF%9C%E3%80%91-%E3%83%A2%E3%83%90%E3%82%A4%E3%83%AB%E3%83%90%E3%83%83%E3%83%86%E3%83%AA%E3%83%BC-13800mAh-%E3%83%AF%E3%82%A4%E3%83%A4%E3%83%AC%E3%82%B9%E5%85%85%E9%9B%BB%E5%99%A8/dp/B082PGS78L/ref=sr_1_72?__mk_ja_JP=%E3%82%AB%E3%82%BF%E3%82%AB%E3%83%8A&amp;dchild=1&amp;keywords=Galaxy&amp;qid=1598526498&amp;sr=8-72", "Go")</f>
        <v/>
      </c>
    </row>
    <row r="72">
      <c r="A72" s="1" t="n">
        <v>70</v>
      </c>
      <c r="B72" t="inlineStr">
        <is>
          <t>GVIEWIN iPhone 11ケース クリアフラワーデザイン ソフト&amp;フレキシブル TPU 超薄型 耐衝撃 透明 バンパー 保護 フローラル カバー ケース iPhone 11 6.1インチ 2019用</t>
        </is>
      </c>
      <c r="C72" t="inlineStr">
        <is>
          <t>￥8,677</t>
        </is>
      </c>
      <c r="D72" t="inlineStr">
        <is>
          <t>4.8</t>
        </is>
      </c>
      <c r="E72">
        <f>HYPERLINK("https://www.amazon.co.jp/GVIEWIN-iPhone-%E3%82%AF%E3%83%AA%E3%82%A2%E3%83%95%E3%83%A9%E3%83%AF%E3%83%BC%E3%83%87%E3%82%B6%E3%82%A4%E3%83%B3-%E3%83%95%E3%83%AC%E3%82%AD%E3%82%B7%E3%83%96%E3%83%AB-6-1%E3%82%A4%E3%83%B3%E3%83%81/dp/B07Z65TJ2R/ref=sr_1_73?__mk_ja_JP=%E3%82%AB%E3%82%BF%E3%82%AB%E3%83%8A&amp;dchild=1&amp;keywords=Galaxy&amp;qid=1598526498&amp;sr=8-73", "Go")</f>
        <v/>
      </c>
    </row>
    <row r="73">
      <c r="A73" s="1" t="n">
        <v>71</v>
      </c>
      <c r="B73" t="inlineStr">
        <is>
          <t>イヤホン 有線 カナル型 イヤフォン 【2020令和最新版】 3.5mm 有線 イヤホン マイク付き リモコン付き ヘッドホン コンパクト 遮音性 高音質 重低音 通話 イヤフォン(ブラック)Android/iPhone/iPod/iPad/PC対応</t>
        </is>
      </c>
      <c r="C73" t="inlineStr">
        <is>
          <t>￥1,099</t>
        </is>
      </c>
      <c r="D73" t="inlineStr">
        <is>
          <t>4.8</t>
        </is>
      </c>
      <c r="E73">
        <f>HYPERLINK("https://www.amazon.co.jp/%E3%82%A4%E3%83%A4%E3%83%95%E3%82%A9%E3%83%B3-%E3%80%902020%E4%BB%A4%E5%92%8C%E6%9C%80%E6%96%B0%E7%89%88%E3%80%91-%E3%83%AA%E3%83%A2%E3%82%B3%E3%83%B3%E4%BB%98%E3%81%8D-Android-iPhone/dp/B08CKVF22C/ref=sr_1_74?__mk_ja_JP=%E3%82%AB%E3%82%BF%E3%82%AB%E3%83%8A&amp;dchild=1&amp;keywords=Galaxy&amp;qid=1598526498&amp;sr=8-74", "Go")</f>
        <v/>
      </c>
    </row>
    <row r="74">
      <c r="A74" s="1" t="n">
        <v>72</v>
      </c>
      <c r="B74" t="inlineStr">
        <is>
          <t>Galaxy A20 ガラスフィルム【2020最新の製造プロセス】Galaxy A20E docomo sc-02m/au scv46 フィルム 専用 強化ガラスフィルム【日本製素材旭硝子製】業界最高硬度9H/高透過率99.9%/3D Touch対応/2.5Dラウンドエッジ加工/自動吸着/指紋防止/気泡ゼロ/超薄型0.3 mm【2枚- -透明】</t>
        </is>
      </c>
      <c r="C74" t="inlineStr">
        <is>
          <t>￥998</t>
        </is>
      </c>
      <c r="D74" t="inlineStr">
        <is>
          <t>4.8</t>
        </is>
      </c>
      <c r="E74">
        <f>HYPERLINK("https://www.amazon.co.jp/%E3%82%AC%E3%83%A9%E3%82%B9%E3%83%95%E3%82%A3%E3%83%AB%E3%83%A0%E3%80%902020%E6%9C%80%E6%96%B0%E3%81%AE%E8%A3%BD%E9%80%A0%E3%83%97%E3%83%AD%E3%82%BB%E3%82%B9%E3%80%91Galaxy-%E5%BC%B7%E5%8C%96%E3%82%AC%E3%83%A9%E3%82%B9%E3%83%95%E3%82%A3%E3%83%AB%E3%83%A0%E3%80%90%E6%97%A5%E6%9C%AC%E8%A3%BD%E7%B4%A0%E6%9D%90%E6%97%AD%E7%A1%9D%E5%AD%90%E8%A3%BD%E3%80%91%E6%A5%AD%E7%95%8C%E6%9C%80%E9%AB%98%E7%A1%AC%E5%BA%A69H-%E9%AB%98%E9%80%8F%E9%81%8E%E7%8E%8799-9-Touch%E5%AF%BE%E5%BF%9C-2-5D%E3%83%A9%E3%82%A6%E3%83%B3%E3%83%89%E3%82%A8%E3%83%83%E3%82%B8%E5%8A%A0%E5%B7%A5/dp/B08F2Q5H53/ref=sr_1_75?__mk_ja_JP=%E3%82%AB%E3%82%BF%E3%82%AB%E3%83%8A&amp;dchild=1&amp;keywords=Galaxy&amp;qid=1598526498&amp;sr=8-75", "Go")</f>
        <v/>
      </c>
    </row>
    <row r="75">
      <c r="A75" s="1" t="n">
        <v>73</v>
      </c>
      <c r="B75" t="inlineStr">
        <is>
          <t>【2020最新版】イヤホン 3.5mm 有線イヤフォン ハイレゾ 高音質 重低音 有線イヤフォン マイク付き カナル型 イヤホン ステレオイヤフォン 音漏れ防止 外音遮断 インナーイヤー型 軽量 クリア通話 マグネット式Android/iPhone/PC/iPod/iPad 多機種対応 イヤフォン【銀】</t>
        </is>
      </c>
      <c r="C75" t="inlineStr">
        <is>
          <t>￥1,299</t>
        </is>
      </c>
      <c r="D75" t="inlineStr">
        <is>
          <t>4.8</t>
        </is>
      </c>
      <c r="E75">
        <f>HYPERLINK("https://www.amazon.co.jp/%E3%80%902020%E6%9C%80%E6%96%B0%E7%89%88%E3%80%91%E3%82%A4%E3%83%A4%E3%83%9B%E3%83%B3-%E3%82%B9%E3%83%86%E3%83%AC%E3%82%AA%E3%82%A4%E3%83%A4%E3%83%95%E3%82%A9%E3%83%B3-%E3%82%A4%E3%83%B3%E3%83%8A%E3%83%BC%E3%82%A4%E3%83%A4%E3%83%BC%E5%9E%8B-%E3%83%9E%E3%82%B0%E3%83%8D%E3%83%83%E3%83%88%E5%BC%8FAndroid-%E3%82%A4%E3%83%A4%E3%83%95%E3%82%A9%E3%83%B3%E3%80%90%E9%8A%80%E3%80%91/dp/B08F76FTQ2/ref=sr_1_76?__mk_ja_JP=%E3%82%AB%E3%82%BF%E3%82%AB%E3%83%8A&amp;dchild=1&amp;keywords=Galaxy&amp;qid=1598526498&amp;sr=8-76", "Go")</f>
        <v/>
      </c>
    </row>
    <row r="76">
      <c r="A76" s="1" t="n">
        <v>74</v>
      </c>
      <c r="B76" t="inlineStr">
        <is>
          <t>イヤホン [2020令和最新版] 有線 イヤホン マイク付き リモコン付き ヘッドホン コンパクト イヤフォン ハイレゾ 遮音性 高音質 重低音 通話 イヤフォンAndroid/iPhone/iPod/iPad/PC対応 3.5mm 有線イヤフォン (ブラック)</t>
        </is>
      </c>
      <c r="C76" t="inlineStr">
        <is>
          <t>￥1,295</t>
        </is>
      </c>
      <c r="D76" t="inlineStr">
        <is>
          <t>4.8</t>
        </is>
      </c>
      <c r="E76">
        <f>HYPERLINK("https://www.amazon.co.jp/2020%E4%BB%A4%E5%92%8C%E6%9C%80%E6%96%B0%E7%89%88-%E3%83%AA%E3%83%A2%E3%82%B3%E3%83%B3%E4%BB%98%E3%81%8D-%E3%82%A4%E3%83%A4%E3%83%95%E3%82%A9%E3%83%B3Android-iPhone-%E6%9C%89%E7%B7%9A%E3%82%A4%E3%83%A4%E3%83%95%E3%82%A9%E3%83%B3/dp/B08CZPB71D/ref=sr_1_77?__mk_ja_JP=%E3%82%AB%E3%82%BF%E3%82%AB%E3%83%8A&amp;dchild=1&amp;keywords=Galaxy&amp;qid=1598526498&amp;sr=8-77", "Go")</f>
        <v/>
      </c>
    </row>
    <row r="77">
      <c r="A77" s="1" t="n">
        <v>75</v>
      </c>
      <c r="B77" t="inlineStr">
        <is>
          <t>Xiaomi Redmi Note 8 PRO 64GB + 6GB RAM グローバル版・SIMフリー 日本語対応・Googleアプリ対応 6400万画素カメラ 4500mAhバッテリ 6.53インチ (Ocean Blue/オーシャンブルー)</t>
        </is>
      </c>
      <c r="C77" t="inlineStr">
        <is>
          <t>￥23,800</t>
        </is>
      </c>
      <c r="D77" t="inlineStr">
        <is>
          <t>4.8</t>
        </is>
      </c>
      <c r="E77">
        <f>HYPERLINK("https://www.amazon.co.jp/Xiaomi-Redmi-Note-%E3%82%B0%E3%83%AD%E3%83%BC%E3%83%90%E3%83%AB%E7%89%88%E3%83%BBSIM%E3%83%95%E3%83%AA%E3%83%BC-%E6%97%A5%E6%9C%AC%E8%AA%9E%E5%AF%BE%E5%BF%9C%E3%83%BBGoogle%E3%82%A2%E3%83%97%E3%83%AA%E5%AF%BE%E5%BF%9C/dp/B07YJNYRTJ/ref=sr_1_78?__mk_ja_JP=%E3%82%AB%E3%82%BF%E3%82%AB%E3%83%8A&amp;dchild=1&amp;keywords=Galaxy&amp;qid=1598526498&amp;sr=8-78", "Go")</f>
        <v/>
      </c>
    </row>
    <row r="78">
      <c r="A78" s="1" t="n">
        <v>76</v>
      </c>
      <c r="B78" t="inlineStr">
        <is>
          <t>【2020最新版】イヤホン ヘッドホン ステレオイヤホン イヤフォン マイク/リモコン付き 3.5mm ジャック高音質で通話可能 アイフォン アンドロイド多機種対応 軽量 Android/PC/ipodなど用イヤホン</t>
        </is>
      </c>
      <c r="C78" t="inlineStr">
        <is>
          <t>￥999</t>
        </is>
      </c>
      <c r="D78" t="inlineStr">
        <is>
          <t>4.8</t>
        </is>
      </c>
      <c r="E78">
        <f>HYPERLINK("https://www.amazon.co.jp/%E3%80%902020%E6%9C%80%E6%96%B0%E7%89%88%E3%80%91%E3%82%A4%E3%83%A4%E3%83%9B%E3%83%B3-%E3%82%B9%E3%83%86%E3%83%AC%E3%82%AA%E3%82%A4%E3%83%A4%E3%83%9B%E3%83%B3-%E3%82%B8%E3%83%A3%E3%83%83%E3%82%AF%E9%AB%98%E9%9F%B3%E8%B3%AA%E3%81%A7%E9%80%9A%E8%A9%B1%E5%8F%AF%E8%83%BD-%E3%82%A2%E3%83%B3%E3%83%89%E3%83%AD%E3%82%A4%E3%83%89%E5%A4%9A%E6%A9%9F%E7%A8%AE%E5%AF%BE%E5%BF%9C-ipod%E3%81%AA%E3%81%A9%E7%94%A8%E3%82%A4%E3%83%A4%E3%83%9B%E3%83%B3/dp/B08BNLW4JK/ref=sr_1_79?__mk_ja_JP=%E3%82%AB%E3%82%BF%E3%82%AB%E3%83%8A&amp;dchild=1&amp;keywords=Galaxy&amp;qid=1598526498&amp;sr=8-79", "Go")</f>
        <v/>
      </c>
    </row>
    <row r="79">
      <c r="A79" s="1" t="n">
        <v>77</v>
      </c>
      <c r="B79" t="inlineStr">
        <is>
          <t>ProCase Galaxy Tab A 8.4 2020 キーボードケース スリムシェル 軽量カバー 磁気付き 取り外し可能なワイヤレスキーボード 対応機種： Galaxy Tab A 8.4" Verizon SM-T307 (2020発売）– ブラック</t>
        </is>
      </c>
      <c r="C79" t="inlineStr">
        <is>
          <t>￥2,599</t>
        </is>
      </c>
      <c r="D79" t="inlineStr">
        <is>
          <t>5</t>
        </is>
      </c>
      <c r="E79">
        <f>HYPERLINK("https://www.amazon.co.jp/ProCase-%E3%82%AD%E3%83%BC%E3%83%9C%E3%83%BC%E3%83%89%E3%82%B1%E3%83%BC%E3%82%B9-%E5%8F%96%E3%82%8A%E5%A4%96%E3%81%97%E5%8F%AF%E8%83%BD%E3%81%AA%E3%83%AF%E3%82%A4%E3%83%A4%E3%83%AC%E3%82%B9%E3%82%AD%E3%83%BC%E3%83%9C%E3%83%BC%E3%83%89-Verizon-2020%E7%99%BA%E5%A3%B2%EF%BC%89%E2%80%93/dp/B086W69K2K/ref=sr_1_80_sspa?__mk_ja_JP=%E3%82%AB%E3%82%BF%E3%82%AB%E3%83%8A&amp;dchild=1&amp;keywords=Galaxy&amp;qid=1598526498&amp;sr=8-80-spons&amp;psc=1&amp;spLa=ZW5jcnlwdGVkUXVhbGlmaWVyPUEzU0owNkJJVklQVEQmZW5jcnlwdGVkSWQ9QTAwMzIxNTIxTTZUOTlPSlpEMkpXJmVuY3J5cHRlZEFkSWQ9QTJOSThIVThFNFA0R0kmd2lkZ2V0TmFtZT1zcF9tdGYmYWN0aW9uPWNsaWNrUmVkaXJlY3QmZG9Ob3RMb2dDbGljaz10cnVl", "Go")</f>
        <v/>
      </c>
    </row>
    <row r="80">
      <c r="A80" s="1" t="n">
        <v>78</v>
      </c>
      <c r="B80" t="inlineStr">
        <is>
          <t>Samsung Galaxy Tab S6 Book Cover Case EF-BT860 韓国版 並行輸入品 (Gray)</t>
        </is>
      </c>
      <c r="C80" t="inlineStr">
        <is>
          <t>￥7,490</t>
        </is>
      </c>
      <c r="D80" t="inlineStr">
        <is>
          <t>4.3</t>
        </is>
      </c>
      <c r="E80">
        <f>HYPERLINK("https://www.amazon.co.jp/Samsung-Galaxy-Cover-EF-BT860-%E4%B8%A6%E8%A1%8C%E8%BC%B8%E5%85%A5%E5%93%81/dp/B07YXTWN12/ref=sr_1_81_sspa?__mk_ja_JP=%E3%82%AB%E3%82%BF%E3%82%AB%E3%83%8A&amp;dchild=1&amp;keywords=Galaxy&amp;qid=1598526498&amp;sr=8-81-spons&amp;psc=1&amp;smid=A1E5PAJ8GW5C5O&amp;spLa=ZW5jcnlwdGVkUXVhbGlmaWVyPUEzU0owNkJJVklQVEQmZW5jcnlwdGVkSWQ9QTAwMzIxNTIxTTZUOTlPSlpEMkpXJmVuY3J5cHRlZEFkSWQ9QUo2MTlBR0ZOQVA2SSZ3aWRnZXROYW1lPXNwX210ZiZhY3Rpb249Y2xpY2tSZWRpcmVjdCZkb05vdExvZ0NsaWNrPXRydWU=", "Go")</f>
        <v/>
      </c>
    </row>
    <row r="81">
      <c r="A81" s="1" t="n">
        <v>79</v>
      </c>
      <c r="B81" t="inlineStr">
        <is>
          <t>Samsung 128?GB Evo Plusクラス10?Micro SDXCアダプタ MB-MC128GA/APC レッド MB-MC128GA/APC</t>
        </is>
      </c>
      <c r="C81" t="inlineStr">
        <is>
          <t>￥2,190</t>
        </is>
      </c>
      <c r="D81" t="inlineStr">
        <is>
          <t>4.8</t>
        </is>
      </c>
      <c r="E81">
        <f>HYPERLINK("https://www.amazon.co.jp/Samsung-Plus%E3%82%AF%E3%83%A9%E3%82%B910-SDXC%E3%82%A2%E3%83%80%E3%83%97%E3%82%BF-MB-MC128GA-APC/dp/B07528KWXT/ref=sr_1_83?__mk_ja_JP=%E3%82%AB%E3%82%BF%E3%82%AB%E3%83%8A&amp;dchild=1&amp;keywords=Galaxy&amp;qid=1598526498&amp;sr=8-83", "Go")</f>
        <v/>
      </c>
    </row>
    <row r="82">
      <c r="A82" s="1" t="n">
        <v>80</v>
      </c>
      <c r="B82" t="inlineStr">
        <is>
          <t>arrows Be4 F-41A ケース KuGi 富士通 arrows Be4 ケース 手帳型 スタンド機能 QI充電対応 カード入れ 2枚 ストラップ穴付き マグネット式 薄型 耐衝撃 高級 PUレザー 折り畳み式 Fujitsu arrows Be4 ケース 全面保護カバー カード収納 ローズゴールド</t>
        </is>
      </c>
      <c r="C82" t="inlineStr">
        <is>
          <t>￥1,150</t>
        </is>
      </c>
      <c r="D82" t="inlineStr">
        <is>
          <t>4.9</t>
        </is>
      </c>
      <c r="E82">
        <f>HYPERLINK("https://www.amazon.co.jp/arrows-%E3%82%B9%E3%83%88%E3%83%A9%E3%83%83%E3%83%97%E7%A9%B4%E4%BB%98%E3%81%8D-Fujitsu-%E5%85%A8%E9%9D%A2%E4%BF%9D%E8%AD%B7%E3%82%AB%E3%83%90%E3%83%BC-%E3%83%AD%E3%83%BC%E3%82%BA%E3%82%B4%E3%83%BC%E3%83%AB%E3%83%89/dp/B086BYWVGT/ref=sr_1_84?__mk_ja_JP=%E3%82%AB%E3%82%BF%E3%82%AB%E3%83%8A&amp;dchild=1&amp;keywords=Galaxy&amp;qid=1598526498&amp;sr=8-84", "Go")</f>
        <v/>
      </c>
    </row>
    <row r="83">
      <c r="A83" s="1" t="n">
        <v>81</v>
      </c>
      <c r="B83" t="inlineStr">
        <is>
          <t>Bluetooth イヤホン ワイヤレスイヤホン ブルートゥースイヤホン TWS Hi-Fi 音質 自動ペアリング 運転 WEB会議 テレワーク マイク 搭載 ハンズフリー通話勤務/ビジネス 運動 Siri対応/AAC対応/左右分離型/ios/windows/Android適用</t>
        </is>
      </c>
      <c r="C83" t="inlineStr">
        <is>
          <t>￥3,990</t>
        </is>
      </c>
      <c r="D83" t="inlineStr">
        <is>
          <t>4.8</t>
        </is>
      </c>
      <c r="E83">
        <f>HYPERLINK("https://www.amazon.co.jp/Bluetooth-%E3%83%AF%E3%82%A4%E3%83%A4%E3%83%AC%E3%82%B9%E3%82%A4%E3%83%A4%E3%83%9B%E3%83%B3-%E3%83%96%E3%83%AB%E3%83%BC%E3%83%88%E3%82%A5%E3%83%BC%E3%82%B9%E3%82%A4%E3%83%A4%E3%83%9B%E3%83%B3-%E3%83%8F%E3%83%B3%E3%82%BA%E3%83%95%E3%83%AA%E3%83%BC%E9%80%9A%E8%A9%B1%E5%8B%A4%E5%8B%99-Android%E9%81%A9%E7%94%A8/dp/B08CVGYHMG/ref=sr_1_86?__mk_ja_JP=%E3%82%AB%E3%82%BF%E3%82%AB%E3%83%8A&amp;dchild=1&amp;keywords=Galaxy&amp;qid=1598526498&amp;sr=8-86", "Go")</f>
        <v/>
      </c>
    </row>
    <row r="84">
      <c r="A84" s="1" t="n">
        <v>82</v>
      </c>
      <c r="B84" t="inlineStr">
        <is>
          <t>【2020最新版】イヤホン 有線 カナル型 イヤフォン ハイレゾ 高音質 重低音 3.5mm 有線 マイク/リモコン付き ヘッドホン ステレオイヤフォン 通話＆音量調節 音漏れ防止 PC Android Huawei Sony iPhone iPad多機種対応(ローズゴールド)</t>
        </is>
      </c>
      <c r="C84" t="inlineStr">
        <is>
          <t>￥1,199</t>
        </is>
      </c>
      <c r="D84" t="inlineStr">
        <is>
          <t>4.8</t>
        </is>
      </c>
      <c r="E84">
        <f>HYPERLINK("https://www.amazon.co.jp/%E3%80%902020%E6%9C%80%E6%96%B0%E7%89%88%E3%80%91%E3%82%A4%E3%83%A4%E3%83%9B%E3%83%B3-%E3%82%B9%E3%83%86%E3%83%AC%E3%82%AA%E3%82%A4%E3%83%A4%E3%83%95%E3%82%A9%E3%83%B3-%E9%80%9A%E8%A9%B1%EF%BC%86%E9%9F%B3%E9%87%8F%E8%AA%BF%E7%AF%80-Android-iPad%E5%A4%9A%E6%A9%9F%E7%A8%AE%E5%AF%BE%E5%BF%9C/dp/B08CKVKMC9/ref=sr_1_87?__mk_ja_JP=%E3%82%AB%E3%82%BF%E3%82%AB%E3%83%8A&amp;dchild=1&amp;keywords=Galaxy&amp;qid=1598526498&amp;sr=8-87", "Go")</f>
        <v/>
      </c>
    </row>
    <row r="85">
      <c r="A85" s="1" t="n">
        <v>83</v>
      </c>
      <c r="B85" t="inlineStr">
        <is>
          <t>PLmuzsz USB Cケーブル 5本パック (3/6/10フィート) Type C充電ケーブル ナイロン編組 高速充電 アルミニウムハウジング サムスン Galaxy、Google Pixel、LG、Huawei、TCL その他のUSB Type Cケーブルデバイスと互換性あり</t>
        </is>
      </c>
      <c r="C85" t="inlineStr">
        <is>
          <t>￥1,079</t>
        </is>
      </c>
      <c r="D85" t="inlineStr">
        <is>
          <t>4.8</t>
        </is>
      </c>
      <c r="E85">
        <f>HYPERLINK("https://www.amazon.co.jp/PLmuzsz-%E3%82%A2%E3%83%AB%E3%83%9F%E3%83%8B%E3%82%A6%E3%83%A0%E3%83%8F%E3%82%A6%E3%82%B8%E3%83%B3%E3%82%B0-Galaxy%E3%80%81Google-Pixel%E3%80%81LG%E3%80%81Huawei%E3%80%81TCL-C%E3%82%B1%E3%83%BC%E3%83%96%E3%83%AB%E3%83%87%E3%83%90%E3%82%A4%E3%82%B9%E3%81%A8%E4%BA%92%E6%8F%9B%E6%80%A7%E3%81%82%E3%82%8A/dp/B083WCYCYW/ref=sr_1_88?__mk_ja_JP=%E3%82%AB%E3%82%BF%E3%82%AB%E3%83%8A&amp;dchild=1&amp;keywords=Galaxy&amp;qid=1598526498&amp;sr=8-88", "Go")</f>
        <v/>
      </c>
    </row>
    <row r="86">
      <c r="A86" s="1" t="n">
        <v>84</v>
      </c>
      <c r="B86" t="inlineStr">
        <is>
          <t>Screen Momスクリーンクリーニングパープルマイクロファイバークロス (4枚パック) - LED LCD TV iPad タブレット コンピューターモニター フラットスクリーンに最適</t>
        </is>
      </c>
      <c r="C86" t="inlineStr">
        <is>
          <t>￥15,596</t>
        </is>
      </c>
      <c r="D86" t="inlineStr">
        <is>
          <t>4.8</t>
        </is>
      </c>
      <c r="E86">
        <f>HYPERLINK("https://www.amazon.co.jp/Screen-Mom%E3%82%B9%E3%82%AF%E3%83%AA%E3%83%BC%E3%83%B3%E3%82%AF%E3%83%AA%E3%83%BC%E3%83%8B%E3%83%B3%E3%82%B0%E3%83%91%E3%83%BC%E3%83%97%E3%83%AB%E3%83%9E%E3%82%A4%E3%82%AF%E3%83%AD%E3%83%95%E3%82%A1%E3%82%A4%E3%83%90%E3%83%BC%E3%82%AF%E3%83%AD%E3%82%B9-4%E6%9E%9A%E3%83%91%E3%83%83%E3%82%AF-%E3%82%B3%E3%83%B3%E3%83%94%E3%83%A5%E3%83%BC%E3%82%BF%E3%83%BC%E3%83%A2%E3%83%8B%E3%82%BF%E3%83%BC-%E3%83%95%E3%83%A9%E3%83%83%E3%83%88%E3%82%B9%E3%82%AF%E3%83%AA%E3%83%BC%E3%83%B3%E3%81%AB%E6%9C%80%E9%81%A9/dp/B01LXSYRDL/ref=sr_1_89?__mk_ja_JP=%E3%82%AB%E3%82%BF%E3%82%AB%E3%83%8A&amp;dchild=1&amp;keywords=Galaxy&amp;qid=1598526498&amp;sr=8-89", "Go")</f>
        <v/>
      </c>
    </row>
    <row r="87">
      <c r="A87" s="1" t="n">
        <v>85</v>
      </c>
      <c r="B87" t="inlineStr">
        <is>
          <t>【2020最新版】3.5mm 有線 イヤホン 高遮音性 音量調整 カナル型イヤホ 高音質 重低音 軽量 きステレオイヤフォン マイク付き リモコン付きヘッドホン クリア通話 音漏れ防止 iPhone/iPad/PC/Android対応 (シルバーホワイト）</t>
        </is>
      </c>
      <c r="C87" t="inlineStr">
        <is>
          <t>￥1,359</t>
        </is>
      </c>
      <c r="D87" t="inlineStr">
        <is>
          <t>4.8</t>
        </is>
      </c>
      <c r="E87">
        <f>HYPERLINK("https://www.amazon.co.jp/%E3%80%902020%E6%9C%80%E6%96%B0%E7%89%88%E3%80%913-5mm-%E3%81%8D%E3%82%B9%E3%83%86%E3%83%AC%E3%82%AA%E3%82%A4%E3%83%A4%E3%83%95%E3%82%A9%E3%83%B3-%E3%83%AA%E3%83%A2%E3%82%B3%E3%83%B3%E4%BB%98%E3%81%8D%E3%83%98%E3%83%83%E3%83%89%E3%83%9B%E3%83%B3-Android%E5%AF%BE%E5%BF%9C-%E3%82%B7%E3%83%AB%E3%83%90%E3%83%BC%E3%83%9B%E3%83%AF%E3%82%A4%E3%83%88%EF%BC%89/dp/B08BLLDJN7/ref=sr_1_90?__mk_ja_JP=%E3%82%AB%E3%82%BF%E3%82%AB%E3%83%8A&amp;dchild=1&amp;keywords=Galaxy&amp;qid=1598526498&amp;sr=8-90", "Go")</f>
        <v/>
      </c>
    </row>
    <row r="88">
      <c r="A88" s="1" t="n">
        <v>86</v>
      </c>
      <c r="B88" t="inlineStr">
        <is>
          <t>Galaxy A7 2018 /2019 ガラスフィルム 保護フィルム 業界最高の硬度9H、高い光透過率、指紋防止、防油汚れ、飛散防止、気泡防止 Galaxy A7 2018 /2019 液晶保護フィルム</t>
        </is>
      </c>
      <c r="C88" t="inlineStr">
        <is>
          <t>￥899</t>
        </is>
      </c>
      <c r="D88" t="inlineStr">
        <is>
          <t>4.8</t>
        </is>
      </c>
      <c r="E88">
        <f>HYPERLINK("https://www.amazon.co.jp/Galaxy-A7-%E3%82%AC%E3%83%A9%E3%82%B9%E3%83%95%E3%82%A3%E3%83%AB%E3%83%A0-%E6%A5%AD%E7%95%8C%E6%9C%80%E9%AB%98%E3%81%AE%E7%A1%AC%E5%BA%A69H%E3%80%81%E9%AB%98%E3%81%84%E5%85%89%E9%80%8F%E9%81%8E%E7%8E%87%E3%80%81%E6%8C%87%E7%B4%8B%E9%98%B2%E6%AD%A2%E3%80%81%E9%98%B2%E6%B2%B9%E6%B1%9A%E3%82%8C%E3%80%81%E9%A3%9B%E6%95%A3%E9%98%B2%E6%AD%A2%E3%80%81%E6%B0%97%E6%B3%A1%E9%98%B2%E6%AD%A2-%E6%B6%B2%E6%99%B6%E4%BF%9D%E8%AD%B7%E3%83%95%E3%82%A3%E3%83%AB%E3%83%A0/dp/B08CRLSPHK/ref=sr_1_91?__mk_ja_JP=%E3%82%AB%E3%82%BF%E3%82%AB%E3%83%8A&amp;dchild=1&amp;keywords=Galaxy&amp;qid=1598526498&amp;sr=8-91", "Go")</f>
        <v/>
      </c>
    </row>
    <row r="89">
      <c r="A89" s="1" t="n">
        <v>87</v>
      </c>
      <c r="B89" t="inlineStr">
        <is>
          <t>【3枚セット】Galaxy S20 カメラレンズ保護フィルム Galaxy S20 カメラ保護 9H硬度/透過率99%/耐衝撃/高感度/全面保護/飛散防止処理/指紋防止/貼り付け簡単/気泡無しGalaxy S20レンズフィルム</t>
        </is>
      </c>
      <c r="C89" t="inlineStr">
        <is>
          <t>￥899</t>
        </is>
      </c>
      <c r="D89" t="inlineStr">
        <is>
          <t>4.8</t>
        </is>
      </c>
      <c r="E89">
        <f>HYPERLINK("https://www.amazon.co.jp/%E3%80%903%E6%9E%9A%E3%82%BB%E3%83%83%E3%83%88%E3%80%91Galaxy-%E3%82%AB%E3%83%A1%E3%83%A9%E3%83%AC%E3%83%B3%E3%82%BA%E4%BF%9D%E8%AD%B7%E3%83%95%E3%82%A3%E3%83%AB%E3%83%A0-Galaxy-%E6%B0%97%E6%B3%A1%E7%84%A1%E3%81%97Galaxy-S20%E3%83%AC%E3%83%B3%E3%82%BA%E3%83%95%E3%82%A3%E3%83%AB%E3%83%A0/dp/B08D9TFMCT/ref=sr_1_92?__mk_ja_JP=%E3%82%AB%E3%82%BF%E3%82%AB%E3%83%8A&amp;dchild=1&amp;keywords=Galaxy&amp;qid=1598526498&amp;sr=8-92", "Go")</f>
        <v/>
      </c>
    </row>
    <row r="90">
      <c r="A90" s="1" t="n">
        <v>88</v>
      </c>
      <c r="B90" t="inlineStr">
        <is>
          <t>Galaxy S10 ガラスフィルム SCV41 液晶保護フィルム SC-03L 保護ガラス 業界最高の硬度9H、高い光透過率、指紋防止、気泡防止、防油汚れ、飛散防止、Galaxy S10 強化ガラス</t>
        </is>
      </c>
      <c r="C90" t="inlineStr">
        <is>
          <t>￥899</t>
        </is>
      </c>
      <c r="D90" t="inlineStr">
        <is>
          <t>4.8</t>
        </is>
      </c>
      <c r="E90">
        <f>HYPERLINK("https://www.amazon.co.jp/Galaxy-S10-%E3%82%AC%E3%83%A9%E3%82%B9%E3%83%95%E3%82%A3%E3%83%AB%E3%83%A0-%E6%B6%B2%E6%99%B6%E4%BF%9D%E8%AD%B7%E3%83%95%E3%82%A3%E3%83%AB%E3%83%A0-%E6%A5%AD%E7%95%8C%E6%9C%80%E9%AB%98%E3%81%AE%E7%A1%AC%E5%BA%A69H%E3%80%81%E9%AB%98%E3%81%84%E5%85%89%E9%80%8F%E9%81%8E%E7%8E%87%E3%80%81%E6%8C%87%E7%B4%8B%E9%98%B2%E6%AD%A2%E3%80%81%E6%B0%97%E6%B3%A1%E9%98%B2%E6%AD%A2%E3%80%81%E9%98%B2%E6%B2%B9%E6%B1%9A%E3%82%8C%E3%80%81%E9%A3%9B%E6%95%A3%E9%98%B2%E6%AD%A2%E3%80%81Galaxy/dp/B08CRKDJFG/ref=sr_1_93?__mk_ja_JP=%E3%82%AB%E3%82%BF%E3%82%AB%E3%83%8A&amp;dchild=1&amp;keywords=Galaxy&amp;qid=1598526498&amp;sr=8-93", "Go")</f>
        <v/>
      </c>
    </row>
    <row r="91">
      <c r="A91" s="1" t="n">
        <v>89</v>
      </c>
      <c r="B91" t="inlineStr">
        <is>
          <t>USB C - USBアダプター (2個パック) USB-C - USB 3.0 アダプター USB Type-C - USB Thunderbolt 3 - USB メス アダプター OTG MacBook Pro2019 MacBook Air 2020 iPad Pro 2020 その他のType-Cデバイス用</t>
        </is>
      </c>
      <c r="C91" t="inlineStr">
        <is>
          <t>￥6,800</t>
        </is>
      </c>
      <c r="D91" t="inlineStr">
        <is>
          <t>4.9</t>
        </is>
      </c>
      <c r="E91">
        <f>HYPERLINK("https://www.amazon.co.jp/dp/B08BHZLK4S/ref=sr_1_94?__mk_ja_JP=%E3%82%AB%E3%82%BF%E3%82%AB%E3%83%8A&amp;dchild=1&amp;keywords=Galaxy&amp;qid=1598526498&amp;sr=8-94", "Go")</f>
        <v/>
      </c>
    </row>
    <row r="92">
      <c r="A92" s="1" t="n">
        <v>90</v>
      </c>
      <c r="B92" t="inlineStr">
        <is>
          <t>USB カーチャージャー,QGeeM type c PDシガーソケット,36W 2ポート高速カーチャージャー，パワーデリバリー＆クイックチャージ3.0、互換性あるデバイスiPad Pro 2020、iPhone、MacBookなどと対応カーチャージャーアダプター</t>
        </is>
      </c>
      <c r="C92" t="inlineStr">
        <is>
          <t>￥1,499</t>
        </is>
      </c>
      <c r="D92" t="inlineStr">
        <is>
          <t>4.8</t>
        </is>
      </c>
      <c r="E92">
        <f>HYPERLINK("https://www.amazon.co.jp/%E3%82%AB%E3%83%BC%E3%83%81%E3%83%A3%E3%83%BC%E3%82%B8%E3%83%A3%E3%83%BC-QGeeM-PD%E3%82%B7%E3%82%AC%E3%83%BC%E3%82%BD%E3%82%B1%E3%83%83%E3%83%88-2%E3%83%9D%E3%83%BC%E3%83%88%E9%AB%98%E9%80%9F%E3%82%AB%E3%83%BC%E3%83%81%E3%83%A3%E3%83%BC%E3%82%B8%E3%83%A3%E3%83%BC%EF%BC%8C%E3%83%91%E3%83%AF%E3%83%BC%E3%83%87%E3%83%AA%E3%83%90%E3%83%AA%E3%83%BC%EF%BC%86%E3%82%AF%E3%82%A4%E3%83%83%E3%82%AF%E3%83%81%E3%83%A3%E3%83%BC%E3%82%B83-0%E3%80%81%E4%BA%92%E6%8F%9B%E6%80%A7%E3%81%82%E3%82%8B%E3%83%87%E3%83%90%E3%82%A4%E3%82%B9iPad-2020%E3%80%81iPhone%E3%80%81MacBook%E3%81%AA%E3%81%A9%E3%81%A8%E5%AF%BE%E5%BF%9C%E3%82%AB%E3%83%BC%E3%83%81%E3%83%A3%E3%83%BC%E3%82%B8%E3%83%A3%E3%83%BC%E3%82%A2%E3%83%80%E3%83%97%E3%82%BF%E3%83%BC/dp/B082VSPSNG/ref=sr_1_95?__mk_ja_JP=%E3%82%AB%E3%82%BF%E3%82%AB%E3%83%8A&amp;dchild=1&amp;keywords=Galaxy&amp;qid=1598526498&amp;sr=8-95", "Go")</f>
        <v/>
      </c>
    </row>
    <row r="93">
      <c r="A93" s="1" t="n">
        <v>91</v>
      </c>
      <c r="B93" t="inlineStr">
        <is>
          <t>【2枚入り】Galaxy A7 2019/2018 ガラスフィルム 全面保護フィルム 【日本製素材旭硝子製】·最高硬度9H·高い光透過率·3D Touch対応·指紋防止·気泡防止·飛散防止Galaxy A7 2019/2018 液晶強化ガラス</t>
        </is>
      </c>
      <c r="C93" t="inlineStr">
        <is>
          <t>￥899</t>
        </is>
      </c>
      <c r="D93" t="inlineStr">
        <is>
          <t>4.8</t>
        </is>
      </c>
      <c r="E93">
        <f>HYPERLINK("https://www.amazon.co.jp/%E3%80%902%E6%9E%9A%E5%85%A5%E3%82%8A%E3%80%91Galaxy-A7-%E5%85%A8%E9%9D%A2%E4%BF%9D%E8%AD%B7%E3%83%95%E3%82%A3%E3%83%AB%E3%83%A0-%E3%80%90%E6%97%A5%E6%9C%AC%E8%A3%BD%E7%B4%A0%E6%9D%90%E6%97%AD%E7%A1%9D%E5%AD%90%E8%A3%BD%E3%80%91%C2%B7%E6%9C%80%E9%AB%98%E7%A1%AC%E5%BA%A69H%C2%B7%E9%AB%98%E3%81%84%E5%85%89%E9%80%8F%E9%81%8E%E7%8E%87%C2%B73D-Touch%E5%AF%BE%E5%BF%9C%C2%B7%E6%8C%87%E7%B4%8B%E9%98%B2%E6%AD%A2%C2%B7%E6%B0%97%E6%B3%A1%E9%98%B2%E6%AD%A2%C2%B7%E9%A3%9B%E6%95%A3%E9%98%B2%E6%AD%A2Galaxy/dp/B08CRBKDD1/ref=sr_1_96?__mk_ja_JP=%E3%82%AB%E3%82%BF%E3%82%AB%E3%83%8A&amp;dchild=1&amp;keywords=Galaxy&amp;qid=1598526498&amp;sr=8-96", "Go")</f>
        <v/>
      </c>
    </row>
    <row r="94">
      <c r="A94" s="1" t="n">
        <v>92</v>
      </c>
      <c r="B94" t="inlineStr">
        <is>
          <t>【2020最新版】イヤホン3.5mm有線マイク付きクリア通話音漏れ防止イヤフォン ハイレゾ HIFI音質 重低音 有線イヤフォン マイク付き カナル型 イヤホン ステレオイヤフォン インナーイヤー型Android/PC多機種対応（ブラック）</t>
        </is>
      </c>
      <c r="C94" t="inlineStr">
        <is>
          <t>￥1,399</t>
        </is>
      </c>
      <c r="D94" t="inlineStr">
        <is>
          <t>4.8</t>
        </is>
      </c>
      <c r="E94">
        <f>HYPERLINK("https://www.amazon.co.jp/%E3%80%902020%E6%9C%80%E6%96%B0%E7%89%88%E3%80%91%E3%82%A4%E3%83%A4%E3%83%9B%E3%83%B33-5mm%E6%9C%89%E7%B7%9A%E3%83%9E%E3%82%A4%E3%82%AF%E4%BB%98%E3%81%8D%E3%82%AF%E3%83%AA%E3%82%A2%E9%80%9A%E8%A9%B1%E9%9F%B3%E6%BC%8F%E3%82%8C%E9%98%B2%E6%AD%A2%E3%82%A4%E3%83%A4%E3%83%95%E3%82%A9%E3%83%B3-%E6%9C%89%E7%B7%9A%E3%82%A4%E3%83%A4%E3%83%95%E3%82%A9%E3%83%B3-%E3%82%B9%E3%83%86%E3%83%AC%E3%82%AA%E3%82%A4%E3%83%A4%E3%83%95%E3%82%A9%E3%83%B3-%E3%82%A4%E3%83%B3%E3%83%8A%E3%83%BC%E3%82%A4%E3%83%A4%E3%83%BC%E5%9E%8BAndroid-PC%E5%A4%9A%E6%A9%9F%E7%A8%AE%E5%AF%BE%E5%BF%9C%EF%BC%88%E3%83%96%E3%83%A9%E3%83%83%E3%82%AF%EF%BC%89/dp/B08CXJMXM9/ref=sr_1_97?__mk_ja_JP=%E3%82%AB%E3%82%BF%E3%82%AB%E3%83%8A&amp;dchild=1&amp;keywords=Galaxy&amp;qid=1598526498&amp;sr=8-97", "Go")</f>
        <v/>
      </c>
    </row>
    <row r="95">
      <c r="A95" s="1" t="n">
        <v>93</v>
      </c>
      <c r="B95" t="inlineStr">
        <is>
          <t>ケイト・スペード ニューヨーク 電話ケース | Apple iPhone XR KSIPH-108-HHCCS</t>
        </is>
      </c>
      <c r="C95" t="inlineStr">
        <is>
          <t>￥35,762</t>
        </is>
      </c>
      <c r="D95" t="inlineStr">
        <is>
          <t>4.8</t>
        </is>
      </c>
      <c r="E95">
        <f>HYPERLINK("https://www.amazon.co.jp/%E3%82%B1%E3%82%A4%E3%83%88%E3%83%BB%E3%82%B9%E3%83%9A%E3%83%BC%E3%83%89-%E3%83%8B%E3%83%A5%E3%83%BC%E3%83%A8%E3%83%BC%E3%82%AF-%E9%9B%BB%E8%A9%B1%E3%82%B1%E3%83%BC%E3%82%B9-iPhone-KSIPH-108-HHCCS/dp/B07DFSZRLV/ref=sr_1_98?__mk_ja_JP=%E3%82%AB%E3%82%BF%E3%82%AB%E3%83%8A&amp;dchild=1&amp;keywords=Galaxy&amp;qid=1598526498&amp;sr=8-98", "Go")</f>
        <v/>
      </c>
    </row>
    <row r="96">
      <c r="A96" s="1" t="n">
        <v>94</v>
      </c>
      <c r="B96" t="inlineStr">
        <is>
          <t>【2枚入り】Galaxy A20 フィルム高品質強化ガラスフィルム（SC-02M/SCV46 対応）3D Touch対応、高透過率、硬度9H、指紋防止、飛散防止、スクラッチ防止、気泡ゼロ、Samsung Galaxy A20ガラスフィルム液晶 ガラス 保護 フィルム</t>
        </is>
      </c>
      <c r="C96" t="inlineStr">
        <is>
          <t>￥699</t>
        </is>
      </c>
      <c r="D96" t="inlineStr">
        <is>
          <t>4.8</t>
        </is>
      </c>
      <c r="E96">
        <f>HYPERLINK("https://www.amazon.co.jp/%E3%80%902%E6%9E%9A%E5%85%A5%E3%82%8A%E3%80%91Galaxy-%E3%83%95%E3%82%A3%E3%83%AB%E3%83%A0%E9%AB%98%E5%93%81%E8%B3%AA%E5%BC%B7%E5%8C%96%E3%82%AC%E3%83%A9%E3%82%B9%E3%83%95%E3%82%A3%E3%83%AB%E3%83%A0%EF%BC%88SC-02M-Touch%E5%AF%BE%E5%BF%9C%E3%80%81%E9%AB%98%E9%80%8F%E9%81%8E%E7%8E%87%E3%80%81%E7%A1%AC%E5%BA%A69H%E3%80%81%E6%8C%87%E7%B4%8B%E9%98%B2%E6%AD%A2%E3%80%81%E9%A3%9B%E6%95%A3%E9%98%B2%E6%AD%A2%E3%80%81%E3%82%B9%E3%82%AF%E3%83%A9%E3%83%83%E3%83%81%E9%98%B2%E6%AD%A2%E3%80%81%E6%B0%97%E6%B3%A1%E3%82%BC%E3%83%AD%E3%80%81Samsung-Galaxy-A20%E3%82%AC%E3%83%A9%E3%82%B9%E3%83%95%E3%82%A3%E3%83%AB%E3%83%A0%E6%B6%B2%E6%99%B6/dp/B08F1YWPC6/ref=sr_1_99?__mk_ja_JP=%E3%82%AB%E3%82%BF%E3%82%AB%E3%83%8A&amp;dchild=1&amp;keywords=Galaxy&amp;qid=1598526498&amp;sr=8-99", "Go")</f>
        <v/>
      </c>
    </row>
    <row r="97">
      <c r="A97" s="1" t="n">
        <v>95</v>
      </c>
      <c r="B97" t="inlineStr">
        <is>
          <t>Galaxy A20 ガラスフィルム Galaxy A20 液晶保護強化ガラスフィルム 日本製素材旭硝子製・業界最高硬度9H ・高透過率・耐衝撃・防塵・飛散防止・指紋防止・画面鮮やか高精細・貼り付け簡単Galaxy A20E docomo sc-02m/au scv46 0 対応【2枚セット透明】</t>
        </is>
      </c>
      <c r="C97" t="inlineStr">
        <is>
          <t>￥798</t>
        </is>
      </c>
      <c r="D97" t="inlineStr">
        <is>
          <t>4.8</t>
        </is>
      </c>
      <c r="E97">
        <f>HYPERLINK("https://www.amazon.co.jp/%E3%82%AC%E3%83%A9%E3%82%B9%E3%83%95%E3%82%A3%E3%83%AB%E3%83%A0-%E6%B6%B2%E6%99%B6%E4%BF%9D%E8%AD%B7%E5%BC%B7%E5%8C%96%E3%82%AC%E3%83%A9%E3%82%B9%E3%83%95%E3%82%A3%E3%83%AB%E3%83%A0-%E6%97%A5%E6%9C%AC%E8%A3%BD%E7%B4%A0%E6%9D%90%E6%97%AD%E7%A1%9D%E5%AD%90%E8%A3%BD%E3%83%BB%E6%A5%AD%E7%95%8C%E6%9C%80%E9%AB%98%E7%A1%AC%E5%BA%A69H-%E3%83%BB%E9%AB%98%E9%80%8F%E9%81%8E%E7%8E%87%E3%83%BB%E8%80%90%E8%A1%9D%E6%92%83%E3%83%BB%E9%98%B2%E5%A1%B5%E3%83%BB%E9%A3%9B%E6%95%A3%E9%98%B2%E6%AD%A2%E3%83%BB%E6%8C%87%E7%B4%8B%E9%98%B2%E6%AD%A2%E3%83%BB%E7%94%BB%E9%9D%A2%E9%AE%AE%E3%82%84%E3%81%8B%E9%AB%98%E7%B2%BE%E7%B4%B0%E3%83%BB%E8%B2%BC%E3%82%8A%E4%BB%98%E3%81%91%E7%B0%A1%E5%8D%98Galaxy-%E5%AF%BE%E5%BF%9C%E3%80%902%E6%9E%9A%E3%82%BB%E3%83%83%E3%83%88%E9%80%8F%E6%98%8E%E3%80%91/dp/B08F2TLS1S/ref=sr_1_100?__mk_ja_JP=%E3%82%AB%E3%82%BF%E3%82%AB%E3%83%8A&amp;dchild=1&amp;keywords=Galaxy&amp;qid=1598526498&amp;sr=8-100", "Go")</f>
        <v/>
      </c>
    </row>
    <row r="98">
      <c r="A98" s="1" t="n">
        <v>96</v>
      </c>
      <c r="B98" t="inlineStr">
        <is>
          <t>【2枚入り】Galaxy A41 ガラスフィルム SC-41A 全面保護フィルム SCV48液晶強化ガラス【日本製素材旭硝子製】·最高硬度9H·高い光透過率·3D Touch対応·指紋防止·気泡防止·飛散防止Galaxy A41 液晶強化ガラス</t>
        </is>
      </c>
      <c r="C98" t="inlineStr">
        <is>
          <t>￥999</t>
        </is>
      </c>
      <c r="D98" t="inlineStr">
        <is>
          <t>4.8</t>
        </is>
      </c>
      <c r="E98">
        <f>HYPERLINK("https://www.amazon.co.jp/%E3%80%902%E6%9E%9A%E5%85%A5%E3%82%8A%E3%80%91Galaxy-A41-%E5%85%A8%E9%9D%A2%E4%BF%9D%E8%AD%B7%E3%83%95%E3%82%A3%E3%83%AB%E3%83%A0-SCV48%E6%B6%B2%E6%99%B6%E5%BC%B7%E5%8C%96%E3%82%AC%E3%83%A9%E3%82%B9%E3%80%90%E6%97%A5%E6%9C%AC%E8%A3%BD%E7%B4%A0%E6%9D%90%E6%97%AD%E7%A1%9D%E5%AD%90%E8%A3%BD%E3%80%91%C2%B7%E6%9C%80%E9%AB%98%E7%A1%AC%E5%BA%A69H%C2%B7%E9%AB%98%E3%81%84%E5%85%89%E9%80%8F%E9%81%8E%E7%8E%87%C2%B73D-Touch%E5%AF%BE%E5%BF%9C%C2%B7%E6%8C%87%E7%B4%8B%E9%98%B2%E6%AD%A2%C2%B7%E6%B0%97%E6%B3%A1%E9%98%B2%E6%AD%A2%C2%B7%E9%A3%9B%E6%95%A3%E9%98%B2%E6%AD%A2Galaxy/dp/B08DXK69RP/ref=sr_1_101?__mk_ja_JP=%E3%82%AB%E3%82%BF%E3%82%AB%E3%83%8A&amp;dchild=1&amp;keywords=Galaxy&amp;qid=1598526498&amp;sr=8-101", "Go")</f>
        <v/>
      </c>
    </row>
    <row r="99">
      <c r="A99" s="1" t="n">
        <v>97</v>
      </c>
      <c r="B99" t="inlineStr">
        <is>
          <t>【2枚入り】 Galaxy S10 Plus (SC-04L SCV42) ガラスフィルム 日本旭硝子素材 3D全面保護 99%高透過率/曲面全面保護/ 硬度9H / 防指紋/自動吸着/スクラッチ防止/気泡ゼロ/飛散防止処理 Galaxy S10 Plus 液晶保護フィルム 強化ガラスフィルム</t>
        </is>
      </c>
      <c r="C99" t="inlineStr">
        <is>
          <t>￥1,099</t>
        </is>
      </c>
      <c r="D99" t="inlineStr">
        <is>
          <t>4.8</t>
        </is>
      </c>
      <c r="E99">
        <f>HYPERLINK("https://www.amazon.co.jp/%E3%82%AC%E3%83%A9%E3%82%B9%E3%83%95%E3%82%A3%E3%83%AB%E3%83%A0-%E6%97%A5%E6%9C%AC%E6%97%AD%E7%A1%9D%E5%AD%90%E7%B4%A0%E6%9D%90-99-%E9%AB%98%E9%80%8F%E9%81%8E%E7%8E%87-%E6%B6%B2%E6%99%B6%E4%BF%9D%E8%AD%B7%E3%83%95%E3%82%A3%E3%83%AB%E3%83%A0-%E5%BC%B7%E5%8C%96%E3%82%AC%E3%83%A9%E3%82%B9%E3%83%95%E3%82%A3%E3%83%AB%E3%83%A0/dp/B08FDLHW11/ref=sr_1_102?__mk_ja_JP=%E3%82%AB%E3%82%BF%E3%82%AB%E3%83%8A&amp;dchild=1&amp;keywords=Galaxy&amp;qid=1598526498&amp;sr=8-102", "Go")</f>
        <v/>
      </c>
    </row>
    <row r="100">
      <c r="A100" s="1" t="n">
        <v>98</v>
      </c>
      <c r="B100" t="inlineStr">
        <is>
          <t>OMOTON [2個パック] デスク用携帯電話スタンド 卓上携帯電話スタンド すべてのiPhoneとAndroidスマートフォンに対応, omoton-phone stand-2 pack</t>
        </is>
      </c>
      <c r="C100" t="inlineStr">
        <is>
          <t>￥5,498</t>
        </is>
      </c>
      <c r="D100" t="inlineStr">
        <is>
          <t>4.8</t>
        </is>
      </c>
      <c r="E100">
        <f>HYPERLINK("https://www.amazon.co.jp/%E3%82%BB%E3%83%AB%E9%9B%BB%E8%A9%B1%E3%82%B9%E3%82%BF%E3%83%B3%E3%83%89%E3%80%81-2%E3%83%91%E3%83%83%E3%82%AF-OMOTON%E3%83%87%E3%82%B9%E3%82%AF%E3%83%88%E3%83%83%E3%83%97%E6%90%BA%E5%B8%AF%E9%9B%BB%E8%A9%B1%E3%82%B9%E3%82%BF%E3%83%B3%E3%83%89%E3%82%BF%E3%83%96%E3%83%AC%E3%83%83%E3%83%88%E3%82%B9%E3%82%BF%E3%83%B3%E3%83%89%E3%80%81%E9%AB%98%E5%BA%A6%E3%81%AA4-mm%E5%8E%9A%E3%81%95%E3%81%AE%E3%82%A2%E3%83%AB%E3%83%9F%E3%83%8B%E3%82%A6%E3%83%A0%E3%82%B9%E3%82%BF%E3%83%B3%E3%83%89%E3%83%9B%E3%83%AB%E3%83%80%E3%83%BC%E6%90%BA%E5%B8%AF%E9%9B%BB%E8%A9%B1%E3%81%99%E3%81%B9%E3%81%A6%E3%81%AE%E3%82%B5%E3%82%A4%E3%82%BA-%E3%81%A8%E3%82%BF%E3%83%96%E3%83%AC%E3%83%83%E3%83%88-10-1%E3%82%A4%E3%83%B3%E3%83%81%E3%81%BE%E3%81%A7%E3%80%81%E3%82%B7%E3%83%AB%E3%83%90%E3%83%BC/dp/B07438NMTX/ref=sr_1_103?__mk_ja_JP=%E3%82%AB%E3%82%BF%E3%82%AB%E3%83%8A&amp;dchild=1&amp;keywords=Galaxy&amp;qid=1598526498&amp;sr=8-103", "Go")</f>
        <v/>
      </c>
    </row>
    <row r="101">
      <c r="A101" s="1" t="n">
        <v>99</v>
      </c>
      <c r="B101" t="inlineStr">
        <is>
          <t>【2枚セット】Galaxy A41 ガラスフィルム 強化ガラス Galaxy A41 強化ガラスフィルム SC-41A SCV48 液晶保護フィルム 日本旭硝子製 業界最高の硬度9H 99%高透過率 指紋防止 飛散防止 3Dタッチ 気泡ゼロ 自動吸着</t>
        </is>
      </c>
      <c r="C101" t="inlineStr">
        <is>
          <t>￥899</t>
        </is>
      </c>
      <c r="D101" t="inlineStr">
        <is>
          <t>4.8</t>
        </is>
      </c>
      <c r="E101">
        <f>HYPERLINK("https://www.amazon.co.jp/%E3%80%902%E6%9E%9A%E3%82%BB%E3%83%83%E3%83%88%E3%80%91Galaxy-%E5%BC%B7%E5%8C%96%E3%82%AC%E3%83%A9%E3%82%B9-Galaxy-%E5%BC%B7%E5%8C%96%E3%82%AC%E3%83%A9%E3%82%B9%E3%83%95%E3%82%A3%E3%83%AB%E3%83%A0-%E6%B6%B2%E6%99%B6%E4%BF%9D%E8%AD%B7%E3%83%95%E3%82%A3%E3%83%AB%E3%83%A0-%E6%A5%AD%E7%95%8C%E6%9C%80%E9%AB%98%E3%81%AE%E7%A1%AC%E5%BA%A69H/dp/B08DY8VYW9/ref=sr_1_104?__mk_ja_JP=%E3%82%AB%E3%82%BF%E3%82%AB%E3%83%8A&amp;dchild=1&amp;keywords=Galaxy&amp;qid=1598526498&amp;sr=8-104", "Go")</f>
        <v/>
      </c>
    </row>
    <row r="102">
      <c r="A102" s="1" t="n">
        <v>100</v>
      </c>
      <c r="B102" t="inlineStr">
        <is>
          <t>【日本製素材旭硝子】Galaxy S10 フィルム 指紋対応可能 Galaxy S10 ガラスフィルム 全面吸着 優れたタッチ感度 Galaxy S10 強化ガラスフィルム 硬度9H/99%高透過率/防指紋/自動吸着 Galaxy S10に対応</t>
        </is>
      </c>
      <c r="C102" t="inlineStr">
        <is>
          <t>￥899</t>
        </is>
      </c>
      <c r="D102" t="inlineStr">
        <is>
          <t>4.9</t>
        </is>
      </c>
      <c r="E102">
        <f>HYPERLINK("https://www.amazon.co.jp/%E3%80%90%E6%97%A5%E6%9C%AC%E8%A3%BD%E7%B4%A0%E6%9D%90%E6%97%AD%E7%A1%9D%E5%AD%90%E3%80%91Galaxy-%E3%82%AC%E3%83%A9%E3%82%B9%E3%83%95%E3%82%A3%E3%83%AB%E3%83%A0-%E5%84%AA%E3%82%8C%E3%81%9F%E3%82%BF%E3%83%83%E3%83%81%E6%84%9F%E5%BA%A6-%E5%BC%B7%E5%8C%96%E3%82%AC%E3%83%A9%E3%82%B9%E3%83%95%E3%82%A3%E3%83%AB%E3%83%A0-99-%E9%AB%98%E9%80%8F%E9%81%8E%E7%8E%87/dp/B08BNFVT2S/ref=sr_1_105?__mk_ja_JP=%E3%82%AB%E3%82%BF%E3%82%AB%E3%83%8A&amp;dchild=1&amp;keywords=Galaxy&amp;qid=1598526498&amp;sr=8-105", "Go")</f>
        <v/>
      </c>
    </row>
    <row r="103">
      <c r="A103" s="1" t="n">
        <v>101</v>
      </c>
      <c r="B103" t="inlineStr">
        <is>
          <t>車載ホルダー スマホホルダー 伸縮アーム クリップ式&amp;吹き出し口 360度回転可能 多機種対応</t>
        </is>
      </c>
      <c r="C103" t="inlineStr">
        <is>
          <t>￥6,893</t>
        </is>
      </c>
      <c r="D103" t="inlineStr">
        <is>
          <t>4.9</t>
        </is>
      </c>
      <c r="E103">
        <f>HYPERLINK("https://www.amazon.co.jp/%E8%BB%8A%E8%BC%89%E3%83%9B%E3%83%AB%E3%83%80%E3%83%BC-%E3%82%B9%E3%83%9E%E3%83%9B%E3%83%9B%E3%83%AB%E3%83%80%E3%83%BC-%E4%BC%B8%E7%B8%AE%E3%82%A2%E3%83%BC%E3%83%A0-%E3%82%AF%E3%83%AA%E3%83%83%E3%83%97%E5%BC%8F-360%E5%BA%A6%E5%9B%9E%E8%BB%A2%E5%8F%AF%E8%83%BD/dp/B089GYTSK3/ref=sr_1_106?__mk_ja_JP=%E3%82%AB%E3%82%BF%E3%82%AB%E3%83%8A&amp;dchild=1&amp;keywords=Galaxy&amp;qid=1598526498&amp;sr=8-106", "Go")</f>
        <v/>
      </c>
    </row>
    <row r="104">
      <c r="A104" s="1" t="n">
        <v>102</v>
      </c>
      <c r="B104" t="inlineStr">
        <is>
          <t>SAMSUNG GALAXY Tab S5e SM-T720N WiFi 韓国版 並行輸入品 (Gold, 128GB)</t>
        </is>
      </c>
      <c r="C104" t="inlineStr">
        <is>
          <t>￥69,500</t>
        </is>
      </c>
      <c r="D104" t="inlineStr">
        <is>
          <t>4.5</t>
        </is>
      </c>
      <c r="E104">
        <f>HYPERLINK("https://www.amazon.co.jp/SAMSUNG-GALAXY-SM-T720N-%E4%B8%A6%E8%A1%8C%E8%BC%B8%E5%85%A5%E5%93%81-128GB/dp/B07Q4R9K75/ref=sr_1_108_sspa?__mk_ja_JP=%E3%82%AB%E3%82%BF%E3%82%AB%E3%83%8A&amp;dchild=1&amp;keywords=Galaxy&amp;qid=1598526498&amp;sr=8-108-spons&amp;psc=1&amp;spLa=ZW5jcnlwdGVkUXVhbGlmaWVyPUEzU0owNkJJVklQVEQmZW5jcnlwdGVkSWQ9QTAwMzIxNTIxTTZUOTlPSlpEMkpXJmVuY3J5cHRlZEFkSWQ9QTJOOEM1UTdWNkxUWEImd2lkZ2V0TmFtZT1zcF9idGYmYWN0aW9uPWNsaWNrUmVkaXJlY3QmZG9Ob3RMb2dDbGljaz10cnVl", "Go")</f>
        <v/>
      </c>
    </row>
    <row r="105">
      <c r="A105" s="1" t="n">
        <v>103</v>
      </c>
      <c r="B105" t="inlineStr">
        <is>
          <t>UMIDIGI A7 Pro スマートフォン、simフリー スマホ 本体 au不可 4GB RAM + 64GB スマホ Android 10 グローバルLTEバンド対応 6.3インチ FHD+ディスプレイクアッドカメラGoogleアプリ対応 [一年保証] オーシャンブルー</t>
        </is>
      </c>
      <c r="C105" t="inlineStr">
        <is>
          <t>￥15,969</t>
        </is>
      </c>
      <c r="D105" t="inlineStr">
        <is>
          <t>4.7</t>
        </is>
      </c>
      <c r="E105">
        <f>HYPERLINK("https://www.amazon.co.jp/UMIDIGI-%E3%82%B9%E3%83%9E%E3%83%BC%E3%83%88%E3%83%95%E3%82%A9%E3%83%B3%E3%80%81sim%E3%83%95%E3%83%AA%E3%83%BC-%E3%82%B0%E3%83%AD%E3%83%BC%E3%83%90%E3%83%ABLTE%E3%83%90%E3%83%B3%E3%83%89%E5%AF%BE%E5%BF%9C-%E3%83%87%E3%82%A3%E3%82%B9%E3%83%97%E3%83%AC%E3%82%A4%E3%82%AF%E3%82%A2%E3%83%83%E3%83%89%E3%82%AB%E3%83%A1%E3%83%A9Google%E3%82%A2%E3%83%97%E3%83%AA%E5%AF%BE%E5%BF%9C-%E3%82%AA%E3%83%BC%E3%82%B7%E3%83%A3%E3%83%B3%E3%83%96%E3%83%AB%E3%83%BC/dp/B0895W1ZSB/ref=sr_1_97_sspa?__mk_ja_JP=%E3%82%AB%E3%82%BF%E3%82%AB%E3%83%8A&amp;dchild=1&amp;keywords=Galaxy&amp;qid=1598526770&amp;sr=8-97-spons&amp;psc=1&amp;spLa=ZW5jcnlwdGVkUXVhbGlmaWVyPUExODNKUDJVR0lTQkYzJmVuY3J5cHRlZElkPUEwMzc4OTc2OURLQ1FZSERLME4xJmVuY3J5cHRlZEFkSWQ9QTNIMzhHNlo2WDdEM00md2lkZ2V0TmFtZT1zcF9hdGZfbmV4dCZhY3Rpb249Y2xpY2tSZWRpcmVjdCZkb05vdExvZ0NsaWNrPXRydWU=", "Go")</f>
        <v/>
      </c>
    </row>
    <row r="106">
      <c r="A106" s="1" t="n">
        <v>104</v>
      </c>
      <c r="B106" t="inlineStr">
        <is>
          <t>[MOLAN CANO] Samsung Galaxy S20 ケース 6.2インチ TPU材質 スリム ソフト 軽量 カバー かわいいケース衝撃吸収 ワイヤレス充電 キュート 3D Ears Design マットな質感のスマートフォンケース (GALAXY S20, スカイブルー)</t>
        </is>
      </c>
      <c r="C106" t="inlineStr">
        <is>
          <t>￥1,380</t>
        </is>
      </c>
      <c r="D106" t="inlineStr">
        <is>
          <t>4.1</t>
        </is>
      </c>
      <c r="E106">
        <f>HYPERLINK("https://www.amazon.co.jp/Samsung-S20-%E3%81%8B%E3%82%8F%E3%81%84%E3%81%84%E3%82%B1%E3%83%BC%E3%82%B9%E8%A1%9D%E6%92%83%E5%90%B8%E5%8F%8E-%E3%83%AF%E3%82%A4%E3%83%A4%E3%83%AC%E3%82%B9%E5%85%85%E9%9B%BB-%E3%83%9E%E3%83%83%E3%83%88%E3%81%AA%E8%B3%AA%E6%84%9F%E3%81%AE%E3%82%B9%E3%83%9E%E3%83%BC%E3%83%88%E3%83%95%E3%82%A9%E3%83%B3%E3%82%B1%E3%83%BC%E3%82%B9/dp/B088R2QHKZ/ref=sr_1_99_sspa?__mk_ja_JP=%E3%82%AB%E3%82%BF%E3%82%AB%E3%83%8A&amp;dchild=1&amp;keywords=Galaxy&amp;qid=1598526770&amp;sr=8-99-spons&amp;psc=1&amp;spLa=ZW5jcnlwdGVkUXVhbGlmaWVyPUExODNKUDJVR0lTQkYzJmVuY3J5cHRlZElkPUEwMzc4OTc2OURLQ1FZSERLME4xJmVuY3J5cHRlZEFkSWQ9QTFHV1pIMTNHRk8xQkEmd2lkZ2V0TmFtZT1zcF9hdGZfbmV4dCZhY3Rpb249Y2xpY2tSZWRpcmVjdCZkb05vdExvZ0NsaWNrPXRydWU=", "Go")</f>
        <v/>
      </c>
    </row>
    <row r="107">
      <c r="A107" s="1" t="n">
        <v>105</v>
      </c>
      <c r="B107" t="inlineStr">
        <is>
          <t>【2枚セット】【Seven seas】Galaxy A7 2018 フィルム Galaxy A7 2018 ガラスフィルム 液晶保護フィルム 液晶ガラスフィルム 強化ガラス 国産旭硝子素材 耐指紋 撥油性 表面硬度 9H 0.33mmのガラスを採用 2.5D ラウンドエッジ加工</t>
        </is>
      </c>
      <c r="C107" t="inlineStr">
        <is>
          <t>￥599</t>
        </is>
      </c>
      <c r="D107" t="inlineStr">
        <is>
          <t>4.5</t>
        </is>
      </c>
      <c r="E107">
        <f>HYPERLINK("https://www.amazon.co.jp/%E3%80%902%E6%9E%9A%E3%82%BB%E3%83%83%E3%83%88%E3%80%91%E3%80%90Seven-seas%E3%80%91Galaxy-%E6%B6%B2%E6%99%B6%E3%82%AC%E3%83%A9%E3%82%B9%E3%83%95%E3%82%A3%E3%83%AB%E3%83%A0-0-33mm%E3%81%AE%E3%82%AC%E3%83%A9%E3%82%B9%E3%82%92%E6%8E%A1%E7%94%A8-%E3%83%A9%E3%82%A6%E3%83%B3%E3%83%89%E3%82%A8%E3%83%83%E3%82%B8%E5%8A%A0%E5%B7%A5/dp/B08FC1SDG1/ref=sr_1_100_sspa?__mk_ja_JP=%E3%82%AB%E3%82%BF%E3%82%AB%E3%83%8A&amp;dchild=1&amp;keywords=Galaxy&amp;qid=1598526770&amp;sr=8-100-spons&amp;psc=1&amp;spLa=ZW5jcnlwdGVkUXVhbGlmaWVyPUExODNKUDJVR0lTQkYzJmVuY3J5cHRlZElkPUEwMzc4OTc2OURLQ1FZSERLME4xJmVuY3J5cHRlZEFkSWQ9QTFUUzBaQ1Q0NEdPUFYmd2lkZ2V0TmFtZT1zcF9hdGZfbmV4dCZhY3Rpb249Y2xpY2tSZWRpcmVjdCZkb05vdExvZ0NsaWNrPXRydWU=", "Go")</f>
        <v/>
      </c>
    </row>
    <row r="108">
      <c r="A108" s="1" t="n">
        <v>106</v>
      </c>
      <c r="B108" t="inlineStr">
        <is>
          <t>【2枚セット】Galaxy A41 ガラスフィルム au SCV48 / docomo Galaxy A41 SC-41A フィルム 液晶保護フィルム 日本旭硝子素材採用 高透過率 耐指紋 気泡防止 防爆裂 ラウンドエッジ加工 Galaxy A41強化ガラスフィルム 対応</t>
        </is>
      </c>
      <c r="C108" t="inlineStr">
        <is>
          <t>￥899</t>
        </is>
      </c>
      <c r="D108" t="inlineStr">
        <is>
          <t>4.8</t>
        </is>
      </c>
      <c r="E108">
        <f>HYPERLINK("https://www.amazon.co.jp/%E3%80%902%E6%9E%9A%E3%82%BB%E3%83%83%E3%83%88%E3%80%91Galaxy-%E6%B6%B2%E6%99%B6%E4%BF%9D%E8%AD%B7%E3%83%95%E3%82%A3%E3%83%AB%E3%83%A0-%E6%97%A5%E6%9C%AC%E6%97%AD%E7%A1%9D%E5%AD%90%E7%B4%A0%E6%9D%90%E6%8E%A1%E7%94%A8-%E3%83%A9%E3%82%A6%E3%83%B3%E3%83%89%E3%82%A8%E3%83%83%E3%82%B8%E5%8A%A0%E5%B7%A5-A41%E5%BC%B7%E5%8C%96%E3%82%AC%E3%83%A9%E3%82%B9%E3%83%95%E3%82%A3%E3%83%AB%E3%83%A0/dp/B08FLV89SY/ref=sr_1_101?__mk_ja_JP=%E3%82%AB%E3%82%BF%E3%82%AB%E3%83%8A&amp;dchild=1&amp;keywords=Galaxy&amp;qid=1598526770&amp;sr=8-101", "Go")</f>
        <v/>
      </c>
    </row>
    <row r="109">
      <c r="A109" s="1" t="n">
        <v>107</v>
      </c>
      <c r="B109" t="inlineStr">
        <is>
          <t>Galaxy S10 ガラスフィルム 日本製素材旭硝子製 3D曲面 フルカバー SCV41 SC-03 強化ガラス 業界最高の硬度9H S10 強化ガラスフィルム 高い光透過率 指紋防止 気泡なし 防油汚れ、飛散防止 超薄 S10 液晶保護フィルム</t>
        </is>
      </c>
      <c r="C109" t="inlineStr">
        <is>
          <t>￥699</t>
        </is>
      </c>
      <c r="D109" t="inlineStr">
        <is>
          <t>4.8</t>
        </is>
      </c>
      <c r="E109">
        <f>HYPERLINK("https://www.amazon.co.jp/Galaxy-S10-%E6%97%A5%E6%9C%AC%E8%A3%BD%E7%B4%A0%E6%9D%90%E6%97%AD%E7%A1%9D%E5%AD%90%E8%A3%BD-%E6%A5%AD%E7%95%8C%E6%9C%80%E9%AB%98%E3%81%AE%E7%A1%AC%E5%BA%A69H-%E5%BC%B7%E5%8C%96%E3%82%AC%E3%83%A9%E3%82%B9%E3%83%95%E3%82%A3%E3%83%AB%E3%83%A0/dp/B08D6F54ND/ref=sr_1_102?__mk_ja_JP=%E3%82%AB%E3%82%BF%E3%82%AB%E3%83%8A&amp;dchild=1&amp;keywords=Galaxy&amp;qid=1598526770&amp;sr=8-102", "Go")</f>
        <v/>
      </c>
    </row>
    <row r="110">
      <c r="A110" s="1" t="n">
        <v>108</v>
      </c>
      <c r="B110" t="inlineStr">
        <is>
          <t>USB Type C 充電ケーブル ライトニングケーブル USB2.0 急速充電 高速データ転送同期 高耐久性 柔軟性あり Sony Xperia Samsung Galaxy Macbook Pro Nexus 5X/6P GoPro Hero 5/6対応 TypeC全機種対応 ブラック 【4本セット 0.25m+1m+1m+2m 】</t>
        </is>
      </c>
      <c r="C110" t="inlineStr">
        <is>
          <t>￥989</t>
        </is>
      </c>
      <c r="D110" t="inlineStr">
        <is>
          <t>4.8</t>
        </is>
      </c>
      <c r="E110">
        <f>HYPERLINK("https://www.amazon.co.jp/dp/B086MHNYWV/ref=sr_1_103?__mk_ja_JP=%E3%82%AB%E3%82%BF%E3%82%AB%E3%83%8A&amp;dchild=1&amp;keywords=Galaxy&amp;qid=1598526770&amp;sr=8-103", "Go")</f>
        <v/>
      </c>
    </row>
    <row r="111">
      <c r="A111" s="1" t="n">
        <v>109</v>
      </c>
      <c r="B111" t="inlineStr">
        <is>
          <t>Galaxy S10 フィルム 指紋対応可能 Galaxy S10 ガラスフィルム 全面吸着 優れたタッチ感度 硬度9H 飛散防止 指紋防止 高透過率 貼り付け簡単 気泡ゼロ Galaxy S10 強化ガラスフィルム Galaxy S10に対応（ 6.1インチ ）</t>
        </is>
      </c>
      <c r="C111" t="inlineStr">
        <is>
          <t>￥899</t>
        </is>
      </c>
      <c r="D111" t="inlineStr">
        <is>
          <t>4.8</t>
        </is>
      </c>
      <c r="E111">
        <f>HYPERLINK("https://www.amazon.co.jp/Galaxy-%E3%82%AC%E3%83%A9%E3%82%B9%E3%83%95%E3%82%A3%E3%83%AB%E3%83%A0-%E5%84%AA%E3%82%8C%E3%81%9F%E3%82%BF%E3%83%83%E3%83%81%E6%84%9F%E5%BA%A6-%E5%BC%B7%E5%8C%96%E3%82%AC%E3%83%A9%E3%82%B9%E3%83%95%E3%82%A3%E3%83%AB%E3%83%A0-S10%E3%81%AB%E5%AF%BE%E5%BF%9C%EF%BC%88/dp/B08DKMCDV4/ref=sr_1_104?__mk_ja_JP=%E3%82%AB%E3%82%BF%E3%82%AB%E3%83%8A&amp;dchild=1&amp;keywords=Galaxy&amp;qid=1598526770&amp;sr=8-104", "Go")</f>
        <v/>
      </c>
    </row>
    <row r="112">
      <c r="A112" s="1" t="n">
        <v>110</v>
      </c>
      <c r="B112" t="inlineStr">
        <is>
          <t>Samsung Galaxy s9メモリカード128 GB Micro SDXC Evo Plusクラス10 UHS - s9 Plus、s9 +、携帯電話スマートフォンwith Everything But Stromboli ( TM )カードリーダー( mb-mc128 )</t>
        </is>
      </c>
      <c r="C112" t="inlineStr">
        <is>
          <t>￥28,925</t>
        </is>
      </c>
      <c r="D112" t="inlineStr">
        <is>
          <t>4.7</t>
        </is>
      </c>
      <c r="E112">
        <f>HYPERLINK("https://www.amazon.co.jp/Samsung-Galaxy-s9%E3%83%A1%E3%83%A2%E3%83%AA%E3%82%AB%E3%83%BC%E3%83%89128-GB-Micro-Plus%E3%82%AF%E3%83%A9%E3%82%B910-UHS/dp/B0796WL1VY/ref=sr_1_105?__mk_ja_JP=%E3%82%AB%E3%82%BF%E3%82%AB%E3%83%8A&amp;dchild=1&amp;keywords=Galaxy&amp;qid=1598526770&amp;sr=8-105", "Go")</f>
        <v/>
      </c>
    </row>
    <row r="113">
      <c r="A113" s="1" t="n">
        <v>111</v>
      </c>
      <c r="B113" t="inlineStr">
        <is>
          <t>【2枚入り】 Galaxy S20 Plus （SC-52A SCG02） ガラスフィルム [日本旭硝子素材] 3D全面保護 99%高透過率/曲面全面保護/ 硬度9H / 防指紋/自動吸着/スクラッチ防止/気泡ゼロ/飛散防止処理 Galaxy S20 Plus 液晶保護フィルム 強化ガラスフィルム</t>
        </is>
      </c>
      <c r="C113" t="inlineStr">
        <is>
          <t>￥1,099</t>
        </is>
      </c>
      <c r="D113" t="inlineStr">
        <is>
          <t>4.8</t>
        </is>
      </c>
      <c r="E113">
        <f>HYPERLINK("https://www.amazon.co.jp/%EF%BC%88SC-52A-%E3%82%AC%E3%83%A9%E3%82%B9%E3%83%95%E3%82%A3%E3%83%AB%E3%83%A0-%E6%97%A5%E6%9C%AC%E6%97%AD%E7%A1%9D%E5%AD%90%E7%B4%A0%E6%9D%90-%E6%B6%B2%E6%99%B6%E4%BF%9D%E8%AD%B7%E3%83%95%E3%82%A3%E3%83%AB%E3%83%A0-%E5%BC%B7%E5%8C%96%E3%82%AC%E3%83%A9%E3%82%B9%E3%83%95%E3%82%A3%E3%83%AB%E3%83%A0/dp/B08FDGMMYW/ref=sr_1_106?__mk_ja_JP=%E3%82%AB%E3%82%BF%E3%82%AB%E3%83%8A&amp;dchild=1&amp;keywords=Galaxy&amp;qid=1598526770&amp;sr=8-106", "Go")</f>
        <v/>
      </c>
    </row>
    <row r="114">
      <c r="A114" s="1" t="n">
        <v>112</v>
      </c>
      <c r="B114" t="inlineStr">
        <is>
          <t>【2枚セット】Galaxy A41 ガラスフィルム (SC-41A/SCV48 対応) / 9H硬度 / 99%透過率/Galaxy A41 強化ガラスフィルム/指紋防止/気泡ゼロ/飛散防止/スクラッチ防止/自動吸着/Galaxy A41 液晶保護フィルム-透明</t>
        </is>
      </c>
      <c r="C114" t="inlineStr">
        <is>
          <t>￥699</t>
        </is>
      </c>
      <c r="D114" t="inlineStr">
        <is>
          <t>4.8</t>
        </is>
      </c>
      <c r="E114">
        <f>HYPERLINK("https://www.amazon.co.jp/%E3%80%902%E6%9E%9A%E3%82%BB%E3%83%83%E3%83%88%E3%80%91Galaxy-%E3%82%AC%E3%83%A9%E3%82%B9%E3%83%95%E3%82%A3%E3%83%AB%E3%83%A0-%E5%BC%B7%E5%8C%96%E3%82%AC%E3%83%A9%E3%82%B9%E3%83%95%E3%82%A3%E3%83%AB%E3%83%A0-%E3%82%B9%E3%82%AF%E3%83%A9%E3%83%83%E3%83%81%E9%98%B2%E6%AD%A2-%E6%B6%B2%E6%99%B6%E4%BF%9D%E8%AD%B7%E3%83%95%E3%82%A3%E3%83%AB%E3%83%A0-%E9%80%8F%E6%98%8E/dp/B08F9ZMHGG/ref=sr_1_107?__mk_ja_JP=%E3%82%AB%E3%82%BF%E3%82%AB%E3%83%8A&amp;dchild=1&amp;keywords=Galaxy&amp;qid=1598526770&amp;sr=8-107", "Go")</f>
        <v/>
      </c>
    </row>
    <row r="115">
      <c r="A115" s="1" t="n">
        <v>113</v>
      </c>
      <c r="B115" t="inlineStr">
        <is>
          <t>【2枚入り】Galaxy A41 フィルム SC-41A SCV48 日本製旭硝子材 2.5D加工 Galaxy A41 ガラスフィルム 9H硬度 100%気泡ゼロ 99.99%高透過率 高感度タッチ 耐衝撃 指紋防止 貼り付け簡単 ギャラクシー A41 液晶保護フィルム 強化ガラス</t>
        </is>
      </c>
      <c r="C115" t="inlineStr">
        <is>
          <t>￥899</t>
        </is>
      </c>
      <c r="D115" t="inlineStr">
        <is>
          <t>4.8</t>
        </is>
      </c>
      <c r="E115">
        <f>HYPERLINK("https://www.amazon.co.jp/%E3%80%902%E6%9E%9A%E5%85%A5%E3%82%8A%E3%80%91Galaxy-%E6%97%A5%E6%9C%AC%E8%A3%BD%E6%97%AD%E7%A1%9D%E5%AD%90%E6%9D%90-100-%E6%B0%97%E6%B3%A1%E3%82%BC%E3%83%AD-99-99-%E9%AB%98%E9%80%8F%E9%81%8E%E7%8E%87-%E6%B6%B2%E6%99%B6%E4%BF%9D%E8%AD%B7%E3%83%95%E3%82%A3%E3%83%AB%E3%83%A0/dp/B08FB2WFPK/ref=sr_1_108?__mk_ja_JP=%E3%82%AB%E3%82%BF%E3%82%AB%E3%83%8A&amp;dchild=1&amp;keywords=Galaxy&amp;qid=1598526770&amp;sr=8-108", "Go")</f>
        <v/>
      </c>
    </row>
    <row r="116">
      <c r="A116" s="1" t="n">
        <v>114</v>
      </c>
      <c r="B116" t="inlineStr">
        <is>
          <t>SUNCOON【2020最新改良・3枚入り】Xperia 1 II カメラフィルム 全体保護 防塵 Xperia 1 ii レンズフィルム SO-51A SOG01 浮き防止/気泡ゼロ/貼り付け簡単/耐衝撃 /99%透過率 (Xperia 1II)</t>
        </is>
      </c>
      <c r="C116" t="inlineStr">
        <is>
          <t>￥1,399</t>
        </is>
      </c>
      <c r="D116" t="inlineStr">
        <is>
          <t>5</t>
        </is>
      </c>
      <c r="E116">
        <f>HYPERLINK("https://www.amazon.co.jp/SUNCOON%E3%80%902020%E6%9C%80%E6%96%B0%E6%94%B9%E8%89%AF%E3%83%BB3%E6%9E%9A%E5%85%A5%E3%82%8A%E3%80%91Xperia-%E3%82%AB%E3%83%A1%E3%83%A9%E3%83%95%E3%82%A3%E3%83%AB%E3%83%A0-Xperia-%E3%83%AC%E3%83%B3%E3%82%BA%E3%83%95%E3%82%A3%E3%83%AB%E3%83%A0-SO-51A/dp/B08D3PNR89/ref=sr_1_109?__mk_ja_JP=%E3%82%AB%E3%82%BF%E3%82%AB%E3%83%8A&amp;dchild=1&amp;keywords=Galaxy&amp;qid=1598526770&amp;sr=8-109", "Go")</f>
        <v/>
      </c>
    </row>
    <row r="117">
      <c r="A117" s="1" t="n">
        <v>115</v>
      </c>
      <c r="B117" t="inlineStr">
        <is>
          <t>GESMA 【２個セット】スマホスタンド 携帯スタンド 卓上スタンド 在宅勤務 折りたたみ式 角度調整可能 持ち運びやすい 滑り止め付き アルミ製 軽量 収納便利 iPhone/iPad/Android/Nintendo Switch/Kindleスマホ タブレットに適用 スマホホルダー</t>
        </is>
      </c>
      <c r="C117" t="inlineStr">
        <is>
          <t>￥1,299</t>
        </is>
      </c>
      <c r="D117" t="inlineStr">
        <is>
          <t>4.9</t>
        </is>
      </c>
      <c r="E117">
        <f>HYPERLINK("https://www.amazon.co.jp/GESMA-%E3%80%90%EF%BC%92%E5%80%8B%E3%82%BB%E3%83%83%E3%83%88%E3%80%91%E3%82%B9%E3%83%9E%E3%83%9B%E3%82%B9%E3%82%BF%E3%83%B3%E3%83%89-Nintendo-Kindle%E3%82%B9%E3%83%9E%E3%83%9B-%E3%82%BF%E3%83%96%E3%83%AC%E3%83%83%E3%83%88%E3%81%AB%E9%81%A9%E7%94%A8/dp/B0886F73LQ/ref=sr_1_110?__mk_ja_JP=%E3%82%AB%E3%82%BF%E3%82%AB%E3%83%8A&amp;dchild=1&amp;keywords=Galaxy&amp;qid=1598526770&amp;sr=8-110", "Go")</f>
        <v/>
      </c>
    </row>
    <row r="118">
      <c r="A118" s="1" t="n">
        <v>116</v>
      </c>
      <c r="B118" t="inlineStr">
        <is>
          <t>Olympus M.Zuiko Digital - Macro lens - 60 mm - f/2.8 ED Macro - Micro Four Thirds - for Olympus E-PM2</t>
        </is>
      </c>
      <c r="C118" t="inlineStr">
        <is>
          <t>￥48,260</t>
        </is>
      </c>
      <c r="D118" t="inlineStr">
        <is>
          <t>4.8</t>
        </is>
      </c>
      <c r="E118">
        <f>HYPERLINK("https://www.amazon.co.jp/Olympus-M-Zuiko-Digital-Thirds-PM2/dp/B0096WDK0K/ref=sr_1_111?__mk_ja_JP=%E3%82%AB%E3%82%BF%E3%82%AB%E3%83%8A&amp;dchild=1&amp;keywords=Galaxy&amp;qid=1598526770&amp;sr=8-111", "Go")</f>
        <v/>
      </c>
    </row>
    <row r="119">
      <c r="A119" s="1" t="n">
        <v>117</v>
      </c>
      <c r="B119" t="inlineStr">
        <is>
          <t>ZENLO スマホスタンド スマホホルダー 携帯スタンド スマホスタンド 卓上 タブレット スタンド アルミ製 折りたたみ式 滑り止め 角度調節可能 スマホ充電サポート 収納袋付き 4～11インチ対応 ipad/iPhone/Android多機種対応 (シルバー)</t>
        </is>
      </c>
      <c r="C119" t="inlineStr">
        <is>
          <t>￥1,680</t>
        </is>
      </c>
      <c r="D119" t="inlineStr">
        <is>
          <t>4.8</t>
        </is>
      </c>
      <c r="E119">
        <f>HYPERLINK("https://www.amazon.co.jp/ZENLO-%E3%82%B9%E3%83%9E%E3%83%9B%E3%82%B9%E3%82%BF%E3%83%B3%E3%83%89-%E3%82%B9%E3%83%9E%E3%83%9B%E5%85%85%E9%9B%BB%E3%82%B5%E3%83%9D%E3%83%BC%E3%83%88-4%EF%BD%9E11%E3%82%A4%E3%83%B3%E3%83%81%E5%AF%BE%E5%BF%9C-Android%E5%A4%9A%E6%A9%9F%E7%A8%AE%E5%AF%BE%E5%BF%9C/dp/B0899Q1BCQ/ref=sr_1_112?__mk_ja_JP=%E3%82%AB%E3%82%BF%E3%82%AB%E3%83%8A&amp;dchild=1&amp;keywords=Galaxy&amp;qid=1598526770&amp;sr=8-112", "Go")</f>
        <v/>
      </c>
    </row>
    <row r="120">
      <c r="A120" s="1" t="n">
        <v>118</v>
      </c>
      <c r="B120" t="inlineStr">
        <is>
          <t>SUNCOON【3枚セット】OPPO Find X2 Pro フィルム 3D全面保護 独創TPU素材 湾曲対応 OPPO Find X2 OPG01 フィルム 99％高透過率 指紋防止 気泡消え 傷自動修復技術 Find X2 Pro フィルム (OPPO Find X2 Pro)</t>
        </is>
      </c>
      <c r="C120" t="inlineStr">
        <is>
          <t>￥1,599</t>
        </is>
      </c>
      <c r="D120" t="inlineStr">
        <is>
          <t>4.9</t>
        </is>
      </c>
      <c r="E120">
        <f>HYPERLINK("https://www.amazon.co.jp/SUNCOON%E3%80%903%E6%9E%9A%E3%82%BB%E3%83%83%E3%83%88%E3%80%91OPPO-3D%E5%85%A8%E9%9D%A2%E4%BF%9D%E8%AD%B7-%E7%8B%AC%E5%89%B5TPU%E7%B4%A0%E6%9D%90-99%EF%BC%85%E9%AB%98%E9%80%8F%E9%81%8E%E7%8E%87-%E5%82%B7%E8%87%AA%E5%8B%95%E4%BF%AE%E5%BE%A9%E6%8A%80%E8%A1%93/dp/B08DKGNYH9/ref=sr_1_116?__mk_ja_JP=%E3%82%AB%E3%82%BF%E3%82%AB%E3%83%8A&amp;dchild=1&amp;keywords=Galaxy&amp;qid=1598526770&amp;sr=8-116", "Go")</f>
        <v/>
      </c>
    </row>
    <row r="121">
      <c r="A121" s="1" t="n">
        <v>119</v>
      </c>
      <c r="B121" t="inlineStr">
        <is>
          <t>Nintendo Selects : Super Mario Galaxy (Wii)</t>
        </is>
      </c>
      <c r="C121" t="inlineStr">
        <is>
          <t>￥4,559</t>
        </is>
      </c>
      <c r="D121" t="inlineStr">
        <is>
          <t>4.8</t>
        </is>
      </c>
      <c r="E121">
        <f>HYPERLINK("https://www.amazon.co.jp/Nintendo-Selects-Super-Mario-Galaxy/dp/B005JAT62E/ref=sr_1_117?__mk_ja_JP=%E3%82%AB%E3%82%BF%E3%82%AB%E3%83%8A&amp;dchild=1&amp;keywords=Galaxy&amp;qid=1598526770&amp;sr=8-117", "Go")</f>
        <v/>
      </c>
    </row>
    <row r="122">
      <c r="A122" s="1" t="n">
        <v>120</v>
      </c>
      <c r="B122" t="inlineStr">
        <is>
          <t>Galaxy TRAVEL ADAPTER (45W) [Galaxy純正 国内正規品] EP-TA845XWEGJP</t>
        </is>
      </c>
      <c r="C122" t="inlineStr">
        <is>
          <t>￥5,703</t>
        </is>
      </c>
      <c r="D122" t="inlineStr">
        <is>
          <t>4.8</t>
        </is>
      </c>
      <c r="E122">
        <f>HYPERLINK("https://www.amazon.co.jp/Galaxy-TRAVEL-ADAPTER-Galaxy%E7%B4%94%E6%AD%A3-EP-TA845XWEGJP/dp/B07YSDB7PR/ref=sr_1_118?__mk_ja_JP=%E3%82%AB%E3%82%BF%E3%82%AB%E3%83%8A&amp;dchild=1&amp;keywords=Galaxy&amp;qid=1598526770&amp;sr=8-118", "Go")</f>
        <v/>
      </c>
    </row>
    <row r="123">
      <c r="A123" s="1" t="n">
        <v>121</v>
      </c>
      <c r="B123" t="inlineStr">
        <is>
          <t>【最新版】スマホスタンド 卓上 折りたたみ式 角度と高さ調整可能 3階段高さ調節 タブレットスタンド 携帯スタンド スマホホルダー シリコン滑り止め 収納便利 iPhone/iPad/NintendoSwitch/Kindle/Sony/Nexus/iPad/PCタブレットなど（4-13インチ）各種対応 (ピンク)</t>
        </is>
      </c>
      <c r="C123" t="inlineStr">
        <is>
          <t>￥1,399</t>
        </is>
      </c>
      <c r="D123" t="inlineStr">
        <is>
          <t>4.9</t>
        </is>
      </c>
      <c r="E123">
        <f>HYPERLINK("https://www.amazon.co.jp/%E3%80%90%E6%9C%80%E6%96%B0%E7%89%88%E3%80%91%E3%82%B9%E3%83%9E%E3%83%9B%E3%82%B9%E3%82%BF%E3%83%B3%E3%83%89-%E8%A7%92%E5%BA%A6%E3%81%A8%E9%AB%98%E3%81%95%E8%AA%BF%E6%95%B4%E5%8F%AF%E8%83%BD-%E3%82%BF%E3%83%96%E3%83%AC%E3%83%83%E3%83%88%E3%82%B9%E3%82%BF%E3%83%B3%E3%83%89-NintendoSwitch-PC%E3%82%BF%E3%83%96%E3%83%AC%E3%83%83%E3%83%88%E3%81%AA%E3%81%A9%EF%BC%884-13%E3%82%A4%E3%83%B3%E3%83%81%EF%BC%89%E5%90%84%E7%A8%AE%E5%AF%BE%E5%BF%9C/dp/B088D33ZC8/ref=sr_1_119?__mk_ja_JP=%E3%82%AB%E3%82%BF%E3%82%AB%E3%83%8A&amp;dchild=1&amp;keywords=Galaxy&amp;qid=1598526770&amp;sr=8-119", "Go")</f>
        <v/>
      </c>
    </row>
    <row r="124">
      <c r="A124" s="1" t="n">
        <v>122</v>
      </c>
      <c r="B124" t="inlineStr">
        <is>
          <t>プロフェッショナル超SanDisk Samsung Galaxy s8 MicroSDHCカードwithカスタムHi - Speed、ロスレス形式。は標準SDアダプタ。(UHS - 1 80 MB /秒クラス10認定) SF705Samsung Galaxy S8</t>
        </is>
      </c>
      <c r="C124" t="inlineStr">
        <is>
          <t>￥3,164</t>
        </is>
      </c>
      <c r="D124" t="inlineStr">
        <is>
          <t>4.8</t>
        </is>
      </c>
      <c r="E124">
        <f>HYPERLINK("https://www.amazon.co.jp/%E3%83%97%E3%83%AD%E3%83%95%E3%82%A7%E3%83%83%E3%82%B7%E3%83%A7%E3%83%8A%E3%83%AB%E8%B6%85SanDisk-Samsung-Galaxy-s8-MicroSDHC%E3%82%AB%E3%83%BC%E3%83%89with%E3%82%AB%E3%82%B9%E3%82%BF%E3%83%A0Hi-80-MB/dp/B01N90X88F/ref=sr_1_120?__mk_ja_JP=%E3%82%AB%E3%82%BF%E3%82%AB%E3%83%8A&amp;dchild=1&amp;keywords=Galaxy&amp;qid=1598526770&amp;sr=8-120", "Go")</f>
        <v/>
      </c>
    </row>
    <row r="125">
      <c r="A125" s="1" t="n">
        <v>123</v>
      </c>
      <c r="B125" t="inlineStr">
        <is>
          <t>クアッドロック(QUAD LOCK) TPU ポリカーボネイト製ケース iPhone 11 Pro Max用 QLC-IP11MAX black</t>
        </is>
      </c>
      <c r="C125" t="inlineStr">
        <is>
          <t>￥3,740</t>
        </is>
      </c>
      <c r="D125" t="inlineStr">
        <is>
          <t>4.8</t>
        </is>
      </c>
      <c r="E125">
        <f>HYPERLINK("https://www.amazon.co.jp/QLC-IP11MAX/dp/B081J687P5/ref=sr_1_121?__mk_ja_JP=%E3%82%AB%E3%82%BF%E3%82%AB%E3%83%8A&amp;dchild=1&amp;keywords=Galaxy&amp;qid=1598526770&amp;sr=8-121", "Go")</f>
        <v/>
      </c>
    </row>
    <row r="126">
      <c r="A126" s="1" t="n">
        <v>124</v>
      </c>
      <c r="B126" t="inlineStr">
        <is>
          <t>SUNCOON Xperia 1 II フィルム 日本旭硝子素材 9H硬度 Xperia 1 II ガラスフィルム SO-51A SOG01 貼り付け簡単 2.5Dラウンドエッジ加工 硬度9H 飛散防止 2枚入 (Xperia 1 II, クリア)</t>
        </is>
      </c>
      <c r="C126" t="inlineStr">
        <is>
          <t>￥1,599</t>
        </is>
      </c>
      <c r="D126" t="inlineStr">
        <is>
          <t>5</t>
        </is>
      </c>
      <c r="E126">
        <f>HYPERLINK("https://www.amazon.co.jp/SUNCOON-Xperia-%E6%97%A5%E6%9C%AC%E6%97%AD%E7%A1%9D%E5%AD%90%E7%B4%A0%E6%9D%90-%E3%82%AC%E3%83%A9%E3%82%B9%E3%83%95%E3%82%A3%E3%83%AB%E3%83%A0-2-5D%E3%83%A9%E3%82%A6%E3%83%B3%E3%83%89%E3%82%A8%E3%83%83%E3%82%B8%E5%8A%A0%E5%B7%A5/dp/B08BYGWYWS/ref=sr_1_122?__mk_ja_JP=%E3%82%AB%E3%82%BF%E3%82%AB%E3%83%8A&amp;dchild=1&amp;keywords=Galaxy&amp;qid=1598526770&amp;sr=8-122", "Go")</f>
        <v/>
      </c>
    </row>
    <row r="127">
      <c r="A127" s="1" t="n">
        <v>125</v>
      </c>
      <c r="B127" t="inlineStr">
        <is>
          <t>イヤホン 高音質 ハイレゾ 重低音 有線イヤホン マイク付き リモコン 通話可能 音量調整 カナル型 ノイズキャンセリング 遮音 イヤホンAndroid/iPhone/PCマルチモデル対応 (ブラック)</t>
        </is>
      </c>
      <c r="C127" t="inlineStr">
        <is>
          <t>￥1,399</t>
        </is>
      </c>
      <c r="D127" t="inlineStr">
        <is>
          <t>4.7</t>
        </is>
      </c>
      <c r="E127">
        <f>HYPERLINK("https://www.amazon.co.jp/%E6%9C%89%E7%B7%9A%E3%82%A4%E3%83%A4%E3%83%9B%E3%83%B3-%E3%83%8E%E3%82%A4%E3%82%BA%E3%82%AD%E3%83%A3%E3%83%B3%E3%82%BB%E3%83%AA%E3%83%B3%E3%82%B0-%E3%82%A4%E3%83%A4%E3%83%9B%E3%83%B3Android-iPhone-PC%E3%83%9E%E3%83%AB%E3%83%81%E3%83%A2%E3%83%87%E3%83%AB%E5%AF%BE%E5%BF%9C/dp/B08CH2FXHW/ref=sr_1_123?__mk_ja_JP=%E3%82%AB%E3%82%BF%E3%82%AB%E3%83%8A&amp;dchild=1&amp;keywords=Galaxy&amp;qid=1598526770&amp;sr=8-123", "Go")</f>
        <v/>
      </c>
    </row>
    <row r="128">
      <c r="A128" s="1" t="n">
        <v>126</v>
      </c>
      <c r="B128" t="inlineStr">
        <is>
          <t>Galaxy A20 SC-02M ガラスフィルム【2枚入り】SCV46 全面保護フィルム 液晶強化ガラス 日本製旭硝子材 硬度9H 透過率99% 飛散防止処理保護 気泡レス Galaxy A20 強化ガラスフィルム 【対応5.8インチ】</t>
        </is>
      </c>
      <c r="C128" t="inlineStr">
        <is>
          <t>￥799</t>
        </is>
      </c>
      <c r="D128" t="inlineStr">
        <is>
          <t>4.7</t>
        </is>
      </c>
      <c r="E128">
        <f>HYPERLINK("https://www.amazon.co.jp/%E3%82%AC%E3%83%A9%E3%82%B9%E3%83%95%E3%82%A3%E3%83%AB%E3%83%A0%E3%80%902%E6%9E%9A%E5%85%A5%E3%82%8A%E3%80%91SCV46-%E5%85%A8%E9%9D%A2%E4%BF%9D%E8%AD%B7%E3%83%95%E3%82%A3%E3%83%AB%E3%83%A0-%E9%A3%9B%E6%95%A3%E9%98%B2%E6%AD%A2%E5%87%A6%E7%90%86%E4%BF%9D%E8%AD%B7-%E5%BC%B7%E5%8C%96%E3%82%AC%E3%83%A9%E3%82%B9%E3%83%95%E3%82%A3%E3%83%AB%E3%83%A0-%E3%80%90%E5%AF%BE%E5%BF%9C5-8%E3%82%A4%E3%83%B3%E3%83%81%E3%80%91/dp/B08DNZWY9G/ref=sr_1_124?__mk_ja_JP=%E3%82%AB%E3%82%BF%E3%82%AB%E3%83%8A&amp;dchild=1&amp;keywords=Galaxy&amp;qid=1598526770&amp;sr=8-124", "Go")</f>
        <v/>
      </c>
    </row>
    <row r="129">
      <c r="A129" s="1" t="n">
        <v>127</v>
      </c>
      <c r="B129" t="inlineStr">
        <is>
          <t>DTTO Samsung Galaxy Tab S5e 10.5 2019用ケース プレミアムレザーフォリオカバー ハードバック付き Samsung Galaxy Tab S5e 10.5インチタブレット2019用 [自動スリープ/スリープ解除] ブラック</t>
        </is>
      </c>
      <c r="C129" t="inlineStr">
        <is>
          <t>￥17,447</t>
        </is>
      </c>
      <c r="D129" t="inlineStr">
        <is>
          <t>4.8</t>
        </is>
      </c>
      <c r="E129">
        <f>HYPERLINK("https://www.amazon.co.jp/DTTO-Galaxy-Tab-S5e-10-5%E3%82%A4%E3%83%B3%E3%83%81%E3%82%BF%E3%83%96%E3%83%AC%E3%83%83%E3%83%882019%E7%94%A8/dp/B07RMYVWT4/ref=sr_1_125?__mk_ja_JP=%E3%82%AB%E3%82%BF%E3%82%AB%E3%83%8A&amp;dchild=1&amp;keywords=Galaxy&amp;qid=1598526770&amp;sr=8-125", "Go")</f>
        <v/>
      </c>
    </row>
    <row r="130">
      <c r="A130" s="1" t="n">
        <v>128</v>
      </c>
      <c r="B130" t="inlineStr">
        <is>
          <t>WWW Samsung Galaxy Tab S5e 10.5 ケース [高級レーザーフラワー] プレミアムPUレザーケース 自動ウェイク/スリープ機能と複数の視野角 Samsung Galaxy Tab S5e 10.5インチ 2019リリース用 WWW-US-2078A-SG-S5e-10.5-RGD</t>
        </is>
      </c>
      <c r="C130" t="inlineStr">
        <is>
          <t>￥6,949</t>
        </is>
      </c>
      <c r="D130" t="inlineStr">
        <is>
          <t>4.8</t>
        </is>
      </c>
      <c r="E130">
        <f>HYPERLINK("https://www.amazon.co.jp/WWW-%E3%83%97%E3%83%AC%E3%83%9F%E3%82%A2%E3%83%A0PU%E3%83%AC%E3%82%B6%E3%83%BC%E3%82%B1%E3%83%BC%E3%82%B9-%E3%82%B9%E3%83%AA%E3%83%BC%E3%83%97%E6%A9%9F%E8%83%BD%E3%81%A8%E8%A4%87%E6%95%B0%E3%81%AE%E8%A6%96%E8%A7%92-10-5%E3%82%A4%E3%83%B3%E3%83%812019%E3%83%AA%E3%83%AA%E3%83%BC%E3%82%B9%E7%94%A8-WWW-US-2078A-SG-S5e-10-5-RGD/dp/B07R5XS3YT/ref=sr_1_126?__mk_ja_JP=%E3%82%AB%E3%82%BF%E3%82%AB%E3%83%8A&amp;dchild=1&amp;keywords=Galaxy&amp;qid=1598526770&amp;sr=8-126", "Go")</f>
        <v/>
      </c>
    </row>
    <row r="131">
      <c r="A131" s="1" t="n">
        <v>129</v>
      </c>
      <c r="B131" t="inlineStr">
        <is>
          <t>BobjGear Bobj頑丈なタブレットケースfor Samsung Galaxy Tab A 8.0 (2017 ) (sm-t380 ) – bobjbounces Kid Friendly BJGRSGA21708</t>
        </is>
      </c>
      <c r="C131" t="inlineStr">
        <is>
          <t>￥16,900</t>
        </is>
      </c>
      <c r="D131" t="inlineStr">
        <is>
          <t>5</t>
        </is>
      </c>
      <c r="E131">
        <f>HYPERLINK("https://www.amazon.co.jp/BobjGear-Bobj%E9%A0%91%E4%B8%88%E3%81%AA%E3%82%BF%E3%83%96%E3%83%AC%E3%83%83%E3%83%88%E3%82%B1%E3%83%BC%E3%82%B9for-sm-t380-%E2%80%93-bobjbounces-BJGRSGA21708/dp/B07BR6B68W/ref=sr_1_127?__mk_ja_JP=%E3%82%AB%E3%82%BF%E3%82%AB%E3%83%8A&amp;dchild=1&amp;keywords=Galaxy&amp;qid=1598526770&amp;sr=8-127", "Go")</f>
        <v/>
      </c>
    </row>
    <row r="132">
      <c r="A132" s="1" t="n">
        <v>130</v>
      </c>
      <c r="B132" t="inlineStr">
        <is>
          <t>OUKITEL C17 Pro SIMフリースマートフォン6.35インチブラインドホールスクリーン4GB RAM + 64GB ROM MT6367 Octa-ocre携帯電話トリプルバックカメラ13MP + 5MP + 2MP、3900mAhビッグバッテリーAndroid 9.0 OS 4GデュアルSIMフェイスおよび指紋ロック解除1年間の保証&amp;技術認定に合格する（サポート5G/2.4G WIFI）</t>
        </is>
      </c>
      <c r="C132" t="inlineStr">
        <is>
          <t>￥15,999</t>
        </is>
      </c>
      <c r="D132" t="inlineStr">
        <is>
          <t>4.2</t>
        </is>
      </c>
      <c r="E132">
        <f>HYPERLINK("https://www.amazon.co.jp/OUKITEL-SIM%E3%83%95%E3%83%AA%E3%83%BC%E3%82%B9%E3%83%9E%E3%83%BC%E3%83%88%E3%83%95%E3%82%A9%E3%83%B36-35%E3%82%A4%E3%83%B3%E3%83%81%E3%83%96%E3%83%A9%E3%82%A4%E3%83%B3%E3%83%89%E3%83%9B%E3%83%BC%E3%83%AB%E3%82%B9%E3%82%AF%E3%83%AA%E3%83%BC%E3%83%B34GB-Octa-ocre%E6%90%BA%E5%B8%AF%E9%9B%BB%E8%A9%B1%E3%83%88%E3%83%AA%E3%83%97%E3%83%AB%E3%83%90%E3%83%83%E3%82%AF%E3%82%AB%E3%83%A1%E3%83%A913MP-2MP%E3%80%813900mAh%E3%83%93%E3%83%83%E3%82%B0%E3%83%90%E3%83%83%E3%83%86%E3%83%AA%E3%83%BCAndroid-4G%E3%83%87%E3%83%A5%E3%82%A2%E3%83%ABSIM%E3%83%95%E3%82%A7%E3%82%A4%E3%82%B9%E3%81%8A%E3%82%88%E3%81%B3%E6%8C%87%E7%B4%8B%E3%83%AD%E3%83%83%E3%82%AF%E8%A7%A3%E9%99%A41%E5%B9%B4%E9%96%93%E3%81%AE%E4%BF%9D%E8%A8%BC/dp/B08B649GTN/ref=sr_1_129_sspa?__mk_ja_JP=%E3%82%AB%E3%82%BF%E3%82%AB%E3%83%8A&amp;dchild=1&amp;keywords=Galaxy&amp;qid=1598526770&amp;sr=8-129-spons&amp;psc=1&amp;spLa=ZW5jcnlwdGVkUXVhbGlmaWVyPUExODNKUDJVR0lTQkYzJmVuY3J5cHRlZElkPUEwMzc4OTc2OURLQ1FZSERLME4xJmVuY3J5cHRlZEFkSWQ9QTE0SFM5Sks1TFBMSjMmd2lkZ2V0TmFtZT1zcF9tdGYmYWN0aW9uPWNsaWNrUmVkaXJlY3QmZG9Ob3RMb2dDbGljaz10cnVl", "Go")</f>
        <v/>
      </c>
    </row>
    <row r="133">
      <c r="A133" s="1" t="n">
        <v>131</v>
      </c>
      <c r="B133" t="inlineStr">
        <is>
          <t>『2020春改良』AUNEOS Galaxy S20 Plus フィルム 表2枚裏1枚「独創位置付け設計」S20+ 背面フィルム今年最先端TPU材 3D全面 S20 Plus フィルム 隅浮き防止 取扱簡単 気泡レス 極薄 指紋対策 高光沢 キズ修復 ギャラクシーS20+ 5G SC-52A SCG02 保護フィルム（Galaxy S20 Plus,表2枚裏1枚）</t>
        </is>
      </c>
      <c r="C133" t="inlineStr">
        <is>
          <t>￥1,680</t>
        </is>
      </c>
      <c r="D133" t="inlineStr">
        <is>
          <t>4.3</t>
        </is>
      </c>
      <c r="E133">
        <f>HYPERLINK("https://www.amazon.co.jp/%E3%80%8E2020%E6%98%A5%E6%94%B9%E8%89%AF%E3%80%8FAUNEOS-%E8%A1%A82%E6%9E%9A%E8%A3%8F1%E6%9E%9A%E3%80%8C%E7%8B%AC%E5%89%B5%E4%BD%8D%E7%BD%AE%E4%BB%98%E3%81%91%E8%A8%AD%E8%A8%88%E3%80%8DS20-%E8%83%8C%E9%9D%A2%E3%83%95%E3%82%A3%E3%83%AB%E3%83%A0%E4%BB%8A%E5%B9%B4%E6%9C%80%E5%85%88%E7%AB%AFTPU%E6%9D%90-%E3%82%AE%E3%83%A3%E3%83%A9%E3%82%AF%E3%82%B7%E3%83%BCS20-%E4%BF%9D%E8%AD%B7%E3%83%95%E3%82%A3%E3%83%AB%E3%83%A0%EF%BC%88Galaxy/dp/B0861XS8FF/ref=sr_1_130_sspa?__mk_ja_JP=%E3%82%AB%E3%82%BF%E3%82%AB%E3%83%8A&amp;dchild=1&amp;keywords=Galaxy&amp;qid=1598526770&amp;sr=8-130-spons&amp;psc=1&amp;smid=ABKBBD0Q1CGS0&amp;spLa=ZW5jcnlwdGVkUXVhbGlmaWVyPUExODNKUDJVR0lTQkYzJmVuY3J5cHRlZElkPUEwMzc4OTc2OURLQ1FZSERLME4xJmVuY3J5cHRlZEFkSWQ9QTFETVlSSlpSMDJYR1Imd2lkZ2V0TmFtZT1zcF9tdGYmYWN0aW9uPWNsaWNrUmVkaXJlY3QmZG9Ob3RMb2dDbGljaz10cnVl", "Go")</f>
        <v/>
      </c>
    </row>
    <row r="134">
      <c r="A134" s="1" t="n">
        <v>132</v>
      </c>
      <c r="B134" t="inlineStr">
        <is>
          <t>QGeeM USB C HUB 多機能コンバーター 3 in 1 ハブ USB C - USB 3.0 USB-C 100W PD 高速充電ポート MacBook Pro iPad Pro 2018 Galaxy S8 USB Cアダプター対応</t>
        </is>
      </c>
      <c r="C134" t="inlineStr">
        <is>
          <t>￥12,857</t>
        </is>
      </c>
      <c r="D134" t="inlineStr">
        <is>
          <t>4.8</t>
        </is>
      </c>
      <c r="E134">
        <f>HYPERLINK("https://www.amazon.co.jp/QGeeM-USB-HUB-%E5%A4%9A%E6%A9%9F%E8%83%BD%E3%82%B3%E3%83%B3%E3%83%90%E3%83%BC%E3%82%BF%E3%83%BC-%E3%83%8F%E3%83%96/dp/B07Z5YT5W3/ref=sr_1_131?__mk_ja_JP=%E3%82%AB%E3%82%BF%E3%82%AB%E3%83%8A&amp;dchild=1&amp;keywords=Galaxy&amp;qid=1598526770&amp;sr=8-131", "Go")</f>
        <v/>
      </c>
    </row>
    <row r="135">
      <c r="A135" s="1" t="n">
        <v>133</v>
      </c>
      <c r="B135" t="inlineStr">
        <is>
          <t>Samsung GALAXY Note 10.1 2014年版タブレット用プロフェッショナルUltra SanDisk 64GB MicroSDXCカード 高速 ロスレス録画にカスタムフォーマット済み 標準SDアダプター付属。 (UHS-1 Class 10認証、30MB/秒)。</t>
        </is>
      </c>
      <c r="C135" t="inlineStr">
        <is>
          <t>￥4,687</t>
        </is>
      </c>
      <c r="D135" t="inlineStr">
        <is>
          <t>4.8</t>
        </is>
      </c>
      <c r="E135">
        <f>HYPERLINK("https://www.amazon.co.jp/Samsung-GALAXY-Note-10-1-%E3%82%BF%E3%83%96%E3%83%AC%E3%83%83%E3%83%88%E7%94%A8%E3%83%97%E3%83%AD%E3%83%95%E3%82%A7%E3%83%83%E3%82%B7%E3%83%A7%E3%83%8A%E3%83%AB%E3%82%A6%E3%83%AB%E3%83%88%E3%83%A9%E3%82%B5%E3%83%B3%E3%83%87%E3%82%A3%E3%82%B9%E3%82%AF/dp/9876050621/ref=sr_1_132?__mk_ja_JP=%E3%82%AB%E3%82%BF%E3%82%AB%E3%83%8A&amp;dchild=1&amp;keywords=Galaxy&amp;qid=1598526770&amp;sr=8-132", "Go")</f>
        <v/>
      </c>
    </row>
    <row r="136">
      <c r="A136" s="1" t="n">
        <v>134</v>
      </c>
      <c r="B136" t="inlineStr">
        <is>
          <t>BT21 Galaxy Buds ケース カラーパターンシリーズ カバー サムスンイヤホン用 - BTSによる公式商品 パープル KFBT21BUDSMANG</t>
        </is>
      </c>
      <c r="C136" t="inlineStr">
        <is>
          <t>￥999</t>
        </is>
      </c>
      <c r="D136" t="inlineStr">
        <is>
          <t>4.8</t>
        </is>
      </c>
      <c r="E136">
        <f>HYPERLINK("https://www.amazon.co.jp/BT21-Galaxy-Buds-%E3%82%AB%E3%83%A9%E3%83%BC%E3%83%91%E3%82%BF%E3%83%BC%E3%83%B3%E3%82%B7%E3%83%AA%E3%83%BC%E3%82%BA-%E3%82%B5%E3%83%A0%E3%82%B9%E3%83%B3%E3%82%A4%E3%83%A4%E3%83%9B%E3%83%B3%E7%94%A8/dp/B07ZDP3WGC/ref=sr_1_133?__mk_ja_JP=%E3%82%AB%E3%82%BF%E3%82%AB%E3%83%8A&amp;dchild=1&amp;keywords=Galaxy&amp;qid=1598526770&amp;sr=8-133", "Go")</f>
        <v/>
      </c>
    </row>
    <row r="137">
      <c r="A137" s="1" t="n">
        <v>135</v>
      </c>
      <c r="B137" t="inlineStr">
        <is>
          <t>LEGO Galaxy Squad 70706: Crater Creeper</t>
        </is>
      </c>
      <c r="C137" t="inlineStr">
        <is>
          <t>￥3,220</t>
        </is>
      </c>
      <c r="D137" t="inlineStr">
        <is>
          <t>4.9</t>
        </is>
      </c>
      <c r="E137">
        <f>HYPERLINK("https://www.amazon.co.jp/LEGO-Galaxy-Squad-70706-Creeper/dp/B00B06JYL4/ref=sr_1_134?__mk_ja_JP=%E3%82%AB%E3%82%BF%E3%82%AB%E3%83%8A&amp;dchild=1&amp;keywords=Galaxy&amp;qid=1598526770&amp;sr=8-134", "Go")</f>
        <v/>
      </c>
    </row>
    <row r="138">
      <c r="A138" s="1" t="n">
        <v>136</v>
      </c>
      <c r="B138" t="inlineStr">
        <is>
          <t>YIBIDINAY 携帯電話スタンド 折りたたみ式ポータブルデスクトップスタンド 高さと角度調節可能 デスク用 頑丈なアルミメタルスタンド スマートフォン/iPad/Kindle/タブレット対応</t>
        </is>
      </c>
      <c r="C138" t="inlineStr">
        <is>
          <t>￥6,475</t>
        </is>
      </c>
      <c r="D138" t="inlineStr">
        <is>
          <t>4.9</t>
        </is>
      </c>
      <c r="E138">
        <f>HYPERLINK("https://www.amazon.co.jp/YIBIDINAY-%E6%90%BA%E5%B8%AF%E9%9B%BB%E8%A9%B1%E3%82%B9%E3%82%BF%E3%83%B3%E3%83%89-%E6%8A%98%E3%82%8A%E3%81%9F%E3%81%9F%E3%81%BF%E5%BC%8F%E3%83%9D%E3%83%BC%E3%82%BF%E3%83%96%E3%83%AB%E3%83%87%E3%82%B9%E3%82%AF%E3%83%88%E3%83%83%E3%83%97%E3%82%B9%E3%82%BF%E3%83%B3%E3%83%89-%E9%AB%98%E3%81%95%E3%81%A8%E8%A7%92%E5%BA%A6%E8%AA%BF%E7%AF%80%E5%8F%AF%E8%83%BD-%E9%A0%91%E4%B8%88%E3%81%AA%E3%82%A2%E3%83%AB%E3%83%9F%E3%83%A1%E3%82%BF%E3%83%AB%E3%82%B9%E3%82%BF%E3%83%B3%E3%83%89/dp/B089GP6PHV/ref=sr_1_135?__mk_ja_JP=%E3%82%AB%E3%82%BF%E3%82%AB%E3%83%8A&amp;dchild=1&amp;keywords=Galaxy&amp;qid=1598526770&amp;sr=8-135", "Go")</f>
        <v/>
      </c>
    </row>
    <row r="139">
      <c r="A139" s="1" t="n">
        <v>137</v>
      </c>
      <c r="B139" t="inlineStr">
        <is>
          <t>クアッドロック(QUAD LOCK) TPU・ポリカーボネイト製ケース - Galaxy S9用 QLC-GS9</t>
        </is>
      </c>
      <c r="C139" t="inlineStr">
        <is>
          <t>￥3,791</t>
        </is>
      </c>
      <c r="D139" t="inlineStr">
        <is>
          <t>4.8</t>
        </is>
      </c>
      <c r="E139">
        <f>HYPERLINK("https://www.amazon.co.jp/%E3%82%AF%E3%82%A2%E3%83%83%E3%83%89%E3%83%AD%E3%83%83%E3%82%AF-QUAD-LOCK-TPU%E3%83%BB%E3%83%9D%E3%83%AA%E3%82%AB%E3%83%BC%E3%83%9C%E3%83%8D%E3%82%A4%E3%83%88%E8%A3%BD%E3%82%B1%E3%83%BC%E3%82%B9-QLC-GS9/dp/B07CSMX7TV/ref=sr_1_136?__mk_ja_JP=%E3%82%AB%E3%82%BF%E3%82%AB%E3%83%8A&amp;dchild=1&amp;keywords=Galaxy&amp;qid=1598526770&amp;sr=8-136", "Go")</f>
        <v/>
      </c>
    </row>
    <row r="140">
      <c r="A140" s="1" t="n">
        <v>138</v>
      </c>
      <c r="B140" t="inlineStr">
        <is>
          <t>携帯電話スタンドKlearlook 10-45度チルト調整可能な電話スタンドデスクホルダー対応iPhone Galaxyスマートフォンタブレットデスクスタンド[シルバー]</t>
        </is>
      </c>
      <c r="C140" t="inlineStr">
        <is>
          <t>￥6,898</t>
        </is>
      </c>
      <c r="D140" t="inlineStr">
        <is>
          <t>4.8</t>
        </is>
      </c>
      <c r="E140">
        <f>HYPERLINK("https://www.amazon.co.jp/KLMPSTAND/dp/B07CMZPC7N/ref=sr_1_137?__mk_ja_JP=%E3%82%AB%E3%82%BF%E3%82%AB%E3%83%8A&amp;dchild=1&amp;keywords=Galaxy&amp;qid=1598526770&amp;sr=8-137", "Go")</f>
        <v/>
      </c>
    </row>
    <row r="141">
      <c r="A141" s="1" t="n">
        <v>139</v>
      </c>
      <c r="B141" t="inlineStr">
        <is>
          <t>[2020夏改良] SUPTMAX Galaxy S10 フィルム SCV41 / SC-03L 保護フィルム ギャラクシー エス テン フィルム s10 液晶 保護フィルム 超薄タイプ 高透過率 撥油撥水加工 指タッチ抜群 日本語貼り付け説明付き 指紋防止加工 ギャラクシー S10 スクリーン フィルム (クリア,2枚)</t>
        </is>
      </c>
      <c r="C141" t="inlineStr">
        <is>
          <t>￥1,388</t>
        </is>
      </c>
      <c r="D141" t="inlineStr">
        <is>
          <t>4.9</t>
        </is>
      </c>
      <c r="E141">
        <f>HYPERLINK("https://www.amazon.co.jp/2020%E5%A4%8F%E6%94%B9%E8%89%AF-SUPTMAX-Galaxy-SC-03L-%E6%97%A5%E6%9C%AC%E8%AA%9E%E8%B2%BC%E3%82%8A%E4%BB%98%E3%81%91%E8%AA%AC%E6%98%8E%E4%BB%98%E3%81%8D/dp/B08CKBPTD4/ref=sr_1_138?__mk_ja_JP=%E3%82%AB%E3%82%BF%E3%82%AB%E3%83%8A&amp;dchild=1&amp;keywords=Galaxy&amp;qid=1598526770&amp;sr=8-138", "Go")</f>
        <v/>
      </c>
    </row>
    <row r="142">
      <c r="A142" s="1" t="n">
        <v>140</v>
      </c>
      <c r="B142" t="inlineStr">
        <is>
          <t>SUNCOON【2020夏最新改良・2枚入り】iPhone 11 Pro/iPhone 11 Pro Max カメラフィルム 全体保護 防塵 耐衝撃 99%透過率 iPhone 11 Pro/iPhone 11 Pro Max レンズフィルム 露出過度を防ぐ 超強夜景撮影 改善版 (iPhone 11 Pro Max/iPhone 11 Pro, 黒)</t>
        </is>
      </c>
      <c r="C142" t="inlineStr">
        <is>
          <t>￥1,599</t>
        </is>
      </c>
      <c r="D142" t="inlineStr">
        <is>
          <t>4.7</t>
        </is>
      </c>
      <c r="E142">
        <f>HYPERLINK("https://www.amazon.co.jp/SUNCOON%E3%80%902020%E5%A4%8F%E6%9C%80%E6%96%B0%E6%94%B9%E8%89%AF%E3%83%BB2%E6%9E%9A%E5%85%A5%E3%82%8A%E3%80%91iPhone-iPhone-%E3%82%AB%E3%83%A1%E3%83%A9%E3%83%95%E3%82%A3%E3%83%AB%E3%83%A0-%E3%83%AC%E3%83%B3%E3%82%BA%E3%83%95%E3%82%A3%E3%83%AB%E3%83%A0-%E9%9C%B2%E5%87%BA%E9%81%8E%E5%BA%A6%E3%82%92%E9%98%B2%E3%81%90/dp/B08FCN8VZG/ref=sr_1_139?__mk_ja_JP=%E3%82%AB%E3%82%BF%E3%82%AB%E3%83%8A&amp;dchild=1&amp;keywords=Galaxy&amp;qid=1598526770&amp;sr=8-139", "Go")</f>
        <v/>
      </c>
    </row>
    <row r="143">
      <c r="A143" s="1" t="n">
        <v>141</v>
      </c>
      <c r="B143" t="inlineStr">
        <is>
          <t>UXD フィットネストラッカー 歩数計 IP68 防水 スマートリマインダー スマートウォッチ iOS Android 電話用</t>
        </is>
      </c>
      <c r="C143" t="inlineStr">
        <is>
          <t>￥21,473</t>
        </is>
      </c>
      <c r="D143" t="inlineStr">
        <is>
          <t>4.8</t>
        </is>
      </c>
      <c r="E143">
        <f>HYPERLINK("https://www.amazon.co.jp/UXD-%E3%83%95%E3%82%A3%E3%83%83%E3%83%88%E3%83%8D%E3%82%B9%E3%83%88%E3%83%A9%E3%83%83%E3%82%AB%E3%83%BC-%E3%82%B9%E3%83%9E%E3%83%BC%E3%83%88%E3%83%AA%E3%83%9E%E3%82%A4%E3%83%B3%E3%83%80%E3%83%BC-%E3%82%B9%E3%83%9E%E3%83%BC%E3%83%88%E3%82%A6%E3%82%A9%E3%83%83%E3%83%81-Android/dp/B08762YQXC/ref=sr_1_140?__mk_ja_JP=%E3%82%AB%E3%82%BF%E3%82%AB%E3%83%8A&amp;dchild=1&amp;keywords=Galaxy&amp;qid=1598526770&amp;sr=8-140", "Go")</f>
        <v/>
      </c>
    </row>
    <row r="144">
      <c r="A144" s="1" t="n">
        <v>142</v>
      </c>
      <c r="B144" t="inlineStr">
        <is>
          <t>USB Cケーブル MARGE PLUS Type C充電ケーブル 3本パック (6フィート) 編組高速充電コード Samsung Galaxy A20 A50 A51 A71 A10 A10e S10 S20 Plus Note10 9 LG Stylo 5 4 その他のUSB C充電器に対応</t>
        </is>
      </c>
      <c r="C144" t="inlineStr">
        <is>
          <t>￥23,110</t>
        </is>
      </c>
      <c r="D144" t="inlineStr">
        <is>
          <t>4.8</t>
        </is>
      </c>
      <c r="E144">
        <f>HYPERLINK("https://www.amazon.co.jp/C%E5%85%85%E9%9B%BB%E3%82%B1%E3%83%BC%E3%83%96%E3%83%AB-%E7%B7%A8%E7%B5%84%E9%AB%98%E9%80%9F%E5%85%85%E9%9B%BB%E3%82%B3%E3%83%BC%E3%83%89-Samsung-Plus-%E3%81%9D%E3%81%AE%E4%BB%96%E3%81%AEUSB/dp/B089D8ZHWJ/ref=sr_1_141?__mk_ja_JP=%E3%82%AB%E3%82%BF%E3%82%AB%E3%83%8A&amp;dchild=1&amp;keywords=Galaxy&amp;qid=1598526770&amp;sr=8-141", "Go")</f>
        <v/>
      </c>
    </row>
    <row r="145">
      <c r="A145" s="1" t="n">
        <v>143</v>
      </c>
      <c r="B145" t="inlineStr">
        <is>
          <t>【最新版&amp;2in1】 USB急速充電器 モバイルバッテリー 6700mAh 大容量 ACアダプター 折りたたみ式プラグ搭載 携帯スマホ急速充電 軽量 2USB出力ポート 最大5V/2.4A 軽量 USB コンセント PSE認証済 多重保護システム iPhone/iPad/Android各種対応（ホワイト）</t>
        </is>
      </c>
      <c r="C145" t="inlineStr">
        <is>
          <t>￥2,780</t>
        </is>
      </c>
      <c r="D145" t="inlineStr">
        <is>
          <t>4.8</t>
        </is>
      </c>
      <c r="E145">
        <f>HYPERLINK("https://www.amazon.co.jp/Capacity-Lightweight-Certified-Protection-Compatible/dp/B08B3TFC7T/ref=sr_1_142?__mk_ja_JP=%E3%82%AB%E3%82%BF%E3%82%AB%E3%83%8A&amp;dchild=1&amp;keywords=Galaxy&amp;qid=1598526770&amp;sr=8-142", "Go")</f>
        <v/>
      </c>
    </row>
    <row r="146">
      <c r="A146" s="1" t="n">
        <v>144</v>
      </c>
      <c r="B146" t="inlineStr">
        <is>
          <t>Shocksock Samsung Galaxy S10 Neoprene Pouch Case with Carabiner (Black)</t>
        </is>
      </c>
      <c r="C146" t="inlineStr">
        <is>
          <t>￥1,452</t>
        </is>
      </c>
      <c r="D146" t="inlineStr">
        <is>
          <t>4.8</t>
        </is>
      </c>
      <c r="E146">
        <f>HYPERLINK("https://www.amazon.co.jp/Shocksock-Samsung-Galaxy-S10-Carabiner/dp/B07LFB9M49/ref=sr_1_143?__mk_ja_JP=%E3%82%AB%E3%82%BF%E3%82%AB%E3%83%8A&amp;dchild=1&amp;keywords=Galaxy&amp;qid=1598526770&amp;sr=8-143", "Go")</f>
        <v/>
      </c>
    </row>
    <row r="147">
      <c r="A147" s="1" t="n">
        <v>145</v>
      </c>
      <c r="B147" t="inlineStr">
        <is>
          <t>UGREEN スマホスタンド 卓上 角度調整 アルミ製 スマホ用 iPhone スタンド ホルダー 折りたたみ式 持ち運びに便利 充電可能 4.7～7.9インチのiPhone Android 携帯 switchに適用</t>
        </is>
      </c>
      <c r="C147" t="inlineStr">
        <is>
          <t>￥1,199</t>
        </is>
      </c>
      <c r="D147" t="inlineStr">
        <is>
          <t>5</t>
        </is>
      </c>
      <c r="E147">
        <f>HYPERLINK("https://www.amazon.co.jp/UGREEN-%E3%82%B9%E3%83%9E%E3%83%9B%E3%82%B9%E3%82%BF%E3%83%B3%E3%83%89-%E6%8C%81%E3%81%A1%E9%81%8B%E3%81%B3%E3%81%AB%E4%BE%BF%E5%88%A9-4-7%EF%BD%9E7-9%E3%82%A4%E3%83%B3%E3%83%81%E3%81%AEiPhone-switch%E3%81%AB%E9%81%A9%E7%94%A8/dp/B083J4TNLW/ref=sr_1_144?__mk_ja_JP=%E3%82%AB%E3%82%BF%E3%82%AB%E3%83%8A&amp;dchild=1&amp;keywords=Galaxy&amp;qid=1598526770&amp;sr=8-144", "Go")</f>
        <v/>
      </c>
    </row>
    <row r="148">
      <c r="A148" s="1" t="n">
        <v>146</v>
      </c>
      <c r="B148" t="inlineStr">
        <is>
          <t>Vikisda Switch 用 保護 ガラスフィルム ニンテンドー スイッチ 用 モンスターハンターワールド 日本硝子素材 強靭9H 3Dラウンドエッジ加工 撥水撥油 指紋防止 飛散防止 貼付道具付 ピタ貼り 自己吸着 気泡防止 極薄 可愛い 業界独創のデザイン モンスターハンターダブルクロス</t>
        </is>
      </c>
      <c r="C148" t="inlineStr">
        <is>
          <t>￥799</t>
        </is>
      </c>
      <c r="D148" t="inlineStr">
        <is>
          <t>5</t>
        </is>
      </c>
      <c r="E148">
        <f>HYPERLINK("https://www.amazon.co.jp/Vikisda-%E3%83%A2%E3%83%B3%E3%82%B9%E3%82%BF%E3%83%BC%E3%83%8F%E3%83%B3%E3%82%BF%E3%83%BC%E3%83%AF%E3%83%BC%E3%83%AB%E3%83%89-3D%E3%83%A9%E3%82%A6%E3%83%B3%E3%83%89%E3%82%A8%E3%83%83%E3%82%B8%E5%8A%A0%E5%B7%A5-%E6%A5%AD%E7%95%8C%E7%8B%AC%E5%89%B5%E3%81%AE%E3%83%87%E3%82%B6%E3%82%A4%E3%83%B3-%E3%83%A2%E3%83%B3%E3%82%B9%E3%82%BF%E3%83%BC%E3%83%8F%E3%83%B3%E3%82%BF%E3%83%BC%E3%83%80%E3%83%96%E3%83%AB%E3%82%AF%E3%83%AD%E3%82%B9/dp/B088NCT3YM/ref=sr_1_145?__mk_ja_JP=%E3%82%AB%E3%82%BF%E3%82%AB%E3%83%8A&amp;dchild=1&amp;keywords=Galaxy&amp;qid=1598526770&amp;sr=8-145", "Go")</f>
        <v/>
      </c>
    </row>
    <row r="149">
      <c r="A149" s="1" t="n">
        <v>147</v>
      </c>
      <c r="B149" t="inlineStr">
        <is>
          <t>【ガイド枠付き】SHINEZONE Galaxy S20 Plus フィルム Galaxy S20 Plus TPU製 液晶保護フィルム【2枚パック】</t>
        </is>
      </c>
      <c r="C149" t="inlineStr">
        <is>
          <t>￥1,399</t>
        </is>
      </c>
      <c r="D149" t="inlineStr">
        <is>
          <t>4.7</t>
        </is>
      </c>
      <c r="E149">
        <f>HYPERLINK("https://www.amazon.co.jp/%E3%80%90%E3%82%AC%E3%82%A4%E3%83%89%E6%9E%A0%E4%BB%98%E3%81%8D%E3%80%91SHINEZONE-Galaxy-Plus-%E3%83%95%E3%82%A3%E3%83%AB%E3%83%A0-%E6%B6%B2%E6%99%B6%E4%BF%9D%E8%AD%B7%E3%83%95%E3%82%A3%E3%83%AB%E3%83%A0%E3%80%902%E6%9E%9A%E3%83%91%E3%83%83%E3%82%AF%E3%80%91/dp/B08C71THM9/ref=sr_1_146?__mk_ja_JP=%E3%82%AB%E3%82%BF%E3%82%AB%E3%83%8A&amp;dchild=1&amp;keywords=Galaxy&amp;qid=1598526770&amp;sr=8-146", "Go")</f>
        <v/>
      </c>
    </row>
    <row r="150">
      <c r="A150" s="1" t="n">
        <v>148</v>
      </c>
      <c r="B150" t="inlineStr">
        <is>
          <t>Samsung microSDXC カード 128GB EVO+ Class10 UHS-I U3対応 最大読込速度 100MB/s W:90MB/s 4K MB-MC128HA サムスン</t>
        </is>
      </c>
      <c r="C150" t="inlineStr">
        <is>
          <t>￥2,290</t>
        </is>
      </c>
      <c r="D150" t="inlineStr">
        <is>
          <t>4.7</t>
        </is>
      </c>
      <c r="E150">
        <f>HYPERLINK("https://www.amazon.co.jp/Samsung-microSDXC-128GB-Class10-%E6%9C%80%E5%A4%A7%E8%AA%AD%E8%BE%BC%E9%80%9F%E5%BA%A6/dp/B06XFHQGB9/ref=sr_1_147?__mk_ja_JP=%E3%82%AB%E3%82%BF%E3%82%AB%E3%83%8A&amp;dchild=1&amp;keywords=Galaxy&amp;qid=1598526770&amp;sr=8-147", "Go")</f>
        <v/>
      </c>
    </row>
    <row r="151">
      <c r="A151" s="1" t="n">
        <v>149</v>
      </c>
      <c r="B151" t="inlineStr">
        <is>
          <t>microSDXC 128GB SanDisk アプリ最適化 A1対応 サンディスク UHS-1 超高速U1 専用 SDアダプター付 [並行輸入品]</t>
        </is>
      </c>
      <c r="C151" t="inlineStr">
        <is>
          <t>￥2,550</t>
        </is>
      </c>
      <c r="D151" t="inlineStr">
        <is>
          <t>4.7</t>
        </is>
      </c>
      <c r="E151">
        <f>HYPERLINK("https://www.amazon.co.jp/microSDXC-SanDisk-%E3%82%A2%E3%83%97%E3%83%AA%E6%9C%80%E9%81%A9%E5%8C%96-%E3%82%B5%E3%83%B3%E3%83%87%E3%82%A3%E3%82%B9%E3%82%AF-SD%E3%82%A2%E3%83%80%E3%83%97%E3%82%BF%E3%83%BC%E4%BB%98/dp/B073JYC4XM/ref=sr_1_148?__mk_ja_JP=%E3%82%AB%E3%82%BF%E3%82%AB%E3%83%8A&amp;dchild=1&amp;keywords=Galaxy&amp;qid=1598526770&amp;sr=8-148", "Go")</f>
        <v/>
      </c>
    </row>
    <row r="152">
      <c r="A152" s="1" t="n">
        <v>150</v>
      </c>
      <c r="B152" t="inlineStr">
        <is>
          <t>Sandisk Ultra 200 GB microSDXCメモリカード AppパフォーマンスUp To 100MB/s</t>
        </is>
      </c>
      <c r="C152" t="inlineStr">
        <is>
          <t>￥3,950</t>
        </is>
      </c>
      <c r="D152" t="inlineStr">
        <is>
          <t>4.7</t>
        </is>
      </c>
      <c r="E152">
        <f>HYPERLINK("https://www.amazon.co.jp/Sandisk-microSDXC%E3%83%A1%E3%83%A2%E3%83%AA%E3%82%AB%E3%83%BC%E3%83%89-SD%E3%82%A2%E3%83%80%E3%83%97%E3%82%BFwith-App%E3%83%91%E3%83%95%E3%82%A9%E3%83%BC%E3%83%9E%E3%83%B3%E3%82%B9Up-s%E3%80%81%E3%82%AF%E3%83%A9%E3%82%B910%E3%80%81U1/dp/B073JY5T7T/ref=sr_1_149?__mk_ja_JP=%E3%82%AB%E3%82%BF%E3%82%AB%E3%83%8A&amp;dchild=1&amp;keywords=Galaxy&amp;qid=1598526770&amp;sr=8-149", "Go")</f>
        <v/>
      </c>
    </row>
    <row r="153">
      <c r="A153" s="1" t="n">
        <v>151</v>
      </c>
      <c r="B153" t="inlineStr">
        <is>
          <t>Samsung (U3) MicroSD EVO Select Memory Card with Adapter (64 GB)</t>
        </is>
      </c>
      <c r="C153" t="inlineStr">
        <is>
          <t>￥5,676</t>
        </is>
      </c>
      <c r="D153" t="inlineStr">
        <is>
          <t>4.7</t>
        </is>
      </c>
      <c r="E153">
        <f>HYPERLINK("https://www.amazon.co.jp/Samsung-100-MB-microSDXC%E3%83%A1%E3%83%A2%E3%83%AA%E3%82%AB%E3%83%BC%E3%83%89Evo%E9%81%B8%E6%8A%9Ewith%E3%82%A2%E3%83%80%E3%83%97%E3%82%BF-mb-me64ga-AM/dp/B06XX29S9Q/ref=sr_1_150?__mk_ja_JP=%E3%82%AB%E3%82%BF%E3%82%AB%E3%83%8A&amp;dchild=1&amp;keywords=Galaxy&amp;qid=1598526770&amp;sr=8-150", "Go")</f>
        <v/>
      </c>
    </row>
    <row r="154">
      <c r="A154" s="1" t="n">
        <v>152</v>
      </c>
      <c r="B154" t="inlineStr">
        <is>
          <t>32GB microSDHCカード マイクロSD Samsung サムスン EVO Plus Class10 UHS-I R:95MB/s W:20MB/s SDアダプター付 海外リテール MB-MC32GA/EU</t>
        </is>
      </c>
      <c r="C154" t="inlineStr">
        <is>
          <t>￥1,709</t>
        </is>
      </c>
      <c r="D154" t="inlineStr">
        <is>
          <t>4.7</t>
        </is>
      </c>
      <c r="E154">
        <f>HYPERLINK("https://www.amazon.co.jp/Samsung-32-GB-Plus%E3%82%AF%E3%83%A9%E3%82%B910%E3%83%9E%E3%82%A4%E3%82%AF%E3%83%ADSDHC%E3%82%A2%E3%83%80%E3%83%97%E3%82%BF%E3%83%BC%E4%BB%98%E3%81%8D-mb-mc32ga-EU/dp/B06XFSZGCC/ref=sr_1_151?__mk_ja_JP=%E3%82%AB%E3%82%BF%E3%82%AB%E3%83%8A&amp;dchild=1&amp;keywords=Galaxy&amp;qid=1598526770&amp;sr=8-151", "Go")</f>
        <v/>
      </c>
    </row>
    <row r="155">
      <c r="A155" s="1" t="n">
        <v>153</v>
      </c>
      <c r="B155" t="inlineStr">
        <is>
          <t>Samsung (U3) MicroSD EVO Select Memory Card with Adapter (256 GB)</t>
        </is>
      </c>
      <c r="C155" t="inlineStr">
        <is>
          <t>￥2,839</t>
        </is>
      </c>
      <c r="D155" t="inlineStr">
        <is>
          <t>4.7</t>
        </is>
      </c>
      <c r="E155">
        <f>HYPERLINK("https://www.amazon.co.jp/Samsung-MicroSD-Select-Memory-Adapter/dp/B072HRDM55/ref=sr_1_152?__mk_ja_JP=%E3%82%AB%E3%82%BF%E3%82%AB%E3%83%8A&amp;dchild=1&amp;keywords=Galaxy&amp;qid=1598526770&amp;sr=8-152", "Go")</f>
        <v/>
      </c>
    </row>
    <row r="156">
      <c r="A156" s="1" t="n">
        <v>154</v>
      </c>
      <c r="B156" t="inlineStr">
        <is>
          <t>test 【並行輸入】</t>
        </is>
      </c>
      <c r="C156" t="inlineStr">
        <is>
          <t>￥6,186</t>
        </is>
      </c>
      <c r="D156" t="inlineStr">
        <is>
          <t>4.7</t>
        </is>
      </c>
      <c r="E156">
        <f>HYPERLINK("https://www.amazon.co.jp/wenxi-MB-ME128GA-AM-test-%E3%80%90%E4%B8%A6%E8%A1%8C%E8%BC%B8%E5%85%A5%E3%80%91/dp/B06XWZWYVP/ref=sr_1_153?__mk_ja_JP=%E3%82%AB%E3%82%BF%E3%82%AB%E3%83%8A&amp;dchild=1&amp;keywords=Galaxy&amp;qid=1598526770&amp;sr=8-153", "Go")</f>
        <v/>
      </c>
    </row>
    <row r="157">
      <c r="A157" s="1" t="n">
        <v>155</v>
      </c>
      <c r="B157" t="inlineStr">
        <is>
          <t>自撮り棒 セルフィースティック 軽量 コンパクト 三脚/一脚兼用 360度回転 七段階伸縮 19cm-100cmまで伸びる 雲台付き リモコン付き 折りたたみ 持ち運びに便利 Vlog作り 自撮り用 iPhone/Android スマホ/カメラ等対応 セルカ棒 (ブラック)</t>
        </is>
      </c>
      <c r="C157" t="inlineStr">
        <is>
          <t>￥1,499</t>
        </is>
      </c>
      <c r="D157" t="inlineStr">
        <is>
          <t>4.8</t>
        </is>
      </c>
      <c r="E157">
        <f>HYPERLINK("https://www.amazon.co.jp/%E3%82%BB%E3%83%AB%E3%83%95%E3%82%A3%E3%83%BC%E3%82%B9%E3%83%86%E3%82%A3%E3%83%83%E3%82%AF-360%E5%BA%A6%E5%9B%9E%E8%BB%A2-19cm-100cm%E3%81%BE%E3%81%A7%E4%BC%B8%E3%81%B3%E3%82%8B-%E6%8C%81%E3%81%A1%E9%81%8B%E3%81%B3%E3%81%AB%E4%BE%BF%E5%88%A9-Android/dp/B08BHPZDXP/ref=sr_1_154_mod_primary_lightning_deal?__mk_ja_JP=%E3%82%AB%E3%82%BF%E3%82%AB%E3%83%8A&amp;dchild=1&amp;keywords=Galaxy&amp;qid=1598526770&amp;smid=A2MFI52R2YZ0MP&amp;sr=8-154", "Go")</f>
        <v/>
      </c>
    </row>
    <row r="158">
      <c r="A158" s="1" t="n">
        <v>156</v>
      </c>
      <c r="B158" t="inlineStr">
        <is>
          <t>【2枚セット】UMIDIGI A7 Pro 2P ガラスフィルム フィルム 保護フィルム 液晶保護フィルム ケース 日本製旭硝子材 硬度9H 耐衝撃 防指紋 飛散防止 高透過率 (UMIDIGI A7 Pro)</t>
        </is>
      </c>
      <c r="C158" t="inlineStr">
        <is>
          <t>￥836</t>
        </is>
      </c>
      <c r="D158" t="inlineStr">
        <is>
          <t>4.4</t>
        </is>
      </c>
      <c r="E158">
        <f>HYPERLINK("https://www.amazon.co.jp/%E3%80%902%E6%9E%9A%E3%82%BB%E3%83%83%E3%83%88%E3%80%91UMIDIGI-%E3%82%AC%E3%83%A9%E3%82%B9%E3%83%95%E3%82%A3%E3%83%AB%E3%83%A0-%E6%B6%B2%E6%99%B6%E4%BF%9D%E8%AD%B7%E3%83%95%E3%82%A3%E3%83%AB%E3%83%A0-%E6%97%A5%E6%9C%AC%E8%A3%BD%E6%97%AD%E7%A1%9D%E5%AD%90%E6%9D%90-UMIDIGI/dp/B08F9T3HRR/ref=sr_1_145_sspa?__mk_ja_JP=%E3%82%AB%E3%82%BF%E3%82%AB%E3%83%8A&amp;dchild=1&amp;keywords=Galaxy&amp;qid=1598527045&amp;sr=8-145-spons&amp;psc=1&amp;spLa=ZW5jcnlwdGVkUXVhbGlmaWVyPUFVMkhXSkYyVjM0OVQmZW5jcnlwdGVkSWQ9QTA3OTM4MzAzM1I3VUVVSzcwMktRJmVuY3J5cHRlZEFkSWQ9QTJOUUdBNUc0VzFDU0wmd2lkZ2V0TmFtZT1zcF9hdGZfbmV4dCZhY3Rpb249Y2xpY2tSZWRpcmVjdCZkb05vdExvZ0NsaWNrPXRydWU=", "Go")</f>
        <v/>
      </c>
    </row>
    <row r="159">
      <c r="A159" s="1" t="n">
        <v>157</v>
      </c>
      <c r="B159" t="inlineStr">
        <is>
          <t>amFilm Nintendo Switch 用 液晶画面保護ガラスフィルム 画面フルカバー 強化ガラス Nintendo Switch 用 (2枚セット)</t>
        </is>
      </c>
      <c r="C159" t="inlineStr">
        <is>
          <t>￥999</t>
        </is>
      </c>
      <c r="D159" t="inlineStr">
        <is>
          <t>4.7</t>
        </is>
      </c>
      <c r="E159">
        <f>HYPERLINK("https://www.amazon.co.jp/amFilm%E4%BB%BB%E5%A4%A9%E5%A0%82%E3%82%B9%E3%82%A4%E3%83%83%E3%83%81-2017-%E3%81%AE%E5%BC%B7%E5%8C%96%E3%82%AC%E3%83%A9%E3%82%B9-%E3%82%B9%E3%82%AF%E3%83%AA%E3%83%BC%E3%83%B3-%E3%83%97%E3%83%AD%E3%83%86%E3%82%AF%E3%82%BF%E3%83%BC/dp/B01N3ASPNV/ref=sr_1_149?__mk_ja_JP=%E3%82%AB%E3%82%BF%E3%82%AB%E3%83%8A&amp;dchild=1&amp;keywords=Galaxy&amp;qid=1598527045&amp;sr=8-149", "Go")</f>
        <v/>
      </c>
    </row>
    <row r="160">
      <c r="A160" s="1" t="n">
        <v>158</v>
      </c>
      <c r="B160" t="inlineStr">
        <is>
          <t>XDesign ガラススクリーンプロテクター iPhone 11 / iPhone XR (3個パック) 6.1インチ強化ガラス タッチ 正確/衝撃吸収 + 簡単な取り付けトレイ [ほとんどのケースにフィット] - 3パック</t>
        </is>
      </c>
      <c r="C160" t="inlineStr">
        <is>
          <t>￥3,303</t>
        </is>
      </c>
      <c r="D160" t="inlineStr">
        <is>
          <t>4.7</t>
        </is>
      </c>
      <c r="E160">
        <f>HYPERLINK("https://www.amazon.co.jp/XDesign-%E3%82%AC%E3%83%A9%E3%82%B9%E3%82%B9%E3%82%AF%E3%83%AA%E3%83%BC%E3%83%B3%E3%83%97%E3%83%AD%E3%83%86%E3%82%AF%E3%82%BF%E3%83%BC-%E3%82%BF%E3%83%83%E3%83%81%E7%B2%BE%E5%BA%A6%E3%81%A8%E8%A1%9D%E6%92%83%E5%90%B8%E5%8F%8E%E6%80%A7-%E7%B0%A1%E5%8D%98%E5%8F%96%E3%82%8A%E4%BB%98%E3%81%91%E3%83%88%E3%83%AC%E3%82%A4-%E3%81%BB%E3%81%A8%E3%82%93%E3%81%A9%E3%81%AE%E3%82%B1%E3%83%BC%E3%82%B9%E3%81%AB%E3%83%95%E3%82%A3%E3%83%83%E3%83%88/dp/B07FR1LQNZ/ref=sr_1_150?__mk_ja_JP=%E3%82%AB%E3%82%BF%E3%82%AB%E3%83%8A&amp;dchild=1&amp;keywords=Galaxy&amp;qid=1598527045&amp;sr=8-150", "Go")</f>
        <v/>
      </c>
    </row>
    <row r="161">
      <c r="A161" s="1" t="n">
        <v>159</v>
      </c>
      <c r="B161" t="inlineStr">
        <is>
          <t>Purity スクリーンプロテクター Apple iPhone 11 Pro/iPhone Xs/iPhone X - 3パック (取り付けフレーム付き) 強化ガラススクリーンプロテクターiPhone XS/X/11Pro (3パック) [ほとんどのケースにフィット]</t>
        </is>
      </c>
      <c r="C161" t="inlineStr">
        <is>
          <t>￥5,049</t>
        </is>
      </c>
      <c r="D161" t="inlineStr">
        <is>
          <t>4.7</t>
        </is>
      </c>
      <c r="E161">
        <f>HYPERLINK("https://www.amazon.co.jp/Apple-iPhone-X%E7%94%A8%E3%83%94%E3%83%A5%E3%83%AA%E3%83%86%E3%82%A3%E3%83%BC%E3%82%B9%E3%82%AF%E3%83%AA%E3%83%BC%E3%83%B3%E3%83%97%E3%83%AD%E3%83%86%E3%82%AF%E3%82%BF%E3%83%BC-%E5%BC%B7%E5%8C%96%E3%82%AC%E3%83%A9%E3%82%B9%E3%82%B9%E3%82%AF%E3%83%AA%E3%83%BC%E3%83%B3%E3%83%97%E3%83%AD%E3%83%86%E3%82%AF%E3%82%BF%E3%83%BC-%E3%81%BB%E3%81%A8%E3%82%93%E3%81%A9%E3%81%AE%E3%82%B1%E3%83%BC%E3%82%B9%E3%81%AB%E3%83%95%E3%82%A3%E3%83%83%E3%83%88/dp/B07QMZPV8M/ref=sr_1_151?__mk_ja_JP=%E3%82%AB%E3%82%BF%E3%82%AB%E3%83%8A&amp;dchild=1&amp;keywords=Galaxy&amp;qid=1598527045&amp;sr=8-151", "Go")</f>
        <v/>
      </c>
    </row>
    <row r="162">
      <c r="A162" s="1" t="n">
        <v>160</v>
      </c>
      <c r="B162" t="inlineStr">
        <is>
          <t>PurityガラススクリーンプロテクターiPhone 8 Plus / 7 Plus (3パック) [取り付けフレーム付き] 強化ガラススクリーンプロテクター対応機種: Apple iPhone 8 Plus iPhone 7 Plus [ケースフレンドリー] (3パック)</t>
        </is>
      </c>
      <c r="C162" t="inlineStr">
        <is>
          <t>￥6,811</t>
        </is>
      </c>
      <c r="D162" t="inlineStr">
        <is>
          <t>4.7</t>
        </is>
      </c>
      <c r="E162">
        <f>HYPERLINK("https://www.amazon.co.jp/Plus%E7%94%A8%E3%83%94%E3%83%A5%E3%82%A2%E3%82%AC%E3%83%A9%E3%82%B9%E3%82%B9%E3%82%AF%E3%83%AA%E3%83%BC%E3%83%B3%E3%83%97%E3%83%AD%E3%83%86%E3%82%AF%E3%82%BF%E3%83%BC-%E3%82%A4%E3%83%B3%E3%82%B9%E3%83%88%E3%83%BC%E3%83%AB%E3%83%95%E3%83%AC%E3%83%BC%E3%83%A0%E4%BB%98%E3%81%8D-%E5%BC%B7%E5%8C%96%E3%82%AC%E3%83%A9%E3%82%B9%E3%82%B9%E3%82%AF%E3%83%AA%E3%83%BC%E3%83%B3%E3%83%97%E3%83%AD%E3%83%86%E3%82%AF%E3%82%BF%E3%83%BC-Plus%E3%81%AB%E5%AF%BE%E5%BF%9C-%E3%82%B1%E3%83%BC%E3%82%B9%E3%81%AB%E5%84%AA%E3%81%97%E3%81%84/dp/B07MBQDT57/ref=sr_1_152?__mk_ja_JP=%E3%82%AB%E3%82%BF%E3%82%AB%E3%83%8A&amp;dchild=1&amp;keywords=Galaxy&amp;qid=1598527045&amp;sr=8-152", "Go")</f>
        <v/>
      </c>
    </row>
    <row r="163">
      <c r="A163" s="1" t="n">
        <v>161</v>
      </c>
      <c r="B163" t="inlineStr">
        <is>
          <t>iPhone xr ケース-Mkeke 5962852762</t>
        </is>
      </c>
      <c r="C163" t="inlineStr">
        <is>
          <t>￥4,425</t>
        </is>
      </c>
      <c r="D163" t="inlineStr">
        <is>
          <t>4.7</t>
        </is>
      </c>
      <c r="E163">
        <f>HYPERLINK("https://www.amazon.co.jp/Mkeke-iPhone-xr-case-5962852762/dp/B07HRJL27Z/ref=sr_1_153?__mk_ja_JP=%E3%82%AB%E3%82%BF%E3%82%AB%E3%83%8A&amp;dchild=1&amp;keywords=Galaxy&amp;qid=1598527045&amp;sr=8-153", "Go")</f>
        <v/>
      </c>
    </row>
    <row r="164">
      <c r="A164" s="1" t="n">
        <v>162</v>
      </c>
      <c r="B164" t="inlineStr">
        <is>
          <t>TETHYS ガラス スクリーン プロテクター iPhone 11 / iPhone XR (6.1インチ) [端から端までカバー] 完全保護 耐久性強化ガラス iPhone XR/11 [ガイダンスフレーム含む] - 3個パック</t>
        </is>
      </c>
      <c r="C164" t="inlineStr">
        <is>
          <t>￥6,380</t>
        </is>
      </c>
      <c r="D164" t="inlineStr">
        <is>
          <t>4.7</t>
        </is>
      </c>
      <c r="E164">
        <f>HYPERLINK("https://www.amazon.co.jp/TETHYS-%E3%83%97%E3%83%AD%E3%83%86%E3%82%AF%E3%82%BF%E3%83%BC-%E7%AB%AF%E3%81%8B%E3%82%89%E7%AB%AF%E3%81%BE%E3%81%A7%E3%82%AB%E3%83%90%E3%83%BC-%E8%80%90%E4%B9%85%E6%80%A7%E5%BC%B7%E5%8C%96%E3%82%AC%E3%83%A9%E3%82%B9-%E3%82%AC%E3%82%A4%E3%83%80%E3%83%B3%E3%82%B9%E3%83%95%E3%83%AC%E3%83%BC%E3%83%A0%E4%BB%98%E3%81%8D/dp/B07FQZ8Y1V/ref=sr_1_154?__mk_ja_JP=%E3%82%AB%E3%82%BF%E3%82%AB%E3%83%8A&amp;dchild=1&amp;keywords=Galaxy&amp;qid=1598527045&amp;sr=8-154", "Go")</f>
        <v/>
      </c>
    </row>
    <row r="165">
      <c r="A165" s="1" t="n">
        <v>163</v>
      </c>
      <c r="B165" t="inlineStr">
        <is>
          <t>SanDisk Ultra microSDXC 256GB アダプター付き SDSQUAR-256G-GN6MA</t>
        </is>
      </c>
      <c r="C165" t="inlineStr">
        <is>
          <t>￥4,580</t>
        </is>
      </c>
      <c r="D165" t="inlineStr">
        <is>
          <t>4.7</t>
        </is>
      </c>
      <c r="E165">
        <f>HYPERLINK("https://www.amazon.co.jp/%E3%82%B5%E3%83%B3%E3%83%87%E3%82%A3%E3%82%B9%E3%82%AF-SANDISK-microSDXC-%EF%BC%BB%E6%B5%B7%E5%A4%96%E3%83%91%E3%83%83%E3%82%B1%E3%83%BC%E3%82%B8%EF%BC%BD-SDSQUAR-256G-GN6MA/dp/B0758NHWS8/ref=sr_1_155?__mk_ja_JP=%E3%82%AB%E3%82%BF%E3%82%AB%E3%83%8A&amp;dchild=1&amp;keywords=Galaxy&amp;qid=1598527045&amp;sr=8-155", "Go")</f>
        <v/>
      </c>
    </row>
    <row r="166">
      <c r="A166" s="1" t="n">
        <v>164</v>
      </c>
      <c r="B166" t="inlineStr">
        <is>
          <t>FUJIFILM チェキフイルム INSTAX MINI KY2</t>
        </is>
      </c>
      <c r="C166" t="inlineStr">
        <is>
          <t>￥1,550</t>
        </is>
      </c>
      <c r="D166" t="inlineStr">
        <is>
          <t>4.7</t>
        </is>
      </c>
      <c r="E166">
        <f>HYPERLINK("https://www.amazon.co.jp/FUJIFILM-%E3%83%81%E3%82%A7%E3%82%AD%E3%83%95%E3%82%A4%E3%83%AB%E3%83%A0-INSTAX-MINI-KY2/dp/B00EB4ADQW/ref=sr_1_156?__mk_ja_JP=%E3%82%AB%E3%82%BF%E3%82%AB%E3%83%8A&amp;dchild=1&amp;keywords=Galaxy&amp;qid=1598527045&amp;sr=8-156", "Go")</f>
        <v/>
      </c>
    </row>
    <row r="167">
      <c r="A167" s="1" t="n">
        <v>165</v>
      </c>
      <c r="B167" t="inlineStr">
        <is>
          <t>Syntech USB Type C to USB 3.0変換アダプタ[2個セット/ 生涯保障] USB C to USB 3.0対応MacBook Pro/Air 、Sony Xperia XZ/XZ2、Sumsung、Dell XPS およびすべてのUSB-CデバイスOTG機能 電磁障害対策（スペースグレー）</t>
        </is>
      </c>
      <c r="C167" t="inlineStr">
        <is>
          <t>￥3,629</t>
        </is>
      </c>
      <c r="D167" t="inlineStr">
        <is>
          <t>4.7</t>
        </is>
      </c>
      <c r="E167">
        <f>HYPERLINK("https://www.amazon.co.jp/USB-C-to-Usb-Adapters/dp/B07CVX3516/ref=sr_1_157?__mk_ja_JP=%E3%82%AB%E3%82%BF%E3%82%AB%E3%83%8A&amp;dchild=1&amp;keywords=Galaxy&amp;qid=1598527045&amp;sr=8-157", "Go")</f>
        <v/>
      </c>
    </row>
    <row r="168">
      <c r="A168" s="1" t="n">
        <v>166</v>
      </c>
      <c r="B168" t="inlineStr">
        <is>
          <t>ProCase Samsung Galaxy Tab S2 9.7ケース - レザースタンド フォリオケースカバー Galaxy Tab S2タブレット用 (9.7インチ, SM-T810 T815 T813) Galaxy Tab S2 9.7 (SM-T810) パープル PC-08361026</t>
        </is>
      </c>
      <c r="C168" t="inlineStr">
        <is>
          <t>￥10,370から1個のオプション</t>
        </is>
      </c>
      <c r="D168" t="inlineStr">
        <is>
          <t>4.7</t>
        </is>
      </c>
      <c r="E168">
        <f>HYPERLINK("https://www.amazon.co.jp/ProCase-Samsung-s2-9-7%E3%82%B1%E3%83%BC%E3%82%B9-%E2%80%93-%E3%83%AC%E3%82%B6%E3%83%BC%E3%82%B9%E3%82%BF%E3%83%B3%E3%83%89%E3%83%95%E3%82%A9%E3%83%AA%E3%82%AA%E3%82%B1%E3%83%BC%E3%82%B9%E3%82%AB%E3%83%90%E3%83%BCfor-s2%E3%82%BF%E3%83%96%E3%83%AC%E3%83%83%E3%83%88-9-7%E3%82%A4%E3%83%B3%E3%83%81%E3%80%81SM/dp/B07CQC5WMR/ref=sr_1_158?__mk_ja_JP=%E3%82%AB%E3%82%BF%E3%82%AB%E3%83%8A&amp;dchild=1&amp;keywords=Galaxy&amp;qid=1598527045&amp;sr=8-158", "Go")</f>
        <v/>
      </c>
    </row>
    <row r="169">
      <c r="A169" s="1" t="n">
        <v>167</v>
      </c>
      <c r="B169" t="inlineStr">
        <is>
          <t>Xiaomi Redmi Note 8 4GB/64GB Neptune Blue/ブルー</t>
        </is>
      </c>
      <c r="C169" t="inlineStr">
        <is>
          <t>￥18,180</t>
        </is>
      </c>
      <c r="D169" t="inlineStr">
        <is>
          <t>4.7</t>
        </is>
      </c>
      <c r="E169">
        <f>HYPERLINK("https://www.amazon.co.jp/Xiaomi-Global-Quad%E3%82%AB%E3%83%A1%E3%83%A9-%E3%82%B0%E3%83%AD%E3%83%BC%E3%83%90%E3%83%AB%E7%89%88-Neptune/dp/B07Y9XWK4M/ref=sr_1_159?__mk_ja_JP=%E3%82%AB%E3%82%BF%E3%82%AB%E3%83%8A&amp;dchild=1&amp;keywords=Galaxy&amp;qid=1598527045&amp;sr=8-159", "Go")</f>
        <v/>
      </c>
    </row>
    <row r="170">
      <c r="A170" s="1" t="n">
        <v>168</v>
      </c>
      <c r="B170" t="inlineStr">
        <is>
          <t>Sandisk Ultra Microsdxc, Squar 400gb, A1, C10, U1, Uhs-1, 100mb/S R, 4x6, Sd Adaptor, 10y</t>
        </is>
      </c>
      <c r="C170" t="inlineStr">
        <is>
          <t>￥7,888</t>
        </is>
      </c>
      <c r="D170" t="inlineStr">
        <is>
          <t>4.7</t>
        </is>
      </c>
      <c r="E170">
        <f>HYPERLINK("https://www.amazon.co.jp/dp/B074RNRM2B/ref=sr_1_160?__mk_ja_JP=%E3%82%AB%E3%82%BF%E3%82%AB%E3%83%8A&amp;dchild=1&amp;keywords=Galaxy&amp;qid=1598527045&amp;sr=8-160", "Go")</f>
        <v/>
      </c>
    </row>
    <row r="171">
      <c r="A171" s="1" t="n">
        <v>169</v>
      </c>
      <c r="B171" t="inlineStr">
        <is>
          <t>OUKITEL C18 pro（2020）SIMフリースマートフォン本体真実な4個のカメラ(16MP+8MP+5MP+2MP) 4Gスマホ本体 6.55’’HD+インチ 全画面表示androidスマホ本体 P25 プロセッサー64GB ROM+4GB RAM 4000mAh バッテリーガラス裏蓋携帯電話 指紋認証 顔認証 1年間保証付き、au不可 (アイスパープル)</t>
        </is>
      </c>
      <c r="C171" t="inlineStr">
        <is>
          <t>￥16,999</t>
        </is>
      </c>
      <c r="D171" t="inlineStr">
        <is>
          <t>4.5</t>
        </is>
      </c>
      <c r="E171">
        <f>HYPERLINK("https://www.amazon.co.jp/OUKITEL-pro%EF%BC%882020%EF%BC%89SIM%E3%83%95%E3%83%AA%E3%83%BC%E3%82%B9%E3%83%9E%E3%83%BC%E3%83%88%E3%83%95%E3%82%A9%E3%83%B3%E6%9C%AC%E4%BD%93%E7%9C%9F%E5%AE%9F%E3%81%AA4%E5%80%8B%E3%81%AE%E3%82%AB%E3%83%A1%E3%83%A9-%E5%85%A8%E7%94%BB%E9%9D%A2%E8%A1%A8%E7%A4%BAandroid%E3%82%B9%E3%83%9E%E3%83%9B%E6%9C%AC%E4%BD%93-%E3%83%90%E3%83%83%E3%83%86%E3%83%AA%E3%83%BC%E3%82%AC%E3%83%A9%E3%82%B9%E8%A3%8F%E8%93%8B%E6%90%BA%E5%B8%AF%E9%9B%BB%E8%A9%B1-1%E5%B9%B4%E9%96%93%E4%BF%9D%E8%A8%BC%E4%BB%98%E3%81%8D%E3%80%81au%E4%B8%8D%E5%8F%AF/dp/B087JMNQ4P/ref=sr_1_161_sspa?__mk_ja_JP=%E3%82%AB%E3%82%BF%E3%82%AB%E3%83%8A&amp;dchild=1&amp;keywords=Galaxy&amp;qid=1598527045&amp;sr=8-161-spons&amp;psc=1&amp;spLa=ZW5jcnlwdGVkUXVhbGlmaWVyPUFVMkhXSkYyVjM0OVQmZW5jcnlwdGVkSWQ9QTA3OTM4MzAzM1I3VUVVSzcwMktRJmVuY3J5cHRlZEFkSWQ9QTM1U1VQSkFCUDRTNDgmd2lkZ2V0TmFtZT1zcF9tdGYmYWN0aW9uPWNsaWNrUmVkaXJlY3QmZG9Ob3RMb2dDbGljaz10cnVl", "Go")</f>
        <v/>
      </c>
    </row>
    <row r="172">
      <c r="A172" s="1" t="n">
        <v>170</v>
      </c>
      <c r="B172" t="inlineStr">
        <is>
          <t>OUKITEL C17 Pro SIMフリースマートフォン6.35インチブラインドホールスクリーン4GB RAM + 64GB ROM MT6367 Octa-ocre携帯電話トリプルバックカメラ13MP + 5MP + 2MP、3900mAhビッグバッテリーAndroid 9.0 OS 4GデュアルSIMフェイスおよび指紋ロック解除1年間の保証&amp;技術認定に合格する（サポート5G/2.4G WIFI）</t>
        </is>
      </c>
      <c r="C172" t="inlineStr">
        <is>
          <t>￥15,999</t>
        </is>
      </c>
      <c r="D172" t="inlineStr">
        <is>
          <t>4.2</t>
        </is>
      </c>
      <c r="E172">
        <f>HYPERLINK("https://www.amazon.co.jp/OUKITEL-SIM%E3%83%95%E3%83%AA%E3%83%BC%E3%82%B9%E3%83%9E%E3%83%BC%E3%83%88%E3%83%95%E3%82%A9%E3%83%B36-35%E3%82%A4%E3%83%B3%E3%83%81%E3%83%96%E3%83%A9%E3%82%A4%E3%83%B3%E3%83%89%E3%83%9B%E3%83%BC%E3%83%AB%E3%82%B9%E3%82%AF%E3%83%AA%E3%83%BC%E3%83%B34GB-Octa-ocre%E6%90%BA%E5%B8%AF%E9%9B%BB%E8%A9%B1%E3%83%88%E3%83%AA%E3%83%97%E3%83%AB%E3%83%90%E3%83%83%E3%82%AF%E3%82%AB%E3%83%A1%E3%83%A913MP-2MP%E3%80%813900mAh%E3%83%93%E3%83%83%E3%82%B0%E3%83%90%E3%83%83%E3%83%86%E3%83%AA%E3%83%BCAndroid-4G%E3%83%87%E3%83%A5%E3%82%A2%E3%83%ABSIM%E3%83%95%E3%82%A7%E3%82%A4%E3%82%B9%E3%81%8A%E3%82%88%E3%81%B3%E6%8C%87%E7%B4%8B%E3%83%AD%E3%83%83%E3%82%AF%E8%A7%A3%E9%99%A41%E5%B9%B4%E9%96%93%E3%81%AE%E4%BF%9D%E8%A8%BC/dp/B08B65X98F/ref=sr_1_162_sspa?__mk_ja_JP=%E3%82%AB%E3%82%BF%E3%82%AB%E3%83%8A&amp;dchild=1&amp;keywords=Galaxy&amp;qid=1598527045&amp;sr=8-162-spons&amp;psc=1&amp;spLa=ZW5jcnlwdGVkUXVhbGlmaWVyPUFVMkhXSkYyVjM0OVQmZW5jcnlwdGVkSWQ9QTA3OTM4MzAzM1I3VUVVSzcwMktRJmVuY3J5cHRlZEFkSWQ9QUs0SVBUSjBIVFlZMCZ3aWRnZXROYW1lPXNwX210ZiZhY3Rpb249Y2xpY2tSZWRpcmVjdCZkb05vdExvZ0NsaWNrPXRydWU=", "Go")</f>
        <v/>
      </c>
    </row>
    <row r="173">
      <c r="A173" s="1" t="n">
        <v>171</v>
      </c>
      <c r="B173" t="inlineStr">
        <is>
          <t>OUKITEL U23 SIMフリースマートフォン10Wワイヤレス充電携帯電話6.18インチFHD 6GB RAM+64GB ROMデュアルカメラ 16MP/2MP+8MP フェイスID 指紋認識 3500mAh MT6763T Octa Core 1年間の保証</t>
        </is>
      </c>
      <c r="C173" t="inlineStr">
        <is>
          <t>￥15,499</t>
        </is>
      </c>
      <c r="D173" t="inlineStr">
        <is>
          <t>4.7</t>
        </is>
      </c>
      <c r="E173">
        <f>HYPERLINK("https://www.amazon.co.jp/OUKITEL-U23-SIM%E3%83%95%E3%83%AA%E3%83%BC%E3%82%B9%E3%83%9E%E3%83%BC%E3%83%88%E3%83%95%E3%82%A9%E3%83%B310W%E3%83%AF%E3%82%A4%E3%83%A4%E3%83%AC%E3%82%B9%E5%85%85%E9%9B%BB%E6%90%BA%E5%B8%AF%E9%9B%BB%E8%A9%B16-18%E3%82%A4%E3%83%B3%E3%83%81FHD-ROM%E3%83%87%E3%83%A5%E3%82%A2%E3%83%AB%E3%82%AB%E3%83%A1%E3%83%A9-3500mAh/dp/B086JNTD5Z/ref=sr_1_163_sspa?__mk_ja_JP=%E3%82%AB%E3%82%BF%E3%82%AB%E3%83%8A&amp;dchild=1&amp;keywords=Galaxy&amp;qid=1598527045&amp;sr=8-163-spons&amp;psc=1&amp;spLa=ZW5jcnlwdGVkUXVhbGlmaWVyPUFVMkhXSkYyVjM0OVQmZW5jcnlwdGVkSWQ9QTA3OTM4MzAzM1I3VUVVSzcwMktRJmVuY3J5cHRlZEFkSWQ9QTZVVDBJQ0Q5RVNEUCZ3aWRnZXROYW1lPXNwX210ZiZhY3Rpb249Y2xpY2tSZWRpcmVjdCZkb05vdExvZ0NsaWNrPXRydWU=", "Go")</f>
        <v/>
      </c>
    </row>
    <row r="174">
      <c r="A174" s="1" t="n">
        <v>172</v>
      </c>
      <c r="B174" t="inlineStr">
        <is>
          <t>CyvenSmart USB Cケーブル 3本パック (3フィート 6フィート 10フィート) USB A - USB-C 高速充電 ナイロン編組充電コード サムスン Galaxy Note 9 S9 S8 Plus Note 8 LG V30 G6 G5 Pixel Nintendo Switchに対応, ナチュラル, CM-TYPEC-TH3M22.0</t>
        </is>
      </c>
      <c r="C174" t="inlineStr">
        <is>
          <t>￥999</t>
        </is>
      </c>
      <c r="D174" t="inlineStr">
        <is>
          <t>4.7</t>
        </is>
      </c>
      <c r="E174">
        <f>HYPERLINK("https://www.amazon.co.jp/CyvenSmart-C%E3%82%B1%E3%83%BC%E3%83%96%E3%83%AB-3%E6%9C%AC%E3%83%91%E3%83%83%E3%82%AF-3%E3%83%95%E3%82%A3%E3%83%BC%E3%83%88-10%E3%83%95%E3%82%A3%E3%83%BC%E3%83%88/dp/B07PGRR6QN/ref=sr_1_164?__mk_ja_JP=%E3%82%AB%E3%82%BF%E3%82%AB%E3%83%8A&amp;dchild=1&amp;keywords=Galaxy&amp;qid=1598527045&amp;sr=8-164", "Go")</f>
        <v/>
      </c>
    </row>
    <row r="175">
      <c r="A175" s="1" t="n">
        <v>173</v>
      </c>
      <c r="B175" t="inlineStr">
        <is>
          <t>USB Type C 充電ケーブル 3本パック (1.5/3.3/6.6フィート) ナイロン編み充電コード Samsung Galaxy Note 9 8 S8 S9 S10 10 Plus S10E S10+ 10E LG V50 V40 V35 V30 G7 G8 Thinq、Google Pixel 4 3 3a 2 XL、Moto Z3用 6.6 feet usb/c/cable/gray/3</t>
        </is>
      </c>
      <c r="C175" t="inlineStr">
        <is>
          <t>￥9,231</t>
        </is>
      </c>
      <c r="D175" t="inlineStr">
        <is>
          <t>4.7</t>
        </is>
      </c>
      <c r="E175">
        <f>HYPERLINK("https://www.amazon.co.jp/USB%E3%82%BF%E3%82%A4%E3%83%97C%E3%82%B1%E3%83%BC%E3%83%96%E3%83%AB-6-6%E3%83%95%E3%82%A3%E3%83%BC%E3%83%88-2%E3%83%91%E3%83%83%E3%82%AF-BaseSailor-USB-C/dp/B07N39CMLV/ref=sr_1_165?__mk_ja_JP=%E3%82%AB%E3%82%BF%E3%82%AB%E3%83%8A&amp;dchild=1&amp;keywords=Galaxy&amp;qid=1598527045&amp;sr=8-165", "Go")</f>
        <v/>
      </c>
    </row>
    <row r="176">
      <c r="A176" s="1" t="n">
        <v>174</v>
      </c>
      <c r="B176" t="inlineStr">
        <is>
          <t>[Spigen] Galaxy S10 Plus ケース (SCV42 / SC-04L / SC-05L対応) スタンド機能 衝撃吸収 [ 米軍MIL規格取得 ] 傷防止 レンズ保護 ワイヤレス充電対応/タフ・アーマー (ブラック) 606CS25770</t>
        </is>
      </c>
      <c r="C176" t="inlineStr">
        <is>
          <t>￥2,650</t>
        </is>
      </c>
      <c r="D176" t="inlineStr">
        <is>
          <t>4.7</t>
        </is>
      </c>
      <c r="E176">
        <f>HYPERLINK("https://www.amazon.co.jp/%E3%80%90Spigen%E3%80%91-%E7%B1%B3%E8%BB%8DMIL%E8%A6%8F%E6%A0%BC%E5%8F%96%E5%BE%97-%E3%83%AF%E3%82%A4%E3%83%A4%E3%83%AC%E3%82%B9%E5%85%85%E9%9B%BB%E5%AF%BE%E5%BF%9C-%E3%82%BF%E3%83%95%E3%83%BB%E3%82%A2%E3%83%BC%E3%83%9E%E3%83%BC-606CS25770/dp/B07MJTVF2L/ref=sr_1_166?__mk_ja_JP=%E3%82%AB%E3%82%BF%E3%82%AB%E3%83%8A&amp;dchild=1&amp;keywords=Galaxy&amp;qid=1598527045&amp;sr=8-166", "Go")</f>
        <v/>
      </c>
    </row>
    <row r="177">
      <c r="A177" s="1" t="n">
        <v>175</v>
      </c>
      <c r="B177" t="inlineStr">
        <is>
          <t>iPhone 7 Plus ケース | iPhone 8 Plus ケース [ミリタリーグレード] 15フィート 落下テスト済み保護ケース | キックスタンド | Apple iPhone 8Plus / iPhone 7 Plus用ケース Insect Control askhc-002</t>
        </is>
      </c>
      <c r="C177" t="inlineStr">
        <is>
          <t>￥1,690</t>
        </is>
      </c>
      <c r="D177" t="inlineStr">
        <is>
          <t>4.7</t>
        </is>
      </c>
      <c r="E177">
        <f>HYPERLINK("https://www.amazon.co.jp/iPhone-Plus-%E3%83%9F%E3%83%AA%E3%82%BF%E3%83%AA%E3%83%BC%E3%82%B0%E3%83%AC%E3%83%BC%E3%83%89-%E8%90%BD%E4%B8%8B%E3%83%86%E3%82%B9%E3%83%88%E6%B8%88%E3%81%BF%E4%BF%9D%E8%AD%B7%E3%82%B1%E3%83%BC%E3%82%B9-askhc-002/dp/B07TXFRZ1P/ref=sr_1_167?__mk_ja_JP=%E3%82%AB%E3%82%BF%E3%82%AB%E3%83%8A&amp;dchild=1&amp;keywords=Galaxy&amp;qid=1598527045&amp;sr=8-167", "Go")</f>
        <v/>
      </c>
    </row>
    <row r="178">
      <c r="A178" s="1" t="n">
        <v>176</v>
      </c>
      <c r="B178" t="inlineStr">
        <is>
          <t>Mkeke iPhone 11 Pro Max スクリーンプロテクター、iPhone Xs Maxスクリーンプロテクター、強化ガラススクリーンプロテクター、iPhone 11 Pro Max＆XS Max用</t>
        </is>
      </c>
      <c r="C178" t="inlineStr">
        <is>
          <t>￥10,751</t>
        </is>
      </c>
      <c r="D178" t="inlineStr">
        <is>
          <t>4.7</t>
        </is>
      </c>
      <c r="E178">
        <f>HYPERLINK("https://www.amazon.co.jp/dp/B07YFYKVMZ/ref=sr_1_168?__mk_ja_JP=%E3%82%AB%E3%82%BF%E3%82%AB%E3%83%8A&amp;dchild=1&amp;keywords=Galaxy&amp;qid=1598527045&amp;sr=8-168", "Go")</f>
        <v/>
      </c>
    </row>
    <row r="179">
      <c r="A179" s="1" t="n">
        <v>177</v>
      </c>
      <c r="B179" t="inlineStr">
        <is>
          <t>【Spigen】 iPhone 11 ケース 6.1インチ 対応 超耐衝撃 新モデル スタンド機能 米軍MIL規格取得 カメラ保護 傷防止 衝撃 吸収 Qi充電 ワイヤレス充電 タフ・アーマー XP 076CS27439 (ブラック)</t>
        </is>
      </c>
      <c r="C179" t="inlineStr">
        <is>
          <t>￥2,190</t>
        </is>
      </c>
      <c r="D179" t="inlineStr">
        <is>
          <t>4.7</t>
        </is>
      </c>
      <c r="E179">
        <f>HYPERLINK("https://www.amazon.co.jp/%E3%80%90Spigen%E3%80%91-%E7%B1%B3%E8%BB%8DMIL%E8%A6%8F%E6%A0%BC%E5%8F%96%E5%BE%97-%E3%83%AF%E3%82%A4%E3%83%A4%E3%83%AC%E3%82%B9%E5%85%85%E9%9B%BB-%E3%82%BF%E3%83%95%E3%83%BB%E3%82%A2%E3%83%BC%E3%83%9E%E3%83%BC-076CS27439/dp/B07T1MYV8R/ref=sr_1_169?__mk_ja_JP=%E3%82%AB%E3%82%BF%E3%82%AB%E3%83%8A&amp;dchild=1&amp;keywords=Galaxy&amp;qid=1598527045&amp;sr=8-169", "Go")</f>
        <v/>
      </c>
    </row>
    <row r="180">
      <c r="A180" s="1" t="n">
        <v>178</v>
      </c>
      <c r="B180" t="inlineStr">
        <is>
          <t>JEDirect iPhoneXs Max ケース (6.5インチ専用) 衝撃吸収 バンパーカバー 傷つけ防止 クリアバック(クリア)</t>
        </is>
      </c>
      <c r="C180" t="inlineStr">
        <is>
          <t>￥697</t>
        </is>
      </c>
      <c r="D180" t="inlineStr">
        <is>
          <t>4.7</t>
        </is>
      </c>
      <c r="E180">
        <f>HYPERLINK("https://www.amazon.co.jp/JEDirect-iPhone-6-5%E3%82%A4%E3%83%B3%E3%83%81%E5%AF%BE%E5%BF%9C-%E3%83%90%E3%83%B3%E3%83%91%E3%83%BC-%E5%82%B7%E3%81%A4%E3%81%91%E9%98%B2%E6%AD%A2/dp/B07GXRPCLF/ref=sr_1_170?__mk_ja_JP=%E3%82%AB%E3%82%BF%E3%82%AB%E3%83%8A&amp;dchild=1&amp;keywords=Galaxy&amp;qid=1598527045&amp;sr=8-170", "Go")</f>
        <v/>
      </c>
    </row>
    <row r="181">
      <c r="A181" s="1" t="n">
        <v>179</v>
      </c>
      <c r="B181" t="inlineStr">
        <is>
          <t>OMOTON 強化ガラススクリーンプロテクター Samsung Gear S3 &amp; Galaxy Watch 46mm [3パック]</t>
        </is>
      </c>
      <c r="C181" t="inlineStr">
        <is>
          <t>￥5,350</t>
        </is>
      </c>
      <c r="D181" t="inlineStr">
        <is>
          <t>4.7</t>
        </is>
      </c>
      <c r="E181">
        <f>HYPERLINK("https://www.amazon.co.jp/OMOTON-Tempered-Screen-Protector-Samsung/dp/B01LW1U5XX/ref=sr_1_171?__mk_ja_JP=%E3%82%AB%E3%82%BF%E3%82%AB%E3%83%8A&amp;dchild=1&amp;keywords=Galaxy&amp;qid=1598527045&amp;sr=8-171", "Go")</f>
        <v/>
      </c>
    </row>
    <row r="182">
      <c r="A182" s="1" t="n">
        <v>180</v>
      </c>
      <c r="B182" t="inlineStr">
        <is>
          <t>ProCase サムスンGalaxy Tab A 8.0インチ用ケース スタンドつきカバー 手帳型ケース 2015年モデル用 Galaxy Tab A 8.0 ブラック Galaxy Tab A 8.0 CASE_FOLIO Black</t>
        </is>
      </c>
      <c r="C182" t="inlineStr">
        <is>
          <t>￥4,905</t>
        </is>
      </c>
      <c r="D182" t="inlineStr">
        <is>
          <t>4.7</t>
        </is>
      </c>
      <c r="E182">
        <f>HYPERLINK("https://www.amazon.co.jp/ProCase-%E3%82%B5%E3%83%A0%E3%82%B9%E3%83%B3Galaxy-8-0%E3%82%A4%E3%83%B3%E3%83%81%E7%94%A8%E3%82%B1%E3%83%BC%E3%82%B9-%E3%82%B9%E3%82%BF%E3%83%B3%E3%83%89%E3%81%A4%E3%81%8D%E3%82%AB%E3%83%90%E3%83%BC-2015%E5%B9%B4%E3%83%A2%E3%83%87%E3%83%AB%E7%94%A8-CASE_FOLIO/dp/B00YG1FM8O/ref=sr_1_172?__mk_ja_JP=%E3%82%AB%E3%82%BF%E3%82%AB%E3%83%8A&amp;dchild=1&amp;keywords=Galaxy&amp;qid=1598527045&amp;sr=8-172", "Go")</f>
        <v/>
      </c>
    </row>
    <row r="183">
      <c r="A183" s="1" t="n">
        <v>181</v>
      </c>
      <c r="B183" t="inlineStr">
        <is>
          <t>【2020業界進化版 12in】LEDリングライト 12インチリングライト 卓上ライト USBライト 撮影照明用ライト 光源3種類 3000K-6000K 10段階調光 高輝度照明 Bluetoothリモコン 180°角度調整 USB給電 撮影照明ライト 化粧/生放送/自撮り/仕事/勉強</t>
        </is>
      </c>
      <c r="C183" t="inlineStr">
        <is>
          <t>￥3,980</t>
        </is>
      </c>
      <c r="D183" t="inlineStr">
        <is>
          <t>4.8</t>
        </is>
      </c>
      <c r="E183">
        <f>HYPERLINK("https://www.amazon.co.jp/%E3%80%902020%E6%A5%AD%E7%95%8C%E9%80%B2%E5%8C%96%E7%89%88-12in%E3%80%91LED%E3%83%AA%E3%83%B3%E3%82%B0%E3%83%A9%E3%82%A4%E3%83%88-12%E3%82%A4%E3%83%B3%E3%83%81%E3%83%AA%E3%83%B3%E3%82%B0%E3%83%A9%E3%82%A4%E3%83%88-3000K-6000K-Bluetooth%E3%83%AA%E3%83%A2%E3%82%B3%E3%83%B3/dp/B089QG24TG/ref=sr_1_173?__mk_ja_JP=%E3%82%AB%E3%82%BF%E3%82%AB%E3%83%8A&amp;dchild=1&amp;keywords=Galaxy&amp;qid=1598527045&amp;sr=8-173", "Go")</f>
        <v/>
      </c>
    </row>
    <row r="184">
      <c r="A184" s="1" t="n">
        <v>182</v>
      </c>
      <c r="B184" t="inlineStr">
        <is>
          <t>PeohZarr マイク付きオンイヤーヘッドホン 軽量折りたたみステレオ低音ヘッドフォン 1.5mももつれのないコード付き ポータブル有線ヘッドフォン スマートフォン タブレット ノートパソコン コンピュータ MP3/4用 Black WGYP-063</t>
        </is>
      </c>
      <c r="C184" t="inlineStr">
        <is>
          <t>￥6,514</t>
        </is>
      </c>
      <c r="D184" t="inlineStr">
        <is>
          <t>4.7</t>
        </is>
      </c>
      <c r="E184">
        <f>HYPERLINK("https://www.amazon.co.jp/PeohZarr-%E3%83%9E%E3%82%A4%E3%82%AF%E4%BB%98%E3%81%8D%E3%82%AA%E3%83%B3%E3%82%A4%E3%83%A4%E3%83%BC%E3%83%98%E3%83%83%E3%83%89%E3%83%9B%E3%83%B3-%E8%BB%BD%E9%87%8F%E6%8A%98%E3%82%8A%E3%81%9F%E3%81%9F%E3%81%BF%E3%82%B9%E3%83%86%E3%83%AC%E3%82%AA%E4%BD%8E%E9%9F%B3%E3%83%98%E3%83%83%E3%83%89%E3%83%95%E3%82%A9%E3%83%B3-1-5m%E3%82%82%E3%82%82%E3%81%A4%E3%82%8C%E3%81%AE%E3%81%AA%E3%81%84%E3%82%B3%E3%83%BC%E3%83%89%E4%BB%98%E3%81%8D-WGYP-063/dp/B07SHH37M6/ref=sr_1_174?__mk_ja_JP=%E3%82%AB%E3%82%BF%E3%82%AB%E3%83%8A&amp;dchild=1&amp;keywords=Galaxy&amp;qid=1598527045&amp;sr=8-174", "Go")</f>
        <v/>
      </c>
    </row>
    <row r="185">
      <c r="A185" s="1" t="n">
        <v>183</v>
      </c>
      <c r="B185" t="inlineStr">
        <is>
          <t>LED ナイトライト (プラグイン) スマートな夕暮れから夜明けまでセンサー付き - 自動ナイトライト 寝室 浴室 階段 キッチン 廊下に最適 - スマートコンパクトデザイン - エネルギー効率に優れた(6個パック)</t>
        </is>
      </c>
      <c r="C185" t="inlineStr">
        <is>
          <t>￥1,538</t>
        </is>
      </c>
      <c r="D185" t="inlineStr">
        <is>
          <t>4.7</t>
        </is>
      </c>
      <c r="E185">
        <f>HYPERLINK("https://www.amazon.co.jp/LED-%E3%83%8A%E3%82%A4%E3%83%88%E3%83%A9%E3%82%A4%E3%83%88-%E3%83%97%E3%83%A9%E3%82%B0%E3%82%A4%E3%83%B3-%E3%82%B9%E3%83%9E%E3%83%BC%E3%83%88%E3%81%AA%E5%A4%95%E6%9A%AE%E3%82%8C%E3%81%8B%E3%82%89%E5%A4%9C%E6%98%8E%E3%81%91%E3%81%BE%E3%81%A7%E3%82%BB%E3%83%B3%E3%82%B5%E3%83%BC%E4%BB%98%E3%81%8D-%E3%82%B9%E3%83%9E%E3%83%BC%E3%83%88%E3%82%B3%E3%83%B3%E3%83%91%E3%82%AF%E3%83%88%E3%83%87%E3%82%B6%E3%82%A4%E3%83%B3/dp/B07NF4P12L/ref=sr_1_175?__mk_ja_JP=%E3%82%AB%E3%82%BF%E3%82%AB%E3%83%8A&amp;dchild=1&amp;keywords=Galaxy&amp;qid=1598527045&amp;sr=8-175", "Go")</f>
        <v/>
      </c>
    </row>
    <row r="186">
      <c r="A186" s="1" t="n">
        <v>184</v>
      </c>
      <c r="B186" t="inlineStr">
        <is>
          <t>「PITAKA」Galaxy S20 対応 ケース 600Dアラミド繊維製 Air Case 高級なカーボン風 超薄(0.65mm) 超軽量(11g) 6.2インチ 薄型 ミニマリスト シンプル デザイン ワイヤレス充電 対応 カバー (黒/グレーツイル柄)</t>
        </is>
      </c>
      <c r="C186" t="inlineStr">
        <is>
          <t>￥6,499</t>
        </is>
      </c>
      <c r="D186" t="inlineStr">
        <is>
          <t>4.6</t>
        </is>
      </c>
      <c r="E186">
        <f>HYPERLINK("https://www.amazon.co.jp/%E3%80%8CPITAKA%E3%80%8DGalaxy-600D%E3%82%A2%E3%83%A9%E3%83%9F%E3%83%89%E7%B9%8A%E7%B6%AD%E8%A3%BD-%E9%AB%98%E7%B4%9A%E3%81%AA%E3%82%AB%E3%83%BC%E3%83%9C%E3%83%B3%E9%A2%A8-%E3%83%AF%E3%82%A4%E3%83%A4%E3%83%AC%E3%82%B9%E5%85%85%E9%9B%BB-%E3%82%B0%E3%83%AC%E3%83%BC%E3%83%84%E3%82%A4%E3%83%AB%E6%9F%84/dp/B084Q4X1CZ/ref=sr_1_176_sspa?__mk_ja_JP=%E3%82%AB%E3%82%BF%E3%82%AB%E3%83%8A&amp;dchild=1&amp;keywords=Galaxy&amp;qid=1598527045&amp;sr=8-176-spons&amp;psc=1&amp;spLa=ZW5jcnlwdGVkUXVhbGlmaWVyPUFVMkhXSkYyVjM0OVQmZW5jcnlwdGVkSWQ9QTA3OTM4MzAzM1I3VUVVSzcwMktRJmVuY3J5cHRlZEFkSWQ9QUFVM05VSzBENVU4QiZ3aWRnZXROYW1lPXNwX210ZiZhY3Rpb249Y2xpY2tSZWRpcmVjdCZkb05vdExvZ0NsaWNrPXRydWU=", "Go")</f>
        <v/>
      </c>
    </row>
    <row r="187">
      <c r="A187" s="1" t="n">
        <v>185</v>
      </c>
      <c r="B187" t="inlineStr">
        <is>
          <t>UGREEN タブレットスタンド 卓上 スマホホルダー iPadスタンド 折りたたみ式 角度調整可能 4-10インチに対応 滑り止めゴム付き iPad Pro,Xperia,Huawei mediapad,Galaxy等のスマホやタブレットに適用 ABS素材</t>
        </is>
      </c>
      <c r="C187" t="inlineStr">
        <is>
          <t>￥4,353</t>
        </is>
      </c>
      <c r="D187" t="inlineStr">
        <is>
          <t>4.7</t>
        </is>
      </c>
      <c r="E187">
        <f>HYPERLINK("https://www.amazon.co.jp/UGREEN-%E3%82%BF%E3%83%96%E3%83%AC%E3%83%83%E3%83%88%E3%82%B9%E3%82%BF%E3%83%B3%E3%83%89-%E3%82%B3%E3%83%B3%E3%83%91%E3%82%AF%E3%83%88-%E3%82%B9%E3%83%9E%E3%83%9B%E3%82%B9%E3%82%BF%E3%83%B3%E3%83%89-ABS%E7%B4%A0%E6%9D%90/dp/B01ISL5TLC/ref=sr_1_179?__mk_ja_JP=%E3%82%AB%E3%82%BF%E3%82%AB%E3%83%8A&amp;dchild=1&amp;keywords=Galaxy&amp;qid=1598527045&amp;sr=8-179", "Go")</f>
        <v/>
      </c>
    </row>
    <row r="188">
      <c r="A188" s="1" t="n">
        <v>186</v>
      </c>
      <c r="B188" t="inlineStr">
        <is>
          <t>atevon-hdc-official – 米国</t>
        </is>
      </c>
      <c r="C188" t="inlineStr">
        <is>
          <t>￥10,511</t>
        </is>
      </c>
      <c r="D188" t="inlineStr">
        <is>
          <t>4.7</t>
        </is>
      </c>
      <c r="E188">
        <f>HYPERLINK("https://www.amazon.co.jp/ATEVON-HDC01/dp/B01N343SBS/ref=sr_1_180?__mk_ja_JP=%E3%82%AB%E3%82%BF%E3%82%AB%E3%83%8A&amp;dchild=1&amp;keywords=Galaxy&amp;qid=1598527045&amp;sr=8-180", "Go")</f>
        <v/>
      </c>
    </row>
    <row r="189">
      <c r="A189" s="1" t="n">
        <v>187</v>
      </c>
      <c r="B189" t="inlineStr">
        <is>
          <t>ProCase Samsung Galaxy Tab A 9.7ケース – StandingカバーFolio Case for 2015 Galaxy Tab Aタブレット9.7インチ Galaxy Tab A 9.7 Galaxy Tab A 9.7 CASE_FOLIO Black</t>
        </is>
      </c>
      <c r="C189" t="inlineStr">
        <is>
          <t>￥12,451</t>
        </is>
      </c>
      <c r="D189" t="inlineStr">
        <is>
          <t>4.7</t>
        </is>
      </c>
      <c r="E189">
        <f>HYPERLINK("https://www.amazon.co.jp/ProCase-9-7%E3%82%B1%E3%83%BC%E3%82%B9-%E2%80%93-Standing%E3%82%AB%E3%83%90%E3%83%BCFolio-2015-Galaxy-A%E3%82%BF%E3%83%96%E3%83%AC%E3%83%83%E3%83%889-7%E3%82%A4%E3%83%B3%E3%83%81-CASE_FOLIO/dp/B00YG14GWC/ref=sr_1_181?__mk_ja_JP=%E3%82%AB%E3%82%BF%E3%82%AB%E3%83%8A&amp;dchild=1&amp;keywords=Galaxy&amp;qid=1598527045&amp;sr=8-181", "Go")</f>
        <v/>
      </c>
    </row>
    <row r="190">
      <c r="A190" s="1" t="n">
        <v>188</v>
      </c>
      <c r="B190" t="inlineStr">
        <is>
          <t>Type Cケーブル 10 Feet ブラック</t>
        </is>
      </c>
      <c r="C190" t="inlineStr">
        <is>
          <t>￥12,278から1個のオプション</t>
        </is>
      </c>
      <c r="D190" t="inlineStr">
        <is>
          <t>4.7</t>
        </is>
      </c>
      <c r="E190">
        <f>HYPERLINK("https://www.amazon.co.jp/Type-C%E3%82%B1%E3%83%BC%E3%83%96%E3%83%AB-10-Feet-%E3%83%96%E3%83%A9%E3%83%83%E3%82%AF/dp/B07MDYJQZ9/ref=sr_1_182?__mk_ja_JP=%E3%82%AB%E3%82%BF%E3%82%AB%E3%83%8A&amp;dchild=1&amp;keywords=Galaxy&amp;qid=1598527045&amp;sr=8-182", "Go")</f>
        <v/>
      </c>
    </row>
    <row r="191">
      <c r="A191" s="1" t="n">
        <v>189</v>
      </c>
      <c r="B191" t="inlineStr">
        <is>
          <t>Xiaomi Redmi Note 8 PRO ■ Global Version ■ 128GB 6GB RAM ● Dual SIM (Nano-SIM, dual stand-by) (Forest Green/ 緑の森林)</t>
        </is>
      </c>
      <c r="C191" t="inlineStr">
        <is>
          <t>￥24,800</t>
        </is>
      </c>
      <c r="D191" t="inlineStr">
        <is>
          <t>4.7</t>
        </is>
      </c>
      <c r="E191">
        <f>HYPERLINK("https://www.amazon.co.jp/dp/B07YDH98RB/ref=sr_1_183?__mk_ja_JP=%E3%82%AB%E3%82%BF%E3%82%AB%E3%83%8A&amp;dchild=1&amp;keywords=Galaxy&amp;qid=1598527045&amp;sr=8-183", "Go")</f>
        <v/>
      </c>
    </row>
    <row r="192">
      <c r="A192" s="1" t="n">
        <v>190</v>
      </c>
      <c r="B192" t="inlineStr">
        <is>
          <t>HDMIケーブル 15フィート 組紐ケーブル 4K HDMI 2.0対応 高速 ゴールドメッキコネクタ- Ethernet/オーディオリターンチャンネル ビデオ機器 4K 2160p、HD 1080p、3D - Xbox、プレイステーション、PS3、PS4、PC、Apple、TV対応</t>
        </is>
      </c>
      <c r="C192" t="inlineStr">
        <is>
          <t>￥5,922</t>
        </is>
      </c>
      <c r="D192" t="inlineStr">
        <is>
          <t>4.7</t>
        </is>
      </c>
      <c r="E192">
        <f>HYPERLINK("https://www.amazon.co.jp/HDMI%E3%82%B1%E3%83%BC%E3%83%96%E3%83%AB-%E3%82%B4%E3%83%BC%E3%83%AB%E3%83%89%E3%83%A1%E3%83%83%E3%82%AD%E3%82%B3%E3%83%8D%E3%82%AF%E3%82%BF-Ethernet-%E3%82%AA%E3%83%BC%E3%83%87%E3%82%A3%E3%82%AA%E3%83%AA%E3%82%BF%E3%83%BC%E3%83%B3%E3%83%81%E3%83%A3%E3%83%B3%E3%83%8D%E3%83%AB-Xbox%E3%80%81%E3%83%97%E3%83%AC%E3%82%A4%E3%82%B9%E3%83%86%E3%83%BC%E3%82%B7%E3%83%A7%E3%83%B3%E3%80%81PS3%E3%80%81PS4%E3%80%81PC%E3%80%81Apple%E3%80%81TV%E5%AF%BE%E5%BF%9C/dp/B00YNI7G8O/ref=sr_1_184?__mk_ja_JP=%E3%82%AB%E3%82%BF%E3%82%AB%E3%83%8A&amp;dchild=1&amp;keywords=Galaxy&amp;qid=1598527045&amp;sr=8-184", "Go")</f>
        <v/>
      </c>
    </row>
    <row r="193">
      <c r="A193" s="1" t="n">
        <v>191</v>
      </c>
      <c r="B193" t="inlineStr">
        <is>
          <t>AirPods Proケースカバー シリコン保護ケーススキン Apple Airpod Pro 2019用 (フロントLED表示) D-15</t>
        </is>
      </c>
      <c r="C193" t="inlineStr">
        <is>
          <t>￥12,202</t>
        </is>
      </c>
      <c r="D193" t="inlineStr">
        <is>
          <t>4.7</t>
        </is>
      </c>
      <c r="E193">
        <f>HYPERLINK("https://www.amazon.co.jp/AirPods-Pro%E3%82%B1%E3%83%BC%E3%82%B9%E3%82%AB%E3%83%90%E3%83%BC-%E3%82%B7%E3%83%AA%E3%82%B3%E3%83%B3%E4%BF%9D%E8%AD%B7%E3%82%B1%E3%83%BC%E3%82%B9-Airpod-%E3%83%95%E3%83%AD%E3%83%B3%E3%83%88LED%E8%A1%A8%E7%A4%BA/dp/B0811T3SYV/ref=sr_1_185?__mk_ja_JP=%E3%82%AB%E3%82%BF%E3%82%AB%E3%83%8A&amp;dchild=1&amp;keywords=Galaxy&amp;qid=1598527045&amp;sr=8-185", "Go")</f>
        <v/>
      </c>
    </row>
    <row r="194">
      <c r="A194" s="1" t="n">
        <v>192</v>
      </c>
      <c r="B194" t="inlineStr">
        <is>
          <t>【Spigen】 iPhone 11 Pro Max ケース 6.5インチ 対応 超耐衝撃 新モデル スタンド機能 米軍MIL規格取得 カメラ保護 傷防止 衝撃 吸収 Qi充電 ワイヤレス充電 タフ・アーマー XP 075CS27430 (サテン・シルバー)</t>
        </is>
      </c>
      <c r="C194" t="inlineStr">
        <is>
          <t>￥2,490</t>
        </is>
      </c>
      <c r="D194" t="inlineStr">
        <is>
          <t>4.7</t>
        </is>
      </c>
      <c r="E194">
        <f>HYPERLINK("https://www.amazon.co.jp/Smartphone-Compatible-Resistant-Protection-Anti-Scratch/dp/B07T1MXSFH/ref=sr_1_186?__mk_ja_JP=%E3%82%AB%E3%82%BF%E3%82%AB%E3%83%8A&amp;dchild=1&amp;keywords=Galaxy&amp;qid=1598527045&amp;sr=8-186", "Go")</f>
        <v/>
      </c>
    </row>
    <row r="195">
      <c r="A195" s="1" t="n">
        <v>193</v>
      </c>
      <c r="B195" t="inlineStr">
        <is>
          <t>Eco-Fused XLマイクロファイバークリーニング布-5パック-12 x 12インチ（30.5 x 30.5 cm）-指紋、ほこり、汚れをタブレット、テレビ、ノートブックの画面を傷付けずにすばやく除去</t>
        </is>
      </c>
      <c r="C195" t="inlineStr">
        <is>
          <t>￥3,722から1個のオプション</t>
        </is>
      </c>
      <c r="D195" t="inlineStr">
        <is>
          <t>4.7</t>
        </is>
      </c>
      <c r="E195">
        <f>HYPERLINK("https://www.amazon.co.jp/Eco-Fused-XL%E3%83%9E%E3%82%A4%E3%82%AF%E3%83%AD%E3%83%95%E3%82%A1%E3%82%A4%E3%83%90%E3%83%BC%E3%82%AF%E3%83%AA%E3%83%BC%E3%83%8B%E3%83%B3%E3%82%B0%E5%B8%83-5%E3%83%91%E3%83%83%E3%82%AF-12-12%E3%82%A4%E3%83%B3%E3%83%81%EF%BC%8830-5-30-5-cm%EF%BC%89-%E6%8C%87%E7%B4%8B%E3%80%81%E3%81%BB%E3%81%93%E3%82%8A%E3%80%81%E6%B1%9A%E3%82%8C%E3%82%92%E3%82%BF%E3%83%96%E3%83%AC%E3%83%83%E3%83%88%E3%80%81%E3%83%86%E3%83%AC%E3%83%93%E3%80%81%E3%83%8E%E3%83%BC%E3%83%88%E3%83%96%E3%83%83%E3%82%AF%E3%81%AE%E7%94%BB%E9%9D%A2%E3%82%92%E5%82%B7%E4%BB%98%E3%81%91%E3%81%9A%E3%81%AB%E3%81%99%E3%81%B0%E3%82%84%E3%81%8F%E9%99%A4%E5%8E%BB/dp/B00OHG488S/ref=sr_1_187?__mk_ja_JP=%E3%82%AB%E3%82%BF%E3%82%AB%E3%83%8A&amp;dchild=1&amp;keywords=Galaxy&amp;qid=1598527045&amp;sr=8-187", "Go")</f>
        <v/>
      </c>
    </row>
    <row r="196">
      <c r="A196" s="1" t="n">
        <v>194</v>
      </c>
      <c r="B196" t="inlineStr">
        <is>
          <t>Mudder Samsung Galaxy S5 交換用アクセサリー USB端子キャップ 2個 + プラスチック ホルダー + ネジ + 取り付け用ドライバー(+) + クリーニング クロス</t>
        </is>
      </c>
      <c r="C196" t="inlineStr">
        <is>
          <t>￥4,980</t>
        </is>
      </c>
      <c r="D196" t="inlineStr">
        <is>
          <t>4.7</t>
        </is>
      </c>
      <c r="E196">
        <f>HYPERLINK("https://www.amazon.co.jp/S5-Replacement-Accessories-Terminal-Mounting-Cleaning/dp/B00YG6H4XA/ref=sr_1_188?__mk_ja_JP=%E3%82%AB%E3%82%BF%E3%82%AB%E3%83%8A&amp;dchild=1&amp;keywords=Galaxy&amp;qid=1598527045&amp;sr=8-188", "Go")</f>
        <v/>
      </c>
    </row>
    <row r="197">
      <c r="A197" s="1" t="n">
        <v>195</v>
      </c>
      <c r="B197" t="inlineStr">
        <is>
          <t>iPhone 6.1用ケース。 ホワイト</t>
        </is>
      </c>
      <c r="C197" t="inlineStr">
        <is>
          <t>￥1,292</t>
        </is>
      </c>
      <c r="D197" t="inlineStr">
        <is>
          <t>4.7</t>
        </is>
      </c>
      <c r="E197">
        <f>HYPERLINK("https://www.amazon.co.jp/Cutebe-iPhone-6-1%E7%94%A8%E3%82%B1%E3%83%BC%E3%82%B9%E3%80%82-%E3%83%9B%E3%83%AF%E3%82%A4%E3%83%88/dp/B07WR2P6B6/ref=sr_1_189?__mk_ja_JP=%E3%82%AB%E3%82%BF%E3%82%AB%E3%83%8A&amp;dchild=1&amp;keywords=Galaxy&amp;qid=1598527045&amp;sr=8-189", "Go")</f>
        <v/>
      </c>
    </row>
    <row r="198">
      <c r="A198" s="1" t="n">
        <v>196</v>
      </c>
      <c r="B198" t="inlineStr">
        <is>
          <t>Airpodsケース CTYBB シリコンAirpodsケースカバー ファーボールキーチェーン付き Apple Airpods 2/1対応 (フロントLED表示) Airp-purple02</t>
        </is>
      </c>
      <c r="C198" t="inlineStr">
        <is>
          <t>￥10,088</t>
        </is>
      </c>
      <c r="D198" t="inlineStr">
        <is>
          <t>4.7</t>
        </is>
      </c>
      <c r="E198">
        <f>HYPERLINK("https://www.amazon.co.jp/Airpods%E3%82%B1%E3%83%BC%E3%82%B9-CTYBB-%E3%82%B7%E3%83%AA%E3%82%B3%E3%83%B3Airpods%E3%82%B1%E3%83%BC%E3%82%B9%E3%82%AB%E3%83%90%E3%83%BC-%E3%83%95%E3%82%A1%E3%83%BC%E3%83%9C%E3%83%BC%E3%83%AB%E3%82%AD%E3%83%BC%E3%83%81%E3%82%A7%E3%83%BC%E3%83%B3%E4%BB%98%E3%81%8D-Airp-purple02/dp/B07VVB347J/ref=sr_1_190?__mk_ja_JP=%E3%82%AB%E3%82%BF%E3%82%AB%E3%83%8A&amp;dchild=1&amp;keywords=Galaxy&amp;qid=1598527045&amp;sr=8-190", "Go")</f>
        <v/>
      </c>
    </row>
    <row r="199">
      <c r="A199" s="1" t="n">
        <v>197</v>
      </c>
      <c r="B199" t="inlineStr">
        <is>
          <t>Ailun 三脚 携帯電話マウントホルダー ヘッド標準ねじアダプター 回転可能 デジタルカメラブラケット 自撮りレンズ 一脚 調節可能なリングライト カムコーダー iPhone X XR Xs Max Galaxy s20 s20+ S20Ultra</t>
        </is>
      </c>
      <c r="C199" t="inlineStr">
        <is>
          <t>￥20,331</t>
        </is>
      </c>
      <c r="D199" t="inlineStr">
        <is>
          <t>4.7</t>
        </is>
      </c>
      <c r="E199">
        <f>HYPERLINK("https://www.amazon.co.jp/%E9%9B%BB%E8%A9%B1%E3%83%9B%E3%83%AB%E3%83%80%E3%83%BC%E3%80%81-Ailun%E3%80%81%E9%9B%BB%E8%A9%B1%E4%B8%89%E8%84%9A%E3%83%9E%E3%82%A6%E3%83%B3%E3%83%88%E3%82%A2%E3%83%80%E3%83%97%E3%82%BF%E3%80%81%E5%9B%9E%E8%BB%A2%E5%8F%AF%E8%83%BD%E3%81%AA%E3%83%96%E3%83%A9%E3%82%B1%E3%83%83%E3%83%88%E3%80%81%E8%87%AA%E6%92%AE%E3%82%8A%E4%B8%80%E8%84%9A%E3%80%81%E8%AA%BF%E7%AF%80%E5%8F%AF%E8%83%BD%E3%81%AA%E3%82%AF%E3%83%A9%E3%83%B3%E3%83%97%E3%80%81-iPhone-Plus%E3%80%81SAMSUNG-GALAXY/dp/B072KNBV21/ref=sr_1_191?__mk_ja_JP=%E3%82%AB%E3%82%BF%E3%82%AB%E3%83%8A&amp;dchild=1&amp;keywords=Galaxy&amp;qid=1598527045&amp;sr=8-191", "Go")</f>
        <v/>
      </c>
    </row>
    <row r="200">
      <c r="A200" s="1" t="n">
        <v>198</v>
      </c>
      <c r="B200" t="inlineStr">
        <is>
          <t>Square A-SKU-0113 Contactless and Chip Reader by Square</t>
        </is>
      </c>
      <c r="C200" t="inlineStr">
        <is>
          <t>￥6,448</t>
        </is>
      </c>
      <c r="D200" t="inlineStr">
        <is>
          <t>4.7</t>
        </is>
      </c>
      <c r="E200">
        <f>HYPERLINK("https://www.amazon.co.jp/Square-SKU-0113-Contactless-Chip-Reader/dp/B01BSVGBKM/ref=sr_1_192?__mk_ja_JP=%E3%82%AB%E3%82%BF%E3%82%AB%E3%83%8A&amp;dchild=1&amp;keywords=Galaxy&amp;qid=1598527045&amp;sr=8-192", "Go")</f>
        <v/>
      </c>
    </row>
    <row r="201">
      <c r="A201" s="1" t="n">
        <v>199</v>
      </c>
      <c r="B201" t="inlineStr">
        <is>
          <t>BEBEN Bluetooth 5.0 トゥルーワイヤレスイヤホン IP68 防水 30H サイクリック プレイタイム TWS ステレオヘッドホン iPhone Android 充電ケース付き インイヤーイヤホンヘッドセット マイク付き スポーツ/旅行/ジム用</t>
        </is>
      </c>
      <c r="C201" t="inlineStr">
        <is>
          <t>￥14,914</t>
        </is>
      </c>
      <c r="D201" t="inlineStr">
        <is>
          <t>4.7</t>
        </is>
      </c>
      <c r="E201">
        <f>HYPERLINK("https://www.amazon.co.jp/BEBEN-Bluetooth-%E3%83%88%E3%82%A5%E3%83%AB%E3%83%BC%E3%83%AF%E3%82%A4%E3%83%A4%E3%83%AC%E3%82%B9%E3%82%A4%E3%83%A4%E3%83%9B%E3%83%B3-%E3%82%B9%E3%83%86%E3%83%AC%E3%82%AA%E3%83%98%E3%83%83%E3%83%89%E3%83%9B%E3%83%B3-%E3%82%A4%E3%83%B3%E3%82%A4%E3%83%A4%E3%83%BC%E3%82%A4%E3%83%A4%E3%83%9B%E3%83%B3%E3%83%98%E3%83%83%E3%83%89%E3%82%BB%E3%83%83%E3%83%88/dp/B0836CLXR6/ref=sr_1_193?__mk_ja_JP=%E3%82%AB%E3%82%BF%E3%82%AB%E3%83%8A&amp;dchild=1&amp;keywords=Galaxy&amp;qid=1598527045&amp;sr=8-193", "Go")</f>
        <v/>
      </c>
    </row>
    <row r="202">
      <c r="A202" s="1" t="n">
        <v>200</v>
      </c>
      <c r="B202" t="inlineStr">
        <is>
          <t>ProCase 保護ケース スタンド機能 フォリオカバー 対応端末：Galaxy Tab A 8.0 inch (2017) T380 T385 -ゴールド</t>
        </is>
      </c>
      <c r="C202" t="inlineStr">
        <is>
          <t>￥5,800から1個のオプション</t>
        </is>
      </c>
      <c r="D202" t="inlineStr">
        <is>
          <t>4.7</t>
        </is>
      </c>
      <c r="E202">
        <f>HYPERLINK("https://www.amazon.co.jp/ProCase-%E3%82%B5%E3%83%A0%E3%82%B9%E3%83%B3-Galaxy-Tab-2017/dp/B07DC243N9/ref=sr_1_194?__mk_ja_JP=%E3%82%AB%E3%82%BF%E3%82%AB%E3%83%8A&amp;dchild=1&amp;keywords=Galaxy&amp;qid=1598527045&amp;sr=8-194", "Go")</f>
        <v/>
      </c>
    </row>
    <row r="203">
      <c r="A203" s="1" t="n">
        <v>201</v>
      </c>
      <c r="B203" t="inlineStr">
        <is>
          <t>Square Reader for Magstripe (ライトニングコネクタタイプ)</t>
        </is>
      </c>
      <c r="C203" t="inlineStr">
        <is>
          <t>￥3,800</t>
        </is>
      </c>
      <c r="D203" t="inlineStr">
        <is>
          <t>4.7</t>
        </is>
      </c>
      <c r="E203">
        <f>HYPERLINK("https://www.amazon.co.jp/Square-Reader-for-Magstripe-%E3%83%A9%E3%82%A4%E3%83%88%E3%83%8B%E3%83%B3%E3%82%B0%E3%82%B3%E3%83%8D%E3%82%AF%E3%82%BF%E3%82%BF%E3%82%A4%E3%83%97/dp/B07J1NL16J/ref=sr_1_195?__mk_ja_JP=%E3%82%AB%E3%82%BF%E3%82%AB%E3%83%8A&amp;dchild=1&amp;keywords=Galaxy&amp;qid=1598527045&amp;sr=8-195", "Go")</f>
        <v/>
      </c>
    </row>
    <row r="204">
      <c r="A204" s="1" t="n">
        <v>202</v>
      </c>
      <c r="B204" t="inlineStr">
        <is>
          <t>FITFORT iPhone XR ケース フルボディ 頑丈なケース タッチセンシティブ 傷防止 スクリーンプロテクター内蔵 超薄型 クリア 耐衝撃 耐衝撃 耐衝撃 超耐久性 保護カバー</t>
        </is>
      </c>
      <c r="C204" t="inlineStr">
        <is>
          <t>￥5,190</t>
        </is>
      </c>
      <c r="D204" t="inlineStr">
        <is>
          <t>4.7</t>
        </is>
      </c>
      <c r="E204">
        <f>HYPERLINK("https://www.amazon.co.jp/FITFORT-iPhone-%E9%A0%91%E4%B8%88%E3%81%AA%E3%82%B1%E3%83%BC%E3%82%B9-%E3%82%BF%E3%83%83%E3%83%81%E3%82%BB%E3%83%B3%E3%82%B7%E3%83%86%E3%82%A3%E3%83%96-%E3%82%B9%E3%82%AF%E3%83%AA%E3%83%BC%E3%83%B3%E3%83%97%E3%83%AD%E3%83%86%E3%82%AF%E3%82%BF%E3%83%BC%E5%86%85%E8%94%B5/dp/B07TS8BHR9/ref=sr_1_196?__mk_ja_JP=%E3%82%AB%E3%82%BF%E3%82%AB%E3%83%8A&amp;dchild=1&amp;keywords=Galaxy&amp;qid=1598527045&amp;sr=8-196", "Go")</f>
        <v/>
      </c>
    </row>
    <row r="205">
      <c r="A205" s="1" t="n">
        <v>203</v>
      </c>
      <c r="B205" t="inlineStr">
        <is>
          <t>i-Blason AirPods ケース 2019 充電ケースカバー AirPods第2世代と第1世代に適用 ワイヤレス充電対応 衝撃吸収360°保護 スタイリッシュ カバー マーブル</t>
        </is>
      </c>
      <c r="C205" t="inlineStr">
        <is>
          <t>￥2,499</t>
        </is>
      </c>
      <c r="D205" t="inlineStr">
        <is>
          <t>4.7</t>
        </is>
      </c>
      <c r="E205">
        <f>HYPERLINK("https://www.amazon.co.jp/i-Blason-%E5%85%85%E9%9B%BB%E3%82%B1%E3%83%BC%E3%82%B9%E3%82%AB%E3%83%90%E3%83%BC-AirPods%E7%AC%AC2%E4%B8%96%E4%BB%A3%E3%81%A8%E7%AC%AC1%E4%B8%96%E4%BB%A3%E3%81%AB%E9%81%A9%E7%94%A8-%E3%83%AF%E3%82%A4%E3%83%A4%E3%83%AC%E3%82%B9%E5%85%85%E9%9B%BB%E5%AF%BE%E5%BF%9C-%E8%A1%9D%E6%92%83%E5%90%B8%E5%8F%8E360%C2%B0%E4%BF%9D%E8%AD%B7/dp/B07Y84ZPV9/ref=sr_1_197?__mk_ja_JP=%E3%82%AB%E3%82%BF%E3%82%AB%E3%83%8A&amp;dchild=1&amp;keywords=Galaxy&amp;qid=1598527045&amp;sr=8-197", "Go")</f>
        <v/>
      </c>
    </row>
    <row r="206">
      <c r="A206" s="1" t="n">
        <v>204</v>
      </c>
      <c r="B206" t="inlineStr">
        <is>
          <t>【Spigen】 Galaxy Note10 Plus ケース [ SC-01M SCV45 ] 対応 TPU 耐衝撃 米軍MIL規格取得 カメラ保護 傷防止 衝撃吸収 Qi充電 ワイヤレス充電 note10プラスケース リキッド・エアー 627CS27330 (マット・ブラック)</t>
        </is>
      </c>
      <c r="C206" t="inlineStr">
        <is>
          <t>￥1,561</t>
        </is>
      </c>
      <c r="D206" t="inlineStr">
        <is>
          <t>4.7</t>
        </is>
      </c>
      <c r="E206">
        <f>HYPERLINK("https://www.amazon.co.jp/%E3%80%90Spigen%E3%80%91-%E7%B1%B3%E8%BB%8DMIL%E8%A6%8F%E6%A0%BC%E5%8F%96%E5%BE%97-note10%E3%83%97%E3%83%A9%E3%82%B9%E3%82%B1%E3%83%BC%E3%82%B9-%E3%83%AA%E3%82%AD%E3%83%83%E3%83%89%E3%83%BB%E3%82%A8%E3%82%A2%E3%83%BC-627CS27330/dp/B07STXXQWP/ref=sr_1_198?__mk_ja_JP=%E3%82%AB%E3%82%BF%E3%82%AB%E3%83%8A&amp;dchild=1&amp;keywords=Galaxy&amp;qid=1598527045&amp;sr=8-198", "Go")</f>
        <v/>
      </c>
    </row>
    <row r="207">
      <c r="A207" s="1" t="n">
        <v>205</v>
      </c>
      <c r="B207" t="inlineStr">
        <is>
          <t>SanDisk ( サンディスク ) 256GB Extreme microSDXC A2 SDSQXA1-256G ［ 海外パッケージ ］</t>
        </is>
      </c>
      <c r="C207" t="inlineStr">
        <is>
          <t>￥5,590</t>
        </is>
      </c>
      <c r="D207" t="inlineStr">
        <is>
          <t>4.7</t>
        </is>
      </c>
      <c r="E207">
        <f>HYPERLINK("https://www.amazon.co.jp/%E3%82%B5%E3%83%B3%E3%83%87%E3%82%A3%E3%82%B9%E3%82%AF-Extreme-microSDXC-SDSQXA1-256G-%E6%B5%B7%E5%A4%96%E3%83%91%E3%83%83%E3%82%B1%E3%83%BC%E3%82%B8%E5%93%81/dp/B07FCR3316/ref=sr_1_199?__mk_ja_JP=%E3%82%AB%E3%82%BF%E3%82%AB%E3%83%8A&amp;dchild=1&amp;keywords=Galaxy&amp;qid=1598527045&amp;sr=8-199", "Go")</f>
        <v/>
      </c>
    </row>
    <row r="208">
      <c r="A208" s="1" t="n">
        <v>206</v>
      </c>
      <c r="B208" t="inlineStr">
        <is>
          <t>ワイヤレスイヤホン Bluetooth V5.0rx</t>
        </is>
      </c>
      <c r="C208" t="inlineStr">
        <is>
          <t>￥9,296</t>
        </is>
      </c>
      <c r="D208" t="inlineStr">
        <is>
          <t>4.7</t>
        </is>
      </c>
      <c r="E208">
        <f>HYPERLINK("https://www.amazon.co.jp/SZZ-BT-BH021-%E3%83%AF%E3%82%A4%E3%83%A4%E3%83%AC%E3%82%B9%E3%82%A4%E3%83%A4%E3%83%9B%E3%83%B3-Bluetooth-V5-0rx/dp/B0836WQLWR/ref=sr_1_200?__mk_ja_JP=%E3%82%AB%E3%82%BF%E3%82%AB%E3%83%8A&amp;dchild=1&amp;keywords=Galaxy&amp;qid=1598527045&amp;sr=8-200", "Go")</f>
        <v/>
      </c>
    </row>
    <row r="209">
      <c r="A209" s="1" t="n">
        <v>207</v>
      </c>
      <c r="B209" t="inlineStr">
        <is>
          <t>iPad 2017 iPad 9.7インチケース Lacdoタブレットスリーブ 9.7インチiPad | iPad Pro | iPad Air 2 | iPad 4 3 2 | Samsung Galaxy Tab A 10.1インチ保護バッグ 撥水加工 B1A46C6</t>
        </is>
      </c>
      <c r="C209" t="inlineStr">
        <is>
          <t>￥6,430</t>
        </is>
      </c>
      <c r="D209" t="inlineStr">
        <is>
          <t>4.7</t>
        </is>
      </c>
      <c r="E209">
        <f>HYPERLINK("https://www.amazon.co.jp/Shockproof-Tablet-Sleeve-Samsung-Protective/dp/B01N2TFL04/ref=sr_1_201?__mk_ja_JP=%E3%82%AB%E3%82%BF%E3%82%AB%E3%83%8A&amp;dchild=1&amp;keywords=Galaxy&amp;qid=1598527045&amp;sr=8-201", "Go")</f>
        <v/>
      </c>
    </row>
    <row r="210">
      <c r="A210" s="1" t="n">
        <v>208</v>
      </c>
      <c r="B210" t="inlineStr">
        <is>
          <t>ProCase Samsung Galaxy Tab E 8.0 ケース - レザースタンドフォリオ ケース カバー for Galaxy Tab E 8.0 4G LTE タブレット (Sprint、US Cellular、Verizon) SM-T377、複数の視野角度、ドキュメントカードポケット付き Galaxy Tab E 8.0 (SM-T377) Samsung Tab E case_Black</t>
        </is>
      </c>
      <c r="C210" t="inlineStr">
        <is>
          <t>￥5,682</t>
        </is>
      </c>
      <c r="D210" t="inlineStr">
        <is>
          <t>4.7</t>
        </is>
      </c>
      <c r="E210">
        <f>HYPERLINK("https://www.amazon.co.jp/ProCase-%E3%83%AC%E3%82%B6%E3%83%BC%E3%82%B9%E3%82%BF%E3%83%B3%E3%83%89%E3%83%95%E3%82%A9%E3%83%AA%E3%82%AA-Cellular%E3%80%81Verizon-SM-T377%E3%80%81%E8%A4%87%E6%95%B0%E3%81%AE%E8%A6%96%E9%87%8E%E8%A7%92%E5%BA%A6%E3%80%81%E3%83%89%E3%82%AD%E3%83%A5%E3%83%A1%E3%83%B3%E3%83%88%E3%82%AB%E3%83%BC%E3%83%89%E3%83%9D%E3%82%B1%E3%83%83%E3%83%88%E4%BB%98%E3%81%8D-case_Black/dp/B01BV2KWD0/ref=sr_1_202?__mk_ja_JP=%E3%82%AB%E3%82%BF%E3%82%AB%E3%83%8A&amp;dchild=1&amp;keywords=Galaxy&amp;qid=1598527045&amp;sr=8-202", "Go")</f>
        <v/>
      </c>
    </row>
    <row r="211">
      <c r="A211" s="1" t="n">
        <v>209</v>
      </c>
      <c r="B211" t="inlineStr">
        <is>
          <t>OUKITEL C16 PRO SIMフリースマートフォン本体 4Gスマホ本体 5.71 インチ3GB RAM + 32GB ROM 2600mAh バッテリーデュアルSIM (Nano)携帯電話</t>
        </is>
      </c>
      <c r="C211" t="inlineStr">
        <is>
          <t>￥9,999</t>
        </is>
      </c>
      <c r="D211" t="inlineStr">
        <is>
          <t>4.9</t>
        </is>
      </c>
      <c r="E211">
        <f>HYPERLINK("https://www.amazon.co.jp/OUKITEL-SIM%E3%83%95%E3%83%AA%E3%83%BC%E3%82%B9%E3%83%9E%E3%83%BC%E3%83%88%E3%83%95%E3%82%A9%E3%83%B3%E6%9C%AC%E4%BD%93-4G%E3%82%B9%E3%83%9E%E3%83%9B%E6%9C%AC%E4%BD%93-2600mAh-%E3%83%90%E3%83%83%E3%83%86%E3%83%AA%E3%83%BC%E3%83%87%E3%83%A5%E3%82%A2%E3%83%ABSIM/dp/B08CBX2SV4/ref=sr_1_204_sspa?__mk_ja_JP=%E3%82%AB%E3%82%BF%E3%82%AB%E3%83%8A&amp;dchild=1&amp;keywords=Galaxy&amp;qid=1598527045&amp;sr=8-204-spons&amp;psc=1&amp;spLa=ZW5jcnlwdGVkUXVhbGlmaWVyPUFVMkhXSkYyVjM0OVQmZW5jcnlwdGVkSWQ9QTA3OTM4MzAzM1I3VUVVSzcwMktRJmVuY3J5cHRlZEFkSWQ9QVZKV0wwVjNQMU9FQyZ3aWRnZXROYW1lPXNwX2J0ZiZhY3Rpb249Y2xpY2tSZWRpcmVjdCZkb05vdExvZ0NsaWNrPXRydWU=", "Go")</f>
        <v/>
      </c>
    </row>
    <row r="212">
      <c r="A212" s="1" t="n">
        <v>210</v>
      </c>
      <c r="B212" t="inlineStr">
        <is>
          <t>OUKITEL C19 SIM フリー スマートフォン本体 4G スマホ本体 Androidスマートフォン本体 6.49 HDインチ 13MP+2MP+2MP 4000mAh RAM 2GB + ROM16GB（256GBまでサポートする)Android 10.0 端末 携帯電話 1年間保証付き (ブルー, 2+16GB)</t>
        </is>
      </c>
      <c r="C212" t="inlineStr">
        <is>
          <t>￥10,900</t>
        </is>
      </c>
      <c r="D212" t="inlineStr">
        <is>
          <t>4.6</t>
        </is>
      </c>
      <c r="E212">
        <f>HYPERLINK("https://www.amazon.co.jp/OUKITEL-C19-%E3%82%B9%E3%83%9E%E3%83%BC%E3%83%88%E3%83%95%E3%82%A9%E3%83%B3%E6%9C%AC%E4%BD%93-Android%E3%82%B9%E3%83%9E%E3%83%BC%E3%83%88%E3%83%95%E3%82%A9%E3%83%B3%E6%9C%AC%E4%BD%93-ROM16GB%EF%BC%88256GB%E3%81%BE%E3%81%A7%E3%82%B5%E3%83%9D%E3%83%BC%E3%83%88%E3%81%99%E3%82%8B/dp/B08CK886QD/ref=sr_1_193_sspa?__mk_ja_JP=%E3%82%AB%E3%82%BF%E3%82%AB%E3%83%8A&amp;dchild=1&amp;keywords=Galaxy&amp;qid=1598527312&amp;sr=8-193-spons&amp;psc=1&amp;spLa=ZW5jcnlwdGVkUXVhbGlmaWVyPUExWlNMRjVQTVlPNjcyJmVuY3J5cHRlZElkPUEwOTM1OTYwM0tKT1RJTzlYMFZUWiZlbmNyeXB0ZWRBZElkPUExREwzWkpUNzIyTVhOJndpZGdldE5hbWU9c3BfYXRmX25leHQmYWN0aW9uPWNsaWNrUmVkaXJlY3QmZG9Ob3RMb2dDbGljaz10cnVl", "Go")</f>
        <v/>
      </c>
    </row>
    <row r="213">
      <c r="A213" s="1" t="n">
        <v>211</v>
      </c>
      <c r="B213" t="inlineStr">
        <is>
          <t>OUKITEL C18 pro(2020) SIMフリースマートフォン本体 真実な4個のカメラ16MP+8MP+5MP+2MP 4Gスマホ本体 6.55’’HD+インチ 全画面表示androidスマホ本体 P25 プロセッサー64GB ROM+4GB RAM 4000mAh バッテリーガラス裏蓋携帯電話 指紋認証 顔認証 1年間保証付き、au不可 (ブラック)</t>
        </is>
      </c>
      <c r="C213" t="inlineStr">
        <is>
          <t>￥16,999</t>
        </is>
      </c>
      <c r="D213" t="inlineStr">
        <is>
          <t>4.5</t>
        </is>
      </c>
      <c r="E213">
        <f>HYPERLINK("https://www.amazon.co.jp/OUKITEL-SIM%E3%83%95%E3%83%AA%E3%83%BC%E3%82%B9%E3%83%9E%E3%83%BC%E3%83%88%E3%83%95%E3%82%A9%E3%83%B3%E6%9C%AC%E4%BD%93-%E7%9C%9F%E5%AE%9F%E3%81%AA4%E5%80%8B%E3%81%AE%E3%82%AB%E3%83%A1%E3%83%A916MP-%E5%85%A8%E7%94%BB%E9%9D%A2%E8%A1%A8%E7%A4%BAandroid%E3%82%B9%E3%83%9E%E3%83%9B%E6%9C%AC%E4%BD%93-%E3%83%90%E3%83%83%E3%83%86%E3%83%AA%E3%83%BC%E3%82%AC%E3%83%A9%E3%82%B9%E8%A3%8F%E8%93%8B%E6%90%BA%E5%B8%AF%E9%9B%BB%E8%A9%B1/dp/B086VY3K3J/ref=sr_1_194_sspa?__mk_ja_JP=%E3%82%AB%E3%82%BF%E3%82%AB%E3%83%8A&amp;dchild=1&amp;keywords=Galaxy&amp;qid=1598527312&amp;sr=8-194-spons&amp;psc=1&amp;spLa=ZW5jcnlwdGVkUXVhbGlmaWVyPUExWlNMRjVQTVlPNjcyJmVuY3J5cHRlZElkPUEwOTM1OTYwM0tKT1RJTzlYMFZUWiZlbmNyeXB0ZWRBZElkPUExNlQyWlNTQkNVNlBOJndpZGdldE5hbWU9c3BfYXRmX25leHQmYWN0aW9uPWNsaWNrUmVkaXJlY3QmZG9Ob3RMb2dDbGljaz10cnVl", "Go")</f>
        <v/>
      </c>
    </row>
    <row r="214">
      <c r="A214" s="1" t="n">
        <v>212</v>
      </c>
      <c r="B214" t="inlineStr">
        <is>
          <t>ProCase Samsung Galaxy Tab E 8.0 ケース - レザースタンドフォリオ ケース カバー for Galaxy Tab E 8.0 4G LTE タブレット (Sprint、US Cellular、Verizon) SM-T377、複数の視野角度、ドキュメントカードポケット付き Galaxy Tab E 8.0 (SM-T377) Samsung Tab E case_Black</t>
        </is>
      </c>
      <c r="C214" t="inlineStr">
        <is>
          <t>￥5,682</t>
        </is>
      </c>
      <c r="D214" t="inlineStr">
        <is>
          <t>4.7</t>
        </is>
      </c>
      <c r="E214">
        <f>HYPERLINK("https://www.amazon.co.jp/ProCase-%E3%83%AC%E3%82%B6%E3%83%BC%E3%82%B9%E3%82%BF%E3%83%B3%E3%83%89%E3%83%95%E3%82%A9%E3%83%AA%E3%82%AA-Cellular%E3%80%81Verizon-SM-T377%E3%80%81%E8%A4%87%E6%95%B0%E3%81%AE%E8%A6%96%E9%87%8E%E8%A7%92%E5%BA%A6%E3%80%81%E3%83%89%E3%82%AD%E3%83%A5%E3%83%A1%E3%83%B3%E3%83%88%E3%82%AB%E3%83%BC%E3%83%89%E3%83%9D%E3%82%B1%E3%83%83%E3%83%88%E4%BB%98%E3%81%8D-case_Black/dp/B01BV2KWD0/ref=sr_1_197?__mk_ja_JP=%E3%82%AB%E3%82%BF%E3%82%AB%E3%83%8A&amp;dchild=1&amp;keywords=Galaxy&amp;qid=1598527312&amp;sr=8-197", "Go")</f>
        <v/>
      </c>
    </row>
    <row r="215">
      <c r="A215" s="1" t="n">
        <v>213</v>
      </c>
      <c r="B215" t="inlineStr">
        <is>
          <t>2019 Newset OULUOQI Airpodsシリコンケースカバー かわいいポンポンキーチェーン付き 360°保護AirPodsアクセサリー 耐衝撃ケース Apple Airpods 2 &amp; 1対応 (フロントLED表示)</t>
        </is>
      </c>
      <c r="C215" t="inlineStr">
        <is>
          <t>￥6,399</t>
        </is>
      </c>
      <c r="D215" t="inlineStr">
        <is>
          <t>4.7</t>
        </is>
      </c>
      <c r="E215">
        <f>HYPERLINK("https://www.amazon.co.jp/OULUOQI-Airpod%E3%82%B1%E3%83%BC%E3%82%B9%E7%94%A8-%E3%81%8B%E3%82%8F%E3%81%84%E3%81%84Airpods%E3%82%B1%E3%83%BC%E3%82%B9%E3%82%AB%E3%83%90%E3%83%BC-%E3%83%9D%E3%83%B3%E4%BB%98%E3%81%8D%E3%82%AD%E3%83%BC%E3%83%81%E3%82%A7%E3%83%BC%E3%83%B3%E4%BB%98%E3%81%8D-PP-Airpcase-Claret/dp/B07T492GJK/ref=sr_1_198?__mk_ja_JP=%E3%82%AB%E3%82%BF%E3%82%AB%E3%83%8A&amp;dchild=1&amp;keywords=Galaxy&amp;qid=1598527312&amp;sr=8-198", "Go")</f>
        <v/>
      </c>
    </row>
    <row r="216">
      <c r="A216" s="1" t="n">
        <v>214</v>
      </c>
      <c r="B216" t="inlineStr">
        <is>
          <t>SoloWIT イヤーパッド イヤークッション 交換用 Beats Studio 2.0＆3 Wired/Wirelessに対応 革 ヘッドフォンに適用 遮音 メモリフォーム (銀河)</t>
        </is>
      </c>
      <c r="C216" t="inlineStr">
        <is>
          <t>￥1,999</t>
        </is>
      </c>
      <c r="D216" t="inlineStr">
        <is>
          <t>4.7</t>
        </is>
      </c>
      <c r="E216">
        <f>HYPERLINK("https://www.amazon.co.jp/SoloWIT-%E3%82%A4%E3%83%A4%E3%83%BC%E3%82%AF%E3%83%83%E3%82%B7%E3%83%A7%E3%83%B3-Wireless%E3%81%AB%E5%AF%BE%E5%BF%9C-%E3%83%98%E3%83%83%E3%83%89%E3%83%95%E3%82%A9%E3%83%B3%E3%81%AB%E9%81%A9%E7%94%A8-%E3%83%A1%E3%83%A2%E3%83%AA%E3%83%95%E3%82%A9%E3%83%BC%E3%83%A0/dp/B089S6T9PC/ref=sr_1_199?__mk_ja_JP=%E3%82%AB%E3%82%BF%E3%82%AB%E3%83%8A&amp;dchild=1&amp;keywords=Galaxy&amp;qid=1598527312&amp;sr=8-199", "Go")</f>
        <v/>
      </c>
    </row>
    <row r="217">
      <c r="A217" s="1" t="n">
        <v>215</v>
      </c>
      <c r="B217" t="inlineStr">
        <is>
          <t>ドライバーセット工具XOOL80 in 1 精密ドライバーセットビットツール 修理ツール 多機能ツールキット 磁気スクリュードライバー 携帯電話 スマホ iPhone Android 修理・開腹・分解・修復 ツール メンテナンスツール オックスフォード製の収納袋付き 時計・メガネやモバイル機器修理用</t>
        </is>
      </c>
      <c r="C217" t="inlineStr">
        <is>
          <t>￥9,620</t>
        </is>
      </c>
      <c r="D217" t="inlineStr">
        <is>
          <t>4.7</t>
        </is>
      </c>
      <c r="E217">
        <f>HYPERLINK("https://www.amazon.co.jp/%E3%83%89%E3%83%A9%E3%82%A4%E3%83%90%E3%83%BC%E3%82%BB%E3%83%83%E3%83%88%E5%B7%A5%E5%85%B7XOOL80-%E7%B2%BE%E5%AF%86%E3%83%89%E3%83%A9%E3%82%A4%E3%83%90%E3%83%BC%E3%82%BB%E3%83%83%E3%83%88%E3%83%93%E3%83%83%E3%83%88%E3%83%84%E3%83%BC%E3%83%AB-%E4%BF%AE%E7%90%86%E3%83%BB%E9%96%8B%E8%85%B9%E3%83%BB%E5%88%86%E8%A7%A3%E3%83%BB%E4%BF%AE%E5%BE%A9-%E3%83%84%E3%83%BC%E3%83%AB-%E3%82%AA%E3%83%83%E3%82%AF%E3%82%B9%E3%83%95%E3%82%A9%E3%83%BC%E3%83%89%E8%A3%BD%E3%81%AE%E5%8F%8E%E7%B4%8D%E8%A2%8B%E4%BB%98%E3%81%8D-%E6%99%82%E8%A8%88%E3%83%BB%E3%83%A1%E3%82%AC%E3%83%8D%E3%82%84%E3%83%A2%E3%83%90%E3%82%A4%E3%83%AB%E6%A9%9F%E5%99%A8%E4%BF%AE%E7%90%86%E7%94%A8/dp/B0718ZM6R1/ref=sr_1_200?__mk_ja_JP=%E3%82%AB%E3%82%BF%E3%82%AB%E3%83%8A&amp;dchild=1&amp;keywords=Galaxy&amp;qid=1598527312&amp;sr=8-200", "Go")</f>
        <v/>
      </c>
    </row>
    <row r="218">
      <c r="A218" s="1" t="n">
        <v>216</v>
      </c>
      <c r="B218" t="inlineStr">
        <is>
          <t>サムスン 公式 Sペン Galaxy Note10 と Note10 + 用 Bluetooth付き ブラック EJ-PN970BBEGWW</t>
        </is>
      </c>
      <c r="C218" t="inlineStr">
        <is>
          <t>￥4,688</t>
        </is>
      </c>
      <c r="D218" t="inlineStr">
        <is>
          <t>4.7</t>
        </is>
      </c>
      <c r="E218">
        <f>HYPERLINK("https://www.amazon.co.jp/%E3%82%B5%E3%83%A0%E3%82%B9%E3%83%B3-Galaxy-Note10-Bluetooth%E4%BB%98%E3%81%8D-EJ-PN970BBEGWW/dp/B07V8KR2M8/ref=sr_1_201?__mk_ja_JP=%E3%82%AB%E3%82%BF%E3%82%AB%E3%83%8A&amp;dchild=1&amp;keywords=Galaxy&amp;qid=1598527312&amp;sr=8-201", "Go")</f>
        <v/>
      </c>
    </row>
    <row r="219">
      <c r="A219" s="1" t="n">
        <v>217</v>
      </c>
      <c r="B219" t="inlineStr">
        <is>
          <t>Xiaomi Redmi Note 8 ■ Global Version■ 128GB 4GM RAM★ 6.3インチ IPS ディスプレイ 1080 x 2340 pixels Corning Gorilla Glass 5 ■ Qualcomm SDM665 Snapdragon 665 (11 nm) ■Android 9.0 (9.0 Pieベース); MIUI 10 ■AI対応搭載カメラ 後4800万画素 +8.0MP +2.0MP+2.0MP ■前13.0MP■ 4G LTE+4G/3G 同時待受けDSDV対応■ 4000mAh Battery搭載● デュアルSIM (Nano-SIM, dual stand-by) ■グローバル版/日本語対応・Googleアプリ対応 (Black/ブラック)</t>
        </is>
      </c>
      <c r="C219" t="inlineStr">
        <is>
          <t>￥24,280</t>
        </is>
      </c>
      <c r="D219" t="inlineStr">
        <is>
          <t>4.7</t>
        </is>
      </c>
      <c r="E219">
        <f>HYPERLINK("https://www.amazon.co.jp/Snapdragon-supported-simultaneous-compatible-Compatible/dp/B07Z5YF87N/ref=sr_1_202?__mk_ja_JP=%E3%82%AB%E3%82%BF%E3%82%AB%E3%83%8A&amp;dchild=1&amp;keywords=Galaxy&amp;qid=1598527312&amp;sr=8-202", "Go")</f>
        <v/>
      </c>
    </row>
    <row r="220">
      <c r="A220" s="1" t="n">
        <v>218</v>
      </c>
      <c r="B220" t="inlineStr">
        <is>
          <t>Sandisk 64GB Extreme microSDXC U3/Class 10</t>
        </is>
      </c>
      <c r="C220" t="inlineStr">
        <is>
          <t>￥12,784</t>
        </is>
      </c>
      <c r="D220" t="inlineStr">
        <is>
          <t>4.7</t>
        </is>
      </c>
      <c r="E220">
        <f>HYPERLINK("https://www.amazon.co.jp/Sandisk-64GB-Extreme-microSDXC-Class/dp/B013CP5IWO/ref=sr_1_203?__mk_ja_JP=%E3%82%AB%E3%82%BF%E3%82%AB%E3%83%8A&amp;dchild=1&amp;keywords=Galaxy&amp;qid=1598527312&amp;sr=8-203", "Go")</f>
        <v/>
      </c>
    </row>
    <row r="221">
      <c r="A221" s="1" t="n">
        <v>219</v>
      </c>
      <c r="B221" t="inlineStr">
        <is>
          <t>Samsung MB-MC512G memory card 512 GB MicroSDXC Class 10 UHS-I</t>
        </is>
      </c>
      <c r="C221" t="inlineStr">
        <is>
          <t>￥9,999</t>
        </is>
      </c>
      <c r="D221" t="inlineStr">
        <is>
          <t>4.7</t>
        </is>
      </c>
      <c r="E221">
        <f>HYPERLINK("https://www.amazon.co.jp/dp/B07H1231S8/ref=sr_1_204?__mk_ja_JP=%E3%82%AB%E3%82%BF%E3%82%AB%E3%83%8A&amp;dchild=1&amp;keywords=Galaxy&amp;qid=1598527312&amp;sr=8-204", "Go")</f>
        <v/>
      </c>
    </row>
    <row r="222">
      <c r="A222" s="1" t="n">
        <v>220</v>
      </c>
      <c r="B222" t="inlineStr">
        <is>
          <t>Quick Charge 3.0 RAVPower 40 W 3 A車充電器アダプタwithデュアルQC USBポートfor Galaxy note8 / s8 / s8 + / s7 / s6 / Edge / Plus / Note 5 / 4、Pixel、NEXUS、HTC 10、LG v6 / v20 and More</t>
        </is>
      </c>
      <c r="C222" t="inlineStr">
        <is>
          <t>￥3,781</t>
        </is>
      </c>
      <c r="D222" t="inlineStr">
        <is>
          <t>4.7</t>
        </is>
      </c>
      <c r="E222">
        <f>HYPERLINK("https://www.amazon.co.jp/Charge-3-0-RAVPower-A%E8%BB%8A%E5%85%85%E9%9B%BB%E5%99%A8%E3%82%A2%E3%83%80%E3%83%97%E3%82%BFwith%E3%83%87%E3%83%A5%E3%82%A2%E3%83%ABQC-USB%E3%83%9D%E3%83%BC%E3%83%88for-4%E3%80%81Pixel%E3%80%81NEXUS%E3%80%81HTC/dp/B075KJ57Q1/ref=sr_1_205?__mk_ja_JP=%E3%82%AB%E3%82%BF%E3%82%AB%E3%83%8A&amp;dchild=1&amp;keywords=Galaxy&amp;qid=1598527312&amp;sr=8-205", "Go")</f>
        <v/>
      </c>
    </row>
    <row r="223">
      <c r="A223" s="1" t="n">
        <v>221</v>
      </c>
      <c r="B223" t="inlineStr">
        <is>
          <t>4K HDMIケーブル 高速HDMIケーブル 2m IVANKY-HD02</t>
        </is>
      </c>
      <c r="C223" t="inlineStr">
        <is>
          <t>￥8,657</t>
        </is>
      </c>
      <c r="D223" t="inlineStr">
        <is>
          <t>4.7</t>
        </is>
      </c>
      <c r="E223">
        <f>HYPERLINK("https://www.amazon.co.jp/4K-HDMI%E3%82%B1%E3%83%BC%E3%83%96%E3%83%AB-%E9%AB%98%E9%80%9FHDMI%E3%82%B1%E3%83%BC%E3%83%96%E3%83%AB-2m-IVANKY-HD02/dp/B07M89LV8J/ref=sr_1_206?__mk_ja_JP=%E3%82%AB%E3%82%BF%E3%82%AB%E3%83%8A&amp;dchild=1&amp;keywords=Galaxy&amp;qid=1598527312&amp;sr=8-206", "Go")</f>
        <v/>
      </c>
    </row>
    <row r="224">
      <c r="A224" s="1" t="n">
        <v>222</v>
      </c>
      <c r="B224" t="inlineStr">
        <is>
          <t>Enerlites 8821 デュプレックス アウトレット ウォール プレート 1 Gang FBA_8821-W</t>
        </is>
      </c>
      <c r="C224" t="inlineStr">
        <is>
          <t>￥3,796</t>
        </is>
      </c>
      <c r="D224" t="inlineStr">
        <is>
          <t>4.7</t>
        </is>
      </c>
      <c r="E224">
        <f>HYPERLINK("https://www.amazon.co.jp/Enerlites-8821-%E3%83%87%E3%83%A5%E3%83%97%E3%83%AC%E3%83%83%E3%82%AF%E3%82%B9-%E3%82%A2%E3%82%A6%E3%83%88%E3%83%AC%E3%83%83%E3%83%88-FBA_8821-W/dp/B01LZV1Y3L/ref=sr_1_207?__mk_ja_JP=%E3%82%AB%E3%82%BF%E3%82%AB%E3%83%8A&amp;dchild=1&amp;keywords=Galaxy&amp;qid=1598527312&amp;sr=8-207", "Go")</f>
        <v/>
      </c>
    </row>
    <row r="225">
      <c r="A225" s="1" t="n">
        <v>223</v>
      </c>
      <c r="B225" t="inlineStr">
        <is>
          <t>LK【3枚セット】iPhone 11 Pro Max 6.5" / iPhone XS Max 用 強化ガラス液晶保護フィルム 6.5インチ対応【業界最高硬度9H/高透過率/飛散防止/気泡防止/3Dタッチ対応】アイフォン2019 pro max ガラスフィルム 2019先端技術【ガイド枠付き】</t>
        </is>
      </c>
      <c r="C225" t="inlineStr">
        <is>
          <t>￥999</t>
        </is>
      </c>
      <c r="D225" t="inlineStr">
        <is>
          <t>4.7</t>
        </is>
      </c>
      <c r="E225">
        <f>HYPERLINK("https://www.amazon.co.jp/LK%E3%80%903%E6%9E%9A%E3%82%BB%E3%83%83%E3%83%88%E3%80%91iPhone-iPhone-6-5%E3%82%A4%E3%83%B3%E3%83%81%E5%AF%BE%E5%BF%9C%E3%80%90%E6%A5%AD%E7%95%8C%E6%9C%80%E9%AB%98%E7%A1%AC%E5%BA%A69H-3D%E3%82%BF%E3%83%83%E3%83%81%E5%AF%BE%E5%BF%9C%E3%80%91%E3%82%A2%E3%82%A4%E3%83%95%E3%82%A9%E3%83%B32019-2019%E5%85%88%E7%AB%AF%E6%8A%80%E8%A1%93%E3%80%90%E3%82%AC%E3%82%A4%E3%83%89%E6%9E%A0%E4%BB%98%E3%81%8D%E3%80%91/dp/B07X2WQX7J/ref=sr_1_208?__mk_ja_JP=%E3%82%AB%E3%82%BF%E3%82%AB%E3%83%8A&amp;dchild=1&amp;keywords=Galaxy&amp;qid=1598527312&amp;sr=8-208", "Go")</f>
        <v/>
      </c>
    </row>
    <row r="226">
      <c r="A226" s="1" t="n">
        <v>224</v>
      </c>
      <c r="B226" t="inlineStr">
        <is>
          <t>Elegante Tricolor 【Galaxy A7 SM-A750C】 ケース 手帳型 【03.ソレイユ】 カード収納 ミラー付き チャーム付き マグネット内蔵 全6色</t>
        </is>
      </c>
      <c r="C226" t="inlineStr">
        <is>
          <t>￥2,980</t>
        </is>
      </c>
      <c r="D226" t="inlineStr">
        <is>
          <t>4.4</t>
        </is>
      </c>
      <c r="E226">
        <f>HYPERLINK("https://www.amazon.co.jp/Elegante-Tricolor-%E3%80%90Galaxy-%E3%80%9003-%E3%82%BD%E3%83%AC%E3%82%A4%E3%83%A6%E3%80%91-%E3%83%9E%E3%82%B0%E3%83%8D%E3%83%83%E3%83%88%E5%86%85%E8%94%B5/dp/B082CKWRS8/ref=sr_1_210_sspa?__mk_ja_JP=%E3%82%AB%E3%82%BF%E3%82%AB%E3%83%8A&amp;dchild=1&amp;keywords=Galaxy&amp;qid=1598527312&amp;sr=8-210-spons&amp;psc=1&amp;spLa=ZW5jcnlwdGVkUXVhbGlmaWVyPUExWlNMRjVQTVlPNjcyJmVuY3J5cHRlZElkPUEwOTM1OTYwM0tKT1RJTzlYMFZUWiZlbmNyeXB0ZWRBZElkPUEyRk5RV0M2OU1DVFpVJndpZGdldE5hbWU9c3BfbXRmJmFjdGlvbj1jbGlja1JlZGlyZWN0JmRvTm90TG9nQ2xpY2s9dHJ1ZQ==", "Go")</f>
        <v/>
      </c>
    </row>
    <row r="227">
      <c r="A227" s="1" t="n">
        <v>225</v>
      </c>
      <c r="B227" t="inlineStr">
        <is>
          <t>ProCase Galaxy Tab A 10.1 ケース 2019 モデル T510 T515 T517 - スタンドフォリオケースカバー Galaxy Tab A 10.1 インチ 2019 タブレット SM-T510 SM-T515 SM-T517 Galaxy Tab A 10.1 (SM-T510 SM-T515 SM-T517) PC-08361716</t>
        </is>
      </c>
      <c r="C227" t="inlineStr">
        <is>
          <t>￥6,545</t>
        </is>
      </c>
      <c r="D227" t="inlineStr">
        <is>
          <t>4.7</t>
        </is>
      </c>
      <c r="E227">
        <f>HYPERLINK("https://www.amazon.co.jp/ProCase-Galaxy-10-1-2019-T510/dp/B07SPTKFML/ref=sr_1_212?__mk_ja_JP=%E3%82%AB%E3%82%BF%E3%82%AB%E3%83%8A&amp;dchild=1&amp;keywords=Galaxy&amp;qid=1598527312&amp;sr=8-212", "Go")</f>
        <v/>
      </c>
    </row>
    <row r="228">
      <c r="A228" s="1" t="n">
        <v>226</v>
      </c>
      <c r="B228" t="inlineStr">
        <is>
          <t>Silk iPhone X ウォレット ケース - ヴォールト 保護 クレジットカード iPhone 10 グリップ カバー - ウォレット スレイヤー Vol.1 - ブラックオニキス</t>
        </is>
      </c>
      <c r="C228" t="inlineStr">
        <is>
          <t>￥7,077</t>
        </is>
      </c>
      <c r="D228" t="inlineStr">
        <is>
          <t>4.7</t>
        </is>
      </c>
      <c r="E228">
        <f>HYPERLINK("https://www.amazon.co.jp/Silk-iPhone-%E3%82%A6%E3%82%A9%E3%83%AC%E3%83%83%E3%83%88-%E3%82%B1%E3%83%BC%E3%82%B9-%E3%82%AF%E3%83%AC%E3%82%B8%E3%83%83%E3%83%88%E3%82%AB%E3%83%BC%E3%83%89/dp/B073V75W3M/ref=sr_1_213?__mk_ja_JP=%E3%82%AB%E3%82%BF%E3%82%AB%E3%83%8A&amp;dchild=1&amp;keywords=Galaxy&amp;qid=1598527312&amp;sr=8-213", "Go")</f>
        <v/>
      </c>
    </row>
    <row r="229">
      <c r="A229" s="1" t="n">
        <v>227</v>
      </c>
      <c r="B229" t="inlineStr">
        <is>
          <t>FlePow マグネット式携帯電話 車載マウント ユニバーサル 360°回転 マグネット式ダッシュボード携帯電話ホルダー iPhone 11 Pro Max Xr Xs 8 7 6S Se Galaxy Note 10 Plus S10+ 9 8 7 5G 全スマートフォン対応</t>
        </is>
      </c>
      <c r="C229" t="inlineStr">
        <is>
          <t>￥24,440</t>
        </is>
      </c>
      <c r="D229" t="inlineStr">
        <is>
          <t>4.7</t>
        </is>
      </c>
      <c r="E229">
        <f>HYPERLINK("https://www.amazon.co.jp/FlePow-%E3%83%9E%E3%82%B0%E3%83%8D%E3%83%83%E3%83%88%E5%BC%8F%E6%90%BA%E5%B8%AF%E9%9B%BB%E8%A9%B1-%E8%BB%8A%E8%BC%89%E3%83%9E%E3%82%A6%E3%83%B3%E3%83%88-%E3%83%9E%E3%82%B0%E3%83%8D%E3%83%83%E3%83%88%E5%BC%8F%E3%83%80%E3%83%83%E3%82%B7%E3%83%A5%E3%83%9C%E3%83%BC%E3%83%89%E6%90%BA%E5%B8%AF%E9%9B%BB%E8%A9%B1%E3%83%9B%E3%83%AB%E3%83%80%E3%83%BC-%E5%85%A8%E3%82%B9%E3%83%9E%E3%83%BC%E3%83%88%E3%83%95%E3%82%A9%E3%83%B3%E5%AF%BE%E5%BF%9C/dp/B07WRL8V4D/ref=sr_1_214?__mk_ja_JP=%E3%82%AB%E3%82%BF%E3%82%AB%E3%83%8A&amp;dchild=1&amp;keywords=Galaxy&amp;qid=1598527312&amp;sr=8-214", "Go")</f>
        <v/>
      </c>
    </row>
    <row r="230">
      <c r="A230" s="1" t="n">
        <v>228</v>
      </c>
      <c r="B230" t="inlineStr">
        <is>
          <t>【二個セット】Nimaso USB Type C to USB 3.0 変換アダプタ 20CM【5Gbps高速データ転送 OTG機能付き】MacBook Pro Sony Xperia XZ/XZ2 Samsung など対応 (グレー)</t>
        </is>
      </c>
      <c r="C230" t="inlineStr">
        <is>
          <t>￥999</t>
        </is>
      </c>
      <c r="D230" t="inlineStr">
        <is>
          <t>4.7</t>
        </is>
      </c>
      <c r="E230">
        <f>HYPERLINK("https://www.amazon.co.jp/%E3%80%90%E4%BA%8C%E5%80%8B%E3%82%BB%E3%83%83%E3%83%88%E3%80%91Nimaso-%E5%A4%89%E6%8F%9B%E3%82%A2%E3%83%80%E3%83%97%E3%82%BF-20CM%E3%80%905Gbps%E9%AB%98%E9%80%9F%E3%83%87%E3%83%BC%E3%82%BF%E8%BB%A2%E9%80%81-OTG%E6%A9%9F%E8%83%BD%E4%BB%98%E3%81%8D%E3%80%91MacBook-Samsung/dp/B07TJ38SDW/ref=sr_1_215?__mk_ja_JP=%E3%82%AB%E3%82%BF%E3%82%AB%E3%83%8A&amp;dchild=1&amp;keywords=Galaxy&amp;qid=1598527312&amp;sr=8-215", "Go")</f>
        <v/>
      </c>
    </row>
    <row r="231">
      <c r="A231" s="1" t="n">
        <v>229</v>
      </c>
      <c r="B231" t="inlineStr">
        <is>
          <t>【HOOMIL】Galaxy S10 ケース 手帳型 S10 ケース ギャラクシーs10ケース 財布型 カバー 高級PU レザー 薄型 手触りや風合い抜群 耐衝撃 カード収納 サイドマグネット式 全面保護 ブラック</t>
        </is>
      </c>
      <c r="C231" t="inlineStr">
        <is>
          <t>￥1,329</t>
        </is>
      </c>
      <c r="D231" t="inlineStr">
        <is>
          <t>4.7</t>
        </is>
      </c>
      <c r="E231">
        <f>HYPERLINK("https://www.amazon.co.jp/%E3%80%90HOOMIL%E3%80%91Galaxy-%E3%82%AE%E3%83%A3%E3%83%A9%E3%82%AF%E3%82%B7%E3%83%BCs10%E3%82%B1%E3%83%BC%E3%82%B9-%E6%89%8B%E8%A7%A6%E3%82%8A%E3%82%84%E9%A2%A8%E5%90%88%E3%81%84%E6%8A%9C%E7%BE%A4-%E3%82%AB%E3%83%BC%E3%83%89%E5%8F%8E%E7%B4%8D-%E3%82%B5%E3%82%A4%E3%83%89%E3%83%9E%E3%82%B0%E3%83%8D%E3%83%83%E3%83%88%E5%BC%8F/dp/B07MLYVPWT/ref=sr_1_216?__mk_ja_JP=%E3%82%AB%E3%82%BF%E3%82%AB%E3%83%8A&amp;dchild=1&amp;keywords=Galaxy&amp;qid=1598527312&amp;sr=8-216", "Go")</f>
        <v/>
      </c>
    </row>
    <row r="232">
      <c r="A232" s="1" t="n">
        <v>230</v>
      </c>
      <c r="B232" t="inlineStr">
        <is>
          <t>サンディスク SDHCカード UHS-1 32GB SDSDUNR-032G-GN6IN 海外パッケージ</t>
        </is>
      </c>
      <c r="C232" t="inlineStr">
        <is>
          <t>￥799</t>
        </is>
      </c>
      <c r="D232" t="inlineStr">
        <is>
          <t>4.7</t>
        </is>
      </c>
      <c r="E232">
        <f>HYPERLINK("https://www.amazon.co.jp/%E3%82%B5%E3%83%B3%E3%83%87%E3%82%A3%E3%82%B9%E3%82%AF-SDHC%E3%82%AB%E3%83%BC%E3%83%89-UHS-1-SDSDUNR-032G-GN6IN-%E6%B5%B7%E5%A4%96%E3%83%91%E3%83%83%E3%82%B1%E3%83%BC%E3%82%B8/dp/B07YFG7T8F/ref=sr_1_217?__mk_ja_JP=%E3%82%AB%E3%82%BF%E3%82%AB%E3%83%8A&amp;dchild=1&amp;keywords=Galaxy&amp;qid=1598527312&amp;sr=8-217", "Go")</f>
        <v/>
      </c>
    </row>
    <row r="233">
      <c r="A233" s="1" t="n">
        <v>231</v>
      </c>
      <c r="B233" t="inlineStr">
        <is>
          <t>LABELMAKER,P-TOUCH TZE,WH</t>
        </is>
      </c>
      <c r="C233" t="inlineStr">
        <is>
          <t>￥7,604</t>
        </is>
      </c>
      <c r="D233" t="inlineStr">
        <is>
          <t>4.7</t>
        </is>
      </c>
      <c r="E233">
        <f>HYPERLINK("https://www.amazon.co.jp/PTD400AD-LABELMAKER-P-TOUCH-TZE-WH/dp/B00LV8QI9M/ref=sr_1_218?__mk_ja_JP=%E3%82%AB%E3%82%BF%E3%82%AB%E3%83%8A&amp;dchild=1&amp;keywords=Galaxy&amp;qid=1598527312&amp;sr=8-218", "Go")</f>
        <v/>
      </c>
    </row>
    <row r="234">
      <c r="A234" s="1" t="n">
        <v>232</v>
      </c>
      <c r="B234" t="inlineStr">
        <is>
          <t>【Ringke】Galaxy A50 ケース (2019) 対応 コスパ最高 ストラップホール 落下衝撃吸収 スマホケース [米軍MIL規格取得] TPU PC 2重構造 スマホケース 吸収耐衝撃カバー 背面クリア Fusion-X (Black/ブラック) A50 ケース</t>
        </is>
      </c>
      <c r="C234" t="inlineStr">
        <is>
          <t>￥1,399</t>
        </is>
      </c>
      <c r="D234" t="inlineStr">
        <is>
          <t>4.7</t>
        </is>
      </c>
      <c r="E234">
        <f>HYPERLINK("https://www.amazon.co.jp/Galaxy-A7-A20-30-40-M30-Fusion-X-Variation/dp/B07Q38XLLX/ref=sr_1_219?__mk_ja_JP=%E3%82%AB%E3%82%BF%E3%82%AB%E3%83%8A&amp;dchild=1&amp;keywords=Galaxy&amp;qid=1598527312&amp;sr=8-219", "Go")</f>
        <v/>
      </c>
    </row>
    <row r="235">
      <c r="A235" s="1" t="n">
        <v>233</v>
      </c>
      <c r="B235" t="inlineStr">
        <is>
          <t>Case Logic ネットブック／iPad用アタッシュケース 10.2インチＰＣ対応 VNA-210J-BK（ブラック）</t>
        </is>
      </c>
      <c r="C235" t="inlineStr">
        <is>
          <t>￥5,388</t>
        </is>
      </c>
      <c r="D235" t="inlineStr">
        <is>
          <t>4.7</t>
        </is>
      </c>
      <c r="E235">
        <f>HYPERLINK("https://www.amazon.co.jp/Case-Logic-%E3%83%8D%E3%83%83%E3%83%88%E3%83%96%E3%83%83%E3%82%AF%EF%BC%8FiPad%E7%94%A8%E3%82%A2%E3%82%BF%E3%83%83%E3%82%B7%E3%83%A5%E3%82%B1%E3%83%BC%E3%82%B9-10-2%E3%82%A4%E3%83%B3%E3%83%81%EF%BC%B0%EF%BC%A3%E5%AF%BE%E5%BF%9C-VNA-210J-BK%EF%BC%88%E3%83%96%E3%83%A9%E3%83%83%E3%82%AF%EF%BC%89/dp/B002STX2ZG/ref=sr_1_220?__mk_ja_JP=%E3%82%AB%E3%82%BF%E3%82%AB%E3%83%8A&amp;dchild=1&amp;keywords=Galaxy&amp;qid=1598527312&amp;sr=8-220", "Go")</f>
        <v/>
      </c>
    </row>
    <row r="236">
      <c r="A236" s="1" t="n">
        <v>234</v>
      </c>
      <c r="B236" t="inlineStr">
        <is>
          <t>ProCase Samsung Galaxy Tab A 10.1 Sペン付き用 ケース スタンド 折り畳み式カバー Galaxy Tab A 10.1インチ タブレット Sペン付き SM-T580 複数の鑑賞角度 書類・名刺用ポケット付き Galaxy Tab A 10.1 with S Pen (SM-P580) PC-08360777</t>
        </is>
      </c>
      <c r="C236" t="inlineStr">
        <is>
          <t>￥11,507</t>
        </is>
      </c>
      <c r="D236" t="inlineStr">
        <is>
          <t>4.7</t>
        </is>
      </c>
      <c r="E236">
        <f>HYPERLINK("https://www.amazon.co.jp/ProCase-Samsung-%E6%8A%98%E3%82%8A%E7%95%B3%E3%81%BF%E5%BC%8F%E3%82%AB%E3%83%90%E3%83%BC-%E6%9B%B8%E9%A1%9E%E3%83%BB%E5%90%8D%E5%88%BA%E7%94%A8%E3%83%9D%E3%82%B1%E3%83%83%E3%83%88%E4%BB%98%E3%81%8D-PC-08360777/dp/B078SMFLPF/ref=sr_1_221?__mk_ja_JP=%E3%82%AB%E3%82%BF%E3%82%AB%E3%83%8A&amp;dchild=1&amp;keywords=Galaxy&amp;qid=1598527312&amp;sr=8-221", "Go")</f>
        <v/>
      </c>
    </row>
    <row r="237">
      <c r="A237" s="1" t="n">
        <v>235</v>
      </c>
      <c r="B237" t="inlineStr">
        <is>
          <t>(ザ・フレンドリー・スウェード) The Friendly Swede ハイブリッドスタイラスペン3点セット 交換可能なマイクロニットチップ ストラップ・クロス・交換用チップ付き ST06121-1DE</t>
        </is>
      </c>
      <c r="C237" t="inlineStr">
        <is>
          <t>￥3,391</t>
        </is>
      </c>
      <c r="D237" t="inlineStr">
        <is>
          <t>4.7</t>
        </is>
      </c>
      <c r="E237">
        <f>HYPERLINK("https://www.amazon.co.jp/Friendly-Swede-%E3%83%8F%E3%82%A4%E3%83%96%E3%83%AA%E3%83%83%E3%83%89%E3%82%B9%E3%82%BF%E3%82%A4%E3%83%A9%E3%82%B9%E3%83%9A%E3%83%B33%E7%82%B9%E3%82%BB%E3%83%83%E3%83%88-%E3%82%B9%E3%83%88%E3%83%A9%E3%83%83%E3%83%97%E3%83%BB%E3%82%AF%E3%83%AD%E3%82%B9%E3%83%BB%E4%BA%A4%E6%8F%9B%E7%94%A8%E3%83%81%E3%83%83%E3%83%97%E4%BB%98%E3%81%8D-ST06121-1DE/dp/B00K4NVS3G/ref=sr_1_222?__mk_ja_JP=%E3%82%AB%E3%82%BF%E3%82%AB%E3%83%8A&amp;dchild=1&amp;keywords=Galaxy&amp;qid=1598527312&amp;sr=8-222", "Go")</f>
        <v/>
      </c>
    </row>
    <row r="238">
      <c r="A238" s="1" t="n">
        <v>236</v>
      </c>
      <c r="B238" t="inlineStr">
        <is>
          <t>GalaxyNote9 ガラスフィルム ギャラクシーノート9 保護ガラス Note9 液晶保護フィルム SC-01L ガラス ノート9 フィルム SCV40 強化ガラス ふぃるむ 【改良型/全面保護/干渉しない/貼り付け簡単/気泡ゼロ/高感度タッチ/透過率98%】【1枚セット】</t>
        </is>
      </c>
      <c r="C238" t="inlineStr">
        <is>
          <t>￥1,399</t>
        </is>
      </c>
      <c r="D238" t="inlineStr">
        <is>
          <t>4.4</t>
        </is>
      </c>
      <c r="E238">
        <f>HYPERLINK("https://www.amazon.co.jp/GalaxyNote9-%E3%82%AE%E3%83%A3%E3%83%A9%E3%82%AF%E3%82%B7%E3%83%BC%E3%83%8E%E3%83%BC%E3%83%889-Note9-%E5%BC%B7%E5%8C%96%E3%82%AC%E3%83%A9%E3%82%B9-%E9%80%8F%E9%81%8E%E7%8E%8798-%E3%80%91%E3%80%901%E6%9E%9A%E3%82%BB%E3%83%83%E3%83%88%E3%80%91/dp/B08D9B4DKK/ref=sr_1_223?__mk_ja_JP=%E3%82%AB%E3%82%BF%E3%82%AB%E3%83%8A&amp;dchild=1&amp;keywords=Galaxy&amp;qid=1598527312&amp;sr=8-223", "Go")</f>
        <v/>
      </c>
    </row>
    <row r="239">
      <c r="A239" s="1" t="n">
        <v>237</v>
      </c>
      <c r="B239" t="inlineStr">
        <is>
          <t>Galaxy A7 ケース リング付き 薄型 PC 耐衝撃 指紋防止 耐磨 擦り傷防止 軽量 車載ホルダー対応 レンズ保護 衝撃吸収 Galaxy A7 2018版 スマートフォンケース (Galaxy A7ケースブラック)</t>
        </is>
      </c>
      <c r="C239" t="inlineStr">
        <is>
          <t>￥1,480</t>
        </is>
      </c>
      <c r="D239" t="inlineStr">
        <is>
          <t>4</t>
        </is>
      </c>
      <c r="E239">
        <f>HYPERLINK("https://www.amazon.co.jp/Galaxy-%E3%83%AA%E3%83%B3%E3%82%B0%E4%BB%98%E3%81%8D-%E8%BB%8A%E8%BC%89%E3%83%9B%E3%83%AB%E3%83%80%E3%83%BC%E5%AF%BE%E5%BF%9C-%E3%82%B9%E3%83%9E%E3%83%BC%E3%83%88%E3%83%95%E3%82%A9%E3%83%B3%E3%82%B1%E3%83%BC%E3%82%B9-A7%E3%82%B1%E3%83%BC%E3%82%B9%E3%83%96%E3%83%A9%E3%83%83%E3%82%AF/dp/B089SJPF6J/ref=sr_1_224_sspa?__mk_ja_JP=%E3%82%AB%E3%82%BF%E3%82%AB%E3%83%8A&amp;dchild=1&amp;keywords=Galaxy&amp;qid=1598527312&amp;sr=8-224-spons&amp;psc=1&amp;spLa=ZW5jcnlwdGVkUXVhbGlmaWVyPUExWlNMRjVQTVlPNjcyJmVuY3J5cHRlZElkPUEwOTM1OTYwM0tKT1RJTzlYMFZUWiZlbmNyeXB0ZWRBZElkPUEzSlJKWDEySkZXNVRBJndpZGdldE5hbWU9c3BfbXRmJmFjdGlvbj1jbGlja1JlZGlyZWN0JmRvTm90TG9nQ2xpY2s9dHJ1ZQ==", "Go")</f>
        <v/>
      </c>
    </row>
    <row r="240">
      <c r="A240" s="1" t="n">
        <v>238</v>
      </c>
      <c r="B240" t="inlineStr">
        <is>
          <t>「PITAKA」MagEZ Case Galaxy S20+ 対応 ケース アラミド繊維製 高級なカーボン風 超薄(0.85mm) 超軽量(15g) 耐衝撃 6.7インチ ミニマリスト シンプル デザイン ワイヤレス充電 対応 カバー (黒/グレ－ツイル柄)</t>
        </is>
      </c>
      <c r="C240" t="inlineStr">
        <is>
          <t>￥5,499</t>
        </is>
      </c>
      <c r="D240" t="inlineStr">
        <is>
          <t>4.6</t>
        </is>
      </c>
      <c r="E240">
        <f>HYPERLINK("https://www.amazon.co.jp/%E3%80%8CPITAKA%E3%80%8DMagEZ-%E3%82%A2%E3%83%A9%E3%83%9F%E3%83%89%E7%B9%8A%E7%B6%AD%E8%A3%BD-%E9%AB%98%E7%B4%9A%E3%81%AA%E3%82%AB%E3%83%BC%E3%83%9C%E3%83%B3%E9%A2%A8-%E3%83%AF%E3%82%A4%E3%83%A4%E3%83%AC%E3%82%B9%E5%85%85%E9%9B%BB-%E3%82%B0%E3%83%AC%EF%BC%8D%E3%83%84%E3%82%A4%E3%83%AB%E6%9F%84/dp/B084VFJMQ7/ref=sr_1_225_sspa?__mk_ja_JP=%E3%82%AB%E3%82%BF%E3%82%AB%E3%83%8A&amp;dchild=1&amp;keywords=Galaxy&amp;qid=1598527312&amp;sr=8-225-spons&amp;psc=1&amp;spLa=ZW5jcnlwdGVkUXVhbGlmaWVyPUExWlNMRjVQTVlPNjcyJmVuY3J5cHRlZElkPUEwOTM1OTYwM0tKT1RJTzlYMFZUWiZlbmNyeXB0ZWRBZElkPUEzMkVPUEtHMUtWMEMxJndpZGdldE5hbWU9c3BfbXRmJmFjdGlvbj1jbGlja1JlZGlyZWN0JmRvTm90TG9nQ2xpY2s9dHJ1ZQ==", "Go")</f>
        <v/>
      </c>
    </row>
    <row r="241">
      <c r="A241" s="1" t="n">
        <v>239</v>
      </c>
      <c r="B241" t="inlineStr">
        <is>
          <t>Galaxy S9 ケース 手帳型 ギャラクシーs9 ケース - HOOMIL カード収納 サイドマグネット式 手触りや風合い抜群 耐衝撃 高級PU レザー スマホケース 全面保護 ブラック</t>
        </is>
      </c>
      <c r="C241" t="inlineStr">
        <is>
          <t>￥1,680</t>
        </is>
      </c>
      <c r="D241" t="inlineStr">
        <is>
          <t>4.7</t>
        </is>
      </c>
      <c r="E241">
        <f>HYPERLINK("https://www.amazon.co.jp/HOOMIL-Samsung-Galaxy-%E6%89%8B%E8%A7%A6%E3%82%8A%E3%82%84%E9%A2%A8%E5%90%88%E3%81%84%E6%8A%9C%E7%BE%A4-%E3%82%B5%E3%82%A4%E3%83%89%E3%83%9E%E3%82%B0%E3%83%8D%E3%83%83%E3%83%88%E5%BC%8F/dp/B07B8578Y2/ref=sr_1_227?__mk_ja_JP=%E3%82%AB%E3%82%BF%E3%82%AB%E3%83%8A&amp;dchild=1&amp;keywords=Galaxy&amp;qid=1598527312&amp;sr=8-227", "Go")</f>
        <v/>
      </c>
    </row>
    <row r="242">
      <c r="A242" s="1" t="n">
        <v>240</v>
      </c>
      <c r="B242" t="inlineStr">
        <is>
          <t>Apple Watch Series 5(GPSモデル)- 44mmスペースグレイアルミニウムケースとブラックスポーツバンド - S/M &amp; M/L</t>
        </is>
      </c>
      <c r="C242" t="inlineStr">
        <is>
          <t>￥50,360</t>
        </is>
      </c>
      <c r="D242" t="inlineStr">
        <is>
          <t>4.7</t>
        </is>
      </c>
      <c r="E242">
        <f>HYPERLINK("https://www.amazon.co.jp/Apple-%E3%82%A2%E3%83%83%E3%83%97%E3%83%AB-MWVF2J-GPS%E3%83%A2%E3%83%87%E3%83%AB-44mm%E3%82%B9%E3%83%9A%E3%83%BC%E3%82%B9%E3%82%B0%E3%83%AC%E3%82%A4%E3%82%A2%E3%83%AB%E3%83%9F%E3%83%8B%E3%82%A6%E3%83%A0%E3%82%B1%E3%83%BC%E3%82%B9%E3%81%A8%E3%83%96%E3%83%A9%E3%83%83%E3%82%AF%E3%82%B9%E3%83%9D%E3%83%BC%E3%83%84%E3%83%90%E3%83%B3%E3%83%89/dp/B07NLL4V8P/ref=sr_1_228?__mk_ja_JP=%E3%82%AB%E3%82%BF%E3%82%AB%E3%83%8A&amp;dchild=1&amp;keywords=Galaxy&amp;qid=1598527312&amp;sr=8-228", "Go")</f>
        <v/>
      </c>
    </row>
    <row r="243">
      <c r="A243" s="1" t="n">
        <v>241</v>
      </c>
      <c r="B243" t="inlineStr">
        <is>
          <t>Amplim 32GB microSD SDHC メモリーカード 2枚パック アダプター付き（Class 10 U1 UHS-I V10 A1 microSD HC エクストリームプロ）32GBx2 超高速 667倍速 100MB/秒 UHS-1 携帯電話/タブレット/カメラ向け TF microSDHC フラッシュメモリー U1 ブラック</t>
        </is>
      </c>
      <c r="C243" t="inlineStr">
        <is>
          <t>￥4,695</t>
        </is>
      </c>
      <c r="D243" t="inlineStr">
        <is>
          <t>4.7</t>
        </is>
      </c>
      <c r="E243">
        <f>HYPERLINK("https://www.amazon.co.jp/2-x-Amplim-32-GB-microSDXC%E3%82%AB%E3%83%BC%E3%83%89with%E3%82%A2%E3%83%80%E3%83%97%E3%82%BF-%E3%83%96%E3%83%A9%E3%83%83%E3%82%AF/dp/B07932SPXV/ref=sr_1_229?__mk_ja_JP=%E3%82%AB%E3%82%BF%E3%82%AB%E3%83%8A&amp;dchild=1&amp;keywords=Galaxy&amp;qid=1598527312&amp;sr=8-229", "Go")</f>
        <v/>
      </c>
    </row>
    <row r="244">
      <c r="A244" s="1" t="n">
        <v>242</v>
      </c>
      <c r="B244" t="inlineStr">
        <is>
          <t>モバイルバッテリー 軽量 小型 13800mAh 大容量 LED ライト付き 急速充電 コンパクト LCD残量表示 【PSE認証済】 充電バッテリー 持ち運び便利 携帯バッテリー スマホ 2USB入力ポート 2USB出力ポート iPhone/Android/docomo/softbank/au 各種対応 出張 旅行 地震防災 アウトドア活動</t>
        </is>
      </c>
      <c r="C244" t="inlineStr">
        <is>
          <t>￥2,310</t>
        </is>
      </c>
      <c r="D244" t="inlineStr">
        <is>
          <t>4.7</t>
        </is>
      </c>
      <c r="E244">
        <f>HYPERLINK("https://www.amazon.co.jp/%E3%83%A2%E3%83%90%E3%82%A4%E3%83%AB%E3%83%90%E3%83%83%E3%83%86%E3%83%AA%E3%83%BC-13800mAh-%E3%80%90PSE%E8%AA%8D%E8%A8%BC%E6%B8%88%E3%80%91-2USB%E5%85%A5%E5%8A%9B%E3%83%9D%E3%83%BC%E3%83%88-2USB%E5%87%BA%E5%8A%9B%E3%83%9D%E3%83%BC%E3%83%88/dp/B07X64THC5/ref=sr_1_230?__mk_ja_JP=%E3%82%AB%E3%82%BF%E3%82%AB%E3%83%8A&amp;dchild=1&amp;keywords=Galaxy&amp;qid=1598527312&amp;sr=8-230", "Go")</f>
        <v/>
      </c>
    </row>
    <row r="245">
      <c r="A245" s="1" t="n">
        <v>243</v>
      </c>
      <c r="B245" t="inlineStr">
        <is>
          <t>SAIJI タブレットスタンドホルダー 高さ調節可能 360度回転 アルミニウム合金クレードルマウントドック 4.7～12.9インチ iPhone Samsung iPad Nintendo Switch Kindle、eBookリーダー用 シルバー 5258022031</t>
        </is>
      </c>
      <c r="C245" t="inlineStr">
        <is>
          <t>￥13,317</t>
        </is>
      </c>
      <c r="D245" t="inlineStr">
        <is>
          <t>4.7</t>
        </is>
      </c>
      <c r="E245">
        <f>HYPERLINK("https://www.amazon.co.jp/Saiji-%E3%82%BF%E3%83%96%E3%83%AC%E3%83%83%E3%83%88%E3%82%B9%E3%82%BF%E3%83%B3%E3%83%89%E3%83%9B%E3%83%AB%E3%83%80%E3%83%BC-%E3%82%AF%E3%83%AC%E3%83%BC%E3%83%89%E3%83%AB%E3%83%9E%E3%82%A6%E3%83%B3%E3%83%88%E3%83%89%E3%83%83%E3%82%AF-4-7%EF%BD%9E12-9%E3%82%A4%E3%83%B3%E3%83%81%E3%81%AEiPhone-%E9%9B%BB%E5%AD%90%E6%9B%B8%E7%B1%8D%E3%83%AA%E3%83%BC%E3%83%80%E3%83%BC%E7%94%A8/dp/B07GR37JY1/ref=sr_1_231?__mk_ja_JP=%E3%82%AB%E3%82%BF%E3%82%AB%E3%83%8A&amp;dchild=1&amp;keywords=Galaxy&amp;qid=1598527312&amp;sr=8-231", "Go")</f>
        <v/>
      </c>
    </row>
    <row r="246">
      <c r="A246" s="1" t="n">
        <v>244</v>
      </c>
      <c r="B246" t="inlineStr">
        <is>
          <t>VAVA マグネット式携帯電話カーマウント 車載用マグネット式携帯電話ホルダー 車載用携帯電話用マグネット iPhone SE 11 Pro XS Max XR X 8 7 Plus Samsung S20 S10などに対応</t>
        </is>
      </c>
      <c r="C246" t="inlineStr">
        <is>
          <t>￥1,899</t>
        </is>
      </c>
      <c r="D246" t="inlineStr">
        <is>
          <t>4.7</t>
        </is>
      </c>
      <c r="E246">
        <f>HYPERLINK("https://www.amazon.co.jp/VAVA-%E3%83%9E%E3%82%B0%E3%83%8D%E3%83%83%E3%83%88%E5%BC%8F%E6%90%BA%E5%B8%AF%E9%9B%BB%E8%A9%B1-%E8%BB%8A%E8%BC%89%E3%83%9B%E3%83%AB%E3%83%80%E3%83%BC-%E8%BB%8A%E8%BC%89%E9%9B%BB%E8%A9%B1%E3%83%9E%E3%82%A6%E3%83%B3%E3%83%88-%E6%90%BA%E5%B8%AF%E9%9B%BB%E8%A9%B1%E3%83%9E%E3%82%B0%E3%83%8D%E3%83%83%E3%83%88/dp/B07VPGDDM5/ref=sr_1_232?__mk_ja_JP=%E3%82%AB%E3%82%BF%E3%82%AB%E3%83%8A&amp;dchild=1&amp;keywords=Galaxy&amp;qid=1598527312&amp;sr=8-232", "Go")</f>
        <v/>
      </c>
    </row>
    <row r="247">
      <c r="A247" s="1" t="n">
        <v>245</v>
      </c>
      <c r="B247" t="inlineStr">
        <is>
          <t>【Ringke】Galaxy A70 ケース SM-A705F/DS ストラップホール アーマー ケース [米軍MIL規格取得] クリア 透明 落下防止 スマホケース カバー Qi ワイヤレス充電対応 Fusion-X (Black ブラック)</t>
        </is>
      </c>
      <c r="C247" t="inlineStr">
        <is>
          <t>￥1,099</t>
        </is>
      </c>
      <c r="D247" t="inlineStr">
        <is>
          <t>4.7</t>
        </is>
      </c>
      <c r="E247">
        <f>HYPERLINK("https://www.amazon.co.jp/dp/B07RYBL4HN/ref=sr_1_233?__mk_ja_JP=%E3%82%AB%E3%82%BF%E3%82%AB%E3%83%8A&amp;dchild=1&amp;keywords=Galaxy&amp;qid=1598527312&amp;sr=8-233", "Go")</f>
        <v/>
      </c>
    </row>
    <row r="248">
      <c r="A248" s="1" t="n">
        <v>246</v>
      </c>
      <c r="B248" t="inlineStr">
        <is>
          <t>【3本set】Nimaso USB C Type C to Type C ケーブル 【0.3m+1m+2m PD対応 60W急速充電 】 MacBook、iPad Pro(2018/2020)、Galaxy、Sony、Pixel等Type-c端子付きの機種対応</t>
        </is>
      </c>
      <c r="C248" t="inlineStr">
        <is>
          <t>￥1,399</t>
        </is>
      </c>
      <c r="D248" t="inlineStr">
        <is>
          <t>4.7</t>
        </is>
      </c>
      <c r="E248">
        <f>HYPERLINK("https://www.amazon.co.jp/%E3%80%903%E6%9C%ACset%E3%80%91Nimaso-%E3%80%900-3m-60W%E6%80%A5%E9%80%9F%E5%85%85%E9%9B%BB-MacBook%E3%80%81iPad-%E3%80%81Galaxy%E3%80%81Sony%E3%80%81Pixel%E7%AD%89Type-c%E7%AB%AF%E5%AD%90%E4%BB%98%E3%81%8D%E3%81%AE%E6%A9%9F%E7%A8%AE%E5%AF%BE%E5%BF%9C/dp/B07TQYL1GY/ref=sr_1_234?__mk_ja_JP=%E3%82%AB%E3%82%BF%E3%82%AB%E3%83%8A&amp;dchild=1&amp;keywords=Galaxy&amp;qid=1598527312&amp;sr=8-234", "Go")</f>
        <v/>
      </c>
    </row>
    <row r="249">
      <c r="A249" s="1" t="n">
        <v>247</v>
      </c>
      <c r="B249" t="inlineStr">
        <is>
          <t>Micro SDカード レッドシルバー 2個パック GS-2IN1600X32GB-B</t>
        </is>
      </c>
      <c r="C249" t="inlineStr">
        <is>
          <t>￥2,980</t>
        </is>
      </c>
      <c r="D249" t="inlineStr">
        <is>
          <t>4.7</t>
        </is>
      </c>
      <c r="E249">
        <f>HYPERLINK("https://www.amazon.co.jp/Gigastone-MicroSD%E3%82%AB%E3%83%BC%E3%83%89-SDHC%E3%83%A1%E3%83%A2%E3%83%AA%E3%83%BC%E3%82%AB%E3%83%BC%E3%83%89-SD%E3%82%A2%E3%83%80%E3%83%97%E3%82%BF%E3%83%BC%E4%BB%98%E3%81%8D-Nintendo/dp/B07KQ3F1RD/ref=sr_1_235?__mk_ja_JP=%E3%82%AB%E3%82%BF%E3%82%AB%E3%83%8A&amp;dchild=1&amp;keywords=Galaxy&amp;qid=1598527312&amp;sr=8-235", "Go")</f>
        <v/>
      </c>
    </row>
    <row r="250">
      <c r="A250" s="1" t="n">
        <v>248</v>
      </c>
      <c r="B250" t="inlineStr">
        <is>
          <t>Trianium カーチャージャー 24W (2個パック) デュアルチャージャーアダプター AtomicDrive SmartUSB 対応機種 iPhone 11 Pro Max/XR/XS Max/X/8/7/6/SE Plus iPad Pro/Air2/Mini Galaxy S20 Note 10 LG Nexus HTC Huaweiなど</t>
        </is>
      </c>
      <c r="C250" t="inlineStr">
        <is>
          <t>￥4,958</t>
        </is>
      </c>
      <c r="D250" t="inlineStr">
        <is>
          <t>4.7</t>
        </is>
      </c>
      <c r="E250">
        <f>HYPERLINK("https://www.amazon.co.jp/Trianium-24-W%E3%83%87%E3%83%A5%E3%82%A2%E3%83%ABUSB%E8%BB%8A%E5%85%85%E9%9B%BB%E5%99%A8-%E3%80%81atomicdrive%E3%82%B9%E3%83%9E%E3%83%BC%E3%83%88%E3%83%9D%E3%83%BC%E3%83%88for-Mini%E3%80%81Galaxy-g6%E3%80%81HTC%E9%9B%BB%E8%A9%B1and/dp/B01KQ5RHTK/ref=sr_1_236?__mk_ja_JP=%E3%82%AB%E3%82%BF%E3%82%AB%E3%83%8A&amp;dchild=1&amp;keywords=Galaxy&amp;qid=1598527312&amp;sr=8-236", "Go")</f>
        <v/>
      </c>
    </row>
    <row r="251">
      <c r="A251" s="1" t="n">
        <v>249</v>
      </c>
      <c r="B251" t="inlineStr">
        <is>
          <t>[ホットスタイル]hotstyle Fashion Printed TrendyMax Galaxy Pattern Backpack Cute for School Green HT933Y49A [並行輸入品]</t>
        </is>
      </c>
      <c r="C251" t="inlineStr">
        <is>
          <t>￥6,644</t>
        </is>
      </c>
      <c r="D251" t="inlineStr">
        <is>
          <t>4.7</t>
        </is>
      </c>
      <c r="E251">
        <f>HYPERLINK("https://www.amazon.co.jp/dp/B00KZJ7HSO/ref=sr_1_237?__mk_ja_JP=%E3%82%AB%E3%82%BF%E3%82%AB%E3%83%8A&amp;dchild=1&amp;keywords=Galaxy&amp;qid=1598527312&amp;sr=8-237", "Go")</f>
        <v/>
      </c>
    </row>
    <row r="252">
      <c r="A252" s="1" t="n">
        <v>250</v>
      </c>
      <c r="B252" t="inlineStr">
        <is>
          <t>【Ringke】Galaxy A50 ケース (2019) 対応 コスパ最高 ストラップホール 落下衝撃吸収 スマホケース [米軍MIL規格取得] TPU PC 2重構造 スマホケース 吸収耐衝撃カバー 背面クリア Fusion-X (Space Blue/スペースブルー) A50 ケース</t>
        </is>
      </c>
      <c r="C252" t="inlineStr">
        <is>
          <t>￥799</t>
        </is>
      </c>
      <c r="D252" t="inlineStr">
        <is>
          <t>4.7</t>
        </is>
      </c>
      <c r="E252">
        <f>HYPERLINK("https://www.amazon.co.jp/%E3%80%90Ringke%E3%80%91Galaxy-%E3%82%B9%E3%83%88%E3%83%A9%E3%83%83%E3%83%97%E3%83%9B%E3%83%BC%E3%83%AB-%E7%B1%B3%E8%BB%8DMIL%E8%A6%8F%E6%A0%BC%E5%8F%96%E5%BE%97-%E5%90%B8%E5%8F%8E%E8%80%90%E8%A1%9D%E6%92%83%E3%82%AB%E3%83%90%E3%83%BC-Fusion-X/dp/B07Q38XZF4/ref=sr_1_238?__mk_ja_JP=%E3%82%AB%E3%82%BF%E3%82%AB%E3%83%8A&amp;dchild=1&amp;keywords=Galaxy&amp;qid=1598527312&amp;sr=8-238", "Go")</f>
        <v/>
      </c>
    </row>
    <row r="253">
      <c r="A253" s="1" t="n">
        <v>251</v>
      </c>
      <c r="B253" t="inlineStr">
        <is>
          <t>SanDisk ( サンディスク ) 400GB Extreme microSDXC A2 SDSQXA1-400G ［ 海外パッケージ ］</t>
        </is>
      </c>
      <c r="C253" t="inlineStr">
        <is>
          <t>￥9,498</t>
        </is>
      </c>
      <c r="D253" t="inlineStr">
        <is>
          <t>4.7</t>
        </is>
      </c>
      <c r="E253">
        <f>HYPERLINK("https://www.amazon.co.jp/%E3%82%B5%E3%83%B3%E3%83%87%E3%82%A3%E3%82%B9%E3%82%AF-Extreme-microSDXC-SDSQXA1-400G-%E6%B5%B7%E5%A4%96%E3%83%91%E3%83%83%E3%82%B1%E3%83%BC%E3%82%B8%E5%93%81/dp/B07FCQRN9K/ref=sr_1_239?__mk_ja_JP=%E3%82%AB%E3%82%BF%E3%82%AB%E3%83%8A&amp;dchild=1&amp;keywords=Galaxy&amp;qid=1598527312&amp;sr=8-239", "Go")</f>
        <v/>
      </c>
    </row>
    <row r="254">
      <c r="A254" s="1" t="n">
        <v>252</v>
      </c>
      <c r="B254" t="inlineStr">
        <is>
          <t>XIAE USB Cケーブル 5本パック (3/6/6/10フィート) USB-A Type C ナイロン編み高速充電ケーブル アルミニウムハウジング Samsung Galaxy S10 S9 Note 9 8 S8 Plus、LG V30 V20 G6、Huawei P30/P20に対応 10 feet sdvser</t>
        </is>
      </c>
      <c r="C254" t="inlineStr">
        <is>
          <t>￥11,898</t>
        </is>
      </c>
      <c r="D254" t="inlineStr">
        <is>
          <t>4.7</t>
        </is>
      </c>
      <c r="E254">
        <f>HYPERLINK("https://www.amazon.co.jp/XIAE-%E3%83%8A%E3%82%A4%E3%83%AD%E3%83%B3%E7%B7%A8%E3%81%BF%E9%AB%98%E9%80%9F%E5%85%85%E9%9B%BB%E3%82%B1%E3%83%BC%E3%83%96%E3%83%AB-%E3%82%A2%E3%83%AB%E3%83%9F%E3%83%8B%E3%82%A6%E3%83%A0%E3%83%8F%E3%82%A6%E3%82%B8%E3%83%B3%E3%82%B0-Samsung-G6%E3%80%81Huawei/dp/B081CQ1YT6/ref=sr_1_240?__mk_ja_JP=%E3%82%AB%E3%82%BF%E3%82%AB%E3%83%8A&amp;dchild=1&amp;keywords=Galaxy&amp;qid=1598527312&amp;sr=8-240", "Go")</f>
        <v/>
      </c>
    </row>
    <row r="255">
      <c r="A255" s="1" t="n">
        <v>253</v>
      </c>
      <c r="B255" t="inlineStr">
        <is>
          <t>VIGOSS Galaxy Watch Active 40mmバンド/Galaxy Watch 42mmバンド レディース 20mm スポーツシリコンストラップ 交換用ブレスレット リストバンド Samsung Galaxy Watch Active 40mm R500 スマートウォッチ用</t>
        </is>
      </c>
      <c r="C255" t="inlineStr">
        <is>
          <t>￥9,813</t>
        </is>
      </c>
      <c r="D255" t="inlineStr">
        <is>
          <t>4.7</t>
        </is>
      </c>
      <c r="E255">
        <f>HYPERLINK("https://www.amazon.co.jp/VIGOSS-40mm%E3%83%90%E3%83%B3%E3%83%89-%E3%82%B9%E3%83%9D%E3%83%BC%E3%83%84%E3%82%B7%E3%83%AA%E3%82%B3%E3%83%B3%E3%82%B9%E3%83%88%E3%83%A9%E3%83%83%E3%83%97-%E4%BA%A4%E6%8F%9B%E7%94%A8%E3%83%96%E3%83%AC%E3%82%B9%E3%83%AC%E3%83%83%E3%83%88-%E3%82%B9%E3%83%9E%E3%83%BC%E3%83%88%E3%82%A6%E3%82%A9%E3%83%83%E3%83%81%E7%94%A8/dp/B0811MGM3N/ref=sr_1_241?__mk_ja_JP=%E3%82%AB%E3%82%BF%E3%82%AB%E3%83%8A&amp;dchild=1&amp;keywords=Galaxy&amp;qid=1598527312&amp;sr=8-241", "Go")</f>
        <v/>
      </c>
    </row>
    <row r="256">
      <c r="A256" s="1" t="n">
        <v>254</v>
      </c>
      <c r="B256" t="inlineStr">
        <is>
          <t>Amplim 64GB 128GB MicroSD MicroSDXC メモリーカードプラスアダプター - Micro SD SDXC Class 10 Extreme Pro UHS-I U3 A1 V30 超高速100MB/sフラッシュTF 512GB パープル</t>
        </is>
      </c>
      <c r="C256" t="inlineStr">
        <is>
          <t>￥17,521</t>
        </is>
      </c>
      <c r="D256" t="inlineStr">
        <is>
          <t>4.7</t>
        </is>
      </c>
      <c r="E256">
        <f>HYPERLINK("https://www.amazon.co.jp/Amplim-128GB-MicroSD-MicroSDXC-%E3%83%A1%E3%83%A2%E3%83%AA%E3%83%BC%E3%82%AB%E3%83%BC%E3%83%89%E3%83%97%E3%83%A9%E3%82%B9%E3%82%A2%E3%83%80%E3%83%97%E3%82%BF%E3%83%BC/dp/B07Q34T1ZD/ref=sr_1_242?__mk_ja_JP=%E3%82%AB%E3%82%BF%E3%82%AB%E3%83%8A&amp;dchild=1&amp;keywords=Galaxy&amp;qid=1598527312&amp;sr=8-242", "Go")</f>
        <v/>
      </c>
    </row>
    <row r="257">
      <c r="A257" s="1" t="n">
        <v>255</v>
      </c>
      <c r="B257" t="inlineStr">
        <is>
          <t>PopGrip Cat Nap POPSOCKETS（ポップソケッツ） スマホリング スマホスタンド スマホグリップ スマホアクセサリー iPhone Android</t>
        </is>
      </c>
      <c r="C257" t="inlineStr">
        <is>
          <t>￥1,650</t>
        </is>
      </c>
      <c r="D257" t="inlineStr">
        <is>
          <t>4.7</t>
        </is>
      </c>
      <c r="E257">
        <f>HYPERLINK("https://www.amazon.co.jp/PopGrip-POPSOCKETS%EF%BC%88%E3%83%9D%E3%83%83%E3%83%97%E3%82%BD%E3%82%B1%E3%83%83%E3%83%84%EF%BC%89-%E3%82%B9%E3%83%9E%E3%83%9B%E3%82%B9%E3%82%BF%E3%83%B3%E3%83%89-%E3%82%B9%E3%83%9E%E3%83%9B%E3%82%B0%E3%83%AA%E3%83%83%E3%83%97-%E3%82%B9%E3%83%9E%E3%83%9B%E3%82%A2%E3%82%AF%E3%82%BB%E3%82%B5%E3%83%AA%E3%83%BC/dp/B07P3FNZZN/ref=sr_1_243?__mk_ja_JP=%E3%82%AB%E3%82%BF%E3%82%AB%E3%83%8A&amp;dchild=1&amp;keywords=Galaxy&amp;qid=1598527312&amp;sr=8-243", "Go")</f>
        <v/>
      </c>
    </row>
    <row r="258">
      <c r="A258" s="1" t="n">
        <v>256</v>
      </c>
      <c r="B258" t="inlineStr">
        <is>
          <t>Poetic Turtleスキンカバーケースfor Samsung Galaxy Tab E 9.6 12 x 6.6 x 1.1 inches ブラック TurtleSkin-Galaxy-Tab-E9.6</t>
        </is>
      </c>
      <c r="C258" t="inlineStr">
        <is>
          <t>￥9,440</t>
        </is>
      </c>
      <c r="D258" t="inlineStr">
        <is>
          <t>4.8</t>
        </is>
      </c>
      <c r="E258">
        <f>HYPERLINK("https://www.amazon.co.jp/Poetic-Turtle%E3%82%B9%E3%82%AD%E3%83%B3%E3%82%AB%E3%83%90%E3%83%BC%E3%82%B1%E3%83%BC%E3%82%B9for-Samsung-Galaxy-TurtleSkin-Galaxy-Tab-E9-6/dp/B01DX39H8G/ref=sr_1_244?__mk_ja_JP=%E3%82%AB%E3%82%BF%E3%82%AB%E3%83%8A&amp;dchild=1&amp;keywords=Galaxy&amp;qid=1598527312&amp;sr=8-244", "Go")</f>
        <v/>
      </c>
    </row>
    <row r="259">
      <c r="A259" s="1" t="n">
        <v>257</v>
      </c>
      <c r="B259" t="inlineStr">
        <is>
          <t>FUJIPLA 【並行輸入品】Fuji Wide Instant Color Film Instax for 200/210 Cameras - 2 Twin Packs - 40 Prints</t>
        </is>
      </c>
      <c r="C259" t="inlineStr">
        <is>
          <t>￥4,390</t>
        </is>
      </c>
      <c r="D259" t="inlineStr">
        <is>
          <t>4.7</t>
        </is>
      </c>
      <c r="E259">
        <f>HYPERLINK("https://www.amazon.co.jp/dp/B00ZFQQJ18/ref=sr_1_245?__mk_ja_JP=%E3%82%AB%E3%82%BF%E3%82%AB%E3%83%8A&amp;dchild=1&amp;keywords=Galaxy&amp;qid=1598527312&amp;sr=8-245", "Go")</f>
        <v/>
      </c>
    </row>
    <row r="260">
      <c r="A260" s="1" t="n">
        <v>258</v>
      </c>
      <c r="B260" t="inlineStr">
        <is>
          <t>スマホスタンド 卓上 スタンド ホルダー 高度調整可能 スマホ スタンド おりたたみ 滑り止め 携帯 スタンド For iPhone/ipad/Kindle/Nintendo Switchなど</t>
        </is>
      </c>
      <c r="C260" t="inlineStr">
        <is>
          <t>￥1,399</t>
        </is>
      </c>
      <c r="D260" t="inlineStr">
        <is>
          <t>4.7</t>
        </is>
      </c>
      <c r="E260">
        <f>HYPERLINK("https://www.amazon.co.jp/%E3%82%B9%E3%83%9E%E3%83%9B%E3%82%B9%E3%82%BF%E3%83%B3%E3%83%89-%E9%AB%98%E5%BA%A6%E8%AA%BF%E6%95%B4%E5%8F%AF%E8%83%BD-iPhone-Nintendo-Switch%E3%81%AA%E3%81%A9/dp/B0892X68TP/ref=sr_1_246?__mk_ja_JP=%E3%82%AB%E3%82%BF%E3%82%AB%E3%83%8A&amp;dchild=1&amp;keywords=Galaxy&amp;qid=1598527312&amp;sr=8-246", "Go")</f>
        <v/>
      </c>
    </row>
    <row r="261">
      <c r="A261" s="1" t="n">
        <v>259</v>
      </c>
      <c r="B261" t="inlineStr">
        <is>
          <t>Samsung Galaxy交換用Sペン、Note10+。 ブルー EJ-PN970BBEGUS</t>
        </is>
      </c>
      <c r="C261" t="inlineStr">
        <is>
          <t>￥10,740から1個のオプション</t>
        </is>
      </c>
      <c r="D261" t="inlineStr">
        <is>
          <t>4.7</t>
        </is>
      </c>
      <c r="E261">
        <f>HYPERLINK("https://www.amazon.co.jp/Samsung-Galaxy%E4%BA%A4%E6%8F%9B%E7%94%A8S%E3%83%9A%E3%83%B3%E3%80%81Note10-%E3%80%82-%E3%83%96%E3%83%AB%E3%83%BC-EJ-PN970BBEGUS/dp/B07VKGZMFY/ref=sr_1_247?__mk_ja_JP=%E3%82%AB%E3%82%BF%E3%82%AB%E3%83%8A&amp;dchild=1&amp;keywords=Galaxy&amp;qid=1598527312&amp;sr=8-247", "Go")</f>
        <v/>
      </c>
    </row>
    <row r="262">
      <c r="A262" s="1" t="n">
        <v>260</v>
      </c>
      <c r="B262" t="inlineStr">
        <is>
          <t>【最新版】 イヤホン 有線 カナル型 高音質 重低音 中低域の躍動感 内蔵 通話可 音漏れ防止 イヤフォン 遮音性 ステレオイヤフォン リモコン付き 3.5 mm iPhone/iPad/PC/Android対応 (ブラック)</t>
        </is>
      </c>
      <c r="C262" t="inlineStr">
        <is>
          <t>￥999</t>
        </is>
      </c>
      <c r="D262" t="inlineStr">
        <is>
          <t>4.7</t>
        </is>
      </c>
      <c r="E262">
        <f>HYPERLINK("https://www.amazon.co.jp/%E4%B8%AD%E4%BD%8E%E5%9F%9F%E3%81%AE%E8%BA%8D%E5%8B%95%E6%84%9F-%E3%82%B9%E3%83%86%E3%83%AC%E3%82%AA%E3%82%A4%E3%83%A4%E3%83%95%E3%82%A9%E3%83%B3-%E3%83%AA%E3%83%A2%E3%82%B3%E3%83%B3%E4%BB%98%E3%81%8D-iPhone-Android%E5%AF%BE%E5%BF%9C/dp/B088TN7ZJC/ref=sr_1_248?__mk_ja_JP=%E3%82%AB%E3%82%BF%E3%82%AB%E3%83%8A&amp;dchild=1&amp;keywords=Galaxy&amp;qid=1598527312&amp;sr=8-248", "Go")</f>
        <v/>
      </c>
    </row>
    <row r="263">
      <c r="A263" s="1" t="n">
        <v>261</v>
      </c>
      <c r="B263" t="inlineStr">
        <is>
          <t>Bluetooth イヤホン ワイヤレスイヤホン Bluetooth 5.0 LEDディスプレイ Hi-Fi 高音質 最新Bluetooth5.0+EDR搭載 6Dステレオサウンド 完全ワイヤレス イヤホン 自動ペアリング ブルートゥース イヤホン ノイズキャンセリング&amp;AAC対応 左右分離型 Siri対応 音量調整可能 超大容量充電ケース付き 電池残量インジケーター付き iPhone/ipad/Android適用 (ブラック)</t>
        </is>
      </c>
      <c r="C263" t="inlineStr">
        <is>
          <t>￥4,099</t>
        </is>
      </c>
      <c r="D263" t="inlineStr">
        <is>
          <t>4.7</t>
        </is>
      </c>
      <c r="E263">
        <f>HYPERLINK("https://www.amazon.co.jp/%E6%9C%80%E6%96%B0Bluetooth5-0-6D%E3%82%B9%E3%83%86%E3%83%AC%E3%82%AA%E3%82%B5%E3%82%A6%E3%83%B3%E3%83%89-%E3%83%8E%E3%82%A4%E3%82%BA%E3%82%AD%E3%83%A3%E3%83%B3%E3%82%BB%E3%83%AA%E3%83%B3%E3%82%B0-%E8%B6%85%E5%A4%A7%E5%AE%B9%E9%87%8F%E5%85%85%E9%9B%BB%E3%82%B1%E3%83%BC%E3%82%B9%E4%BB%98%E3%81%8D-%E9%9B%BB%E6%B1%A0%E6%AE%8B%E9%87%8F%E3%82%A4%E3%83%B3%E3%82%B8%E3%82%B1%E3%83%BC%E3%82%BF%E3%83%BC%E4%BB%98%E3%81%8D/dp/B089T2QP8N/ref=sr_1_249?__mk_ja_JP=%E3%82%AB%E3%82%BF%E3%82%AB%E3%83%8A&amp;dchild=1&amp;keywords=Galaxy&amp;qid=1598527312&amp;sr=8-249", "Go")</f>
        <v/>
      </c>
    </row>
    <row r="264">
      <c r="A264" s="1" t="n">
        <v>262</v>
      </c>
      <c r="B264" t="inlineStr">
        <is>
          <t>OtterBox iPhone XR Commuter ケース(Ocean Way)</t>
        </is>
      </c>
      <c r="C264" t="inlineStr">
        <is>
          <t>￥3,630</t>
        </is>
      </c>
      <c r="D264" t="inlineStr">
        <is>
          <t>4.7</t>
        </is>
      </c>
      <c r="E264">
        <f>HYPERLINK("https://www.amazon.co.jp/OtterBox-iPhone-Commuter-%E3%82%B1%E3%83%BC%E3%82%B9-Ocean/dp/B07GBMF8D9/ref=sr_1_250?__mk_ja_JP=%E3%82%AB%E3%82%BF%E3%82%AB%E3%83%8A&amp;dchild=1&amp;keywords=Galaxy&amp;qid=1598527312&amp;sr=8-250", "Go")</f>
        <v/>
      </c>
    </row>
    <row r="265">
      <c r="A265" s="1" t="n">
        <v>263</v>
      </c>
      <c r="B265" t="inlineStr">
        <is>
          <t>Samgsung Galaxy S20 Ultra ケース 【LASTE】ギャラクシーS20 Ultra ソフトカバー 透明TPU【薄型 PC+TPU 黄変防止 安心保護 耐衝撃 Qi急速充電対応】Samgsung Galaxy S20 Ultra レンズ保護 スマートフォンケース (クリア.ブラック)</t>
        </is>
      </c>
      <c r="C265" t="inlineStr">
        <is>
          <t>￥1,299</t>
        </is>
      </c>
      <c r="D265" t="inlineStr">
        <is>
          <t>4.6</t>
        </is>
      </c>
      <c r="E265">
        <f>HYPERLINK("https://www.amazon.co.jp/Samgsung-%E3%80%90LASTE%E3%80%91%E3%82%AE%E3%83%A3%E3%83%A9%E3%82%AF%E3%82%B7%E3%83%BCS20-%E9%80%8F%E6%98%8ETPU%E3%80%90%E8%96%84%E5%9E%8B-Qi%E6%80%A5%E9%80%9F%E5%85%85%E9%9B%BB%E5%AF%BE%E5%BF%9C%E3%80%91Samgsung-%E3%82%B9%E3%83%9E%E3%83%BC%E3%83%88%E3%83%95%E3%82%A9%E3%83%B3%E3%82%B1%E3%83%BC%E3%82%B9/dp/B08544CKPV/ref=sr_1_241_sspa?__mk_ja_JP=%E3%82%AB%E3%82%BF%E3%82%AB%E3%83%8A&amp;dchild=1&amp;keywords=Galaxy&amp;qid=1598527593&amp;sr=8-241-spons&amp;psc=1&amp;spLa=ZW5jcnlwdGVkUXVhbGlmaWVyPUExWkdFM0hGWUMzWVhJJmVuY3J5cHRlZElkPUEwODg0MjcyTlROQ1VMTlhMSkFOJmVuY3J5cHRlZEFkSWQ9QVkySUpPUTQ1NVJUVSZ3aWRnZXROYW1lPXNwX2F0Zl9uZXh0JmFjdGlvbj1jbGlja1JlZGlyZWN0JmRvTm90TG9nQ2xpY2s9dHJ1ZQ==", "Go")</f>
        <v/>
      </c>
    </row>
    <row r="266">
      <c r="A266" s="1" t="n">
        <v>264</v>
      </c>
      <c r="B266" t="inlineStr">
        <is>
          <t>サンディスク SDXCカード UHS-1 128GB SDSDUNR-128G-GN6IN 海外パッケージ</t>
        </is>
      </c>
      <c r="C266" t="inlineStr">
        <is>
          <t>￥2,360</t>
        </is>
      </c>
      <c r="D266" t="inlineStr">
        <is>
          <t>4.7</t>
        </is>
      </c>
      <c r="E266">
        <f>HYPERLINK("https://www.amazon.co.jp/%E3%82%B5%E3%83%B3%E3%83%87%E3%82%A3%E3%82%B9%E3%82%AF-SDXC%E3%82%AB%E3%83%BC%E3%83%89-UHS-1-SDSDUNR-128G-GN6IN-%E6%B5%B7%E5%A4%96%E3%83%91%E3%83%83%E3%82%B1%E3%83%BC%E3%82%B8/dp/B07YFGG1SD/ref=sr_1_245?__mk_ja_JP=%E3%82%AB%E3%82%BF%E3%82%AB%E3%83%8A&amp;dchild=1&amp;keywords=Galaxy&amp;qid=1598527593&amp;sr=8-245", "Go")</f>
        <v/>
      </c>
    </row>
    <row r="267">
      <c r="A267" s="1" t="n">
        <v>265</v>
      </c>
      <c r="B267" t="inlineStr">
        <is>
          <t>64GB microSDXCカード マイクロSD Samsung サムスン EVO Plus Class10 UHS-I U3 R:100MB/s W:60MB/s 4K SDアダプタ付 海外リテール MB-MC64GA/APC</t>
        </is>
      </c>
      <c r="C267" t="inlineStr">
        <is>
          <t>￥1,309</t>
        </is>
      </c>
      <c r="D267" t="inlineStr">
        <is>
          <t>4.7</t>
        </is>
      </c>
      <c r="E267">
        <f>HYPERLINK("https://www.amazon.co.jp/microSDXC%E3%82%AB%E3%83%BC%E3%83%89-%E3%83%9E%E3%82%A4%E3%82%AF%E3%83%ADSD-Samsung-Class10-UHS-I/dp/B07349L1WS/ref=sr_1_246?__mk_ja_JP=%E3%82%AB%E3%82%BF%E3%82%AB%E3%83%8A&amp;dchild=1&amp;keywords=Galaxy&amp;qid=1598527593&amp;sr=8-246", "Go")</f>
        <v/>
      </c>
    </row>
    <row r="268">
      <c r="A268" s="1" t="n">
        <v>266</v>
      </c>
      <c r="B268" t="inlineStr">
        <is>
          <t>Isaac Jacobs LEDネオンウォールサイン USBワイヤー付き グリーン</t>
        </is>
      </c>
      <c r="C268" t="inlineStr">
        <is>
          <t>￥14,198</t>
        </is>
      </c>
      <c r="D268" t="inlineStr">
        <is>
          <t>4.7</t>
        </is>
      </c>
      <c r="E268">
        <f>HYPERLINK("https://www.amazon.co.jp/Isaac-Jacobs-LED%E3%83%8D%E3%82%AA%E3%83%B3%E3%82%A6%E3%82%A9%E3%83%BC%E3%83%AB%E3%82%B5%E3%82%A4%E3%83%B3-USB%E3%83%AF%E3%82%A4%E3%83%A4%E3%83%BC%E4%BB%98%E3%81%8D-%E3%82%B0%E3%83%AA%E3%83%BC%E3%83%B3/dp/B07QV3K32Z/ref=sr_1_247?__mk_ja_JP=%E3%82%AB%E3%82%BF%E3%82%AB%E3%83%8A&amp;dchild=1&amp;keywords=Galaxy&amp;qid=1598527593&amp;sr=8-247", "Go")</f>
        <v/>
      </c>
    </row>
    <row r="269">
      <c r="A269" s="1" t="n">
        <v>267</v>
      </c>
      <c r="B269" t="inlineStr">
        <is>
          <t>Mpowキッズヘッドフォン 91dbボリュームリミッター&amp;聴覚保護 S PAMPBH360AL-USAA1-PTX</t>
        </is>
      </c>
      <c r="C269" t="inlineStr">
        <is>
          <t>￥14,658から1個のオプション</t>
        </is>
      </c>
      <c r="D269" t="inlineStr">
        <is>
          <t>4.7</t>
        </is>
      </c>
      <c r="E269">
        <f>HYPERLINK("https://www.amazon.co.jp/Mpow%E3%82%AD%E3%83%83%E3%82%BA%E3%83%98%E3%83%83%E3%83%89%E3%83%95%E3%82%A9%E3%83%B3-91db%E3%83%9C%E3%83%AA%E3%83%A5%E3%83%BC%E3%83%A0%E3%83%AA%E3%83%9F%E3%83%83%E3%82%BF%E3%83%BC-%E8%81%B4%E8%A6%9A%E4%BF%9D%E8%AD%B7-S-PAMPBH360AL-USAA1-PTX/dp/B07RSJX4KW/ref=sr_1_248?__mk_ja_JP=%E3%82%AB%E3%82%BF%E3%82%AB%E3%83%8A&amp;dchild=1&amp;keywords=Galaxy&amp;qid=1598527593&amp;sr=8-248", "Go")</f>
        <v/>
      </c>
    </row>
    <row r="270">
      <c r="A270" s="1" t="n">
        <v>268</v>
      </c>
      <c r="B270" t="inlineStr">
        <is>
          <t>Samsung Galaxy Watch Active2 Aluminum 44mm (Bluetooth) [Galaxy純正 並行輸入品] SM-R820NZSATGY (CLOUD SILVER/クラウドシルバー)</t>
        </is>
      </c>
      <c r="C270" t="inlineStr">
        <is>
          <t>￥30,000</t>
        </is>
      </c>
      <c r="D270" t="inlineStr">
        <is>
          <t>4.7</t>
        </is>
      </c>
      <c r="E270">
        <f>HYPERLINK("https://www.amazon.co.jp/Samsung-Aluminum-Bluetooth-Galaxy%E7%B4%94%E6%AD%A3-SM-R820NZSATGY/dp/B07VKQ54V1/ref=sr_1_249?__mk_ja_JP=%E3%82%AB%E3%82%BF%E3%82%AB%E3%83%8A&amp;dchild=1&amp;keywords=Galaxy&amp;qid=1598527593&amp;sr=8-249", "Go")</f>
        <v/>
      </c>
    </row>
    <row r="271">
      <c r="A271" s="1" t="n">
        <v>269</v>
      </c>
      <c r="B271" t="inlineStr">
        <is>
          <t>ITANDA USB3.0 ケーブル 超高速 A-MicroBケーブル（タイプAオス - マイクロタイプBオス)1m ブラック(1個)</t>
        </is>
      </c>
      <c r="C271" t="inlineStr">
        <is>
          <t>￥799</t>
        </is>
      </c>
      <c r="D271" t="inlineStr">
        <is>
          <t>4.7</t>
        </is>
      </c>
      <c r="E271">
        <f>HYPERLINK("https://www.amazon.co.jp/ITANDA-Western-Digital-Passport%E3%81%8A%E3%82%88%E3%81%B3WD-Elements%E3%83%8F%E3%83%BC%E3%83%89%E3%83%89%E3%83%A9%E3%82%A4%E3%83%96/dp/B00IE6VA0G/ref=sr_1_250?__mk_ja_JP=%E3%82%AB%E3%82%BF%E3%82%AB%E3%83%8A&amp;dchild=1&amp;keywords=Galaxy&amp;qid=1598527593&amp;sr=8-250", "Go")</f>
        <v/>
      </c>
    </row>
    <row r="272">
      <c r="A272" s="1" t="n">
        <v>270</v>
      </c>
      <c r="B272" t="inlineStr">
        <is>
          <t>AboveTEK Stylish Aluminum Tablet Stand, Cell Phone Stand, Folding 360° Swivel iPad iPhone Desk Mount Holder fits 4-11 Tablets/Smartphones (白)</t>
        </is>
      </c>
      <c r="C272" t="inlineStr">
        <is>
          <t>￥12,102</t>
        </is>
      </c>
      <c r="D272" t="inlineStr">
        <is>
          <t>4.7</t>
        </is>
      </c>
      <c r="E272">
        <f>HYPERLINK("https://www.amazon.co.jp/AboveTEK%E9%A0%91%E4%B8%88%E3%81%AA%E3%83%87%E3%82%B9%E3%82%AF%E3%83%88%E3%83%83%E3%83%97%E3%82%BF%E3%83%96%E3%83%AC%E3%83%83%E3%83%88%E3%82%B9%E3%82%BF%E3%83%B3%E3%83%89%E3%83%9E%E3%82%A6%E3%83%B3%E3%83%88%E3%83%9B%E3%83%AB%E3%83%80%E3%83%BC%E3%80%81%E6%90%BA%E5%B8%AF%E9%9B%BB%E8%A9%B1%E3%82%B9%E3%82%BF%E3%83%B3%E3%83%89%E3%80%81%E3%82%B3%E3%83%B3%E3%83%91%E3%82%AF%E3%83%88360-%C2%B0%E5%9B%9E%E8%BB%A2iPad-iPhone-%E2%80%93-11-%E3%82%B9%E3%83%9E%E3%83%BC%E3%83%88%E3%83%95%E3%82%A9%E3%83%B3%E3%82%92%E3%82%AD%E3%83%83%E3%83%81%E3%83%B3%E3%83%99%E3%83%83%E3%83%89%E3%82%B5%E3%82%A4%E3%83%89%E3%83%86%E3%83%BC%E3%83%96%E3%83%AB%E3%82%AA%E3%83%95%E3%82%A3%E3%82%B9%E3%83%87%E3%82%B9%E3%82%AFPOS%E3%82%AD%E3%82%AA%E3%82%B9%E3%82%AFReception%E3%82%B7%E3%83%A7%E3%83%BC%E3%83%AB%E3%83%BC%E3%83%A0/dp/B06XVFKYL5/ref=sr_1_251?__mk_ja_JP=%E3%82%AB%E3%82%BF%E3%82%AB%E3%83%8A&amp;dchild=1&amp;keywords=Galaxy&amp;qid=1598527593&amp;sr=8-251", "Go")</f>
        <v/>
      </c>
    </row>
    <row r="273">
      <c r="A273" s="1" t="n">
        <v>271</v>
      </c>
      <c r="B273" t="inlineStr">
        <is>
          <t>【4本セット 3m+2m+1m+0.3m】Nimaso USB TYPE C/タイプｃケーブル 【 QC3.0 3A急速充電】 USB-A to USB-C ケーブル Switch、Macbook、iPad Pro(2018/2020)、Google、samsung、Sony、Huaweiなどtype c機器対応</t>
        </is>
      </c>
      <c r="C273" t="inlineStr">
        <is>
          <t>￥1,299</t>
        </is>
      </c>
      <c r="D273" t="inlineStr">
        <is>
          <t>4.7</t>
        </is>
      </c>
      <c r="E273">
        <f>HYPERLINK("https://www.amazon.co.jp/0-3m%E3%80%91Nimaso-%E3%82%BF%E3%82%A4%E3%83%97%EF%BD%83%E3%82%B1%E3%83%BC%E3%83%96%E3%83%AB-3A%E6%80%A5%E9%80%9F%E5%85%85%E9%9B%BB%E3%80%91-Switch%E3%80%81Macbook%E3%80%81iPad-%E3%80%81Google%E3%80%81samsung%E3%80%81Sony%E3%80%81Huawei%E3%81%AA%E3%81%A9type/dp/B07Z9YW8GM/ref=sr_1_252?__mk_ja_JP=%E3%82%AB%E3%82%BF%E3%82%AB%E3%83%8A&amp;dchild=1&amp;keywords=Galaxy&amp;qid=1598527593&amp;sr=8-252", "Go")</f>
        <v/>
      </c>
    </row>
    <row r="274">
      <c r="A274" s="1" t="n">
        <v>272</v>
      </c>
      <c r="B274" t="inlineStr">
        <is>
          <t>スクエアケース iPhone 7 Plus iPhone 8 Plus対応 ケース ラグジュアリー エレガント ソフト 耐衝撃 保護ケース カバー 対応機種 iPhone 7 Plus/8 Plus 5.5インチ マルチカラー Valetoo 01</t>
        </is>
      </c>
      <c r="C274" t="inlineStr">
        <is>
          <t>￥5,277</t>
        </is>
      </c>
      <c r="D274" t="inlineStr">
        <is>
          <t>4.7</t>
        </is>
      </c>
      <c r="E274">
        <f>HYPERLINK("https://www.amazon.co.jp/%E3%82%B9%E3%82%AF%E3%82%A8%E3%82%A2%E3%82%B1%E3%83%BC%E3%82%B9-iPhone-Plus%E5%AF%BE%E5%BF%9C-%E3%83%A9%E3%82%B0%E3%82%B8%E3%83%A5%E3%82%A2%E3%83%AA%E3%83%BC-Valetoo/dp/B07RBTTWWW/ref=sr_1_253?__mk_ja_JP=%E3%82%AB%E3%82%BF%E3%82%AB%E3%83%8A&amp;dchild=1&amp;keywords=Galaxy&amp;qid=1598527593&amp;sr=8-253", "Go")</f>
        <v/>
      </c>
    </row>
    <row r="275">
      <c r="A275" s="1" t="n">
        <v>273</v>
      </c>
      <c r="B275" t="inlineStr">
        <is>
          <t>Amplim 64Gb Micro Sd Sdxcメモリーカード V30 A1 アダプター付き（Class 10 U3 Uhs-I Xc Extreme Pro） 64 Gb 超高速 667X 100Mb/S Uhs-1 Tf 4K フラッシュ 携帯電話 ドローン カメラ対応 MicroSD ブラック 64GB</t>
        </is>
      </c>
      <c r="C275" t="inlineStr">
        <is>
          <t>￥5,926</t>
        </is>
      </c>
      <c r="D275" t="inlineStr">
        <is>
          <t>4.7</t>
        </is>
      </c>
      <c r="E275">
        <f>HYPERLINK("https://www.amazon.co.jp/Amplim-Class10-micro-card-microSDXC%E3%82%AB%E3%83%BC%E3%83%89with%E3%82%A2%E3%83%80%E3%83%97%E3%82%BF/dp/B076ZRH2D2/ref=sr_1_254?__mk_ja_JP=%E3%82%AB%E3%82%BF%E3%82%AB%E3%83%8A&amp;dchild=1&amp;keywords=Galaxy&amp;qid=1598527593&amp;sr=8-254", "Go")</f>
        <v/>
      </c>
    </row>
    <row r="276">
      <c r="A276" s="1" t="n">
        <v>274</v>
      </c>
      <c r="B276" t="inlineStr">
        <is>
          <t>3段階 省エネ 熱中症対策 静音 360°調節 小型 オフィス おしゃれ</t>
        </is>
      </c>
      <c r="C276" t="inlineStr">
        <is>
          <t>￥4,978</t>
        </is>
      </c>
      <c r="D276" t="inlineStr">
        <is>
          <t>4.7</t>
        </is>
      </c>
      <c r="E276">
        <f>HYPERLINK("https://www.amazon.co.jp/3%E6%AE%B5%E9%9A%8E-%E7%86%B1%E4%B8%AD%E7%97%87%E5%AF%BE%E7%AD%96-360%C2%B0%E8%AA%BF%E7%AF%80-%E3%82%AA%E3%83%95%E3%82%A3%E3%82%B9-%E3%81%8A%E3%81%97%E3%82%83%E3%82%8C/dp/B085WX1WXW/ref=sr_1_255?__mk_ja_JP=%E3%82%AB%E3%82%BF%E3%82%AB%E3%83%8A&amp;dchild=1&amp;keywords=Galaxy&amp;qid=1598527593&amp;sr=8-255", "Go")</f>
        <v/>
      </c>
    </row>
    <row r="277">
      <c r="A277" s="1" t="n">
        <v>275</v>
      </c>
      <c r="B277" t="inlineStr">
        <is>
          <t>【Qi認証済み】HyperX ChargePlay Base Qi認証済みワイヤレスチャージャー 2年保証 HX-CPBS-A</t>
        </is>
      </c>
      <c r="C277" t="inlineStr">
        <is>
          <t>￥4,572</t>
        </is>
      </c>
      <c r="D277" t="inlineStr">
        <is>
          <t>4.7</t>
        </is>
      </c>
      <c r="E277">
        <f>HYPERLINK("https://www.amazon.co.jp/%E3%80%90Qi%E8%AA%8D%E8%A8%BC%E6%B8%88%E3%81%BF%E3%80%91HyperX-ChargePlay-Base-Qi%E8%AA%8D%E8%A8%BC%E6%B8%88%E3%81%BF%E3%83%AF%E3%82%A4%E3%83%A4%E3%83%AC%E3%82%B9%E3%83%81%E3%83%A3%E3%83%BC%E3%82%B8%E3%83%A3%E3%83%BC-HX-CPBS/dp/B07WKC2N6D/ref=sr_1_256?__mk_ja_JP=%E3%82%AB%E3%82%BF%E3%82%AB%E3%83%8A&amp;dchild=1&amp;keywords=Galaxy&amp;qid=1598527593&amp;sr=8-256", "Go")</f>
        <v/>
      </c>
    </row>
    <row r="278">
      <c r="A278" s="1" t="n">
        <v>276</v>
      </c>
      <c r="B278" t="inlineStr">
        <is>
          <t>PopGrip Rainbow Nirvana POPSOCKETS（ポップソケッツ） スマホリング スマホスタンド スマホグリップ スマホアクセサリー iPhone Android</t>
        </is>
      </c>
      <c r="C278" t="inlineStr">
        <is>
          <t>￥1,650</t>
        </is>
      </c>
      <c r="D278" t="inlineStr">
        <is>
          <t>4.7</t>
        </is>
      </c>
      <c r="E278">
        <f>HYPERLINK("https://www.amazon.co.jp/PopGrip-Rainbow-Nirvana-POPSOCKETS%EF%BC%88%E3%83%9D%E3%83%83%E3%83%97%E3%82%BD%E3%82%B1%E3%83%83%E3%83%84%EF%BC%89-%E3%82%B9%E3%83%9E%E3%83%9B%E3%82%A2%E3%82%AF%E3%82%BB%E3%82%B5%E3%83%AA%E3%83%BC/dp/B07NY39C22/ref=sr_1_260?__mk_ja_JP=%E3%82%AB%E3%82%BF%E3%82%AB%E3%83%8A&amp;dchild=1&amp;keywords=Galaxy&amp;qid=1598527593&amp;sr=8-260", "Go")</f>
        <v/>
      </c>
    </row>
    <row r="279">
      <c r="A279" s="1" t="n">
        <v>277</v>
      </c>
      <c r="B279" t="inlineStr">
        <is>
          <t>Oster 5-Cup Glass Square Top Blender Jar, Square Top by Oster</t>
        </is>
      </c>
      <c r="C279" t="inlineStr">
        <is>
          <t>￥6,020</t>
        </is>
      </c>
      <c r="D279" t="inlineStr">
        <is>
          <t>4.7</t>
        </is>
      </c>
      <c r="E279">
        <f>HYPERLINK("https://www.amazon.co.jp/Oster-5-Cup-Glass-Square-Blender/dp/B000JEMUPA/ref=sr_1_261?__mk_ja_JP=%E3%82%AB%E3%82%BF%E3%82%AB%E3%83%8A&amp;dchild=1&amp;keywords=Galaxy&amp;qid=1598527593&amp;sr=8-261", "Go")</f>
        <v/>
      </c>
    </row>
    <row r="280">
      <c r="A280" s="1" t="n">
        <v>278</v>
      </c>
      <c r="B280" t="inlineStr">
        <is>
          <t>HOOMIL Galaxy S10 Plus ケース 手帳型 S10 Plus ケース 財布型 カバー 高級PU レザー 薄型 手触りや風合い抜群 耐衝撃 カード収納 サイドマグネット式 全面保護 スタンド機能 耐摩擦 人気 おしゃれ (ブラック)</t>
        </is>
      </c>
      <c r="C280" t="inlineStr">
        <is>
          <t>￥1,680</t>
        </is>
      </c>
      <c r="D280" t="inlineStr">
        <is>
          <t>4.7</t>
        </is>
      </c>
      <c r="E280">
        <f>HYPERLINK("https://www.amazon.co.jp/HOOMIL-Galaxy-S10-Plus-%E6%89%8B%E8%A7%A6%E3%82%8A%E3%82%84%E9%A2%A8%E5%90%88%E3%81%84%E6%8A%9C%E7%BE%A4/dp/B07MTY5BT4/ref=sr_1_262?__mk_ja_JP=%E3%82%AB%E3%82%BF%E3%82%AB%E3%83%8A&amp;dchild=1&amp;keywords=Galaxy&amp;qid=1598527593&amp;sr=8-262", "Go")</f>
        <v/>
      </c>
    </row>
    <row r="281">
      <c r="A281" s="1" t="n">
        <v>279</v>
      </c>
      <c r="B281" t="inlineStr">
        <is>
          <t>車用カップホルダー 携帯電話マウント 車載ホルダー 360度 ユニバーサル 調節可能 車載電話マウント グースネック カップホルダー iPhone 11/XS Max/8/Plus/Galaxy/Huawei/すべてのスマートフォンに対応</t>
        </is>
      </c>
      <c r="C281" t="inlineStr">
        <is>
          <t>￥1,299</t>
        </is>
      </c>
      <c r="D281" t="inlineStr">
        <is>
          <t>4.7</t>
        </is>
      </c>
      <c r="E281">
        <f>HYPERLINK("https://www.amazon.co.jp/dp/B083JT9CBV/ref=sr_1_263?__mk_ja_JP=%E3%82%AB%E3%82%BF%E3%82%AB%E3%83%8A&amp;dchild=1&amp;keywords=Galaxy&amp;qid=1598527593&amp;sr=8-263", "Go")</f>
        <v/>
      </c>
    </row>
    <row r="282">
      <c r="A282" s="1" t="n">
        <v>280</v>
      </c>
      <c r="B282" t="inlineStr">
        <is>
          <t>スタイラスペン – 2 in 1タッチ画面&amp;書き込みペン、アソートカラー、機密スタイラスTip – For Your iPad、iPhone、Kindle、Nook、SAMSUNG GALAXY &amp; More – by Sypen 7 Pack</t>
        </is>
      </c>
      <c r="C282" t="inlineStr">
        <is>
          <t>￥23,974</t>
        </is>
      </c>
      <c r="D282" t="inlineStr">
        <is>
          <t>4.7</t>
        </is>
      </c>
      <c r="E282">
        <f>HYPERLINK("https://www.amazon.co.jp/%E3%82%B9%E3%82%BF%E3%82%A4%E3%83%A9%E3%82%B9%E3%83%9A%E3%83%B3-%E2%80%93-1%E3%82%BF%E3%83%83%E3%83%81%E7%94%BB%E9%9D%A2-%E6%9B%B8%E3%81%8D%E8%BE%BC%E3%81%BF%E3%83%9A%E3%83%B3%E3%80%81%E3%82%A2%E3%82%BD%E3%83%BC%E3%83%88%E3%82%AB%E3%83%A9%E3%83%BC%E3%80%81%E6%A9%9F%E5%AF%86%E3%82%B9%E3%82%BF%E3%82%A4%E3%83%A9%E3%82%B9Tip-%E2%80%93-iPad%E3%80%81iPhone%E3%80%81Kindle%E3%80%81Nook%E3%80%81SAMSUNG-More-%E2%80%93/dp/B071NS25WL/ref=sr_1_264?__mk_ja_JP=%E3%82%AB%E3%82%BF%E3%82%AB%E3%83%8A&amp;dchild=1&amp;keywords=Galaxy&amp;qid=1598527593&amp;sr=8-264", "Go")</f>
        <v/>
      </c>
    </row>
    <row r="283">
      <c r="A283" s="1" t="n">
        <v>281</v>
      </c>
      <c r="B283" t="inlineStr">
        <is>
          <t>Airpod Pro Case-KOREDA 3 in 1 大理石 キュート ハード保護カバーケース ポータブル &amp; 耐衝撃 ガールズ レディース メンズ キーチェーン/ストラップ付き Airpods Pro 充電ケース用 airpod pro</t>
        </is>
      </c>
      <c r="C283" t="inlineStr">
        <is>
          <t>￥10,268から1個のオプション</t>
        </is>
      </c>
      <c r="D283" t="inlineStr">
        <is>
          <t>4.7</t>
        </is>
      </c>
      <c r="E283">
        <f>HYPERLINK("https://www.amazon.co.jp/Airpod-Case-KOREDA-%E3%83%8F%E3%83%BC%E3%83%89%E4%BF%9D%E8%AD%B7%E3%82%AB%E3%83%90%E3%83%BC%E3%82%B1%E3%83%BC%E3%82%B9-%E3%82%B9%E3%83%88%E3%83%A9%E3%83%83%E3%83%97%E4%BB%98%E3%81%8D-Airpods/dp/B08BP6P1TM/ref=sr_1_265?__mk_ja_JP=%E3%82%AB%E3%82%BF%E3%82%AB%E3%83%8A&amp;dchild=1&amp;keywords=Galaxy&amp;qid=1598527593&amp;sr=8-265", "Go")</f>
        <v/>
      </c>
    </row>
    <row r="284">
      <c r="A284" s="1" t="n">
        <v>282</v>
      </c>
      <c r="B284" t="inlineStr">
        <is>
          <t>JEBSENS 4.8 A 24 WデュアルUSB車充電器電圧計カーバッテリーモニターwith LED電圧&amp;アンプ表示、for iPhone 7 / 6s / Plus、iPad Pro/Air 2 / Mini、Galaxy s7 / s6 / Edge/Plus, Note 5 / 4</t>
        </is>
      </c>
      <c r="C284" t="inlineStr">
        <is>
          <t>￥6,991</t>
        </is>
      </c>
      <c r="D284" t="inlineStr">
        <is>
          <t>4.7</t>
        </is>
      </c>
      <c r="E284">
        <f>HYPERLINK("https://www.amazon.co.jp/JEBSENS-24-W%E3%83%87%E3%83%A5%E3%82%A2%E3%83%ABUSB%E8%BB%8A%E5%85%85%E9%9B%BB%E5%99%A8%E9%9B%BB%E5%9C%A7%E8%A8%88%E3%82%AB%E3%83%BC%E3%83%90%E3%83%83%E3%83%86%E3%83%AA%E3%83%BC%E3%83%A2%E3%83%8B%E3%82%BF%E3%83%BCwith-%E3%82%A2%E3%83%B3%E3%83%97%E8%A1%A8%E7%A4%BA%E3%80%81-Plus%E3%80%81iPad-Mini%E3%80%81Galaxy/dp/B01N00I4TM/ref=sr_1_266?__mk_ja_JP=%E3%82%AB%E3%82%BF%E3%82%AB%E3%83%8A&amp;dchild=1&amp;keywords=Galaxy&amp;qid=1598527593&amp;sr=8-266", "Go")</f>
        <v/>
      </c>
    </row>
    <row r="285">
      <c r="A285" s="1" t="n">
        <v>283</v>
      </c>
      <c r="B285" t="inlineStr">
        <is>
          <t>30000mAh モバイルバッテリー ソーラー 大容量 ソーラーチャージャー 太陽光 携帯充電器 ソーラー充電器 【PSE認証済】 急速充電 LEDライト付き Lightning/Typec/Micro USB 3入力ポート 4USB出力ポート IPX6防水 地震/災害/旅行/出張/アウトドア活動など iPhone/iPad/Android 対応</t>
        </is>
      </c>
      <c r="C285" t="inlineStr">
        <is>
          <t>￥3,340</t>
        </is>
      </c>
      <c r="D285" t="inlineStr">
        <is>
          <t>4.7</t>
        </is>
      </c>
      <c r="E285">
        <f>HYPERLINK("https://www.amazon.co.jp/%E3%83%A2%E3%83%90%E3%82%A4%E3%83%AB%E3%83%90%E3%83%83%E3%83%86%E3%83%AA%E3%83%BC-%E3%82%BD%E3%83%BC%E3%83%A9%E3%83%BC%E3%83%81%E3%83%A3%E3%83%BC%E3%82%B8%E3%83%A3%E3%83%BC-Lightning-4USB%E5%87%BA%E5%8A%9B%E3%83%9D%E3%83%BC%E3%83%88-%E3%82%A2%E3%82%A6%E3%83%88%E3%83%89%E3%82%A2%E6%B4%BB%E5%8B%95%E3%81%AA%E3%81%A9/dp/B07YCR7FR9/ref=sr_1_267?__mk_ja_JP=%E3%82%AB%E3%82%BF%E3%82%AB%E3%83%8A&amp;dchild=1&amp;keywords=Galaxy&amp;qid=1598527593&amp;sr=8-267", "Go")</f>
        <v/>
      </c>
    </row>
    <row r="286">
      <c r="A286" s="1" t="n">
        <v>284</v>
      </c>
      <c r="B286" t="inlineStr">
        <is>
          <t>【Spigen】 iPhone SE ケース [第2世代] 米軍MIL規格取得 耐衝撃 三層構造 スタンド付き スマホスタンド カメラ保護 傷防止 衝撃 吸収 Qi充電 ワイヤレス充電 アイフォンSE (2020モデル) カバー シュピゲン タフ・アーマー ACS00949 (ガンメタル)</t>
        </is>
      </c>
      <c r="C286" t="inlineStr">
        <is>
          <t>￥2,490</t>
        </is>
      </c>
      <c r="D286" t="inlineStr">
        <is>
          <t>4.7</t>
        </is>
      </c>
      <c r="E286">
        <f>HYPERLINK("https://www.amazon.co.jp/ACS00949-Generation-Shockproof-Smartphone-Anti-Scratch/dp/B083KQ7MY7/ref=sr_1_268?__mk_ja_JP=%E3%82%AB%E3%82%BF%E3%82%AB%E3%83%8A&amp;dchild=1&amp;keywords=Galaxy&amp;qid=1598527593&amp;sr=8-268", "Go")</f>
        <v/>
      </c>
    </row>
    <row r="287">
      <c r="A287" s="1" t="n">
        <v>285</v>
      </c>
      <c r="B287" t="inlineStr">
        <is>
          <t>SanDisk Ultra 128GB UHS-I Class 10 MicroSDXC Memory Card Up to 80mb/s SDSQUNC-128G with Adapter by SanDisk</t>
        </is>
      </c>
      <c r="C287" t="inlineStr">
        <is>
          <t>￥6,123</t>
        </is>
      </c>
      <c r="D287" t="inlineStr">
        <is>
          <t>4.7</t>
        </is>
      </c>
      <c r="E287">
        <f>HYPERLINK("https://www.amazon.co.jp/SanDisk-MicroSDXC-Memory-SDSQUNC-128G-Adapter/dp/B015IYWJWO/ref=sr_1_269?__mk_ja_JP=%E3%82%AB%E3%82%BF%E3%82%AB%E3%83%8A&amp;dchild=1&amp;keywords=Galaxy&amp;qid=1598527593&amp;sr=8-269", "Go")</f>
        <v/>
      </c>
    </row>
    <row r="288">
      <c r="A288" s="1" t="n">
        <v>286</v>
      </c>
      <c r="B288" t="inlineStr">
        <is>
          <t>Poetic TurtleSkin Samsung Galaxy Tab A 10.1 (2019) 用 ブラック Turtleskin-Galaxy-TabA10.1-2019-Black</t>
        </is>
      </c>
      <c r="C288" t="inlineStr">
        <is>
          <t>￥11,167</t>
        </is>
      </c>
      <c r="D288" t="inlineStr">
        <is>
          <t>4.7</t>
        </is>
      </c>
      <c r="E288">
        <f>HYPERLINK("https://www.amazon.co.jp/Poetic-TurtleSkin-Samsung-Galaxy-Turtleskin-Galaxy-TabA10-1-2019-Black/dp/B07R6PCVLP/ref=sr_1_270?__mk_ja_JP=%E3%82%AB%E3%82%BF%E3%82%AB%E3%83%8A&amp;dchild=1&amp;keywords=Galaxy&amp;qid=1598527593&amp;sr=8-270", "Go")</f>
        <v/>
      </c>
    </row>
    <row r="289">
      <c r="A289" s="1" t="n">
        <v>287</v>
      </c>
      <c r="B289" t="inlineStr">
        <is>
          <t>Nekteck usb-if認定USBタイプC車充電器with PD 45 W &amp; USB - A 12 W for MacBook 12インチ/ Pro 2016、Google PixelピクセルXL Galaxy Note 2 / 8 / s8 / s8 Plus More ( USB - Cケーブル1 M / 3.3 Ft Included )</t>
        </is>
      </c>
      <c r="C289" t="inlineStr">
        <is>
          <t>￥12,071</t>
        </is>
      </c>
      <c r="D289" t="inlineStr">
        <is>
          <t>4.7</t>
        </is>
      </c>
      <c r="E289">
        <f>HYPERLINK("https://www.amazon.co.jp/Nekteck-usb-if%E8%AA%8D%E5%AE%9AUSB%E3%82%BF%E3%82%A4%E3%83%97C%E8%BB%8A%E5%85%85%E9%9B%BB%E5%99%A8with-45-USB-C%E3%82%B1%E3%83%BC%E3%83%96%E3%83%AB1/dp/B075WQQG7C/ref=sr_1_271?__mk_ja_JP=%E3%82%AB%E3%82%BF%E3%82%AB%E3%83%8A&amp;dchild=1&amp;keywords=Galaxy&amp;qid=1598527593&amp;sr=8-271", "Go")</f>
        <v/>
      </c>
    </row>
    <row r="290">
      <c r="A290" s="1" t="n">
        <v>288</v>
      </c>
      <c r="B290" t="inlineStr">
        <is>
          <t>RhinoShield（ライノシールド）Samsung Galaxy S10 CrashGuard バンパーケース | 3.5mの落下衝撃からも保護 衝撃吸収 スリム設計 耐衝撃保護カバー 薄型軽量 背面のないスタイリッシュデザイン - ブラッシュピンク</t>
        </is>
      </c>
      <c r="C290" t="inlineStr">
        <is>
          <t>￥2,990</t>
        </is>
      </c>
      <c r="D290" t="inlineStr">
        <is>
          <t>4.1</t>
        </is>
      </c>
      <c r="E290">
        <f>HYPERLINK("https://www.amazon.co.jp/RhinoShield%EF%BC%88%E3%83%A9%E3%82%A4%E3%83%8E%E3%82%B7%E3%83%BC%E3%83%AB%E3%83%89%EF%BC%89Samsung-Galaxy-%E3%83%90%E3%83%B3%E3%83%91%E3%83%BC%E3%82%B1%E3%83%BC%E3%82%B9-%E3%83%AF%E3%82%A4%E3%83%A4%E3%83%AC%E3%82%B9%E5%85%85%E9%9B%BB%E5%AF%BE%E5%BF%9C-3-5m%E3%81%AE%E8%90%BD%E4%B8%8B%E4%BF%9D%E8%AD%B7/dp/B07QQSQ4LR/ref=sr_1_272_sspa?__mk_ja_JP=%E3%82%AB%E3%82%BF%E3%82%AB%E3%83%8A&amp;dchild=1&amp;keywords=Galaxy&amp;qid=1598527593&amp;sr=8-272-spons&amp;psc=1&amp;spLa=ZW5jcnlwdGVkUXVhbGlmaWVyPUExWkdFM0hGWUMzWVhJJmVuY3J5cHRlZElkPUEwODg0MjcyTlROQ1VMTlhMSkFOJmVuY3J5cHRlZEFkSWQ9QTM5R1Q5S1RYU1lRVFEmd2lkZ2V0TmFtZT1zcF9tdGYmYWN0aW9uPWNsaWNrUmVkaXJlY3QmZG9Ob3RMb2dDbGljaz10cnVl", "Go")</f>
        <v/>
      </c>
    </row>
    <row r="291">
      <c r="A291" s="1" t="n">
        <v>289</v>
      </c>
      <c r="B291" t="inlineStr">
        <is>
          <t>LOOF Nature Galaxy S9+ / SC-03K / SCV39 ケース 手帳型 カバー 天然木 本革 ウッド 手帳型ケース 手帳型カバー 携帯ケース 携帯カバー スマホケース スマホカバー ベルト無し 木製 スタンド機能付き カード収納 カードポケット (桜)</t>
        </is>
      </c>
      <c r="C291" t="inlineStr">
        <is>
          <t>￥1,980</t>
        </is>
      </c>
      <c r="D291" t="inlineStr">
        <is>
          <t>5</t>
        </is>
      </c>
      <c r="E291">
        <f>HYPERLINK("https://www.amazon.co.jp/%E5%A4%A9%E7%84%B6%E6%9C%A8-%E6%9C%AC%E9%9D%A9-%E6%89%8B%E5%B8%B3%E5%9E%8B%E3%82%B1%E3%83%BC%E3%82%B9-%E3%82%B9%E3%83%9E%E3%83%9B%E3%82%B1%E3%83%BC%E3%82%B9-Galaxy/dp/B07C4RYFCM/ref=sr_1_273_sspa?__mk_ja_JP=%E3%82%AB%E3%82%BF%E3%82%AB%E3%83%8A&amp;dchild=1&amp;keywords=Galaxy&amp;qid=1598527593&amp;sr=8-273-spons&amp;psc=1&amp;spLa=ZW5jcnlwdGVkUXVhbGlmaWVyPUExWkdFM0hGWUMzWVhJJmVuY3J5cHRlZElkPUEwODg0MjcyTlROQ1VMTlhMSkFOJmVuY3J5cHRlZEFkSWQ9QTM1SUdaTE1ETFJNTjUmd2lkZ2V0TmFtZT1zcF9tdGYmYWN0aW9uPWNsaWNrUmVkaXJlY3QmZG9Ob3RMb2dDbGljaz10cnVl", "Go")</f>
        <v/>
      </c>
    </row>
    <row r="292">
      <c r="A292" s="1" t="n">
        <v>290</v>
      </c>
      <c r="B292" t="inlineStr">
        <is>
          <t>Galaxy S10+ ケース クリア 透明 tpu 薄型 軽量シリコン グラデーション スリム 耐衝撃 米軍MIL規格取得 指紋防止 防塵一体型 人気 携帯カバー (ピンクグリーン)</t>
        </is>
      </c>
      <c r="C292" t="inlineStr">
        <is>
          <t>￥1,120</t>
        </is>
      </c>
      <c r="D292" t="inlineStr">
        <is>
          <t>4</t>
        </is>
      </c>
      <c r="E292">
        <f>HYPERLINK("https://www.amazon.co.jp/Galaxy-%E8%BB%BD%E9%87%8F%E3%82%B7%E3%83%AA%E3%82%B3%E3%83%B3-%E3%82%B0%E3%83%A9%E3%83%87%E3%83%BC%E3%82%B7%E3%83%A7%E3%83%B3-%E7%B1%B3%E8%BB%8DMIL%E8%A6%8F%E6%A0%BC%E5%8F%96%E5%BE%97-%E3%83%94%E3%83%B3%E3%82%AF%E3%82%B0%E3%83%AA%E3%83%BC%E3%83%B3/dp/B07PJ32KCH/ref=sr_1_274_sspa?__mk_ja_JP=%E3%82%AB%E3%82%BF%E3%82%AB%E3%83%8A&amp;dchild=1&amp;keywords=Galaxy&amp;qid=1598527593&amp;sr=8-274-spons&amp;psc=1&amp;spLa=ZW5jcnlwdGVkUXVhbGlmaWVyPUExWkdFM0hGWUMzWVhJJmVuY3J5cHRlZElkPUEwODg0MjcyTlROQ1VMTlhMSkFOJmVuY3J5cHRlZEFkSWQ9QTJLMjJYSzU2TE1aVDcmd2lkZ2V0TmFtZT1zcF9tdGYmYWN0aW9uPWNsaWNrUmVkaXJlY3QmZG9Ob3RMb2dDbGljaz10cnVl", "Go")</f>
        <v/>
      </c>
    </row>
    <row r="293">
      <c r="A293" s="1" t="n">
        <v>291</v>
      </c>
      <c r="B293" t="inlineStr">
        <is>
          <t>マイクロSD 1TB サンディスク Extreme microSDXC A2 SDSQXA1-1T00-GN6MA 海外パッケージ品…</t>
        </is>
      </c>
      <c r="C293" t="inlineStr">
        <is>
          <t>￥32,945</t>
        </is>
      </c>
      <c r="D293" t="inlineStr">
        <is>
          <t>4.7</t>
        </is>
      </c>
      <c r="E293">
        <f>HYPERLINK("https://www.amazon.co.jp/%E3%83%9E%E3%82%A4%E3%82%AF%E3%83%ADSD-Extreme-microSDXC-SDSQXA1-1T00-GN6MA-%E6%B5%B7%E5%A4%96%E3%83%91%E3%83%83%E3%82%B1%E3%83%BC%E3%82%B8%E5%93%81%E2%80%A6/dp/B07P9W5HJV/ref=sr_1_275?__mk_ja_JP=%E3%82%AB%E3%82%BF%E3%82%AB%E3%83%8A&amp;dchild=1&amp;keywords=Galaxy&amp;qid=1598527593&amp;sr=8-275", "Go")</f>
        <v/>
      </c>
    </row>
    <row r="294">
      <c r="A294" s="1" t="n">
        <v>292</v>
      </c>
      <c r="B294" t="inlineStr">
        <is>
          <t>イヤホン イヤフォン ハイレゾ 軽量 アルミニウム合金製 有線イヤフォン マイク付き カナル型 高音質 重低音 音漏れ防止 イヤホン ステレオイヤフォン インナーイヤー型 切れにくい 通話可能 iPhone iPad PC Android (ブラック) 3.5mm イヤホン 有線</t>
        </is>
      </c>
      <c r="C294" t="inlineStr">
        <is>
          <t>￥799</t>
        </is>
      </c>
      <c r="D294" t="inlineStr">
        <is>
          <t>4.8</t>
        </is>
      </c>
      <c r="E294">
        <f>HYPERLINK("https://www.amazon.co.jp/%E3%82%A2%E3%83%AB%E3%83%9F%E3%83%8B%E3%82%A6%E3%83%A0%E5%90%88%E9%87%91%E8%A3%BD-%E6%9C%89%E7%B7%9A%E3%82%A4%E3%83%A4%E3%83%95%E3%82%A9%E3%83%B3-%E3%82%B9%E3%83%86%E3%83%AC%E3%82%AA%E3%82%A4%E3%83%A4%E3%83%95%E3%82%A9%E3%83%B3-%E3%82%A4%E3%83%B3%E3%83%8A%E3%83%BC%E3%82%A4%E3%83%A4%E3%83%BC%E5%9E%8B-Android/dp/B08DKKWX3H/ref=sr_1_276?__mk_ja_JP=%E3%82%AB%E3%82%BF%E3%82%AB%E3%83%8A&amp;dchild=1&amp;keywords=Galaxy&amp;qid=1598527593&amp;sr=8-276", "Go")</f>
        <v/>
      </c>
    </row>
    <row r="295">
      <c r="A295" s="1" t="n">
        <v>293</v>
      </c>
      <c r="B295" t="inlineStr">
        <is>
          <t>Nekteck usb-if認定(2 - Pack) USB C to USB 3.0アダプタUSB 3.1 (gen1 )タイプCオスto usb3 . 0 AメスケーブルコネクタサポートOTG機能、Macbook Pro Samsung Galaxy Note 8ピクセル2 / 0.15 M/ブラック</t>
        </is>
      </c>
      <c r="C295" t="inlineStr">
        <is>
          <t>￥8,017</t>
        </is>
      </c>
      <c r="D295" t="inlineStr">
        <is>
          <t>4.7</t>
        </is>
      </c>
      <c r="E295">
        <f>HYPERLINK("https://www.amazon.co.jp/Nekteck-usb-if%E8%AA%8D%E5%AE%9A-3-0%E3%82%A2%E3%83%80%E3%83%97%E3%82%BFUSB-%E3%82%BF%E3%82%A4%E3%83%97C%E3%82%AA%E3%82%B9to-A%E3%83%A1%E3%82%B9%E3%82%B1%E3%83%BC%E3%83%96%E3%83%AB%E3%82%B3%E3%83%8D%E3%82%AF%E3%82%BF%E3%82%B5%E3%83%9D%E3%83%BC%E3%83%88OTG%E6%A9%9F%E8%83%BD%E3%80%81Macbook/dp/B06XZX464L/ref=sr_1_277?__mk_ja_JP=%E3%82%AB%E3%82%BF%E3%82%AB%E3%83%8A&amp;dchild=1&amp;keywords=Galaxy&amp;qid=1598527593&amp;sr=8-277", "Go")</f>
        <v/>
      </c>
    </row>
    <row r="296">
      <c r="A296" s="1" t="n">
        <v>294</v>
      </c>
      <c r="B296" t="inlineStr">
        <is>
          <t>SanDisk ( サンディスク ) 512GB microSDXCカード EXTREME ( 最大 読込160MB/s 書込90MB/s ) SDアダプター付 SDSQXA1-512G-GN6MA ［ 海外パッケージ ］</t>
        </is>
      </c>
      <c r="C296" t="inlineStr">
        <is>
          <t>￥11,999</t>
        </is>
      </c>
      <c r="D296" t="inlineStr">
        <is>
          <t>4.7</t>
        </is>
      </c>
      <c r="E296">
        <f>HYPERLINK("https://www.amazon.co.jp/SanDisk-%E3%82%B5%E3%83%B3%E3%83%87%E3%82%A3%E3%82%B9%E3%82%AF-microSDXC%E3%82%AB%E3%83%BC%E3%83%89-SD%E3%82%A2%E3%83%80%E3%83%97%E3%82%BF%E3%83%BC%E4%BB%98-SDSQXA1-512G-GN6MA/dp/B07P7M6K35/ref=sr_1_278?__mk_ja_JP=%E3%82%AB%E3%82%BF%E3%82%AB%E3%83%8A&amp;dchild=1&amp;keywords=Galaxy&amp;qid=1598527593&amp;sr=8-278", "Go")</f>
        <v/>
      </c>
    </row>
    <row r="297">
      <c r="A297" s="1" t="n">
        <v>295</v>
      </c>
      <c r="B297" t="inlineStr">
        <is>
          <t>JSAUX USB 3.0マイクロケーブル 外付けHDDケーブル 2パック (1フィート+3.3フィート) USB Aオス - Micro B充電コード 東芝 WD、Seagate ハードドライブ、サムスン Galaxy S5、Note 3、Note Pro 12.2などに対応 3.3 feet ブルー</t>
        </is>
      </c>
      <c r="C297" t="inlineStr">
        <is>
          <t>￥12,106</t>
        </is>
      </c>
      <c r="D297" t="inlineStr">
        <is>
          <t>4.7</t>
        </is>
      </c>
      <c r="E297">
        <f>HYPERLINK("https://www.amazon.co.jp/JSAUX-3-0%E3%83%9E%E3%82%A4%E3%82%AF%E3%83%AD%E3%82%B1%E3%83%BC%E3%83%96%E3%83%AB-%E5%A4%96%E4%BB%98%E3%81%91HDD%E3%82%B1%E3%83%BC%E3%83%96%E3%83%AB-1%E3%83%95%E3%82%A3%E3%83%BC%E3%83%88-3-3%E3%83%95%E3%82%A3%E3%83%BC%E3%83%88/dp/B07L96WMRR/ref=sr_1_279?__mk_ja_JP=%E3%82%AB%E3%82%BF%E3%82%AB%E3%83%8A&amp;dchild=1&amp;keywords=Galaxy&amp;qid=1598527593&amp;sr=8-279", "Go")</f>
        <v/>
      </c>
    </row>
    <row r="298">
      <c r="A298" s="1" t="n">
        <v>296</v>
      </c>
      <c r="B298" t="inlineStr">
        <is>
          <t>ProCase Galaxy Tab A 10.1" 保護ケース 耐衝撃 バンパーケース 360°回転スタンド機能 調節可能なショルダーストラップ 対応端末：Galaxy Tab A 10.1 （SM-T510 T515 T517）- ブラック</t>
        </is>
      </c>
      <c r="C298" t="inlineStr">
        <is>
          <t>￥2,399</t>
        </is>
      </c>
      <c r="D298" t="inlineStr">
        <is>
          <t>4.7</t>
        </is>
      </c>
      <c r="E298">
        <f>HYPERLINK("https://www.amazon.co.jp/ProCase-360%E5%BA%A6%E5%9B%9E%E8%BB%A2%E5%8F%AF-%E3%82%AD%E3%83%83%E3%82%AF%E3%82%B9%E3%82%BF%E3%83%B3%E3%83%89-%E3%82%B7%E3%83%A7%E3%83%AB%E3%83%80%E3%83%BC%E3%83%99%E3%83%AB%E3%83%88%E4%BB%98%E3%81%8D-%EF%BC%88SM-T510/dp/B07R7Q7BLC/ref=sr_1_280?__mk_ja_JP=%E3%82%AB%E3%82%BF%E3%82%AB%E3%83%8A&amp;dchild=1&amp;keywords=Galaxy&amp;qid=1598527593&amp;sr=8-280", "Go")</f>
        <v/>
      </c>
    </row>
    <row r="299">
      <c r="A299" s="1" t="n">
        <v>297</v>
      </c>
      <c r="B299" t="inlineStr">
        <is>
          <t>【RAMマウントシリーズ】 RAM X-グリップホルダー(タブレットM) RAM-HOL-UN8BU</t>
        </is>
      </c>
      <c r="C299" t="inlineStr">
        <is>
          <t>￥6,820</t>
        </is>
      </c>
      <c r="D299" t="inlineStr">
        <is>
          <t>4.7</t>
        </is>
      </c>
      <c r="E299">
        <f>HYPERLINK("https://www.amazon.co.jp/%E3%80%90RAM%E3%83%9E%E3%82%A6%E3%83%B3%E3%83%88%E3%82%B7%E3%83%AA%E3%83%BC%E3%82%BA%E3%80%91-RAM-X-%E3%82%B0%E3%83%AA%E3%83%83%E3%83%97%E3%83%9B%E3%83%AB%E3%83%80%E3%83%BC-%E3%82%BF%E3%83%96%E3%83%AC%E3%83%83%E3%83%88M-RAM-HOL-UN8BU/dp/B006OQQ27E/ref=sr_1_281?__mk_ja_JP=%E3%82%AB%E3%82%BF%E3%82%AB%E3%83%8A&amp;dchild=1&amp;keywords=Galaxy&amp;qid=1598527593&amp;sr=8-281", "Go")</f>
        <v/>
      </c>
    </row>
    <row r="300">
      <c r="A300" s="1" t="n">
        <v>298</v>
      </c>
      <c r="B300" t="inlineStr">
        <is>
          <t>Galaxy Tab A 10.5 ケース、SUPCASE [ユニコーンビートルプロシリーズ] 内蔵スクリーンプロテクター付き フルボディ頑丈なホルスターハイブリッドケース Samsung Galaxy Tab A 10.5 (SM-T590/T595/T597) (2018年発売) ブラック SUP-2018TabA-10.5-UBPro-SP</t>
        </is>
      </c>
      <c r="C300" t="inlineStr">
        <is>
          <t>￥11,461</t>
        </is>
      </c>
      <c r="D300" t="inlineStr">
        <is>
          <t>4.7</t>
        </is>
      </c>
      <c r="E300">
        <f>HYPERLINK("https://www.amazon.co.jp/%E3%82%B1%E3%83%BC%E3%82%B9%E3%80%81SUPCASE-%E3%83%A6%E3%83%8B%E3%82%B3%E3%83%BC%E3%83%B3%E3%83%93%E3%83%BC%E3%83%88%E3%83%AB%E3%83%97%E3%83%AD%E3%82%B7%E3%83%AA%E3%83%BC%E3%82%BA-%E5%86%85%E8%94%B5%E3%82%B9%E3%82%AF%E3%83%AA%E3%83%BC%E3%83%B3%E3%83%97%E3%83%AD%E3%83%86%E3%82%AF%E3%82%BF%E3%83%BC%E4%BB%98%E3%81%8D-%E3%83%95%E3%83%AB%E3%83%9C%E3%83%87%E3%82%A3%E9%A0%91%E4%B8%88%E3%81%AA%E3%83%9B%E3%83%AB%E3%82%B9%E3%82%BF%E3%83%BC%E3%83%8F%E3%82%A4%E3%83%96%E3%83%AA%E3%83%83%E3%83%89%E3%82%B1%E3%83%BC%E3%82%B9-SUP-2018TabA-10-5-UBPro-SP/dp/B07K71T642/ref=sr_1_282?__mk_ja_JP=%E3%82%AB%E3%82%BF%E3%82%AB%E3%83%8A&amp;dchild=1&amp;keywords=Galaxy&amp;qid=1598527593&amp;sr=8-282", "Go")</f>
        <v/>
      </c>
    </row>
    <row r="301">
      <c r="A301" s="1" t="n">
        <v>299</v>
      </c>
      <c r="B301" t="inlineStr">
        <is>
          <t>Xiaomi Redmi Note 8 6.3" 64GB 4GB RAM (GSM Only, No CDMA) Internationa Version - No Warranty (Neptune Blue)</t>
        </is>
      </c>
      <c r="C301" t="inlineStr">
        <is>
          <t>￥24,774</t>
        </is>
      </c>
      <c r="D301" t="inlineStr">
        <is>
          <t>4.7</t>
        </is>
      </c>
      <c r="E301">
        <f>HYPERLINK("https://www.amazon.co.jp/Xiaomi-Redmi-Note-Internationa-Version/dp/B07YZLRBFP/ref=sr_1_283?__mk_ja_JP=%E3%82%AB%E3%82%BF%E3%82%AB%E3%83%8A&amp;dchild=1&amp;keywords=Galaxy&amp;qid=1598527593&amp;sr=8-283", "Go")</f>
        <v/>
      </c>
    </row>
    <row r="302">
      <c r="A302" s="1" t="n">
        <v>300</v>
      </c>
      <c r="B302" t="inlineStr">
        <is>
          <t>RAVPower Trubo 36W 2ポート 車用充電器</t>
        </is>
      </c>
      <c r="C302" t="inlineStr">
        <is>
          <t>￥2,944</t>
        </is>
      </c>
      <c r="D302" t="inlineStr">
        <is>
          <t>4.7</t>
        </is>
      </c>
      <c r="E302">
        <f>HYPERLINK("https://www.amazon.co.jp/RAVPower-Trubo-36W-2%E3%83%9D%E3%83%BC%E3%83%88-%E8%BB%8A%E7%94%A8%E5%85%85%E9%9B%BB%E5%99%A8/dp/B07SL5K74Z/ref=sr_1_284?__mk_ja_JP=%E3%82%AB%E3%82%BF%E3%82%AB%E3%83%8A&amp;dchild=1&amp;keywords=Galaxy&amp;qid=1598527593&amp;sr=8-284", "Go")</f>
        <v/>
      </c>
    </row>
    <row r="303">
      <c r="A303" s="1" t="n">
        <v>301</v>
      </c>
      <c r="B303" t="inlineStr">
        <is>
          <t>microSDHCカード 16GB Class10 UHS-I対応 Premium Transcend社製 TS16GUSDCU1（最大転送速度 45MB/s）</t>
        </is>
      </c>
      <c r="C303" t="inlineStr">
        <is>
          <t>￥850</t>
        </is>
      </c>
      <c r="D303" t="inlineStr">
        <is>
          <t>4.7</t>
        </is>
      </c>
      <c r="E303">
        <f>HYPERLINK("https://www.amazon.co.jp/Transcend-microSDHC%E3%82%AB%E3%83%BC%E3%83%89-%E5%A4%89%E6%8F%9B%E3%82%A2%E3%83%80%E3%83%97%E3%82%BF%E7%84%A1%E3%81%97-Nintendo-TS16GUSDCU1/dp/B00APCMMCM/ref=sr_1_285?__mk_ja_JP=%E3%82%AB%E3%82%BF%E3%82%AB%E3%83%8A&amp;dchild=1&amp;keywords=Galaxy&amp;qid=1598527593&amp;sr=8-285", "Go")</f>
        <v/>
      </c>
    </row>
    <row r="304">
      <c r="A304" s="1" t="n">
        <v>302</v>
      </c>
      <c r="B304" t="inlineStr">
        <is>
          <t>Stouch iPad Pro タブレットホルダースタンド 360度回転可能 アルミニウム合金 デスクトップホルダー タブレットスタンド サムスン Galaxy Tab Pro S iPad Pro10.5 9.7インチ 12.9インチ iPad Air Surface Pro 4およびその他のタブレットに対応 RHCG-357</t>
        </is>
      </c>
      <c r="C304" t="inlineStr">
        <is>
          <t>￥4,500</t>
        </is>
      </c>
      <c r="D304" t="inlineStr">
        <is>
          <t>4.7</t>
        </is>
      </c>
      <c r="E304">
        <f>HYPERLINK("https://www.amazon.co.jp/Stouch-%E3%82%BF%E3%83%96%E3%83%AC%E3%83%83%E3%83%88%E3%83%9B%E3%83%AB%E3%83%80%E3%83%BC%E3%82%B9%E3%82%BF%E3%83%B3%E3%83%89-%E3%82%A2%E3%83%AB%E3%83%9F%E3%83%8B%E3%82%A6%E3%83%A0%E5%90%88%E9%87%91-%E3%83%87%E3%82%B9%E3%82%AF%E3%83%88%E3%83%83%E3%83%97%E3%83%9B%E3%83%AB%E3%83%80%E3%83%BC-%E3%82%BF%E3%83%96%E3%83%AC%E3%83%83%E3%83%88%E3%82%B9%E3%82%BF%E3%83%B3%E3%83%89/dp/B07G979PCK/ref=sr_1_286?__mk_ja_JP=%E3%82%AB%E3%82%BF%E3%82%AB%E3%83%8A&amp;dchild=1&amp;keywords=Galaxy&amp;qid=1598527593&amp;sr=8-286", "Go")</f>
        <v/>
      </c>
    </row>
    <row r="305">
      <c r="A305" s="1" t="n">
        <v>303</v>
      </c>
      <c r="B305" t="inlineStr">
        <is>
          <t>Huawei P30 ケース 手帳型 P30 ケース - HOOMIL カード収納 サイドマグネット式 手触りや風合い抜群 耐衝撃 薄型 高級PU レザー スマホケース 全面保護 ブラック</t>
        </is>
      </c>
      <c r="C305" t="inlineStr">
        <is>
          <t>￥1,680</t>
        </is>
      </c>
      <c r="D305" t="inlineStr">
        <is>
          <t>4.7</t>
        </is>
      </c>
      <c r="E305">
        <f>HYPERLINK("https://www.amazon.co.jp/HOOMIL-Huawei-P30-%E3%82%B9%E3%83%9E%E3%83%9B%E3%82%B1%E3%83%BC%E3%82%B9-%E9%AB%98%E7%B4%9APU/dp/B07MX4RK4G/ref=sr_1_287?__mk_ja_JP=%E3%82%AB%E3%82%BF%E3%82%AB%E3%83%8A&amp;dchild=1&amp;keywords=Galaxy&amp;qid=1598527593&amp;sr=8-287", "Go")</f>
        <v/>
      </c>
    </row>
    <row r="306">
      <c r="A306" s="1" t="n">
        <v>304</v>
      </c>
      <c r="B306" t="inlineStr">
        <is>
          <t>QWOO スタープロジェクターライト 星空ライト プラネタリウム 天井 投影ランプ 【32種点灯モード・6段階輝度調整・リモコン式・音声制御 ・Bluetooth/TFカード対応】子供 寝かしつけ用おもちゃ/雰囲気作り/クリスマス ハロウィン パーテイー飾り/お子さん 彼女にプレゼント/誕生日ギフト</t>
        </is>
      </c>
      <c r="C306" t="inlineStr">
        <is>
          <t>￥3,780</t>
        </is>
      </c>
      <c r="D306" t="inlineStr">
        <is>
          <t>4.8</t>
        </is>
      </c>
      <c r="E306">
        <f>HYPERLINK("https://www.amazon.co.jp/%E3%82%B9%E3%82%BF%E3%83%BC%E3%83%97%E3%83%AD%E3%82%B8%E3%82%A7%E3%82%AF%E3%82%BF%E3%83%BC%E3%83%A9%E3%82%A4%E3%83%88-%E3%80%9032%E7%A8%AE%E7%82%B9%E7%81%AF%E3%83%A2%E3%83%BC%E3%83%89%E3%83%BB6%E6%AE%B5%E9%9A%8E%E8%BC%9D%E5%BA%A6%E8%AA%BF%E6%95%B4%E3%83%BB%E3%83%AA%E3%83%A2%E3%82%B3%E3%83%B3%E5%BC%8F%E3%83%BB%E9%9F%B3%E5%A3%B0%E5%88%B6%E5%BE%A1-%E3%83%BBBluetooth-TF%E3%82%AB%E3%83%BC%E3%83%89%E5%AF%BE%E5%BF%9C%E3%80%91%E5%AD%90%E4%BE%9B-%E5%AF%9D%E3%81%8B%E3%81%97%E3%81%A4%E3%81%91%E7%94%A8%E3%81%8A%E3%82%82%E3%81%A1%E3%82%83/dp/B089VSHHR2/ref=sr_1_288?__mk_ja_JP=%E3%82%AB%E3%82%BF%E3%82%AB%E3%83%8A&amp;dchild=1&amp;keywords=Galaxy&amp;qid=1598527593&amp;sr=8-288", "Go")</f>
        <v/>
      </c>
    </row>
    <row r="307">
      <c r="A307" s="1" t="n">
        <v>305</v>
      </c>
      <c r="B307" t="inlineStr">
        <is>
          <t>Samsung Galaxy Tab E 9.6 SM-T560 SM-T561用 保護ケース + 保護フィルム + スタイラス AFUNTA スタンド として使え EVA 保護ケース PET カバー タブレット 9.6 Inch ?オレンジ</t>
        </is>
      </c>
      <c r="C307" t="inlineStr">
        <is>
          <t>￥1,031</t>
        </is>
      </c>
      <c r="D307" t="inlineStr">
        <is>
          <t>4.7</t>
        </is>
      </c>
      <c r="E307">
        <f>HYPERLINK("https://www.amazon.co.jp/AF-tabE9-6_case-cover-stylus/dp/B074W36JRB/ref=sr_1_289?__mk_ja_JP=%E3%82%AB%E3%82%BF%E3%82%AB%E3%83%8A&amp;dchild=1&amp;keywords=Galaxy&amp;qid=1598527593&amp;sr=8-289", "Go")</f>
        <v/>
      </c>
    </row>
    <row r="308">
      <c r="A308" s="1" t="n">
        <v>306</v>
      </c>
      <c r="B308" t="inlineStr">
        <is>
          <t>Wsky iPhone 11 ケース すり傷防ぐ 衝撃吸収 スクリーン保護 ブラック ケース 薄 軽 防水 手触り良い TPU素材 指紋防止 アイフォン カバー ワイヤレス充電対応 (ブラック)</t>
        </is>
      </c>
      <c r="C308" t="inlineStr">
        <is>
          <t>￥1,026</t>
        </is>
      </c>
      <c r="D308" t="inlineStr">
        <is>
          <t>4.7</t>
        </is>
      </c>
      <c r="E308">
        <f>HYPERLINK("https://www.amazon.co.jp/iPhone-11-%E3%81%99%E3%82%8A%E5%82%B7%E9%98%B2%E3%81%90-%E3%82%B9%E3%82%AF%E3%83%AA%E3%83%BC%E3%83%B3%E4%BF%9D%E8%AD%B7-%E3%83%AF%E3%82%A4%E3%83%A4%E3%83%AC%E3%82%B9%E5%85%85%E9%9B%BB%E5%AF%BE%E5%BF%9C/dp/B08CYY12VD/ref=sr_1_290?__mk_ja_JP=%E3%82%AB%E3%82%BF%E3%82%AB%E3%83%8A&amp;dchild=1&amp;keywords=Galaxy&amp;qid=1598527593&amp;sr=8-290", "Go")</f>
        <v/>
      </c>
    </row>
    <row r="309">
      <c r="A309" s="1" t="n">
        <v>307</v>
      </c>
      <c r="B309" t="inlineStr">
        <is>
          <t>【Ringke】Galaxy A50ケース (2019) 対応 コスパ最高 ストラップホール 落下衝撃吸収 スマホケース [米軍MIL規格取得] TPU PC 2重構造 スマホケース 吸収耐衝撃カバー 背面 Fusion-X 設計(Camo Black) Samsung Galaxy A50ケース</t>
        </is>
      </c>
      <c r="C309" t="inlineStr">
        <is>
          <t>￥2,600</t>
        </is>
      </c>
      <c r="D309" t="inlineStr">
        <is>
          <t>4.7</t>
        </is>
      </c>
      <c r="E309">
        <f>HYPERLINK("https://www.amazon.co.jp/%E3%80%90Ringke%E3%80%91Galaxy-%E3%82%B9%E3%83%88%E3%83%A9%E3%83%83%E3%83%97%E3%83%9B%E3%83%BC%E3%83%AB-%E7%B1%B3%E8%BB%8DMIL%E8%A6%8F%E6%A0%BC%E5%8F%96%E5%BE%97-%E5%90%B8%E5%8F%8E%E8%80%90%E8%A1%9D%E6%92%83%E3%82%AB%E3%83%90%E3%83%BC-Fusion-X/dp/B07RWMNW6D/ref=sr_1_291?__mk_ja_JP=%E3%82%AB%E3%82%BF%E3%82%AB%E3%83%8A&amp;dchild=1&amp;keywords=Galaxy&amp;qid=1598527593&amp;sr=8-291", "Go")</f>
        <v/>
      </c>
    </row>
    <row r="310">
      <c r="A310" s="1" t="n">
        <v>308</v>
      </c>
      <c r="B310" t="inlineStr">
        <is>
          <t>XAOSUN USB CからUSBアダプター [2個パック] USB-CからUSB3.0アダプター Thunderbolt 3からUSBメスアダプター USBからUSBタイプCアダプター OTG対応 MacBook Pro/Surface Go/Galaxy S8 S9 S10など グレー</t>
        </is>
      </c>
      <c r="C310" t="inlineStr">
        <is>
          <t>￥23,962</t>
        </is>
      </c>
      <c r="D310" t="inlineStr">
        <is>
          <t>4.9</t>
        </is>
      </c>
      <c r="E310">
        <f>HYPERLINK("https://www.amazon.co.jp/XAOSUN-C%E3%81%8B%E3%82%89USB%E3%82%A2%E3%83%80%E3%83%97%E3%82%BF%E3%83%BC-USB-C%E3%81%8B%E3%82%89USB3-0%E3%82%A2%E3%83%80%E3%83%97%E3%82%BF%E3%83%BC-3%E3%81%8B%E3%82%89USB%E3%83%A1%E3%82%B9%E3%82%A2%E3%83%80%E3%83%97%E3%82%BF%E3%83%BC-USB%E3%81%8B%E3%82%89USB%E3%82%BF%E3%82%A4%E3%83%97C%E3%82%A2%E3%83%80%E3%83%97%E3%82%BF%E3%83%BC/dp/B085DS2TXK/ref=sr_1_292?__mk_ja_JP=%E3%82%AB%E3%82%BF%E3%82%AB%E3%83%8A&amp;dchild=1&amp;keywords=Galaxy&amp;qid=1598527593&amp;sr=8-292", "Go")</f>
        <v/>
      </c>
    </row>
    <row r="311">
      <c r="A311" s="1" t="n">
        <v>309</v>
      </c>
      <c r="B311" t="inlineStr">
        <is>
          <t>BobjGear Bobj 丈夫なタブレットケース Samsung Galaxy Tab S5e 子供に優しい</t>
        </is>
      </c>
      <c r="C311" t="inlineStr">
        <is>
          <t>￥17,000</t>
        </is>
      </c>
      <c r="D311" t="inlineStr">
        <is>
          <t>4.9</t>
        </is>
      </c>
      <c r="E311">
        <f>HYPERLINK("https://www.amazon.co.jp/BobjGear-%E4%B8%88%E5%A4%AB%E3%81%AA%E3%82%BF%E3%83%96%E3%83%AC%E3%83%83%E3%83%88%E3%82%B1%E3%83%BC%E3%82%B9-Samsung-Galaxy-%E5%AD%90%E4%BE%9B%E3%81%AB%E5%84%AA%E3%81%97%E3%81%84/dp/B07V5QBC23/ref=sr_1_293?__mk_ja_JP=%E3%82%AB%E3%82%BF%E3%82%AB%E3%83%8A&amp;dchild=1&amp;keywords=Galaxy&amp;qid=1598527593&amp;sr=8-293", "Go")</f>
        <v/>
      </c>
    </row>
    <row r="312">
      <c r="A312" s="1" t="n">
        <v>310</v>
      </c>
      <c r="B312" t="inlineStr">
        <is>
          <t>スマホケース 手帳型 [Galaxy A8 SCV32] ケース かわいい ペコちゃん キャラクター お菓子 0163-C. お祭り scv32 ケース 手帳型 かわいい ギャラクシー エーエイト スマホゴ</t>
        </is>
      </c>
      <c r="C312" t="inlineStr">
        <is>
          <t>￥3,300</t>
        </is>
      </c>
      <c r="D312" t="inlineStr">
        <is>
          <t>4.9</t>
        </is>
      </c>
      <c r="E312">
        <f>HYPERLINK("https://www.amazon.co.jp/%E3%82%B9%E3%83%9E%E3%83%9B%E3%82%B1%E3%83%BC%E3%82%B9-galaxy-%E3%82%AD%E3%83%A3%E3%83%A9%E3%82%AF%E3%82%BF%E3%83%BC-0163-C-%E3%82%B9%E3%83%9E%E3%83%9B%E3%82%B4/dp/B01C8BEAN6/ref=sr_1_294?__mk_ja_JP=%E3%82%AB%E3%82%BF%E3%82%AB%E3%83%8A&amp;dchild=1&amp;keywords=Galaxy&amp;qid=1598527593&amp;sr=8-294", "Go")</f>
        <v/>
      </c>
    </row>
    <row r="313">
      <c r="A313" s="1" t="n">
        <v>311</v>
      </c>
      <c r="B313" t="inlineStr">
        <is>
          <t>Tripp Lite Heavy-Duty Computer Power Cord, 14AWG 15A (NEMA 5-15P to IEC-320-C13), 6-ft.</t>
        </is>
      </c>
      <c r="C313" t="inlineStr">
        <is>
          <t>￥4,959</t>
        </is>
      </c>
      <c r="D313" t="inlineStr">
        <is>
          <t>4.7</t>
        </is>
      </c>
      <c r="E313">
        <f>HYPERLINK("https://www.amazon.co.jp/Tripp-Heavy-Duty-Computer-Power-IEC-320-C13/dp/B0027JRMD0/ref=sr_1_295?__mk_ja_JP=%E3%82%AB%E3%82%BF%E3%82%AB%E3%83%8A&amp;dchild=1&amp;keywords=Galaxy&amp;qid=1598527593&amp;sr=8-295", "Go")</f>
        <v/>
      </c>
    </row>
    <row r="314">
      <c r="A314" s="1" t="n">
        <v>312</v>
      </c>
      <c r="B314" t="inlineStr">
        <is>
          <t>ガラスフィルム 化ガラスフィルム 液晶保護 耐衝撃 日本製素材旭硝子製 目の疲れ軽減</t>
        </is>
      </c>
      <c r="C314" t="inlineStr">
        <is>
          <t>￥21,531</t>
        </is>
      </c>
      <c r="D314" t="inlineStr">
        <is>
          <t>4.8</t>
        </is>
      </c>
      <c r="E314">
        <f>HYPERLINK("https://www.amazon.co.jp/%E3%82%AC%E3%83%A9%E3%82%B9%E3%83%95%E3%82%A3%E3%83%AB%E3%83%A0-%E5%8C%96%E3%82%AC%E3%83%A9%E3%82%B9%E3%83%95%E3%82%A3%E3%83%AB%E3%83%A0-%E6%B6%B2%E6%99%B6%E4%BF%9D%E8%AD%B7-%E6%97%A5%E6%9C%AC%E8%A3%BD%E7%B4%A0%E6%9D%90%E6%97%AD%E7%A1%9D%E5%AD%90%E8%A3%BD-%E7%9B%AE%E3%81%AE%E7%96%B2%E3%82%8C%E8%BB%BD%E6%B8%9B/dp/B0816LJJQ3/ref=sr_1_296?__mk_ja_JP=%E3%82%AB%E3%82%BF%E3%82%AB%E3%83%8A&amp;dchild=1&amp;keywords=Galaxy&amp;qid=1598527593&amp;sr=8-296", "Go")</f>
        <v/>
      </c>
    </row>
    <row r="315">
      <c r="A315" s="1" t="n">
        <v>313</v>
      </c>
      <c r="B315" t="inlineStr">
        <is>
          <t>iKammo ゲーム用マウスパッド 拡張デスクパッド/ゲーム用キーボードマウスパッド マット 滑り止めゴムベース ステッチエッジ XXL</t>
        </is>
      </c>
      <c r="C315" t="inlineStr">
        <is>
          <t>￥11,083</t>
        </is>
      </c>
      <c r="D315" t="inlineStr">
        <is>
          <t>4.7</t>
        </is>
      </c>
      <c r="E315">
        <f>HYPERLINK("https://www.amazon.co.jp/iKammo-%E3%82%B2%E3%83%BC%E3%83%A0%E7%94%A8%E3%83%9E%E3%82%A6%E3%82%B9%E3%83%91%E3%83%83%E3%83%89-%E6%8B%A1%E5%BC%B5%E3%83%87%E3%82%B9%E3%82%AF%E3%83%91%E3%83%83%E3%83%89-%E3%82%B2%E3%83%BC%E3%83%A0%E7%94%A8%E3%82%AD%E3%83%BC%E3%83%9C%E3%83%BC%E3%83%89%E3%83%9E%E3%82%A6%E3%82%B9%E3%83%91%E3%83%83%E3%83%89-%E6%BB%91%E3%82%8A%E6%AD%A2%E3%82%81%E3%82%B4%E3%83%A0%E3%83%99%E3%83%BC%E3%82%B9/dp/B089FTWCH8/ref=sr_1_297?__mk_ja_JP=%E3%82%AB%E3%82%BF%E3%82%AB%E3%83%8A&amp;dchild=1&amp;keywords=Galaxy&amp;qid=1598527593&amp;sr=8-297", "Go")</f>
        <v/>
      </c>
    </row>
    <row r="316">
      <c r="A316" s="1" t="n">
        <v>314</v>
      </c>
      <c r="B316" t="inlineStr">
        <is>
          <t>[2020令和最新版]イヤホン 3.5mm 有線 カナル型 イヤフォン ハイレゾ イヤフォン 重低音 ステレオ マイク・リモコン付き ヘッドホン コンパクト 通話可能 遮音性が高く 音漏れ防止 イヤホンノイズキャンセリング インナーイヤー型 イヤフォン Android/iPhone/iPad/PC多機種対応（ピンク）</t>
        </is>
      </c>
      <c r="C316" t="inlineStr">
        <is>
          <t>￥1,299</t>
        </is>
      </c>
      <c r="D316" t="inlineStr">
        <is>
          <t>4.7</t>
        </is>
      </c>
      <c r="E316">
        <f>HYPERLINK("https://www.amazon.co.jp/2020%E4%BB%A4%E5%92%8C%E6%9C%80%E6%96%B0%E7%89%88-%E3%83%9E%E3%82%A4%E3%82%AF%E3%83%BB%E3%83%AA%E3%83%A2%E3%82%B3%E3%83%B3%E4%BB%98%E3%81%8D-%E3%82%A4%E3%83%A4%E3%83%9B%E3%83%B3%E3%83%8E%E3%82%A4%E3%82%BA%E3%82%AD%E3%83%A3%E3%83%B3%E3%82%BB%E3%83%AA%E3%83%B3%E3%82%B0-%E3%82%A4%E3%83%B3%E3%83%8A%E3%83%BC%E3%82%A4%E3%83%A4%E3%83%BC%E5%9E%8B-PC%E5%A4%9A%E6%A9%9F%E7%A8%AE%E5%AF%BE%E5%BF%9C%EF%BC%88%E3%83%94%E3%83%B3%E3%82%AF%EF%BC%89/dp/B08D7G9WCL/ref=sr_1_298?__mk_ja_JP=%E3%82%AB%E3%82%BF%E3%82%AB%E3%83%8A&amp;dchild=1&amp;keywords=Galaxy&amp;qid=1598527593&amp;sr=8-298", "Go")</f>
        <v/>
      </c>
    </row>
    <row r="317">
      <c r="A317" s="1" t="n">
        <v>315</v>
      </c>
      <c r="B317" t="inlineStr">
        <is>
          <t>Samsung Galaxy S10携帯電話ケースFHXD超薄型軽量スクラッチ防止滑り止め耐衝撃性保護カバー艶出しPCハード保護ケース(ローズゴールド)</t>
        </is>
      </c>
      <c r="C317" t="inlineStr">
        <is>
          <t>￥1,378</t>
        </is>
      </c>
      <c r="D317" t="inlineStr">
        <is>
          <t>4.7</t>
        </is>
      </c>
      <c r="E317">
        <f>HYPERLINK("https://www.amazon.co.jp/FHXD-Samsung-Galaxy-S10-S10%E6%90%BA%E5%B8%AF%E9%9B%BB%E8%A9%B1%E3%82%B1%E3%83%BC%E3%82%B9FHXD%E8%B6%85%E8%96%84%E5%9E%8B%E8%BB%BD%E9%87%8F%E3%82%B9%E3%82%AF%E3%83%A9%E3%83%83%E3%83%81%E9%98%B2%E6%AD%A2%E6%BB%91%E3%82%8A%E6%AD%A2%E3%82%81%E8%80%90%E8%A1%9D%E6%92%83%E6%80%A7%E4%BF%9D%E8%AD%B7%E3%82%AB%E3%83%90%E3%83%BC%E8%89%B6%E5%87%BA%E3%81%97PC%E3%83%8F%E3%83%BC%E3%83%89%E4%BF%9D%E8%AD%B7%E3%82%B1%E3%83%BC%E3%82%B9/dp/B07ZB2YC4H/ref=sr_1_300_sspa?__mk_ja_JP=%E3%82%AB%E3%82%BF%E3%82%AB%E3%83%8A&amp;dchild=1&amp;keywords=Galaxy&amp;qid=1598527593&amp;sr=8-300-spons&amp;psc=1&amp;spLa=ZW5jcnlwdGVkUXVhbGlmaWVyPUExWkdFM0hGWUMzWVhJJmVuY3J5cHRlZElkPUEwODg0MjcyTlROQ1VMTlhMSkFOJmVuY3J5cHRlZEFkSWQ9QTJRUkdZUllEVlZLVEomd2lkZ2V0TmFtZT1zcF9idGYmYWN0aW9uPWNsaWNrUmVkaXJlY3QmZG9Ob3RMb2dDbGljaz10cnVl", "Go")</f>
        <v/>
      </c>
    </row>
    <row r="318">
      <c r="A318" s="1" t="n">
        <v>316</v>
      </c>
      <c r="B318" t="inlineStr">
        <is>
          <t>[MOLAN CANO] Samsung Galaxy S20 Ultra ケース TPU材質 スリム ソフト 軽量 カバー かわいいケース衝撃吸収 ワイヤレス充電 キュート 3D Ears Design マットな質感のスマートフォンケース (GALAXY S20 Ultra, ブラック)</t>
        </is>
      </c>
      <c r="C318" t="inlineStr">
        <is>
          <t>￥1,380</t>
        </is>
      </c>
      <c r="D318" t="inlineStr">
        <is>
          <t>4.1</t>
        </is>
      </c>
      <c r="E318">
        <f>HYPERLINK("https://www.amazon.co.jp/Material-Lightweight-Absorbing-Wireless-Smartphone/dp/B08C2RFJHS/ref=sr_1_289_sspa?__mk_ja_JP=%E3%82%AB%E3%82%BF%E3%82%AB%E3%83%8A&amp;dchild=1&amp;keywords=Galaxy&amp;qid=1598527863&amp;sr=8-289-spons&amp;psc=1&amp;spLa=ZW5jcnlwdGVkUXVhbGlmaWVyPUEzVlJUQ0QzUUlJRzk2JmVuY3J5cHRlZElkPUEwODk0MTUxMkhRUUJBWlhUMkM0JmVuY3J5cHRlZEFkSWQ9QTJESTdYWk9KS0paV0Ymd2lkZ2V0TmFtZT1zcF9hdGZfbmV4dCZhY3Rpb249Y2xpY2tSZWRpcmVjdCZkb05vdExvZ0NsaWNrPXRydWU=", "Go")</f>
        <v/>
      </c>
    </row>
    <row r="319">
      <c r="A319" s="1" t="n">
        <v>317</v>
      </c>
      <c r="B319" t="inlineStr">
        <is>
          <t>Galaxy S10 Plus ケース クリア シリコン 高透明 耐衝撃 薄型 軽量 カメラ保護 滑り防止 ワイヤレス充電 スマホケース Galaxy S10 Plus用カバー</t>
        </is>
      </c>
      <c r="C319" t="inlineStr">
        <is>
          <t>￥999</t>
        </is>
      </c>
      <c r="D319" t="inlineStr">
        <is>
          <t>5</t>
        </is>
      </c>
      <c r="E319">
        <f>HYPERLINK("https://www.amazon.co.jp/Galaxy-%E3%82%AB%E3%83%A1%E3%83%A9%E4%BF%9D%E8%AD%B7-%E3%83%AF%E3%82%A4%E3%83%A4%E3%83%AC%E3%82%B9%E5%85%85%E9%9B%BB-%E3%82%B9%E3%83%9E%E3%83%9B%E3%82%B1%E3%83%BC%E3%82%B9-Plus%E7%94%A8%E3%82%AB%E3%83%90%E3%83%BC/dp/B08C2KKXXR/ref=sr_1_291_sspa?__mk_ja_JP=%E3%82%AB%E3%82%BF%E3%82%AB%E3%83%8A&amp;dchild=1&amp;keywords=Galaxy&amp;qid=1598527863&amp;sr=8-291-spons&amp;psc=1&amp;spLa=ZW5jcnlwdGVkUXVhbGlmaWVyPUEzVlJUQ0QzUUlJRzk2JmVuY3J5cHRlZElkPUEwODk0MTUxMkhRUUJBWlhUMkM0JmVuY3J5cHRlZEFkSWQ9QUNDV05BV0JYN1g3VyZ3aWRnZXROYW1lPXNwX2F0Zl9uZXh0JmFjdGlvbj1jbGlja1JlZGlyZWN0JmRvTm90TG9nQ2xpY2s9dHJ1ZQ==", "Go")</f>
        <v/>
      </c>
    </row>
    <row r="320">
      <c r="A320" s="1" t="n">
        <v>318</v>
      </c>
      <c r="B320" t="inlineStr">
        <is>
          <t>GVIEWIN 大理石 iPhone 11 2019 6.1インチ ケース/iPhone 11 XI XR2 ケース、超薄型光沢ソフトTPUラバージェル電話ケースカバー iPhone 11/XI 6.1インチ 2019リリース対応</t>
        </is>
      </c>
      <c r="C320" t="inlineStr">
        <is>
          <t>￥12,617</t>
        </is>
      </c>
      <c r="D320" t="inlineStr">
        <is>
          <t>4.7</t>
        </is>
      </c>
      <c r="E320">
        <f>HYPERLINK("https://www.amazon.co.jp/GVIEWIN-iPhone-6-1%E3%82%A4%E3%83%B3%E3%83%81-%E3%82%B1%E3%83%BC%E3%82%B9%E3%80%81%E8%B6%85%E8%96%84%E5%9E%8B%E5%85%89%E6%B2%A2%E3%82%BD%E3%83%95%E3%83%88TPU%E3%83%A9%E3%83%90%E3%83%BC%E3%82%B8%E3%82%A7%E3%83%AB%E9%9B%BB%E8%A9%B1%E3%82%B1%E3%83%BC%E3%82%B9%E3%82%AB%E3%83%90%E3%83%BC-2019%E3%83%AA%E3%83%AA%E3%83%BC%E3%82%B9%E5%AF%BE%E5%BF%9C/dp/B07VRQHN1H/ref=sr_1_293?__mk_ja_JP=%E3%82%AB%E3%82%BF%E3%82%AB%E3%83%8A&amp;dchild=1&amp;keywords=Galaxy&amp;qid=1598527863&amp;sr=8-293", "Go")</f>
        <v/>
      </c>
    </row>
    <row r="321">
      <c r="A321" s="1" t="n">
        <v>319</v>
      </c>
      <c r="B321" t="inlineStr">
        <is>
          <t>車載ホルダー スマホホルダー スマホスタンド 強力ゲル吸盤式 エアコン吹き出し口用 オートホールド式 伸縮アーム 取り付け簡単/360度回転可能/片手操作/多機種対応/携帯ホルダー iPhone 11 Pro Max XS Max/Xs/Xr/X/8/7/6 Plus Samsung Galaxy S10/S10+/S9/S8/S7/Sony/LG/Huawei</t>
        </is>
      </c>
      <c r="C321" t="inlineStr">
        <is>
          <t>￥1,470</t>
        </is>
      </c>
      <c r="D321" t="inlineStr">
        <is>
          <t>4.7</t>
        </is>
      </c>
      <c r="E321">
        <f>HYPERLINK("https://www.amazon.co.jp/%E3%82%B9%E3%83%9E%E3%83%9B%E3%83%9B%E3%83%AB%E3%83%80%E3%83%BC-%E3%82%B9%E3%83%9E%E3%83%9B%E3%82%B9%E3%82%BF%E3%83%B3%E3%83%89-%E3%82%A8%E3%82%A2%E3%82%B3%E3%83%B3%E5%90%B9%E3%81%8D%E5%87%BA%E3%81%97%E5%8F%A3%E7%94%A8-%E3%82%AA%E3%83%BC%E3%83%88%E3%83%9B%E3%83%BC%E3%83%AB%E3%83%89%E5%BC%8F-360%E5%BA%A6%E5%9B%9E%E8%BB%A2%E5%8F%AF%E8%83%BD/dp/B086VBVD94/ref=sr_1_294?__mk_ja_JP=%E3%82%AB%E3%82%BF%E3%82%AB%E3%83%8A&amp;dchild=1&amp;keywords=Galaxy&amp;qid=1598527863&amp;sr=8-294", "Go")</f>
        <v/>
      </c>
    </row>
    <row r="322">
      <c r="A322" s="1" t="n">
        <v>320</v>
      </c>
      <c r="B322" t="inlineStr">
        <is>
          <t>GalaxyS20 ガラスフィルム 完璧な指紋ロック ギャラクシーS20 強化 ガラス フィルム S20 強化ガラス SC-51A 液晶保護フィルム SCG01 ふぃるむ 【最高硬度9H/貼り付け簡単/本体の湾曲する端まで貼れる/気泡ゼロ】【1枚セット】</t>
        </is>
      </c>
      <c r="C322" t="inlineStr">
        <is>
          <t>￥1,599</t>
        </is>
      </c>
      <c r="D322" t="inlineStr">
        <is>
          <t>4.7</t>
        </is>
      </c>
      <c r="E322">
        <f>HYPERLINK("https://www.amazon.co.jp/GalaxyS20-S20-%E5%BC%B7%E5%8C%96%E3%82%AC%E3%83%A9%E3%82%B9-%E6%9C%AC%E4%BD%93%E3%81%AE%E6%B9%BE%E6%9B%B2%E3%81%99%E3%82%8B%E7%AB%AF%E3%81%BE%E3%81%A7%E8%B2%BC%E3%82%8C%E3%82%8B-%E6%B0%97%E6%B3%A1%E3%82%BC%E3%83%AD%E3%80%91%E3%80%901%E6%9E%9A%E3%82%BB%E3%83%83%E3%83%88%E3%80%91/dp/B08CGYN6FG/ref=sr_1_295?__mk_ja_JP=%E3%82%AB%E3%82%BF%E3%82%AB%E3%83%8A&amp;dchild=1&amp;keywords=Galaxy&amp;qid=1598527863&amp;sr=8-295", "Go")</f>
        <v/>
      </c>
    </row>
    <row r="323">
      <c r="A323" s="1" t="n">
        <v>321</v>
      </c>
      <c r="B323" t="inlineStr">
        <is>
          <t>ProCase Galaxy Note 8 財布型 ケース 開閉式カバー フリップカバー 保護ケース 6.3" Galaxy Note 8に対応 カードスロット キャッシュクリップ キックスタンド付き -ブラック</t>
        </is>
      </c>
      <c r="C323" t="inlineStr">
        <is>
          <t>￥599</t>
        </is>
      </c>
      <c r="D323" t="inlineStr">
        <is>
          <t>4.7</t>
        </is>
      </c>
      <c r="E323">
        <f>HYPERLINK("https://www.amazon.co.jp/Samsung-%E3%83%95%E3%83%AA%E3%83%83%E3%83%97%E3%82%AB%E3%83%90%E3%83%BC-%E3%82%AB%E3%83%BC%E3%83%89%E3%82%B9%E3%83%AD%E3%83%83%E3%83%88-%E3%82%AD%E3%83%A3%E3%83%83%E3%82%B7%E3%83%A5%E3%82%AF%E3%83%AA%E3%83%83%E3%83%97-%E3%82%AD%E3%83%83%E3%82%AF%E3%82%B9%E3%82%BF%E3%83%B3%E3%83%89%E4%BB%98%E3%81%8D/dp/B075STYCWP/ref=sr_1_296?__mk_ja_JP=%E3%82%AB%E3%82%BF%E3%82%AB%E3%83%8A&amp;dchild=1&amp;keywords=Galaxy&amp;qid=1598527863&amp;sr=8-296", "Go")</f>
        <v/>
      </c>
    </row>
    <row r="324">
      <c r="A324" s="1" t="n">
        <v>322</v>
      </c>
      <c r="B324" t="inlineStr">
        <is>
          <t>L K【3枚セット】iPhone 11 /XR 用 強化ガラスフィルム 『6.1インチ』【高透過率/最高硬度9H/飛散防止】液晶保護強化ガラス【ガイド枠付き】【永久交換保証】</t>
        </is>
      </c>
      <c r="C324" t="inlineStr">
        <is>
          <t>￥1,099</t>
        </is>
      </c>
      <c r="D324" t="inlineStr">
        <is>
          <t>4.7</t>
        </is>
      </c>
      <c r="E324">
        <f>HYPERLINK("https://www.amazon.co.jp/dp/B07TXGH5CN/ref=sr_1_298?__mk_ja_JP=%E3%82%AB%E3%82%BF%E3%82%AB%E3%83%8A&amp;dchild=1&amp;keywords=Galaxy&amp;qid=1598527863&amp;sr=8-298", "Go")</f>
        <v/>
      </c>
    </row>
    <row r="325">
      <c r="A325" s="1" t="n">
        <v>323</v>
      </c>
      <c r="B325" t="inlineStr">
        <is>
          <t>Procase 手帳型ケース Galaxy Tab A 8.0インチ 2018 Verizon Sprint SM-T387用 スタンドケースカバー Galaxy Tab A 8.0 4G LTE Verizon/Sprint/T-Mobile/AT&amp;T 2018リリース用 Galaxy Tab A 8.0 (SM-T387) ブラック PC-08361323</t>
        </is>
      </c>
      <c r="C325" t="inlineStr">
        <is>
          <t>￥4,746</t>
        </is>
      </c>
      <c r="D325" t="inlineStr">
        <is>
          <t>4.7</t>
        </is>
      </c>
      <c r="E325">
        <f>HYPERLINK("https://www.amazon.co.jp/ProCase-%E3%82%B9%E3%82%BF%E3%83%B3%E3%83%89%E3%82%B1%E3%83%BC%E3%82%B9%E3%82%AB%E3%83%90%E3%83%BC-%E8%A4%87%E6%95%B0%E3%81%AE%E8%A6%96%E8%81%B4%E8%A7%92%E5%BA%A6%E4%BB%98%E3%81%8D-%E3%83%89%E3%82%AD%E3%83%A5%E3%83%A1%E3%83%B3%E3%83%88%E3%82%AB%E3%83%BC%E3%83%89%E3%83%9D%E3%82%B1%E3%83%83%E3%83%88-PC-08361323/dp/B07HF6B1NW/ref=sr_1_299?__mk_ja_JP=%E3%82%AB%E3%82%BF%E3%82%AB%E3%83%8A&amp;dchild=1&amp;keywords=Galaxy&amp;qid=1598527863&amp;sr=8-299", "Go")</f>
        <v/>
      </c>
    </row>
    <row r="326">
      <c r="A326" s="1" t="n">
        <v>324</v>
      </c>
      <c r="B326" t="inlineStr">
        <is>
          <t>Childrens nightlight Turtle LED star galaxy projector 3 colour 1800-0003</t>
        </is>
      </c>
      <c r="C326" t="inlineStr">
        <is>
          <t>￥16,350</t>
        </is>
      </c>
      <c r="D326" t="inlineStr">
        <is>
          <t>4.7</t>
        </is>
      </c>
      <c r="E326">
        <f>HYPERLINK("https://www.amazon.co.jp/Childrens-nightlight-Turtle-projector-1800-0003/dp/B004885YUG/ref=sr_1_300?__mk_ja_JP=%E3%82%AB%E3%82%BF%E3%82%AB%E3%83%8A&amp;dchild=1&amp;keywords=Galaxy&amp;qid=1598527863&amp;sr=8-300", "Go")</f>
        <v/>
      </c>
    </row>
    <row r="327">
      <c r="A327" s="1" t="n">
        <v>325</v>
      </c>
      <c r="B327" t="inlineStr">
        <is>
          <t>スマホスタンド MSOVA タブレットスタンド 角度高度調整可能 スマホホルダー PCホルダー 完全折り畳み式 シリコン滑り止め 収納便利 iPhone/iPad/Android/Nintendo Switch/Kindleなど（4-13インチ）に対応 シルバー</t>
        </is>
      </c>
      <c r="C327" t="inlineStr">
        <is>
          <t>￥1,699</t>
        </is>
      </c>
      <c r="D327" t="inlineStr">
        <is>
          <t>4.7</t>
        </is>
      </c>
      <c r="E327">
        <f>HYPERLINK("https://www.amazon.co.jp/MSOVA-%E3%82%BF%E3%83%96%E3%83%AC%E3%83%83%E3%83%88%E3%82%B9%E3%82%BF%E3%83%B3%E3%83%89-%E8%A7%92%E5%BA%A6%E9%AB%98%E5%BA%A6%E8%AA%BF%E6%95%B4%E5%8F%AF%E8%83%BD-%E3%82%B7%E3%83%AA%E3%82%B3%E3%83%B3%E6%BB%91%E3%82%8A%E6%AD%A2%E3%82%81-Kindle%E3%81%AA%E3%81%A9%EF%BC%884-13%E3%82%A4%E3%83%B3%E3%83%81%EF%BC%89%E3%81%AB%E5%AF%BE%E5%BF%9C/dp/B087C3Y1K2/ref=sr_1_301?__mk_ja_JP=%E3%82%AB%E3%82%BF%E3%82%AB%E3%83%8A&amp;dchild=1&amp;keywords=Galaxy&amp;qid=1598527863&amp;sr=8-301", "Go")</f>
        <v/>
      </c>
    </row>
    <row r="328">
      <c r="A328" s="1" t="n">
        <v>326</v>
      </c>
      <c r="B328" t="inlineStr">
        <is>
          <t>Samsung 95 MB / s microSDメモリカードwith EVO Plusアダプタ256 GB ( mb-mc256ga )</t>
        </is>
      </c>
      <c r="C328" t="inlineStr">
        <is>
          <t>￥7,833</t>
        </is>
      </c>
      <c r="D328" t="inlineStr">
        <is>
          <t>4.7</t>
        </is>
      </c>
      <c r="E328">
        <f>HYPERLINK("https://www.amazon.co.jp/Samsung-95-MB-microSD%E3%83%A1%E3%83%A2%E3%83%AA%E3%82%AB%E3%83%BC%E3%83%89with-Plus%E3%82%A2%E3%83%80%E3%83%97%E3%82%BF256-GB-mb-mc256ga/dp/B074JKDXG3/ref=sr_1_302?__mk_ja_JP=%E3%82%AB%E3%82%BF%E3%82%AB%E3%83%8A&amp;dchild=1&amp;keywords=Galaxy&amp;qid=1598527863&amp;sr=8-302", "Go")</f>
        <v/>
      </c>
    </row>
    <row r="329">
      <c r="A329" s="1" t="n">
        <v>327</v>
      </c>
      <c r="B329" t="inlineStr">
        <is>
          <t>TJS 携帯電話ケース Samsung Galaxy A20/Galaxy A30/Galaxy A50用 [フルカバー強化ガラススクリーンプロテクター] シャイニーマーブル グリッター バック スキン フルボディ保護 ソフトTPUラバーバンパー M062T160-ClfGL-M06208</t>
        </is>
      </c>
      <c r="C329" t="inlineStr">
        <is>
          <t>￥2,808</t>
        </is>
      </c>
      <c r="D329" t="inlineStr">
        <is>
          <t>4.7</t>
        </is>
      </c>
      <c r="E329">
        <f>HYPERLINK("https://www.amazon.co.jp/dp/B07W963XBJ/ref=sr_1_303?__mk_ja_JP=%E3%82%AB%E3%82%BF%E3%82%AB%E3%83%8A&amp;dchild=1&amp;keywords=Galaxy&amp;qid=1598527863&amp;sr=8-303", "Go")</f>
        <v/>
      </c>
    </row>
    <row r="330">
      <c r="A330" s="1" t="n">
        <v>328</v>
      </c>
      <c r="B330" t="inlineStr">
        <is>
          <t>Nekteck マグネット式車載ホルダー マグネット式 iPhone X/ 8/7/ 6s/ 6/ 5s Galaxy S9/ S9+/ S8/ S7/ Note 9 8、HTC、Pixel 3/2、iPadホルダー/キーホルダー/エコードットホルダー、7インチ 1パック</t>
        </is>
      </c>
      <c r="C330" t="inlineStr">
        <is>
          <t>￥15,186</t>
        </is>
      </c>
      <c r="D330" t="inlineStr">
        <is>
          <t>4.7</t>
        </is>
      </c>
      <c r="E330">
        <f>HYPERLINK("https://www.amazon.co.jp/%E7%A3%81%E6%B0%97%E9%9B%BB%E8%A9%B1%E8%BB%8A%E3%83%9E%E3%82%A6%E3%83%B3%E3%83%88%E3%80%81Nekteck%E7%A3%81%E6%B0%97%E8%BB%8A%E3%83%9E%E3%82%A6%E3%83%B3%E3%83%88for-iPhone-iPad%E3%80%81SAMSUNG-8%E3%80%81LG%E3%80%81HTC%E3%80%81%E3%83%94%E3%82%AF%E3%82%BB%E3%83%AB2%E3%80%81%E3%82%BF%E3%83%96%E3%83%AC%E3%83%83%E3%83%88%E3%83%9B%E3%83%AB%E3%83%80%E3%83%BC-%E3%83%8A%E3%82%A4%E3%83%95%E3%83%9B%E3%83%AB%E3%83%80%E3%83%BC%E3%80%817%E3%82%A4%E3%83%B3%E3%83%81%E3%80%811%E3%83%91%E3%83%83%E3%82%AF/dp/B071W3661J/ref=sr_1_304?__mk_ja_JP=%E3%82%AB%E3%82%BF%E3%82%AB%E3%83%8A&amp;dchild=1&amp;keywords=Galaxy&amp;qid=1598527863&amp;sr=8-304", "Go")</f>
        <v/>
      </c>
    </row>
    <row r="331">
      <c r="A331" s="1" t="n">
        <v>329</v>
      </c>
      <c r="B331" t="inlineStr">
        <is>
          <t>Zhulongke Samsung Galaxy Note 10 Plusケース、Note 10+スリムソフトTPUケース、メタルリングキックスタンド付き4エッジショックプルーフケース/ Bulit-in Iron Plate [マグネット式電話ホルダーの使用] 耐久性 滑り止め (Color : Black+Redring)</t>
        </is>
      </c>
      <c r="C331" t="inlineStr">
        <is>
          <t>￥3,123</t>
        </is>
      </c>
      <c r="D331" t="inlineStr">
        <is>
          <t>4</t>
        </is>
      </c>
      <c r="E331">
        <f>HYPERLINK("https://www.amazon.co.jp/Zhulongke-Samsung-Plus%E3%82%B1%E3%83%BC%E3%82%B9%E3%80%81Note-%E3%82%B9%E3%83%AA%E3%83%A0%E3%82%BD%E3%83%95%E3%83%88TPU%E3%82%B1%E3%83%BC%E3%82%B9%E3%80%81%E3%83%A1%E3%82%BF%E3%83%AB%E3%83%AA%E3%83%B3%E3%82%B0%E3%82%AD%E3%83%83%E3%82%AF%E3%82%B9%E3%82%BF%E3%83%B3%E3%83%89%E4%BB%98%E3%81%8D4%E3%82%A8%E3%83%83%E3%82%B8%E3%82%B7%E3%83%A7%E3%83%83%E3%82%AF%E3%83%97%E3%83%AB%E3%83%BC%E3%83%95%E3%82%B1%E3%83%BC%E3%82%B9-%E3%83%9E%E3%82%B0%E3%83%8D%E3%83%83%E3%83%88%E5%BC%8F%E9%9B%BB%E8%A9%B1%E3%83%9B%E3%83%AB%E3%83%80%E3%83%BC%E3%81%AE%E4%BD%BF%E7%94%A8/dp/B07Z8933TL/ref=sr_1_306_sspa?__mk_ja_JP=%E3%82%AB%E3%82%BF%E3%82%AB%E3%83%8A&amp;dchild=1&amp;keywords=Galaxy&amp;qid=1598527863&amp;sr=8-306-spons&amp;psc=1&amp;spLa=ZW5jcnlwdGVkUXVhbGlmaWVyPUEzVlJUQ0QzUUlJRzk2JmVuY3J5cHRlZElkPUEwODk0MTUxMkhRUUJBWlhUMkM0JmVuY3J5cHRlZEFkSWQ9QTJDSUEzSEFYSEtaTjMmd2lkZ2V0TmFtZT1zcF9tdGYmYWN0aW9uPWNsaWNrUmVkaXJlY3QmZG9Ob3RMb2dDbGljaz10cnVl", "Go")</f>
        <v/>
      </c>
    </row>
    <row r="332">
      <c r="A332" s="1" t="n">
        <v>330</v>
      </c>
      <c r="B332" t="inlineStr">
        <is>
          <t>Poetic Turtle Skin Series Samsung Galaxy Tab A 8.0 (2019) SM-T290 SM-T295 ブラック Turtleskin-Galaxy-Tab-A8-2019-Black</t>
        </is>
      </c>
      <c r="C332" t="inlineStr">
        <is>
          <t>￥28,500</t>
        </is>
      </c>
      <c r="D332" t="inlineStr">
        <is>
          <t>4.7</t>
        </is>
      </c>
      <c r="E332">
        <f>HYPERLINK("https://www.amazon.co.jp/Poetic-Samsung-SM-T290-SM-T295-Turtleskin-Galaxy-Tab-A8-2019-Black/dp/B07VMHQMVL/ref=sr_1_308?__mk_ja_JP=%E3%82%AB%E3%82%BF%E3%82%AB%E3%83%8A&amp;dchild=1&amp;keywords=Galaxy&amp;qid=1598527863&amp;sr=8-308", "Go")</f>
        <v/>
      </c>
    </row>
    <row r="333">
      <c r="A333" s="1" t="n">
        <v>331</v>
      </c>
      <c r="B333" t="inlineStr">
        <is>
          <t>Xiyihoo ソーラーチャージャー 26800mAh ソーラーパワーバンク ポータブルソーラーパネル充電器 18個のLEDフラッシュライト 3出力ポート 防水 外部バックアップバッテリー アウトドア キャンプ ハイキング iOS Android用</t>
        </is>
      </c>
      <c r="C333" t="inlineStr">
        <is>
          <t>￥3,780</t>
        </is>
      </c>
      <c r="D333" t="inlineStr">
        <is>
          <t>4.7</t>
        </is>
      </c>
      <c r="E333">
        <f>HYPERLINK("https://www.amazon.co.jp/i26s/dp/B07TC4QT96/ref=sr_1_309?__mk_ja_JP=%E3%82%AB%E3%82%BF%E3%82%AB%E3%83%8A&amp;dchild=1&amp;keywords=Galaxy&amp;qid=1598527863&amp;sr=8-309", "Go")</f>
        <v/>
      </c>
    </row>
    <row r="334">
      <c r="A334" s="1" t="n">
        <v>332</v>
      </c>
      <c r="B334" t="inlineStr">
        <is>
          <t>OtterBox Defender シリーズ for Samsung GALAXY Tab S 8.4"LACKK役割果</t>
        </is>
      </c>
      <c r="C334" t="inlineStr">
        <is>
          <t>￥9,010</t>
        </is>
      </c>
      <c r="D334" t="inlineStr">
        <is>
          <t>4.7</t>
        </is>
      </c>
      <c r="E334">
        <f>HYPERLINK("https://www.amazon.co.jp/OtterBox-Defender-Tab-8-4-LACKK%E5%BD%B9%E5%89%B2%E6%9E%9C/dp/B00MIQBX7I/ref=sr_1_310?__mk_ja_JP=%E3%82%AB%E3%82%BF%E3%82%AB%E3%83%8A&amp;dchild=1&amp;keywords=Galaxy&amp;qid=1598527863&amp;sr=8-310", "Go")</f>
        <v/>
      </c>
    </row>
    <row r="335">
      <c r="A335" s="1" t="n">
        <v>333</v>
      </c>
      <c r="B335" t="inlineStr">
        <is>
          <t>Poetic Turtle Skinシリーズ Samsung Galaxy Tab S6タブレット用 ブルー TurtleSkin-Galaxy-Tab-S6-Blue</t>
        </is>
      </c>
      <c r="C335" t="inlineStr">
        <is>
          <t>￥7,800</t>
        </is>
      </c>
      <c r="D335" t="inlineStr">
        <is>
          <t>4.7</t>
        </is>
      </c>
      <c r="E335">
        <f>HYPERLINK("https://www.amazon.co.jp/Poetic-Skin%E3%82%B7%E3%83%AA%E3%83%BC%E3%82%BA-Samsung-S6%E3%82%BF%E3%83%96%E3%83%AC%E3%83%83%E3%83%88%E7%94%A8-TurtleSkin-Galaxy-Tab-S6-Blue/dp/B07XBHH8PD/ref=sr_1_311?__mk_ja_JP=%E3%82%AB%E3%82%BF%E3%82%AB%E3%83%8A&amp;dchild=1&amp;keywords=Galaxy&amp;qid=1598527863&amp;sr=8-311", "Go")</f>
        <v/>
      </c>
    </row>
    <row r="336">
      <c r="A336" s="1" t="n">
        <v>334</v>
      </c>
      <c r="B336" t="inlineStr">
        <is>
          <t>RETICAM Xl変換キット付きスマートフォン三脚マウント-金属製ユニバーサルスマートフォン三脚アダプター 黒-標準プラスXL変換キット（2.1〜3.6"）</t>
        </is>
      </c>
      <c r="C336" t="inlineStr">
        <is>
          <t>￥1,690</t>
        </is>
      </c>
      <c r="D336" t="inlineStr">
        <is>
          <t>4.7</t>
        </is>
      </c>
      <c r="E336">
        <f>HYPERLINK("https://www.amazon.co.jp/RetiCAM-%E3%82%B9%E3%83%9E%E3%83%BC%E3%83%88%E3%83%95%E3%82%A9%E3%83%B3%E3%83%9B%E3%83%AB%E3%83%80%E3%83%BC-%E6%A8%99%E6%BA%96%E3%83%9E%E3%82%A6%E3%83%B3%E3%83%88-%EF%BC%86-XL%E3%82%B3%E3%83%B3%E3%83%90%E3%83%BC%E3%82%B8%E3%83%A7%E3%83%B3%E3%82%AD%E3%83%83%E3%83%88/dp/B00P4VAHAI/ref=sr_1_312?__mk_ja_JP=%E3%82%AB%E3%82%BF%E3%82%AB%E3%83%8A&amp;dchild=1&amp;keywords=Galaxy&amp;qid=1598527863&amp;sr=8-312", "Go")</f>
        <v/>
      </c>
    </row>
    <row r="337">
      <c r="A337" s="1" t="n">
        <v>335</v>
      </c>
      <c r="B337" t="inlineStr">
        <is>
          <t>CABEPOW USB Type C 3A 高速充電ケーブル 2本パック 6フィート USB A - USB C 編組コード サムスン Galaxy S10 S9 S8+ S8 Note 9 Note8 LG V50 V40 G8 G7 その他のUSB Cに対応 (ブラック)</t>
        </is>
      </c>
      <c r="C337" t="inlineStr">
        <is>
          <t>￥8,874</t>
        </is>
      </c>
      <c r="D337" t="inlineStr">
        <is>
          <t>4.8</t>
        </is>
      </c>
      <c r="E337">
        <f>HYPERLINK("https://www.amazon.co.jp/CABEPOW-Type-%E9%AB%98%E9%80%9F%E5%85%85%E9%9B%BB%E3%82%B1%E3%83%BC%E3%83%96%E3%83%AB-2%E6%9C%AC%E3%83%91%E3%83%83%E3%82%AF-6%E3%83%95%E3%82%A3%E3%83%BC%E3%83%88/dp/B083WDN4S7/ref=sr_1_313?__mk_ja_JP=%E3%82%AB%E3%82%BF%E3%82%AB%E3%83%8A&amp;dchild=1&amp;keywords=Galaxy&amp;qid=1598527863&amp;sr=8-313", "Go")</f>
        <v/>
      </c>
    </row>
    <row r="338">
      <c r="A338" s="1" t="n">
        <v>336</v>
      </c>
      <c r="B338" t="inlineStr">
        <is>
          <t>【初心者最適 完全ワイヤレスイヤホン 物理ボタン QI充電対応 片耳超長８時間連続使用 APTX対応】ENACFIRE ワイヤレスイヤホン 高音質 小型 重低音 軽量 Bluetooth5.0 対応 CVC8.0 ノイズキャンセリング IPX7防水 マイク内蔵 両耳通話 接続安定 Siri起動 操作簡単 自動ペアリング iPhone/iPad/Android適用 PSE認証/技適認証/SDS認証済み (E18 Plus)</t>
        </is>
      </c>
      <c r="C338" t="inlineStr">
        <is>
          <t>￥4,577</t>
        </is>
      </c>
      <c r="D338" t="inlineStr">
        <is>
          <t>4.7</t>
        </is>
      </c>
      <c r="E338">
        <f>HYPERLINK("https://www.amazon.co.jp/%E5%AE%8C%E5%85%A8%E3%83%AF%E3%82%A4%E3%83%A4%E3%83%AC%E3%82%B9%E3%82%A4%E3%83%A4%E3%83%9B%E3%83%B3-%E7%89%87%E8%80%B3%E8%B6%85%E9%95%B7%EF%BC%98%E6%99%82%E9%96%93%E9%80%A3%E7%B6%9A%E4%BD%BF%E7%94%A8-APTX%E5%AF%BE%E5%BF%9C%E3%80%91ENACFIRE-Bluetooth5-0-E18/dp/B087219GHC/ref=sr_1_314?__mk_ja_JP=%E3%82%AB%E3%82%BF%E3%82%AB%E3%83%8A&amp;dchild=1&amp;keywords=Galaxy&amp;qid=1598527863&amp;sr=8-314", "Go")</f>
        <v/>
      </c>
    </row>
    <row r="339">
      <c r="A339" s="1" t="n">
        <v>337</v>
      </c>
      <c r="B339" t="inlineStr">
        <is>
          <t>QINICHEN 20mm スマートウォッチバンド サムスンギャラクシーウォッチバンド42mm/ギャラクシーウォッチアクティブバンド40mm用</t>
        </is>
      </c>
      <c r="C339" t="inlineStr">
        <is>
          <t>￥12,940</t>
        </is>
      </c>
      <c r="D339" t="inlineStr">
        <is>
          <t>4.6</t>
        </is>
      </c>
      <c r="E339">
        <f>HYPERLINK("https://www.amazon.co.jp/QINICHEN-Galaxy-%E3%82%A6%E3%82%A9%E3%83%83%E3%83%81%E3%83%90%E3%83%B3%E3%83%89-%E3%82%BD%E3%83%95%E3%83%88%E3%82%B9%E3%83%9D%E3%83%BC%E3%83%84-%E4%BA%A4%E6%8F%9B%E7%94%A8%E3%83%AA%E3%82%B9%E3%83%88%E3%83%90%E3%83%B3%E3%83%89/dp/B07V23TPTY/ref=sr_1_315?__mk_ja_JP=%E3%82%AB%E3%82%BF%E3%82%AB%E3%83%8A&amp;dchild=1&amp;keywords=Galaxy&amp;qid=1598527863&amp;sr=8-315", "Go")</f>
        <v/>
      </c>
    </row>
    <row r="340">
      <c r="A340" s="1" t="n">
        <v>338</v>
      </c>
      <c r="B340" t="inlineStr">
        <is>
          <t>Wsky iPhone SE ケース 衝撃吸収 指紋防止 iPhone8 ケース iPhone7 ケース ＴＰU素材 高級感 ビジネス 手触り良い カバー カメラ保護 ワイヤレス充電サポート 防水 薄 軽 ミニマリスト (ブラック)</t>
        </is>
      </c>
      <c r="C340" t="inlineStr">
        <is>
          <t>￥1,020</t>
        </is>
      </c>
      <c r="D340" t="inlineStr">
        <is>
          <t>4.7</t>
        </is>
      </c>
      <c r="E340">
        <f>HYPERLINK("https://www.amazon.co.jp/iPhone-SE-iPhone8-iPhone7-%E3%83%AF%E3%82%A4%E3%83%A4%E3%83%AC%E3%82%B9%E5%85%85%E9%9B%BB%E3%82%B5%E3%83%9D%E3%83%BC%E3%83%88/dp/B08CZ9SYBF/ref=sr_1_316?__mk_ja_JP=%E3%82%AB%E3%82%BF%E3%82%AB%E3%83%8A&amp;dchild=1&amp;keywords=Galaxy&amp;qid=1598527863&amp;sr=8-316", "Go")</f>
        <v/>
      </c>
    </row>
    <row r="341">
      <c r="A341" s="1" t="n">
        <v>339</v>
      </c>
      <c r="B341" t="inlineStr">
        <is>
          <t>「2020年最新版」Hevanto ワイヤレス充電器 Qi急速 3in1 スマホ2台同時に充電可能 iWatch充電器収納可能 7.5W/10W急速ワイヤレス充電 iPhone SE（第2世代）/11/11 Pro/11 ProMax/XS/XSMax/XR/X/8/8 Plus､Samsung Galaxy Buds,Galaxy S20/S10/S9/S9 Plus/S8/S8 Plus､AirPods Galaxy Buds その他Qi機種対応 ワイヤレス充電パッド</t>
        </is>
      </c>
      <c r="C341" t="inlineStr">
        <is>
          <t>￥2,999</t>
        </is>
      </c>
      <c r="D341" t="inlineStr">
        <is>
          <t>4.9</t>
        </is>
      </c>
      <c r="E341">
        <f>HYPERLINK("https://www.amazon.co.jp/%E3%80%8C2020%E5%B9%B4%E6%9C%80%E6%96%B0%E7%89%88%E3%80%8DHevanto-%E3%82%B9%E3%83%9E%E3%83%9B2%E5%8F%B0%E5%90%8C%E6%99%82%E3%81%AB%E5%85%85%E9%9B%BB%E5%8F%AF%E8%83%BD-iWatch%E5%85%85%E9%9B%BB%E5%99%A8%E5%8F%8E%E7%B4%8D%E5%8F%AF%E8%83%BD-10W%E6%80%A5%E9%80%9F%E3%83%AF%E3%82%A4%E3%83%A4%E3%83%AC%E3%82%B9%E5%85%85%E9%9B%BB-Plus%EF%BD%A4Samsung/dp/B087NJ81PY/ref=sr_1_317?__mk_ja_JP=%E3%82%AB%E3%82%BF%E3%82%AB%E3%83%8A&amp;dchild=1&amp;keywords=Galaxy&amp;qid=1598527863&amp;sr=8-317", "Go")</f>
        <v/>
      </c>
    </row>
    <row r="342">
      <c r="A342" s="1" t="n">
        <v>340</v>
      </c>
      <c r="B342" t="inlineStr">
        <is>
          <t>USB C - 3.5mmヘッドホンジャックアダプター Type C - 3.5mm AUXアダプター DAC Hi-resチップセット 対応機種: Huawei Mate 20/P20 Pro/P30 Google Pixel 3/2 Sony XZ Xiaomi サムスン LG (ブラック)</t>
        </is>
      </c>
      <c r="C342" t="inlineStr">
        <is>
          <t>￥3,399</t>
        </is>
      </c>
      <c r="D342" t="inlineStr">
        <is>
          <t>4.8</t>
        </is>
      </c>
      <c r="E342">
        <f>HYPERLINK("https://www.amazon.co.jp/USB-3-5mm%E3%83%98%E3%83%83%E3%83%89%E3%83%9B%E3%83%B3%E3%82%B8%E3%83%A3%E3%83%83%E3%82%AF%E3%82%A2%E3%83%80%E3%83%97%E3%82%BF%E3%83%BC-AUX%E3%82%A2%E3%83%80%E3%83%97%E3%82%BF%E3%83%BC-Hi-res%E3%83%81%E3%83%83%E3%83%97%E3%82%BB%E3%83%83%E3%83%88-Huawei/dp/B085NJ9DRC/ref=sr_1_318?__mk_ja_JP=%E3%82%AB%E3%82%BF%E3%82%AB%E3%83%8A&amp;dchild=1&amp;keywords=Galaxy&amp;qid=1598527863&amp;sr=8-318", "Go")</f>
        <v/>
      </c>
    </row>
    <row r="343">
      <c r="A343" s="1" t="n">
        <v>341</v>
      </c>
      <c r="B343" t="inlineStr">
        <is>
          <t>【2枚入り】Galaxy A41 ガラスフィルム SC-41A 液晶保護フィルム SCV48 保護ガラス 業界最高の硬度9H、高い光透過率、指紋防止、防油汚れ、飛散防止、気泡防止Galaxy A41 強化ガラスフィルム</t>
        </is>
      </c>
      <c r="C343" t="inlineStr">
        <is>
          <t>￥999</t>
        </is>
      </c>
      <c r="D343" t="inlineStr">
        <is>
          <t>4.7</t>
        </is>
      </c>
      <c r="E343">
        <f>HYPERLINK("https://www.amazon.co.jp/%E3%80%902%E6%9E%9A%E5%85%A5%E3%82%8A%E3%80%91Galaxy-A41-%E6%B6%B2%E6%99%B6%E4%BF%9D%E8%AD%B7%E3%83%95%E3%82%A3%E3%83%AB%E3%83%A0-%E6%A5%AD%E7%95%8C%E6%9C%80%E9%AB%98%E3%81%AE%E7%A1%AC%E5%BA%A69H%E3%80%81%E9%AB%98%E3%81%84%E5%85%89%E9%80%8F%E9%81%8E%E7%8E%87%E3%80%81%E6%8C%87%E7%B4%8B%E9%98%B2%E6%AD%A2%E3%80%81%E9%98%B2%E6%B2%B9%E6%B1%9A%E3%82%8C%E3%80%81%E9%A3%9B%E6%95%A3%E9%98%B2%E6%AD%A2%E3%80%81%E6%B0%97%E6%B3%A1%E9%98%B2%E6%AD%A2Galaxy-%E5%BC%B7%E5%8C%96%E3%82%AC%E3%83%A9%E3%82%B9%E3%83%95%E3%82%A3%E3%83%AB%E3%83%A0/dp/B08DXJL4L4/ref=sr_1_319?__mk_ja_JP=%E3%82%AB%E3%82%BF%E3%82%AB%E3%83%8A&amp;dchild=1&amp;keywords=Galaxy&amp;qid=1598527863&amp;sr=8-319", "Go")</f>
        <v/>
      </c>
    </row>
    <row r="344">
      <c r="A344" s="1" t="n">
        <v>342</v>
      </c>
      <c r="B344" t="inlineStr">
        <is>
          <t>RhinoShield（ライノシールド）Samsung Galaxy S10 CrashGuard バンパーケース | 3.5mの落下衝撃からも保護 衝撃吸収 スリム設計 耐衝撃保護カバー 薄型軽量 背面のないスタイリッシュデザイン - ブラック</t>
        </is>
      </c>
      <c r="C344" t="inlineStr">
        <is>
          <t>￥2,990</t>
        </is>
      </c>
      <c r="D344" t="inlineStr">
        <is>
          <t>4.1</t>
        </is>
      </c>
      <c r="E344">
        <f>HYPERLINK("https://www.amazon.co.jp/RhinoShield%EF%BC%88%E3%83%A9%E3%82%A4%E3%83%8E%E3%82%B7%E3%83%BC%E3%83%AB%E3%83%89%EF%BC%89Samsung-Galaxy-%E3%83%90%E3%83%B3%E3%83%91%E3%83%BC%E3%82%B1%E3%83%BC%E3%82%B9-%E3%83%AF%E3%82%A4%E3%83%A4%E3%83%AC%E3%82%B9%E5%85%85%E9%9B%BB%E5%AF%BE%E5%BF%9C-3-5m%E3%81%AE%E8%90%BD%E4%B8%8B%E4%BF%9D%E8%AD%B7/dp/B07QNKJRLK/ref=sr_1_321_sspa?__mk_ja_JP=%E3%82%AB%E3%82%BF%E3%82%AB%E3%83%8A&amp;dchild=1&amp;keywords=Galaxy&amp;qid=1598527863&amp;sr=8-321-spons&amp;psc=1&amp;spLa=ZW5jcnlwdGVkUXVhbGlmaWVyPUEzVlJUQ0QzUUlJRzk2JmVuY3J5cHRlZElkPUEwODk0MTUxMkhRUUJBWlhUMkM0JmVuY3J5cHRlZEFkSWQ9QTFZR1ZHUURDMVpWM1gmd2lkZ2V0TmFtZT1zcF9tdGYmYWN0aW9uPWNsaWNrUmVkaXJlY3QmZG9Ob3RMb2dDbGljaz10cnVl", "Go")</f>
        <v/>
      </c>
    </row>
    <row r="345">
      <c r="A345" s="1" t="n">
        <v>343</v>
      </c>
      <c r="B345" t="inlineStr">
        <is>
          <t>「2020最新人気版」スマホアームスタンド MSOVA スマホスタンド 卓上 タブレットスタンド フレキシブルアーム スマホホルダー 360°角度調整可能 ベットスタンド クランプ式 アームスタンド ベッド寝ながら用 螺旋式 滑り止め iPhone/iPad/Android/Nintendo Switch/Kindleなど（3.5-10.5インチ）に対応 (ブラック)</t>
        </is>
      </c>
      <c r="C345" t="inlineStr">
        <is>
          <t>￥1,899</t>
        </is>
      </c>
      <c r="D345" t="inlineStr">
        <is>
          <t>4.7</t>
        </is>
      </c>
      <c r="E345">
        <f>HYPERLINK("https://www.amazon.co.jp/%E3%80%8C2020%E6%9C%80%E6%96%B0%E4%BA%BA%E6%B0%97%E7%89%88%E3%80%8D%E3%82%B9%E3%83%9E%E3%83%9B%E3%82%A2%E3%83%BC%E3%83%A0%E3%82%B9%E3%82%BF%E3%83%B3%E3%83%89-MSOVA-%E3%82%BF%E3%83%96%E3%83%AC%E3%83%83%E3%83%88%E3%82%B9%E3%82%BF%E3%83%B3%E3%83%89-360%C2%B0%E8%A7%92%E5%BA%A6%E8%AA%BF%E6%95%B4%E5%8F%AF%E8%83%BD-Kindle%E3%81%AA%E3%81%A9%EF%BC%883-5-10-5%E3%82%A4%E3%83%B3%E3%83%81%EF%BC%89%E3%81%AB%E5%AF%BE%E5%BF%9C/dp/B089B3TKDD/ref=sr_1_323?__mk_ja_JP=%E3%82%AB%E3%82%BF%E3%82%AB%E3%83%8A&amp;dchild=1&amp;keywords=Galaxy&amp;qid=1598527863&amp;sr=8-323", "Go")</f>
        <v/>
      </c>
    </row>
    <row r="346">
      <c r="A346" s="1" t="n">
        <v>344</v>
      </c>
      <c r="B346" t="inlineStr">
        <is>
          <t>30000mAh ソーラー モバイルバッテリー 大容量 ソーラーチャージャー 太陽光 携帯充電器 LEDライト付き ソーラー充電器 急速充電 【PSE認証済】 Lightning/Typec/Micro USB 3入力ポート 4USB出力ポート IPX6防水 耐衝撃 緊急停電対策 地震/災害/旅行/出張/アウトドア活動</t>
        </is>
      </c>
      <c r="C346" t="inlineStr">
        <is>
          <t>￥3,250</t>
        </is>
      </c>
      <c r="D346" t="inlineStr">
        <is>
          <t>4.7</t>
        </is>
      </c>
      <c r="E346">
        <f>HYPERLINK("https://www.amazon.co.jp/30000mAh-%E3%83%A2%E3%83%90%E3%82%A4%E3%83%AB%E3%83%90%E3%83%83%E3%83%86%E3%83%AA%E3%83%BC-%E3%82%BD%E3%83%BC%E3%83%A9%E3%83%BC%E3%83%81%E3%83%A3%E3%83%BC%E3%82%B8%E3%83%A3%E3%83%BC-Lightning-4USB%E5%87%BA%E5%8A%9B%E3%83%9D%E3%83%BC%E3%83%88/dp/B07YPS5JC5/ref=sr_1_324?__mk_ja_JP=%E3%82%AB%E3%82%BF%E3%82%AB%E3%83%8A&amp;dchild=1&amp;keywords=Galaxy&amp;qid=1598527863&amp;sr=8-324", "Go")</f>
        <v/>
      </c>
    </row>
    <row r="347">
      <c r="A347" s="1" t="n">
        <v>345</v>
      </c>
      <c r="B347" t="inlineStr">
        <is>
          <t>クアッドロック(QUAD LOCK) TPU・ポリカーボネイト製ケース - iPhone XR用 QLC-IPZ</t>
        </is>
      </c>
      <c r="C347" t="inlineStr">
        <is>
          <t>￥1,894</t>
        </is>
      </c>
      <c r="D347" t="inlineStr">
        <is>
          <t>4.7</t>
        </is>
      </c>
      <c r="E347">
        <f>HYPERLINK("https://www.amazon.co.jp/%E3%82%AF%E3%82%A2%E3%83%83%E3%83%89%E3%83%AD%E3%83%83%E3%82%AF-QUAD-LOCK-TPU%E3%83%BB%E3%83%9D%E3%83%AA%E3%82%AB%E3%83%BC%E3%83%9C%E3%83%8D%E3%82%A4%E3%83%88%E8%A3%BD%E3%82%B1%E3%83%BC%E3%82%B9-QLC-IPZ/dp/B07K2W2K3T/ref=sr_1_325?__mk_ja_JP=%E3%82%AB%E3%82%BF%E3%82%AB%E3%83%8A&amp;dchild=1&amp;keywords=Galaxy&amp;qid=1598527863&amp;sr=8-325", "Go")</f>
        <v/>
      </c>
    </row>
    <row r="348">
      <c r="A348" s="1" t="n">
        <v>346</v>
      </c>
      <c r="B348" t="inlineStr">
        <is>
          <t>Anker PowerDrive Speed+ 2-1 PD &amp; 1 PowerIQ 2.0(Power Delivery＆PowerIQ 2.0対応 2ポートカーチャージャー 48W) iPhone/iPad/Galaxy/Xperia その他Android各種対応</t>
        </is>
      </c>
      <c r="C348" t="inlineStr">
        <is>
          <t>￥2,999</t>
        </is>
      </c>
      <c r="D348" t="inlineStr">
        <is>
          <t>4.7</t>
        </is>
      </c>
      <c r="E348">
        <f>HYPERLINK("https://www.amazon.co.jp/Anker-PowerDrive-Delivery%EF%BC%86PowerIQ-2%E3%83%9D%E3%83%BC%E3%83%88%E3%82%AB%E3%83%BC%E3%83%81%E3%83%A3%E3%83%BC%E3%82%B8%E3%83%A3%E3%83%BC%EF%BC%89iPhone-%E3%81%9D%E3%81%AE%E4%BB%96Android%E5%90%84%E7%A8%AE%E5%AF%BE%E5%BF%9C/dp/B0721H7PS3/ref=sr_1_326?__mk_ja_JP=%E3%82%AB%E3%82%BF%E3%82%AB%E3%83%8A&amp;dchild=1&amp;keywords=Galaxy&amp;qid=1598527863&amp;sr=8-326", "Go")</f>
        <v/>
      </c>
    </row>
    <row r="349">
      <c r="A349" s="1" t="n">
        <v>347</v>
      </c>
      <c r="B349" t="inlineStr">
        <is>
          <t>Vortex Crossfire II 1-4x24 Riflescope, V-Brite Reticle, MOA</t>
        </is>
      </c>
      <c r="C349" t="inlineStr">
        <is>
          <t>￥34,000</t>
        </is>
      </c>
      <c r="D349" t="inlineStr">
        <is>
          <t>4.7</t>
        </is>
      </c>
      <c r="E349">
        <f>HYPERLINK("https://www.amazon.co.jp/Vortex-Crossfire-Riflescope-V-Brite-Reticle/dp/B00HYRGODO/ref=sr_1_327?__mk_ja_JP=%E3%82%AB%E3%82%BF%E3%82%AB%E3%83%8A&amp;dchild=1&amp;keywords=Galaxy&amp;qid=1598527863&amp;sr=8-327", "Go")</f>
        <v/>
      </c>
    </row>
    <row r="350">
      <c r="A350" s="1" t="n">
        <v>348</v>
      </c>
      <c r="B350" t="inlineStr">
        <is>
          <t>ProCase Galaxy Tab S5e 10.5 2019 ケース T720 T725 頑丈 耐衝撃 回転キックスタンド 保護カバーケース Galaxy Tab S5e 10.5インチモデルSM-T720/SM-T725 2019リリース用 ブラック</t>
        </is>
      </c>
      <c r="C350" t="inlineStr">
        <is>
          <t>￥7,516</t>
        </is>
      </c>
      <c r="D350" t="inlineStr">
        <is>
          <t>4.7</t>
        </is>
      </c>
      <c r="E350">
        <f>HYPERLINK("https://www.amazon.co.jp/ProCase-%E5%9B%9E%E8%BB%A2%E3%82%AD%E3%83%83%E3%82%AF%E3%82%B9%E3%82%BF%E3%83%B3%E3%83%89-%E4%BF%9D%E8%AD%B7%E3%82%AB%E3%83%90%E3%83%BC%E3%82%B1%E3%83%BC%E3%82%B9-10-5%E3%82%A4%E3%83%B3%E3%83%81%E3%83%A2%E3%83%87%E3%83%ABSM-T720-2019%E3%83%AA%E3%83%AA%E3%83%BC%E3%82%B9%E7%94%A8/dp/B07SPBY3TW/ref=sr_1_328?__mk_ja_JP=%E3%82%AB%E3%82%BF%E3%82%AB%E3%83%8A&amp;dchild=1&amp;keywords=Galaxy&amp;qid=1598527863&amp;sr=8-328", "Go")</f>
        <v/>
      </c>
    </row>
    <row r="351">
      <c r="A351" s="1" t="n">
        <v>349</v>
      </c>
      <c r="B351" t="inlineStr">
        <is>
          <t>【2枚入り-対応5.8インチ】Galaxy A20 ガラスフィルム SC-02M 液晶保護フィルム SCV46 保護ガラス 業界最高の硬度9H、高い光透過率、指紋防止、飛散防止、防油汚れ、気泡防止Galaxy A20 強化ガラスフィルム【対応5.8インチ】</t>
        </is>
      </c>
      <c r="C351" t="inlineStr">
        <is>
          <t>￥799</t>
        </is>
      </c>
      <c r="D351" t="inlineStr">
        <is>
          <t>4.7</t>
        </is>
      </c>
      <c r="E351">
        <f>HYPERLINK("https://www.amazon.co.jp/%E3%80%902%E6%9E%9A%E5%85%A5%E3%82%8A-%E5%AF%BE%E5%BF%9C5-8%E3%82%A4%E3%83%B3%E3%83%81%E3%80%91Galaxy-A20-%E6%B6%B2%E6%99%B6%E4%BF%9D%E8%AD%B7%E3%83%95%E3%82%A3%E3%83%AB%E3%83%A0-%E6%A5%AD%E7%95%8C%E6%9C%80%E9%AB%98%E3%81%AE%E7%A1%AC%E5%BA%A69H%E3%80%81%E9%AB%98%E3%81%84%E5%85%89%E9%80%8F%E9%81%8E%E7%8E%87%E3%80%81%E6%8C%87%E7%B4%8B%E9%98%B2%E6%AD%A2%E3%80%81%E9%A3%9B%E6%95%A3%E9%98%B2%E6%AD%A2%E3%80%81%E9%98%B2%E6%B2%B9%E6%B1%9A%E3%82%8C%E3%80%81%E6%B0%97%E6%B3%A1%E9%98%B2%E6%AD%A2Galaxy-%E5%BC%B7%E5%8C%96%E3%82%AC%E3%83%A9%E3%82%B9%E3%83%95%E3%82%A3%E3%83%AB%E3%83%A0%E3%80%90%E5%AF%BE%E5%BF%9C5-8%E3%82%A4%E3%83%B3%E3%83%81%E3%80%91/dp/B08DXDZMWT/ref=sr_1_329?__mk_ja_JP=%E3%82%AB%E3%82%BF%E3%82%AB%E3%83%8A&amp;dchild=1&amp;keywords=Galaxy&amp;qid=1598527863&amp;sr=8-329", "Go")</f>
        <v/>
      </c>
    </row>
    <row r="352">
      <c r="A352" s="1" t="n">
        <v>350</v>
      </c>
      <c r="B352" t="inlineStr">
        <is>
          <t>【2枚セット】 Galaxy S20 Plus/S20 + ガラスフィルム 強化ガラス SC-52A SCG02 液晶保護フィルム 日本旭硝子製 業界最高の硬度9H 99%高透過率 指紋防止 飛散防止 3Dタッチ 気泡ゼロ 自動吸着 Galaxy S20 Plus/S20 + 強化ガラスフィルム</t>
        </is>
      </c>
      <c r="C352" t="inlineStr">
        <is>
          <t>￥399</t>
        </is>
      </c>
      <c r="D352" t="inlineStr">
        <is>
          <t>4.7</t>
        </is>
      </c>
      <c r="E352">
        <f>HYPERLINK("https://www.amazon.co.jp/%E3%80%902%E6%9E%9A%E3%82%BB%E3%83%83%E3%83%88%E3%80%91-%E5%BC%B7%E5%8C%96%E3%82%AC%E3%83%A9%E3%82%B9-SC-52A-%E6%B6%B2%E6%99%B6%E4%BF%9D%E8%AD%B7%E3%83%95%E3%82%A3%E3%83%AB%E3%83%A0-%E6%A5%AD%E7%95%8C%E6%9C%80%E9%AB%98%E3%81%AE%E7%A1%AC%E5%BA%A69H-%E5%BC%B7%E5%8C%96%E3%82%AC%E3%83%A9%E3%82%B9%E3%83%95%E3%82%A3%E3%83%AB%E3%83%A0/dp/B08D9QTG69/ref=sr_1_330?__mk_ja_JP=%E3%82%AB%E3%82%BF%E3%82%AB%E3%83%8A&amp;dchild=1&amp;keywords=Galaxy&amp;qid=1598527863&amp;sr=8-330", "Go")</f>
        <v/>
      </c>
    </row>
    <row r="353">
      <c r="A353" s="1" t="n">
        <v>351</v>
      </c>
      <c r="B353" t="inlineStr">
        <is>
          <t>TACKFORM 工業用メタルドリルベースタブレットマウント - Enduro シリーズ製 - 壁やトラック用iPadホルダー ELDマウント、iPad Mini、iPad Pro 12.9、Galaxy S、Surface Pro、スイッチを含むほとんどのデバイスに対応。</t>
        </is>
      </c>
      <c r="C353" t="inlineStr">
        <is>
          <t>￥10,523</t>
        </is>
      </c>
      <c r="D353" t="inlineStr">
        <is>
          <t>4.7</t>
        </is>
      </c>
      <c r="E353">
        <f>HYPERLINK("https://www.amazon.co.jp/%E5%B7%A5%E6%A5%AD%E3%83%89%E3%83%AA%E3%83%AB%E3%83%99%E3%83%BC%E3%82%B9%E3%82%BF%E3%83%96%E3%83%AC%E3%83%83%E3%83%88mount-Tackform-%E3%82%A8%E3%83%B3%E3%82%BF%E3%83%BC%E3%83%97%E3%83%A9%E3%82%A4%E3%82%BA%E3%82%B7%E3%83%AA%E3%83%BC%E3%82%BA-%E2%80%93-iPad%E3%83%9B%E3%83%AB%E3%83%80%E3%83%BCfor%E5%A3%81%E3%82%84%E3%83%88%E3%83%A9%E3%83%83%E3%82%AF%E3%80%82%E3%81%AF%E3%81%BB%E3%81%A8%E3%82%93%E3%81%A9%E3%81%AE%E3%83%87%E3%83%90%E3%82%A4%E3%82%B9%E3%81%A7%E4%BD%BF%E7%94%A8%E3%81%AA%E3%81%A9%E3%80%81iPad-12-9%E3%80%81Galaxy/dp/B079TGWRNR/ref=sr_1_331?__mk_ja_JP=%E3%82%AB%E3%82%BF%E3%82%AB%E3%83%8A&amp;dchild=1&amp;keywords=Galaxy&amp;qid=1598527863&amp;sr=8-331", "Go")</f>
        <v/>
      </c>
    </row>
    <row r="354">
      <c r="A354" s="1" t="n">
        <v>352</v>
      </c>
      <c r="B354" t="inlineStr">
        <is>
          <t>Volutz USB Type C ケーブル 3m 3A急速充電 耐衝撃コネクタ 高耐久ナイロン2重編みケーブル 高速データ転送 USB-Cケーブル Sony Xperia XZ/XZ2、Samsung Galaxy S10/S9/S8/Note、Nintendo Switch その他タイプC機器対応（ブルー）</t>
        </is>
      </c>
      <c r="C354" t="inlineStr">
        <is>
          <t>￥990</t>
        </is>
      </c>
      <c r="D354" t="inlineStr">
        <is>
          <t>4.7</t>
        </is>
      </c>
      <c r="E354">
        <f>HYPERLINK("https://www.amazon.co.jp/Volutz-%E9%AB%98%E8%80%90%E4%B9%85%E3%83%8A%E3%82%A4%E3%83%AD%E3%83%B32%E9%87%8D%E7%B7%A8%E3%81%BF%E3%82%B1%E3%83%BC%E3%83%96%E3%83%AB-XZ2%E3%80%81Samsung-Note%E3%80%81Nintendo-%E3%81%9D%E3%81%AE%E4%BB%96%E3%82%BF%E3%82%A4%E3%83%97C%E6%A9%9F%E5%99%A8%E5%AF%BE%E5%BF%9C%EF%BC%88%E3%83%96%E3%83%AB%E3%83%BC%EF%BC%89/dp/B07PHZYCF4/ref=sr_1_332?__mk_ja_JP=%E3%82%AB%E3%82%BF%E3%82%AB%E3%83%8A&amp;dchild=1&amp;keywords=Galaxy&amp;qid=1598527863&amp;sr=8-332", "Go")</f>
        <v/>
      </c>
    </row>
    <row r="355">
      <c r="A355" s="1" t="n">
        <v>353</v>
      </c>
      <c r="B355" t="inlineStr">
        <is>
          <t>【2020最新版】Galaxy S10 フィルム高品質強化ガラスフィルム（SC-03L/SCV41 対応）3D Touch対応/99%高透過率/日本旭硝子製 業界最高の硬度9H/指紋防止/飛散防止/スクラッチ防止/気泡ゼロ/Samsung GalaxyS10用ガラスフィルム液晶 ガラス 保護 フィルム【2枚入り】</t>
        </is>
      </c>
      <c r="C355" t="inlineStr">
        <is>
          <t>￥1,099</t>
        </is>
      </c>
      <c r="D355" t="inlineStr">
        <is>
          <t>4.7</t>
        </is>
      </c>
      <c r="E355">
        <f>HYPERLINK("https://www.amazon.co.jp/%E3%80%902020%E6%9C%80%E6%96%B0%E7%89%88%E3%80%91Galaxy-%E3%83%95%E3%82%A3%E3%83%AB%E3%83%A0%E9%AB%98%E5%93%81%E8%B3%AA%E5%BC%B7%E5%8C%96%E3%82%AC%E3%83%A9%E3%82%B9%E3%83%95%E3%82%A3%E3%83%AB%E3%83%A0%EF%BC%88SC-03L-%E6%A5%AD%E7%95%8C%E6%9C%80%E9%AB%98%E3%81%AE%E7%A1%AC%E5%BA%A69H-GalaxyS10%E7%94%A8%E3%82%AC%E3%83%A9%E3%82%B9%E3%83%95%E3%82%A3%E3%83%AB%E3%83%A0%E6%B6%B2%E6%99%B6-%E3%83%95%E3%82%A3%E3%83%AB%E3%83%A0%E3%80%902%E6%9E%9A%E5%85%A5%E3%82%8A%E3%80%91/dp/B08FD7BFWG/ref=sr_1_333?__mk_ja_JP=%E3%82%AB%E3%82%BF%E3%82%AB%E3%83%8A&amp;dchild=1&amp;keywords=Galaxy&amp;qid=1598527863&amp;sr=8-333", "Go")</f>
        <v/>
      </c>
    </row>
    <row r="356">
      <c r="A356" s="1" t="n">
        <v>354</v>
      </c>
      <c r="B356" t="inlineStr">
        <is>
          <t>Secboltバンド Apple Watchバンド 38mm 40mm iWatchシリーズ 5/4/3/2/1 ソフトレザー キラキラダイヤモンド付き リストバンド ストラップ アクセサリー レディース Small(5.5"-6.7") SEA4KK-624</t>
        </is>
      </c>
      <c r="C356" t="inlineStr">
        <is>
          <t>￥8,964</t>
        </is>
      </c>
      <c r="D356" t="inlineStr">
        <is>
          <t>4.7</t>
        </is>
      </c>
      <c r="E356">
        <f>HYPERLINK("https://www.amazon.co.jp/Secbolt%E3%83%90%E3%83%B3%E3%83%89-Watch%E3%83%90%E3%83%B3%E3%83%89-iWatch%E3%82%B7%E3%83%AA%E3%83%BC%E3%82%BA-%E3%82%AD%E3%83%A9%E3%82%AD%E3%83%A9%E3%83%80%E3%82%A4%E3%83%A4%E3%83%A2%E3%83%B3%E3%83%89%E4%BB%98%E3%81%8D-SEA4KK-624/dp/B08238GKSH/ref=sr_1_334?__mk_ja_JP=%E3%82%AB%E3%82%BF%E3%82%AB%E3%83%8A&amp;dchild=1&amp;keywords=Galaxy&amp;qid=1598527863&amp;sr=8-334", "Go")</f>
        <v/>
      </c>
    </row>
    <row r="357">
      <c r="A357" s="1" t="n">
        <v>355</v>
      </c>
      <c r="B357" t="inlineStr">
        <is>
          <t>zzkko Space Galaxy動物ユニコーンバックパックCollege学校ブックバッグ旅行ハイキングキャンプDaypack</t>
        </is>
      </c>
      <c r="C357" t="inlineStr">
        <is>
          <t>￥10,825</t>
        </is>
      </c>
      <c r="D357" t="inlineStr">
        <is>
          <t>4.7</t>
        </is>
      </c>
      <c r="E357">
        <f>HYPERLINK("https://www.amazon.co.jp/ZZKKO-5003167p203c237s337-zzkko-Space-Galaxy%E5%8B%95%E7%89%A9%E3%83%A6%E3%83%8B%E3%82%B3%E3%83%BC%E3%83%B3%E3%83%90%E3%83%83%E3%82%AF%E3%83%91%E3%83%83%E3%82%AFCollege%E5%AD%A6%E6%A0%A1%E3%83%96%E3%83%83%E3%82%AF%E3%83%90%E3%83%83%E3%82%B0%E6%97%85%E8%A1%8C%E3%83%8F%E3%82%A4%E3%82%AD%E3%83%B3%E3%82%B0%E3%82%AD%E3%83%A3%E3%83%B3%E3%83%97Daypack/dp/B07DG9XZX2/ref=sr_1_335?__mk_ja_JP=%E3%82%AB%E3%82%BF%E3%82%AB%E3%83%8A&amp;dchild=1&amp;keywords=Galaxy&amp;qid=1598527863&amp;sr=8-335", "Go")</f>
        <v/>
      </c>
    </row>
    <row r="358">
      <c r="A358" s="1" t="n">
        <v>356</v>
      </c>
      <c r="B358" t="inlineStr">
        <is>
          <t>Roberly Galaxy ステッカー 100枚パック 防水ビニールステッカー 水筒 ノートパソコン ステッカー 車 スケートボード 荷物 電話 iPad グラフィティ デカール 子供と大人用 One Size SKU-002-3</t>
        </is>
      </c>
      <c r="C358" t="inlineStr">
        <is>
          <t>￥8,868</t>
        </is>
      </c>
      <c r="D358" t="inlineStr">
        <is>
          <t>4.7</t>
        </is>
      </c>
      <c r="E358">
        <f>HYPERLINK("https://www.amazon.co.jp/Roberly-Flask%E3%82%B9%E3%83%86%E3%83%83%E3%82%AB%E3%83%BC-%E9%98%B2%E6%B0%B4%E3%83%93%E3%83%8B%E3%83%BC%E3%83%AB%E3%82%B9%E3%83%86%E3%83%83%E3%82%AB%E3%83%BC-%E3%82%B0%E3%83%A9%E3%83%95%E3%82%A3%E3%83%86%E3%82%A3%E3%83%87%E3%82%AB%E3%83%BC%E3%83%AB-SKU-002-3/dp/B07RYCX6NH/ref=sr_1_336?__mk_ja_JP=%E3%82%AB%E3%82%BF%E3%82%AB%E3%83%8A&amp;dchild=1&amp;keywords=Galaxy&amp;qid=1598527863&amp;sr=8-336", "Go")</f>
        <v/>
      </c>
    </row>
    <row r="359">
      <c r="A359" s="1" t="n">
        <v>357</v>
      </c>
      <c r="B359" t="inlineStr">
        <is>
          <t>ワイヤレスイヤホン TOTU Bluetooth 5.0ヘッドフォン ディープベース ステレオ IPX7防水 真のワイヤレスイヤホン 2020年代 USB-C充電ケース/マイク付き スポーツランニング iPhone/Samsung/Android/ Windowsなど</t>
        </is>
      </c>
      <c r="C359" t="inlineStr">
        <is>
          <t>￥2,799</t>
        </is>
      </c>
      <c r="D359" t="inlineStr">
        <is>
          <t>4.7</t>
        </is>
      </c>
      <c r="E359">
        <f>HYPERLINK("https://www.amazon.co.jp/%E3%83%AF%E3%82%A4%E3%83%A4%E3%83%AC%E3%82%B9%E3%82%A4%E3%83%A4%E3%83%9B%E3%83%B3-TOTU-Bluetooth-%E7%9C%9F%E3%81%AE%E3%83%AF%E3%82%A4%E3%83%A4%E3%83%AC%E3%82%B9%E3%82%A4%E3%83%A4%E3%83%9B%E3%83%B3-USB-C%E5%85%85%E9%9B%BB%E3%82%B1%E3%83%BC%E3%82%B9/dp/B085XS92L3/ref=sr_1_337?__mk_ja_JP=%E3%82%AB%E3%82%BF%E3%82%AB%E3%83%8A&amp;dchild=1&amp;keywords=Galaxy&amp;qid=1598527863&amp;sr=8-337", "Go")</f>
        <v/>
      </c>
    </row>
    <row r="360">
      <c r="A360" s="1" t="n">
        <v>358</v>
      </c>
      <c r="B360" t="inlineStr">
        <is>
          <t>LUOLNH iPhone 11ケース iPhone 11大理石ケース 大理石デザイン 耐衝撃 柔軟 ソフトシリコンゴムTPUバンパーカバースキンケース iPhone 11 6.1インチ 2019用 IPXR 11-PJ-DLS-mei hong ge zi</t>
        </is>
      </c>
      <c r="C360" t="inlineStr">
        <is>
          <t>￥7,260</t>
        </is>
      </c>
      <c r="D360" t="inlineStr">
        <is>
          <t>4.7</t>
        </is>
      </c>
      <c r="E360">
        <f>HYPERLINK("https://www.amazon.co.jp/LUOLNH-11%E5%A4%A7%E7%90%86%E7%9F%B3%E3%82%B1%E3%83%BC%E3%82%B9-%E5%A4%A7%E7%90%86%E7%9F%B3%E3%83%87%E3%82%B6%E3%82%A4%E3%83%B3-%E3%82%BD%E3%83%95%E3%83%88%E3%82%B7%E3%83%AA%E3%82%B3%E3%83%B3%E3%82%B4%E3%83%A0TPU%E3%83%90%E3%83%B3%E3%83%91%E3%83%BC%E3%82%AB%E3%83%90%E3%83%BC%E3%82%B9%E3%82%AD%E3%83%B3%E3%82%B1%E3%83%BC%E3%82%B9-11-PJ-DLS-mei/dp/B081GW7FLF/ref=sr_1_338?__mk_ja_JP=%E3%82%AB%E3%82%BF%E3%82%AB%E3%83%8A&amp;dchild=1&amp;keywords=Galaxy&amp;qid=1598527863&amp;sr=8-338", "Go")</f>
        <v/>
      </c>
    </row>
    <row r="361">
      <c r="A361" s="1" t="n">
        <v>359</v>
      </c>
      <c r="B361" t="inlineStr">
        <is>
          <t>Samsung Galaxy S20+ 5G (SM-G9860) Dual SIM / 128GB+12GB RAM / 6.7”/ 5G対応 / SIMフリー スマートフォン, Snapdragon 865 (Cloud White/クラウドホワイト)</t>
        </is>
      </c>
      <c r="C361" t="inlineStr">
        <is>
          <t>￥86,977</t>
        </is>
      </c>
      <c r="D361" t="inlineStr">
        <is>
          <t>5</t>
        </is>
      </c>
      <c r="E361">
        <f>HYPERLINK("https://www.amazon.co.jp/Samsung-SM-G9860-%E3%82%B9%E3%83%9E%E3%83%BC%E3%83%88%E3%83%95%E3%82%A9%E3%83%B3-Snapdragon-%E3%82%AF%E3%83%A9%E3%82%A6%E3%83%89%E3%83%9B%E3%83%AF%E3%82%A4%E3%83%88/dp/B085HPGTXM/ref=sr_1_339?__mk_ja_JP=%E3%82%AB%E3%82%BF%E3%82%AB%E3%83%8A&amp;dchild=1&amp;keywords=Galaxy&amp;qid=1598527863&amp;sr=8-339", "Go")</f>
        <v/>
      </c>
    </row>
    <row r="362">
      <c r="A362" s="1" t="n">
        <v>360</v>
      </c>
      <c r="B362" t="inlineStr">
        <is>
          <t>kwmobile 対応: Samsung Galaxy A50 ケース - スマホカバー TPU シリコン 携帯 保護 耐衝撃 透明 花びらデザイン</t>
        </is>
      </c>
      <c r="C362" t="inlineStr">
        <is>
          <t>￥690</t>
        </is>
      </c>
      <c r="D362" t="inlineStr">
        <is>
          <t>4.7</t>
        </is>
      </c>
      <c r="E362">
        <f>HYPERLINK("https://www.amazon.co.jp/kwmobile-%E5%AF%BE%E5%BF%9C-Samsung-Galaxy-%E8%8A%B1%E3%81%B3%E3%82%89%E3%83%87%E3%82%B6%E3%82%A4%E3%83%B3/dp/B07YKNP65Q/ref=sr_1_340?__mk_ja_JP=%E3%82%AB%E3%82%BF%E3%82%AB%E3%83%8A&amp;dchild=1&amp;keywords=Galaxy&amp;qid=1598527863&amp;sr=8-340", "Go")</f>
        <v/>
      </c>
    </row>
    <row r="363">
      <c r="A363" s="1" t="n">
        <v>361</v>
      </c>
      <c r="B363" t="inlineStr">
        <is>
          <t>USB Cケーブル [3フィート3本パック] USB Type Cケーブル 編組高速充電コード Samsung Galaxy Note 9 8,S10 S9 S8 Plus, LG V30 V20 G6,Pixel 2 XL,Moto Z2 Z3 3 Feet</t>
        </is>
      </c>
      <c r="C363" t="inlineStr">
        <is>
          <t>￥9,266</t>
        </is>
      </c>
      <c r="D363" t="inlineStr">
        <is>
          <t>4.7</t>
        </is>
      </c>
      <c r="E363">
        <f>HYPERLINK("https://www.amazon.co.jp/C%E3%82%B1%E3%83%BC%E3%83%96%E3%83%AB-3%E3%83%95%E3%82%A3%E3%83%BC%E3%83%883%E6%9C%AC%E3%83%91%E3%83%83%E3%82%AF-%E7%B7%A8%E7%B5%84%E9%AB%98%E9%80%9F%E5%85%85%E9%9B%BB%E3%82%B3%E3%83%BC%E3%83%89-Samsung-Galaxy/dp/B07YRRWVL3/ref=sr_1_341?__mk_ja_JP=%E3%82%AB%E3%82%BF%E3%82%AB%E3%83%8A&amp;dchild=1&amp;keywords=Galaxy&amp;qid=1598527863&amp;sr=8-341", "Go")</f>
        <v/>
      </c>
    </row>
    <row r="364">
      <c r="A364" s="1" t="n">
        <v>362</v>
      </c>
      <c r="B364" t="inlineStr">
        <is>
          <t>Moment スマホレンズ 魚眼レンズ 15mm スーパーフィッシュ 170度 広角レンズ iPhone Galaxy Pixel OnePlus対応</t>
        </is>
      </c>
      <c r="C364" t="inlineStr">
        <is>
          <t>￥19,363</t>
        </is>
      </c>
      <c r="D364" t="inlineStr">
        <is>
          <t>4.7</t>
        </is>
      </c>
      <c r="E364">
        <f>HYPERLINK("https://www.amazon.co.jp/ZPTONE-Moment%E6%96%B0%E3%81%97%E3%81%84Superfish%E3%83%AC%E3%83%B3%E3%82%BA-%E3%82%AB%E3%83%A1%E3%83%A9%E3%82%A2%E3%82%BF%E3%83%83%E3%83%81%E3%83%A1%E3%83%B3%E3%83%88%E3%83%94%E3%82%AF%E3%82%BB%E3%83%AB%E9%AD%9A%E7%9C%BC%E3%83%AC%E3%83%B3%E3%82%BA%E3%83%AC%E3%83%B3%E3%82%BAIphone%E3%80%81SAMSUNG-GALAXY%E3%80%81%E3%80%82/dp/B074KNX36N/ref=sr_1_342?__mk_ja_JP=%E3%82%AB%E3%82%BF%E3%82%AB%E3%83%8A&amp;dchild=1&amp;keywords=Galaxy&amp;qid=1598527863&amp;sr=8-342", "Go")</f>
        <v/>
      </c>
    </row>
    <row r="365">
      <c r="A365" s="1" t="n">
        <v>363</v>
      </c>
      <c r="B365" t="inlineStr">
        <is>
          <t>Lerobo Galaxy Watch Active 2バンド 40mm 44mm 20mm シリコン交換バンド Galaxy Actie/Galaxy Watch 42mm/Gear S2 Classic/Gear Sport スマートウォッチ用 レディース メンズ マルチパターン グレー</t>
        </is>
      </c>
      <c r="C365" t="inlineStr">
        <is>
          <t>￥7,806</t>
        </is>
      </c>
      <c r="D365" t="inlineStr">
        <is>
          <t>4.8</t>
        </is>
      </c>
      <c r="E365">
        <f>HYPERLINK("https://www.amazon.co.jp/Lerobo-%E3%82%B7%E3%83%AA%E3%82%B3%E3%83%B3%E4%BA%A4%E6%8F%9B%E3%83%90%E3%83%B3%E3%83%89-Classic-%E3%82%B9%E3%83%9E%E3%83%BC%E3%83%88%E3%82%A6%E3%82%A9%E3%83%83%E3%83%81%E7%94%A8-%E3%83%9E%E3%83%AB%E3%83%81%E3%83%91%E3%82%BF%E3%83%BC%E3%83%B3/dp/B08862J2J4/ref=sr_1_343?__mk_ja_JP=%E3%82%AB%E3%82%BF%E3%82%AB%E3%83%8A&amp;dchild=1&amp;keywords=Galaxy&amp;qid=1598527863&amp;sr=8-343", "Go")</f>
        <v/>
      </c>
    </row>
    <row r="366">
      <c r="A366" s="1" t="n">
        <v>364</v>
      </c>
      <c r="B366" t="inlineStr">
        <is>
          <t>ケイト・スペード ニューヨーク 防衛ハードシェルケース (1-PC コモールド) iPhone Xs Max用 KSIPH-106-RHHCS</t>
        </is>
      </c>
      <c r="C366" t="inlineStr">
        <is>
          <t>￥15,834</t>
        </is>
      </c>
      <c r="D366" t="inlineStr">
        <is>
          <t>4.8</t>
        </is>
      </c>
      <c r="E366">
        <f>HYPERLINK("https://www.amazon.co.jp/Kate-%E6%90%BA%E5%B8%AF%E9%9B%BB%E8%A9%B1%E3%82%B1%E3%83%BC%E3%82%B9-iPhone-%E4%BF%9D%E8%AD%B7%E9%9B%BB%E8%A9%B1%E3%82%B1%E3%83%BC%E3%82%B9-%E3%82%B9%E3%83%AA%E3%83%A0%E3%83%87%E3%82%B6%E3%82%A4%E3%83%B3/dp/B07DFSC8HP/ref=sr_1_344?__mk_ja_JP=%E3%82%AB%E3%82%BF%E3%82%AB%E3%83%8A&amp;dchild=1&amp;keywords=Galaxy&amp;qid=1598527863&amp;sr=8-344", "Go")</f>
        <v/>
      </c>
    </row>
    <row r="367">
      <c r="A367" s="1" t="n">
        <v>365</v>
      </c>
      <c r="B367" t="inlineStr">
        <is>
          <t>USB-C/Type C to Type C ケーブル【2本セット1.2M+2M PD3.0対応 60W/3A急速充電】Macbook iPad Pro 11/12インチ,MacBook/MacBook Air (2018),Google Pixel 3 XL,Samsung/Huaweiアンドロイド スマホ,Nintendo Switch等タイプC機種対応 USB-IF認証取得</t>
        </is>
      </c>
      <c r="C367" t="inlineStr">
        <is>
          <t>￥1,399</t>
        </is>
      </c>
      <c r="D367" t="inlineStr">
        <is>
          <t>4.7</t>
        </is>
      </c>
      <c r="E367">
        <f>HYPERLINK("https://www.amazon.co.jp/%E3%82%B1%E3%83%BC%E3%83%96%E3%83%AB%E3%80%902%E6%9C%AC%E3%82%BB%E3%83%83%E3%83%881-2M-3A%E6%80%A5%E9%80%9F%E5%85%85%E9%9B%BB%E3%80%91Macbook-Huawei%E3%82%A2%E3%83%B3%E3%83%89%E3%83%AD%E3%82%A4%E3%83%89-Switch%E7%AD%89%E3%82%BF%E3%82%A4%E3%83%97C%E6%A9%9F%E7%A8%AE%E5%AF%BE%E5%BF%9C-USB-IF%E8%AA%8D%E8%A8%BC%E5%8F%96%E5%BE%97/dp/B086TTG16T/ref=sr_1_345?__mk_ja_JP=%E3%82%AB%E3%82%BF%E3%82%AB%E3%83%8A&amp;dchild=1&amp;keywords=Galaxy&amp;qid=1598527863&amp;sr=8-345", "Go")</f>
        <v/>
      </c>
    </row>
    <row r="368">
      <c r="A368" s="1" t="n">
        <v>366</v>
      </c>
      <c r="B368" t="inlineStr">
        <is>
          <t>Shocksock Samsung Galaxy Note 10+ Neoprene Pouch Case with Carabiner (Black)</t>
        </is>
      </c>
      <c r="C368" t="inlineStr">
        <is>
          <t>￥1,452</t>
        </is>
      </c>
      <c r="D368" t="inlineStr">
        <is>
          <t>4.7</t>
        </is>
      </c>
      <c r="E368">
        <f>HYPERLINK("https://www.amazon.co.jp/Shocksock-Samsung-Galaxy-Note-10/dp/B07TJG45RS/ref=sr_1_346?__mk_ja_JP=%E3%82%AB%E3%82%BF%E3%82%AB%E3%83%8A&amp;dchild=1&amp;keywords=Galaxy&amp;qid=1598527863&amp;sr=8-346", "Go")</f>
        <v/>
      </c>
    </row>
    <row r="369">
      <c r="A369" s="1" t="n">
        <v>367</v>
      </c>
      <c r="B369" t="inlineStr">
        <is>
          <t>可愛い GalaxyS10 ケース ガラス 笑顔 スマイル Nice ニコちゃん ギャラクシーS10 ガラスケース 強化ガラス カバー にこちゃん お洒落 女性 人気 背面ガラス(GalaxyS10, 黄色)</t>
        </is>
      </c>
      <c r="C369" t="inlineStr">
        <is>
          <t>￥1,380</t>
        </is>
      </c>
      <c r="D369" t="inlineStr">
        <is>
          <t>4</t>
        </is>
      </c>
      <c r="E369">
        <f>HYPERLINK("https://www.amazon.co.jp/Moogukadan-%E5%8F%AF%E6%84%9B%E3%81%84-GalaxyS10-%E3%82%B1%E3%83%BC%E3%82%B9-%E3%82%AC%E3%83%A9%E3%82%B9-%E7%AC%91%E9%A1%94-%E3%82%B9%E3%83%9E%E3%82%A4%E3%83%AB-Nice-%E3%83%8B%E3%82%B3%E3%81%A1%E3%82%83%E3%82%93-%E3%82%AE%E3%83%A3%E3%83%A9%E3%82%AF%E3%82%B7%E3%83%BCS10-%E3%82%AC%E3%83%A9%E3%82%B9%E3%82%B1%E3%83%BC%E3%82%B9-%E5%BC%B7%E5%8C%96%E3%82%AC%E3%83%A9%E3%82%B9-%E3%82%AB%E3%83%90%E3%83%BC-%E3%81%AB%E3%81%93%E3%81%A1%E3%82%83%E3%82%93-%E3%81%8A%E6%B4%92%E8%90%BD-%E5%A5%B3%E6%80%A7-%E4%BA%BA%E6%B0%97-%E8%83%8C%E9%9D%A2%E3%82%AC%E3%83%A9%E3%82%B9-GalaxyS10-%E9%BB%84%E8%89%B2/dp/B07X2DVSQ3/ref=sr_1_348_sspa?__mk_ja_JP=%E3%82%AB%E3%82%BF%E3%82%AB%E3%83%8A&amp;dchild=1&amp;keywords=Galaxy&amp;qid=1598527863&amp;sr=8-348-spons&amp;psc=1&amp;spLa=ZW5jcnlwdGVkUXVhbGlmaWVyPUEzVlJUQ0QzUUlJRzk2JmVuY3J5cHRlZElkPUEwODk0MTUxMkhRUUJBWlhUMkM0JmVuY3J5cHRlZEFkSWQ9QU1BM0hSV0tZWUxFTiZ3aWRnZXROYW1lPXNwX2J0ZiZhY3Rpb249Y2xpY2tSZWRpcmVjdCZkb05vdExvZ0NsaWNrPXRydWU=", "Go")</f>
        <v/>
      </c>
    </row>
    <row r="370">
      <c r="A370" s="1" t="n">
        <v>368</v>
      </c>
      <c r="B370" t="inlineStr">
        <is>
          <t>kwmobile 対応: Samsung Galaxy A50 用 ケース - スマホ TPU 保護 アクリルスペースデザイン サムスン ギャラクシー</t>
        </is>
      </c>
      <c r="C370" t="inlineStr">
        <is>
          <t>￥780</t>
        </is>
      </c>
      <c r="D370" t="inlineStr">
        <is>
          <t>4.7</t>
        </is>
      </c>
      <c r="E370">
        <f>HYPERLINK("https://www.amazon.co.jp/kwmobile-Samsung-Galaxy-A50-%E3%82%B1%E3%83%BC%E3%82%B9/dp/B07XL293H7/ref=sr_1_341?__mk_ja_JP=%E3%82%AB%E3%82%BF%E3%82%AB%E3%83%8A&amp;dchild=1&amp;keywords=Galaxy&amp;qid=1598528189&amp;sr=8-341", "Go")</f>
        <v/>
      </c>
    </row>
    <row r="371">
      <c r="A371" s="1" t="n">
        <v>369</v>
      </c>
      <c r="B371" t="inlineStr">
        <is>
          <t>【2枚セット】Galaxy A41 SC-41A / SCV48 強化ガラス フィルム 液晶保護フィルム 硬度9H 日本製素材旭硝子製 【終身無条件無料で交換が付与されます】 貼り付け簡単 耐衝撃 高感度 気泡ゼロ 飛散防止 指紋防止 撥油性 超薄 極高透過率 Galaxy A41</t>
        </is>
      </c>
      <c r="C371" t="inlineStr">
        <is>
          <t>￥498</t>
        </is>
      </c>
      <c r="D371" t="inlineStr">
        <is>
          <t>4.6</t>
        </is>
      </c>
      <c r="E371">
        <f>HYPERLINK("https://www.amazon.co.jp/%E3%80%902%E6%9E%9A%E3%82%BB%E3%83%83%E3%83%88%E3%80%91Galaxy-SC-41A-%E6%B6%B2%E6%99%B6%E4%BF%9D%E8%AD%B7%E3%83%95%E3%82%A3%E3%83%AB%E3%83%A0-%E6%97%A5%E6%9C%AC%E8%A3%BD%E7%B4%A0%E6%9D%90%E6%97%AD%E7%A1%9D%E5%AD%90%E8%A3%BD-%E3%80%90%E7%B5%82%E8%BA%AB%E7%84%A1%E6%9D%A1%E4%BB%B6%E7%84%A1%E6%96%99%E3%81%A7%E4%BA%A4%E6%8F%9B%E3%81%8C%E4%BB%98%E4%B8%8E%E3%81%95%E3%82%8C%E3%81%BE%E3%81%99%E3%80%91/dp/B08CHH6MLG/ref=sr_1_342?__mk_ja_JP=%E3%82%AB%E3%82%BF%E3%82%AB%E3%83%8A&amp;dchild=1&amp;keywords=Galaxy&amp;qid=1598528189&amp;sr=8-342", "Go")</f>
        <v/>
      </c>
    </row>
    <row r="372">
      <c r="A372" s="1" t="n">
        <v>370</v>
      </c>
      <c r="B372" t="inlineStr">
        <is>
          <t>【Ringke】Galaxy A51 ケース スマホケース [米軍MIL規格取得] クリア カバー 透明 ワイヤレス充電対応 ストラップホール 落下防止 Samsung Galaxy A51 Fusion-X 2019 (Space Blue スペースブルー)</t>
        </is>
      </c>
      <c r="C372" t="inlineStr">
        <is>
          <t>￥999</t>
        </is>
      </c>
      <c r="D372" t="inlineStr">
        <is>
          <t>4.7</t>
        </is>
      </c>
      <c r="E372">
        <f>HYPERLINK("https://www.amazon.co.jp/%E3%80%90Ringke%E3%80%91Galaxy-%E7%B1%B3%E8%BB%8DMIL%E8%A6%8F%E6%A0%BC%E5%8F%96%E5%BE%97-%E3%83%AF%E3%82%A4%E3%83%A4%E3%83%AC%E3%82%B9%E5%85%85%E9%9B%BB%E5%AF%BE%E5%BF%9C-%E3%82%B9%E3%83%88%E3%83%A9%E3%83%83%E3%83%97%E3%83%9B%E3%83%BC%E3%83%AB-Fusion-X/dp/B0834KQ11R/ref=sr_1_343?__mk_ja_JP=%E3%82%AB%E3%82%BF%E3%82%AB%E3%83%8A&amp;dchild=1&amp;keywords=Galaxy&amp;qid=1598528189&amp;sr=8-343", "Go")</f>
        <v/>
      </c>
    </row>
    <row r="373">
      <c r="A373" s="1" t="n">
        <v>371</v>
      </c>
      <c r="B373" t="inlineStr">
        <is>
          <t>プロフェッショナル ウルトラ サンディスク Samsung Galaxy S7 edge MicroSDHCカード ハイスピード、ロスレスフォーマット！ 標準SDアダプター付属, (UHS-1 Class 10認定 80MB/秒) LYSB01FVIWIGO-CMPTRACCS</t>
        </is>
      </c>
      <c r="C373" t="inlineStr">
        <is>
          <t>￥3,597</t>
        </is>
      </c>
      <c r="D373" t="inlineStr">
        <is>
          <t>4.7</t>
        </is>
      </c>
      <c r="E373">
        <f>HYPERLINK("https://www.amazon.co.jp/Professional-MicroSDHC-Hi-Speed-Lossless-Standard/dp/B01FVIWIGO/ref=sr_1_344?__mk_ja_JP=%E3%82%AB%E3%82%BF%E3%82%AB%E3%83%8A&amp;dchild=1&amp;keywords=Galaxy&amp;qid=1598528189&amp;sr=8-344", "Go")</f>
        <v/>
      </c>
    </row>
    <row r="374">
      <c r="A374" s="1" t="n">
        <v>372</v>
      </c>
      <c r="B374" t="inlineStr">
        <is>
          <t>クアッドロック(QUAD LOCK) TPU・ポリカーボネイト製ケース - iPhone XS Max用 QLC-IXPLUS</t>
        </is>
      </c>
      <c r="C374" t="inlineStr">
        <is>
          <t>￥3,740</t>
        </is>
      </c>
      <c r="D374" t="inlineStr">
        <is>
          <t>4.7</t>
        </is>
      </c>
      <c r="E374">
        <f>HYPERLINK("https://www.amazon.co.jp/%E3%82%AF%E3%82%A2%E3%83%83%E3%83%89%E3%83%AD%E3%83%83%E3%82%AF-QUAD-LOCK-TPU%E3%83%BB%E3%83%9D%E3%83%AA%E3%82%AB%E3%83%BC%E3%83%9C%E3%83%8D%E3%82%A4%E3%83%88%E8%A3%BD%E3%82%B1%E3%83%BC%E3%82%B9-QLC-IXPLUS/dp/B07K2GZP6K/ref=sr_1_345?__mk_ja_JP=%E3%82%AB%E3%82%BF%E3%82%AB%E3%83%8A&amp;dchild=1&amp;keywords=Galaxy&amp;qid=1598528189&amp;sr=8-345", "Go")</f>
        <v/>
      </c>
    </row>
    <row r="375">
      <c r="A375" s="1" t="n">
        <v>373</v>
      </c>
      <c r="B375" t="inlineStr">
        <is>
          <t>[ホットスタイル]hotstyle Fashion Printed TrendyMax Galaxy Pattern Backpack Cute for School Purple HT933Y49B [並行輸入品]</t>
        </is>
      </c>
      <c r="C375" t="inlineStr">
        <is>
          <t>￥9,200</t>
        </is>
      </c>
      <c r="D375" t="inlineStr">
        <is>
          <t>4.7</t>
        </is>
      </c>
      <c r="E375">
        <f>HYPERLINK("https://www.amazon.co.jp/dp/B00KZJ7IS8/ref=sr_1_346?__mk_ja_JP=%E3%82%AB%E3%82%BF%E3%82%AB%E3%83%8A&amp;dchild=1&amp;keywords=Galaxy&amp;qid=1598528189&amp;sr=8-346", "Go")</f>
        <v/>
      </c>
    </row>
    <row r="376">
      <c r="A376" s="1" t="n">
        <v>374</v>
      </c>
      <c r="B376" t="inlineStr">
        <is>
          <t>【2枚セット】Galaxy S10 ガラスフィルム ギャラクシー S10 / SCV41 SC-03 フィルム 専用 日本製素材旭硝子製 3D曲面 S10 フルカバー フィルム 全面保護 業界最高の硬度9H 耐指紋 衝撃吸収 高い光透過率 Galaxy S10 強化ガラス 液晶保護フィルム 保護フィルム-透明</t>
        </is>
      </c>
      <c r="C376" t="inlineStr">
        <is>
          <t>￥699</t>
        </is>
      </c>
      <c r="D376" t="inlineStr">
        <is>
          <t>4.7</t>
        </is>
      </c>
      <c r="E376">
        <f>HYPERLINK("https://www.amazon.co.jp/%E3%80%902%E6%9E%9A%E3%82%BB%E3%83%83%E3%83%88%E3%80%91Galaxy-%E6%97%A5%E6%9C%AC%E8%A3%BD%E7%B4%A0%E6%9D%90%E6%97%AD%E7%A1%9D%E5%AD%90%E8%A3%BD-%E6%A5%AD%E7%95%8C%E6%9C%80%E9%AB%98%E3%81%AE%E7%A1%AC%E5%BA%A69H-%E6%B6%B2%E6%99%B6%E4%BF%9D%E8%AD%B7%E3%83%95%E3%82%A3%E3%83%AB%E3%83%A0-%E4%BF%9D%E8%AD%B7%E3%83%95%E3%82%A3%E3%83%AB%E3%83%A0-%E9%80%8F%E6%98%8E/dp/B08D7DF1DB/ref=sr_1_347?__mk_ja_JP=%E3%82%AB%E3%82%BF%E3%82%AB%E3%83%8A&amp;dchild=1&amp;keywords=Galaxy&amp;qid=1598528189&amp;sr=8-347", "Go")</f>
        <v/>
      </c>
    </row>
    <row r="377">
      <c r="A377" s="1" t="n">
        <v>375</v>
      </c>
      <c r="B377" t="inlineStr">
        <is>
          <t>【二枚入り】iPhone SE2 2020 専用 背面 ガラスフィルム Warmyee フィルム 強化ガラス 液晶保護フィルム[ 旭硝子製 ] [ 落としても割れない ] [ 最高硬度9H ]</t>
        </is>
      </c>
      <c r="C377" t="inlineStr">
        <is>
          <t>￥769</t>
        </is>
      </c>
      <c r="D377" t="inlineStr">
        <is>
          <t>4.8</t>
        </is>
      </c>
      <c r="E377">
        <f>HYPERLINK("https://www.amazon.co.jp/%E3%80%90%E4%BA%8C%E6%9E%9A%E5%85%A5%E3%82%8A%E3%80%91iPhone-%E3%82%AC%E3%83%A9%E3%82%B9%E3%83%95%E3%82%A3%E3%83%AB%E3%83%A0-Warmyee-%E6%B6%B2%E6%99%B6%E4%BF%9D%E8%AD%B7%E3%83%95%E3%82%A3%E3%83%AB%E3%83%A0-%E8%90%BD%E3%81%A8%E3%81%97%E3%81%A6%E3%82%82%E5%89%B2%E3%82%8C%E3%81%AA%E3%81%84/dp/B08FX6PF2H/ref=sr_1_348?__mk_ja_JP=%E3%82%AB%E3%82%BF%E3%82%AB%E3%83%8A&amp;dchild=1&amp;keywords=Galaxy&amp;qid=1598528189&amp;sr=8-348", "Go")</f>
        <v/>
      </c>
    </row>
    <row r="378">
      <c r="A378" s="1" t="n">
        <v>376</v>
      </c>
      <c r="B378" t="inlineStr">
        <is>
          <t>Transcend SDHCカード 8GB Class10 UHS-I対応 TS8GSDU1</t>
        </is>
      </c>
      <c r="C378" t="inlineStr">
        <is>
          <t>￥1,000</t>
        </is>
      </c>
      <c r="D378" t="inlineStr">
        <is>
          <t>4.7</t>
        </is>
      </c>
      <c r="E378">
        <f>HYPERLINK("https://www.amazon.co.jp/Transcend-SDHC%E3%82%AB%E3%83%BC%E3%83%89-Class10-UHS-I%E5%AF%BE%E5%BF%9C-TS8GSDU1/dp/B00B1862ZC/ref=sr_1_349?__mk_ja_JP=%E3%82%AB%E3%82%BF%E3%82%AB%E3%83%8A&amp;dchild=1&amp;keywords=Galaxy&amp;qid=1598528189&amp;sr=8-349", "Go")</f>
        <v/>
      </c>
    </row>
    <row r="379">
      <c r="A379" s="1" t="n">
        <v>377</v>
      </c>
      <c r="B379" t="inlineStr">
        <is>
          <t>(Galaxy Silver) - PHANTEKS PH-ES518XTG_DGS01 Enthoo Evolv X Midi-Tower Tempered Glass - Black</t>
        </is>
      </c>
      <c r="C379" t="inlineStr">
        <is>
          <t>￥75,323</t>
        </is>
      </c>
      <c r="D379" t="inlineStr">
        <is>
          <t>4.7</t>
        </is>
      </c>
      <c r="E379">
        <f>HYPERLINK("https://www.amazon.co.jp/Galaxy-Silver-PHANTEKS-PH-ES518XTG_DGS01-Midi-Tower/dp/B07GY29X6J/ref=sr_1_350?__mk_ja_JP=%E3%82%AB%E3%82%BF%E3%82%AB%E3%83%8A&amp;dchild=1&amp;keywords=Galaxy&amp;qid=1598528189&amp;sr=8-350", "Go")</f>
        <v/>
      </c>
    </row>
    <row r="380">
      <c r="A380" s="1" t="n">
        <v>378</v>
      </c>
      <c r="B380" t="inlineStr">
        <is>
          <t>Bluetooth イヤホン 【最新版 第2世代 Bluetooth5.0+EDR搭載 即時接続】 CVC8.0ノイズキャンセリング IPX8級防水 イヤホン 135時間連続駆動 超大容量充電ケース付き LEDディスプレイ電量表示 片耳/両耳 左右分離型 マイク内蔵 Hi-Fi高音質 3Dステレオサウンド AAC/Siri対応 iOS/Android対応 技適認証済 イヤホン ワイヤレス</t>
        </is>
      </c>
      <c r="C380" t="inlineStr">
        <is>
          <t>￥4,580</t>
        </is>
      </c>
      <c r="D380" t="inlineStr">
        <is>
          <t>4.6</t>
        </is>
      </c>
      <c r="E380">
        <f>HYPERLINK("https://www.amazon.co.jp/Bluetooth5-0-CVC8-0%E3%83%8E%E3%82%A4%E3%82%BA%E3%82%AD%E3%83%A3%E3%83%B3%E3%82%BB%E3%83%AA%E3%83%B3%E3%82%B0-%E8%B6%85%E5%A4%A7%E5%AE%B9%E9%87%8F%E5%85%85%E9%9B%BB%E3%82%B1%E3%83%BC%E3%82%B9%E4%BB%98%E3%81%8D-LED%E3%83%87%E3%82%A3%E3%82%B9%E3%83%97%E3%83%AC%E3%82%A4%E9%9B%BB%E9%87%8F%E8%A1%A8%E7%A4%BA-3D%E3%82%B9%E3%83%86%E3%83%AC%E3%82%AA%E3%82%B5%E3%82%A6%E3%83%B3%E3%83%89/dp/B089LKGCQR/ref=sr_1_351?__mk_ja_JP=%E3%82%AB%E3%82%BF%E3%82%AB%E3%83%8A&amp;dchild=1&amp;keywords=Galaxy&amp;qid=1598528189&amp;sr=8-351", "Go")</f>
        <v/>
      </c>
    </row>
    <row r="381">
      <c r="A381" s="1" t="n">
        <v>379</v>
      </c>
      <c r="B381" t="inlineStr">
        <is>
          <t>Galaxy Note 8 ペン 交換用 スタイラスタッチ S ペン Galaxy Note 8 Note8 N950 スタイラスタッチ S ペン + チップ/ペン先 + エジェクトピン (オーキッドグレー)</t>
        </is>
      </c>
      <c r="C381" t="inlineStr">
        <is>
          <t>￥24,550</t>
        </is>
      </c>
      <c r="D381" t="inlineStr">
        <is>
          <t>4.7</t>
        </is>
      </c>
      <c r="E381">
        <f>HYPERLINK("https://www.amazon.co.jp/Galaxy-%E3%82%B9%E3%82%BF%E3%82%A4%E3%83%A9%E3%82%B9%E3%82%BF%E3%83%83%E3%83%81-Note8-%E3%82%A8%E3%82%B8%E3%82%A7%E3%82%AF%E3%83%88%E3%83%94%E3%83%B3-%E3%82%AA%E3%83%BC%E3%82%AD%E3%83%83%E3%83%89%E3%82%B0%E3%83%AC%E3%83%BC/dp/B081NMSCV5/ref=sr_1_352?__mk_ja_JP=%E3%82%AB%E3%82%BF%E3%82%AB%E3%83%8A&amp;dchild=1&amp;keywords=Galaxy&amp;qid=1598528189&amp;sr=8-352", "Go")</f>
        <v/>
      </c>
    </row>
    <row r="382">
      <c r="A382" s="1" t="n">
        <v>380</v>
      </c>
      <c r="B382" t="inlineStr">
        <is>
          <t>NnaCoCo Samsung Galaxy S10+/S10 Plusらかい肌の質感TPUシリコーン耐衝撃ケース防指紋擦り防止超薄型携帯電話ケース+1*(無料の電話ホルダー)-黒</t>
        </is>
      </c>
      <c r="C382" t="inlineStr">
        <is>
          <t>￥1,199</t>
        </is>
      </c>
      <c r="D382" t="inlineStr">
        <is>
          <t>5</t>
        </is>
      </c>
      <c r="E382">
        <f>HYPERLINK("https://www.amazon.co.jp/NnaCoCo-Samsung-Galaxy-S10-Plus%E3%82%89%E3%81%8B%E3%81%84%E8%82%8C%E3%81%AE%E8%B3%AA%E6%84%9FTPU%E3%82%B7%E3%83%AA%E3%82%B3%E3%83%BC%E3%83%B3%E8%80%90%E8%A1%9D%E6%92%83%E3%82%B1%E3%83%BC%E3%82%B9%E9%98%B2%E6%8C%87%E7%B4%8B%E6%93%A6%E3%82%8A%E9%98%B2%E6%AD%A2%E8%B6%85%E8%96%84%E5%9E%8B%E6%90%BA%E5%B8%AF%E9%9B%BB%E8%A9%B1%E3%82%B1%E3%83%BC%E3%82%B9/dp/B07ZMDR3RK/ref=sr_1_353_sspa?__mk_ja_JP=%E3%82%AB%E3%82%BF%E3%82%AB%E3%83%8A&amp;dchild=1&amp;keywords=Galaxy&amp;qid=1598528189&amp;sr=8-353-spons&amp;psc=1&amp;spLa=ZW5jcnlwdGVkUXVhbGlmaWVyPUExVEU4UVJWODdWOVkyJmVuY3J5cHRlZElkPUEwMjY1NzAwMVlHVTRUMElJQ1ZOVyZlbmNyeXB0ZWRBZElkPUFLWk45QkExUVg5QlAmd2lkZ2V0TmFtZT1zcF9tdGYmYWN0aW9uPWNsaWNrUmVkaXJlY3QmZG9Ob3RMb2dDbGljaz10cnVl", "Go")</f>
        <v/>
      </c>
    </row>
    <row r="383">
      <c r="A383" s="1" t="n">
        <v>381</v>
      </c>
      <c r="B383" t="inlineStr">
        <is>
          <t>ケイト・スペード ニューヨーク 防御ハードシェルケース iPhone 11 KSIPH-134-PDGPC</t>
        </is>
      </c>
      <c r="C383" t="inlineStr">
        <is>
          <t>￥22,386</t>
        </is>
      </c>
      <c r="D383" t="inlineStr">
        <is>
          <t>4.7</t>
        </is>
      </c>
      <c r="E383">
        <f>HYPERLINK("https://www.amazon.co.jp/%E3%82%B1%E3%82%A4%E3%83%88%E3%83%BB%E3%82%B9%E3%83%9A%E3%83%BC%E3%83%89-%E3%83%8B%E3%83%A5%E3%83%BC%E3%83%A8%E3%83%BC%E3%82%AF-%E9%98%B2%E5%BE%A1%E3%83%8F%E3%83%BC%E3%83%89%E3%82%B7%E3%82%A7%E3%83%AB%E3%82%B1%E3%83%BC%E3%82%B9-iPhone-KSIPH-134-PDGPC/dp/B07V9PR7JM/ref=sr_1_356?__mk_ja_JP=%E3%82%AB%E3%82%BF%E3%82%AB%E3%83%8A&amp;dchild=1&amp;keywords=Galaxy&amp;qid=1598528189&amp;sr=8-356", "Go")</f>
        <v/>
      </c>
    </row>
    <row r="384">
      <c r="A384" s="1" t="n">
        <v>382</v>
      </c>
      <c r="B384" t="inlineStr">
        <is>
          <t>HATOSHI Samsung Galaxy A20 電話ケース スクリーンプロテクター付き 強化ガラス [2個パック] ガールズ レディース フローティンググリッター 液体 流砂 キラキラ ダイヤモンド クリア キュート カバー Samsung A20 (ピンク/ゴールド)</t>
        </is>
      </c>
      <c r="C384" t="inlineStr">
        <is>
          <t>￥1,100</t>
        </is>
      </c>
      <c r="D384" t="inlineStr">
        <is>
          <t>4.7</t>
        </is>
      </c>
      <c r="E384">
        <f>HYPERLINK("https://www.amazon.co.jp/HATOSHI-Samsung-Galaxy-%E3%82%B9%E3%82%AF%E3%83%AA%E3%83%BC%E3%83%B3%E3%83%97%E3%83%AD%E3%83%86%E3%82%AF%E3%82%BF%E3%83%BC%E4%BB%98%E3%81%8D-%E3%83%95%E3%83%AD%E3%83%BC%E3%83%86%E3%82%A3%E3%83%B3%E3%82%B0%E3%82%B0%E3%83%AA%E3%83%83%E3%82%BF%E3%83%BC/dp/B07V9RQK8Z/ref=sr_1_357?__mk_ja_JP=%E3%82%AB%E3%82%BF%E3%82%AB%E3%83%8A&amp;dchild=1&amp;keywords=Galaxy&amp;qid=1598528189&amp;sr=8-357", "Go")</f>
        <v/>
      </c>
    </row>
    <row r="385">
      <c r="A385" s="1" t="n">
        <v>383</v>
      </c>
      <c r="B385" t="inlineStr">
        <is>
          <t>QCEs USB 3.0ケーブル USB 3.0外付けHDDケーブル WD My PassportとElementsポータブル外付けハードドライブ、東芝、Seagate 外付けハードドライブ、Samsung Galaxy S5、Note 3用 3.3 feet ブラック USB3.0CABlE</t>
        </is>
      </c>
      <c r="C385" t="inlineStr">
        <is>
          <t>￥9,155</t>
        </is>
      </c>
      <c r="D385" t="inlineStr">
        <is>
          <t>4.7</t>
        </is>
      </c>
      <c r="E385">
        <f>HYPERLINK("https://www.amazon.co.jp/3-0%E3%82%B1%E3%83%BC%E3%83%96%E3%83%AB%E3%80%81qces-3-0%E5%A4%96%E4%BB%98%E3%81%91%E3%83%8F%E3%83%BC%E3%83%89%E3%83%89%E3%83%A9%E3%82%A4%E3%83%96%E3%82%B1%E3%83%BC%E3%83%96%E3%83%ABfor-Passport%E3%81%A8%E8%A6%81%E7%B4%A0%E3%83%9D%E3%83%BC%E3%82%BF%E3%83%96%E3%83%AB%E5%A4%96%E4%BB%98%E3%81%91%E3%83%8F%E3%83%BC%E3%83%89%E3%83%89%E3%83%A9%E3%82%A4%E3%83%96Seagate%E3%80%81Toshiba%E3%80%81%E5%A4%96%E4%BB%98%E3%81%91%E3%83%8F%E3%83%BC%E3%83%89%E3%83%89%E3%83%A9%E3%82%A4%E3%83%96%E3%80%81SAMSUNG-s5%E3%80%81Note-USB3-0CABlE/dp/B071VX733T/ref=sr_1_358?__mk_ja_JP=%E3%82%AB%E3%82%BF%E3%82%AB%E3%83%8A&amp;dchild=1&amp;keywords=Galaxy&amp;qid=1598528189&amp;sr=8-358", "Go")</f>
        <v/>
      </c>
    </row>
    <row r="386">
      <c r="A386" s="1" t="n">
        <v>384</v>
      </c>
      <c r="B386" t="inlineStr">
        <is>
          <t>kwmobile 対応: Huawei P30 Lite 用 ケース - スマホ TPU 保護 ギャラクシーの夜デザイン ファーウェイ P30 ライト</t>
        </is>
      </c>
      <c r="C386" t="inlineStr">
        <is>
          <t>￥780</t>
        </is>
      </c>
      <c r="D386" t="inlineStr">
        <is>
          <t>4.7</t>
        </is>
      </c>
      <c r="E386">
        <f>HYPERLINK("https://www.amazon.co.jp/kwmobile-Huawei-P30-Lite-%E3%82%B1%E3%83%BC%E3%82%B9/dp/B07SC7L4GJ/ref=sr_1_359?__mk_ja_JP=%E3%82%AB%E3%82%BF%E3%82%AB%E3%83%8A&amp;dchild=1&amp;keywords=Galaxy&amp;qid=1598528189&amp;sr=8-359", "Go")</f>
        <v/>
      </c>
    </row>
    <row r="387">
      <c r="A387" s="1" t="n">
        <v>385</v>
      </c>
      <c r="B387" t="inlineStr">
        <is>
          <t>Sandisk 64 GBウルトラmicroSDXCカードクラス10 (sdsdqua-064g-a11 a)</t>
        </is>
      </c>
      <c r="C387" t="inlineStr">
        <is>
          <t>￥4,687</t>
        </is>
      </c>
      <c r="D387" t="inlineStr">
        <is>
          <t>4.7</t>
        </is>
      </c>
      <c r="E387">
        <f>HYPERLINK("https://www.amazon.co.jp/%E3%82%B5%E3%83%B3%E3%83%87%E3%82%A3%E3%82%B9%E3%82%AF-Samsung-Galaxy-mini-64-GB%E3%82%A6%E3%83%AB%E3%83%88%E3%83%A9microSDXC%E3%82%AB%E3%83%BC%E3%83%89%E3%82%AF%E3%83%A9%E3%82%B910/dp/9875981818/ref=sr_1_360?__mk_ja_JP=%E3%82%AB%E3%82%BF%E3%82%AB%E3%83%8A&amp;dchild=1&amp;keywords=Galaxy&amp;qid=1598528189&amp;sr=8-360", "Go")</f>
        <v/>
      </c>
    </row>
    <row r="388">
      <c r="A388" s="1" t="n">
        <v>386</v>
      </c>
      <c r="B388" t="inlineStr">
        <is>
          <t>Samsung 純正品 Galaxy Note 8 用 S Pen (S ペン) スタイラスペン EJ-PN950B 並行輸入品 (オーキッドグレー)</t>
        </is>
      </c>
      <c r="C388" t="inlineStr">
        <is>
          <t>￥3,990</t>
        </is>
      </c>
      <c r="D388" t="inlineStr">
        <is>
          <t>4.7</t>
        </is>
      </c>
      <c r="E388">
        <f>HYPERLINK("https://www.amazon.co.jp/Samsung-Galaxy-%E3%82%B9%E3%82%BF%E3%82%A4%E3%83%A9%E3%82%B9%E3%83%9A%E3%83%B3-EJ-PN950B-%E3%82%AA%E3%83%BC%E3%82%AD%E3%83%83%E3%83%89%E3%82%B0%E3%83%AC%E3%83%BC/dp/B076SZPHCF/ref=sr_1_361?__mk_ja_JP=%E3%82%AB%E3%82%BF%E3%82%AB%E3%83%8A&amp;dchild=1&amp;keywords=Galaxy&amp;qid=1598528189&amp;sr=8-361", "Go")</f>
        <v/>
      </c>
    </row>
    <row r="389">
      <c r="A389" s="1" t="n">
        <v>387</v>
      </c>
      <c r="B389" t="inlineStr">
        <is>
          <t>ProCase Galaxy Tab A 8.0 ケース スリム 軽量 ビンテージ フォリオカバー 適用機種：Galaxy Tab A 8.0" 2019発売 SM-T290 (Wi-Fi); SM-T295 (LTE)– ブラック</t>
        </is>
      </c>
      <c r="C389" t="inlineStr">
        <is>
          <t>￥1,499</t>
        </is>
      </c>
      <c r="D389" t="inlineStr">
        <is>
          <t>4.7</t>
        </is>
      </c>
      <c r="E389">
        <f>HYPERLINK("https://www.amazon.co.jp/ProCase-%E3%83%95%E3%82%A9%E3%83%AA%E3%82%AA%E3%82%AB%E3%83%90%E3%83%BC-%E9%81%A9%E7%94%A8%E6%A9%9F%E7%A8%AE%EF%BC%9AGalaxy-SM-T290-SM-T295/dp/B07XXYJF5Q/ref=sr_1_362?__mk_ja_JP=%E3%82%AB%E3%82%BF%E3%82%AB%E3%83%8A&amp;dchild=1&amp;keywords=Galaxy&amp;qid=1598528189&amp;sr=8-362", "Go")</f>
        <v/>
      </c>
    </row>
    <row r="390">
      <c r="A390" s="1" t="n">
        <v>388</v>
      </c>
      <c r="B390" t="inlineStr">
        <is>
          <t>[2パック] KIQ Galaxy Tab E 9.6 SM-T560 強化ガラススクリーンプロテクター 9H 頑丈 0.30mm 気泡フリー 傷防止 自己粘着 簡単取り付け Samsung Galaxy Tab E 9.6 T560用</t>
        </is>
      </c>
      <c r="C390" t="inlineStr">
        <is>
          <t>￥8,976</t>
        </is>
      </c>
      <c r="D390" t="inlineStr">
        <is>
          <t>4.7</t>
        </is>
      </c>
      <c r="E390">
        <f>HYPERLINK("https://www.amazon.co.jp/KIQ-Galaxy-SM-T560-%E5%BC%B7%E5%8C%96%E3%82%AC%E3%83%A9%E3%82%B9%E3%82%B9%E3%82%AF%E3%83%AA%E3%83%BC%E3%83%B3%E3%83%97%E3%83%AD%E3%83%86%E3%82%AF%E3%82%BF%E3%83%BC-Samsung/dp/B074JQD9S3/ref=sr_1_363?__mk_ja_JP=%E3%82%AB%E3%82%BF%E3%82%AB%E3%83%8A&amp;dchild=1&amp;keywords=Galaxy&amp;qid=1598528189&amp;sr=8-363", "Go")</f>
        <v/>
      </c>
    </row>
    <row r="391">
      <c r="A391" s="1" t="n">
        <v>389</v>
      </c>
      <c r="B391" t="inlineStr">
        <is>
          <t>Case Logic iPad 10インチ タブレットアタッチ ポケット付き (TNEO-110)</t>
        </is>
      </c>
      <c r="C391" t="inlineStr">
        <is>
          <t>￥3,383</t>
        </is>
      </c>
      <c r="D391" t="inlineStr">
        <is>
          <t>4.7</t>
        </is>
      </c>
      <c r="E391">
        <f>HYPERLINK("https://www.amazon.co.jp/Case-Logic-iPad-10%E3%82%A4%E3%83%B3%E3%83%81%E3%82%BF%E3%83%96%E3%83%AC%E3%83%83%E3%83%88%E3%82%A2%E3%82%BF%E3%83%83%E3%82%B7%E3%83%A5%E3%82%B1%E3%83%BC%E3%82%B9with%E3%83%9D%E3%82%B1%E3%83%83%E3%83%88-TNEO-110/dp/B00C8ZGK54/ref=sr_1_364?__mk_ja_JP=%E3%82%AB%E3%82%BF%E3%82%AB%E3%83%8A&amp;dchild=1&amp;keywords=Galaxy&amp;qid=1598528189&amp;sr=8-364", "Go")</f>
        <v/>
      </c>
    </row>
    <row r="392">
      <c r="A392" s="1" t="n">
        <v>390</v>
      </c>
      <c r="B392" t="inlineStr">
        <is>
          <t>自転車 スマホ ホルダー WIVIC バイク オートバイ ロードバイク ４-7インチ iphone 11 Pro Max SE X XS 8 7 6S /android/Samsung Galaxy/Sharp 多機種対応 360度回転可能 角度調整 GPSナビ 携帯 スタンド 固定用 脱落防止 振れ止め 強力な保護 防水 取り付け簡単 最新版 (黒-A)</t>
        </is>
      </c>
      <c r="C392" t="inlineStr">
        <is>
          <t>￥1,499</t>
        </is>
      </c>
      <c r="D392" t="inlineStr">
        <is>
          <t>4.8</t>
        </is>
      </c>
      <c r="E392">
        <f>HYPERLINK("https://www.amazon.co.jp/WIVIC-%E3%83%AD%E3%83%BC%E3%83%89%E3%83%90%E3%82%A4%E3%82%AF-android-Samsung-360%E5%BA%A6%E5%9B%9E%E8%BB%A2%E5%8F%AF%E8%83%BD/dp/B08BN4MJ2W/ref=sr_1_365?__mk_ja_JP=%E3%82%AB%E3%82%BF%E3%82%AB%E3%83%8A&amp;dchild=1&amp;keywords=Galaxy&amp;qid=1598528189&amp;sr=8-365", "Go")</f>
        <v/>
      </c>
    </row>
    <row r="393">
      <c r="A393" s="1" t="n">
        <v>391</v>
      </c>
      <c r="B393" t="inlineStr">
        <is>
          <t>Complete Pro Stunt Kick Scooter with Freestyle BMX Handlebars, 110mm Wheels &amp; ABEC-7 - (Anodized Neo Chrome Purple/Blue or Matte Black)</t>
        </is>
      </c>
      <c r="C393" t="inlineStr">
        <is>
          <t>￥5,899 - ￥9,708</t>
        </is>
      </c>
      <c r="D393" t="inlineStr">
        <is>
          <t>4.7</t>
        </is>
      </c>
      <c r="E393">
        <f>HYPERLINK("https://www.amazon.co.jp/Complete-Scooter-Freestyle-Handlebars-Wheels/dp/B079G77BCN/ref=sr_1_366?__mk_ja_JP=%E3%82%AB%E3%82%BF%E3%82%AB%E3%83%8A&amp;dchild=1&amp;keywords=Galaxy&amp;qid=1598528189&amp;sr=8-366", "Go")</f>
        <v/>
      </c>
    </row>
    <row r="394">
      <c r="A394" s="1" t="n">
        <v>392</v>
      </c>
      <c r="B394" t="inlineStr">
        <is>
          <t>Poetic TurtleSkin Samsung Galaxy Tab S5E用 (2019) ブラック Turtleskin-Galaxy-Tab-S5E-Black</t>
        </is>
      </c>
      <c r="C394" t="inlineStr">
        <is>
          <t>￥4,318</t>
        </is>
      </c>
      <c r="D394" t="inlineStr">
        <is>
          <t>4.7</t>
        </is>
      </c>
      <c r="E394">
        <f>HYPERLINK("https://www.amazon.co.jp/Poetic-TurtleSkin-Samsung-Galaxy-Turtleskin-Galaxy-Tab-S5E-Black/dp/B07S2FNQYM/ref=sr_1_367?__mk_ja_JP=%E3%82%AB%E3%82%BF%E3%82%AB%E3%83%8A&amp;dchild=1&amp;keywords=Galaxy&amp;qid=1598528189&amp;sr=8-367", "Go")</f>
        <v/>
      </c>
    </row>
    <row r="395">
      <c r="A395" s="1" t="n">
        <v>393</v>
      </c>
      <c r="B395" t="inlineStr">
        <is>
          <t>Nillkin Samgsung Galaxy S20 Ultra 5G ケース 革新保護ケース ギャラクシーS20 Ultra カバー 【TPU＋PC】耐衝 スライド式 カメラレンズ保護</t>
        </is>
      </c>
      <c r="C395" t="inlineStr">
        <is>
          <t>￥1,499</t>
        </is>
      </c>
      <c r="D395" t="inlineStr">
        <is>
          <t>4</t>
        </is>
      </c>
      <c r="E395">
        <f>HYPERLINK("https://www.amazon.co.jp/Nillkin-Samgsung-%E3%82%AE%E3%83%A3%E3%83%A9%E3%82%AF%E3%82%B7%E3%83%BCS20-%E3%80%90TPU%EF%BC%8BPC%E3%80%91%E8%80%90%E8%A1%9D-%E3%82%AB%E3%83%A1%E3%83%A9%E3%83%AC%E3%83%B3%E3%82%BA%E4%BF%9D%E8%AD%B7/dp/B08B61WGH9/ref=sr_1_368_sspa?__mk_ja_JP=%E3%82%AB%E3%82%BF%E3%82%AB%E3%83%8A&amp;dchild=1&amp;keywords=Galaxy&amp;qid=1598528189&amp;sr=8-368-spons&amp;psc=1&amp;spLa=ZW5jcnlwdGVkUXVhbGlmaWVyPUExVEU4UVJWODdWOVkyJmVuY3J5cHRlZElkPUEwMjY1NzAwMVlHVTRUMElJQ1ZOVyZlbmNyeXB0ZWRBZElkPUEzRUxQRllVNDlZWjRMJndpZGdldE5hbWU9c3BfbXRmJmFjdGlvbj1jbGlja1JlZGlyZWN0JmRvTm90TG9nQ2xpY2s9dHJ1ZQ==", "Go")</f>
        <v/>
      </c>
    </row>
    <row r="396">
      <c r="A396" s="1" t="n">
        <v>394</v>
      </c>
      <c r="B396" t="inlineStr">
        <is>
          <t>UMIDIGI S5 Proスマートフォン シムフリー スマホ本体 Android 10.0 ポップアップ セルフィカメラ 内蔵指紋センサー 6.39インチFHD＋フルスクリーン Helio G90Tゲームプロセッサ グローバルLTEバンド対応6GBRAM+256 GB ROM AU使えます（一年保証）コスミックブラック</t>
        </is>
      </c>
      <c r="C396" t="inlineStr">
        <is>
          <t>￥29,969</t>
        </is>
      </c>
      <c r="D396" t="inlineStr">
        <is>
          <t>4.7</t>
        </is>
      </c>
      <c r="E396">
        <f>HYPERLINK("https://www.amazon.co.jp/UMIDIGI-6-39%E3%82%A4%E3%83%B3%E3%83%81FHD%EF%BC%8B%E3%83%95%E3%83%AB%E3%82%B9%E3%82%AF%E3%83%AA%E3%83%BC%E3%83%B3-G90T%E3%82%B2%E3%83%BC%E3%83%A0%E3%83%97%E3%83%AD%E3%82%BB%E3%83%83%E3%82%B5-%E3%82%B0%E3%83%AD%E3%83%BC%E3%83%90%E3%83%ABLTE%E3%83%90%E3%83%B3%E3%83%89%E5%AF%BE%E5%BF%9C6GBRAM-AU%E4%BD%BF%E3%81%88%E3%81%BE%E3%81%99%EF%BC%88%E4%B8%80%E5%B9%B4%E4%BF%9D%E8%A8%BC%EF%BC%89%E3%82%B3%E3%82%B9%E3%83%9F%E3%83%83%E3%82%AF%E3%83%96%E3%83%A9%E3%83%83%E3%82%AF/dp/B089K5QTHN/ref=sr_1_371?__mk_ja_JP=%E3%82%AB%E3%82%BF%E3%82%AB%E3%83%8A&amp;dchild=1&amp;keywords=Galaxy&amp;qid=1598528189&amp;sr=8-371", "Go")</f>
        <v/>
      </c>
    </row>
    <row r="397">
      <c r="A397" s="1" t="n">
        <v>395</v>
      </c>
      <c r="B397" t="inlineStr">
        <is>
          <t>LakiBeibi iPhone 11用携帯電話ケース デュアルレイヤー 軽量プレミアムレザー iPhone 11 ウォレットケース カードスロット付き マグネットロック 二つ折りフリップ保護ケース Apple iPhone 11 6.1インチ (2019) 用</t>
        </is>
      </c>
      <c r="C397" t="inlineStr">
        <is>
          <t>￥14,060</t>
        </is>
      </c>
      <c r="D397" t="inlineStr">
        <is>
          <t>4.7</t>
        </is>
      </c>
      <c r="E397">
        <f>HYPERLINK("https://www.amazon.co.jp/LakiBeibi-11%E7%94%A8%E6%90%BA%E5%B8%AF%E9%9B%BB%E8%A9%B1%E3%82%B1%E3%83%BC%E3%82%B9-%E8%BB%BD%E9%87%8F%E3%83%97%E3%83%AC%E3%83%9F%E3%82%A2%E3%83%A0%E3%83%AC%E3%82%B6%E3%83%BC-%E3%82%AB%E3%83%BC%E3%83%89%E3%82%B9%E3%83%AD%E3%83%83%E3%83%88%E4%BB%98%E3%81%8D-%E4%BA%8C%E3%81%A4%E6%8A%98%E3%82%8A%E3%83%95%E3%83%AA%E3%83%83%E3%83%97%E4%BF%9D%E8%AD%B7%E3%82%B1%E3%83%BC%E3%82%B9/dp/B07XQS4HDW/ref=sr_1_372?__mk_ja_JP=%E3%82%AB%E3%82%BF%E3%82%AB%E3%83%8A&amp;dchild=1&amp;keywords=Galaxy&amp;qid=1598528189&amp;sr=8-372", "Go")</f>
        <v/>
      </c>
    </row>
    <row r="398">
      <c r="A398" s="1" t="n">
        <v>396</v>
      </c>
      <c r="B398" t="inlineStr">
        <is>
          <t>JPARR 新開発 LEDリングライト 三脚一脚兼用 自撮り棒 6インチ 5段階伸縮 92cmまで伸びる 照明キット 3色9段階調光可能 iPhone/Androidに対応 乾電池タイプ USB充電可 360度回転可能 遠隔操作 高輝度 照明 Youtube TikTok インスタグラム ビデオ 自撮り 物撮り 美容化粧 撮影 生写真 軽量 メーカー1年保証</t>
        </is>
      </c>
      <c r="C398" t="inlineStr">
        <is>
          <t>￥2,699</t>
        </is>
      </c>
      <c r="D398" t="inlineStr">
        <is>
          <t>4.8</t>
        </is>
      </c>
      <c r="E398">
        <f>HYPERLINK("https://www.amazon.co.jp/JPARR-LED%E3%83%AA%E3%83%B3%E3%82%B0%E3%83%A9%E3%82%A4%E3%83%88-92cm%E3%81%BE%E3%81%A7%E4%BC%B8%E3%81%B3%E3%82%8B-3%E8%89%B29%E6%AE%B5%E9%9A%8E%E8%AA%BF%E5%85%89%E5%8F%AF%E8%83%BD-Android%E3%81%AB%E5%AF%BE%E5%BF%9C/dp/B089YKD6K4/ref=sr_1_373?__mk_ja_JP=%E3%82%AB%E3%82%BF%E3%82%AB%E3%83%8A&amp;dchild=1&amp;keywords=Galaxy&amp;qid=1598528189&amp;sr=8-373", "Go")</f>
        <v/>
      </c>
    </row>
    <row r="399">
      <c r="A399" s="1" t="n">
        <v>397</v>
      </c>
      <c r="B399" t="inlineStr">
        <is>
          <t>GEAK Samsung Galaxy Watch Active 2用バンド 40mm/44mm 20mm シリコン スポーツリストバンド Galaxy Watch 42mm/Gear S2 Classic/Gear Sport Smart Watch レディース メンズ S L</t>
        </is>
      </c>
      <c r="C399" t="inlineStr">
        <is>
          <t>￥14,177</t>
        </is>
      </c>
      <c r="D399" t="inlineStr">
        <is>
          <t>4.6</t>
        </is>
      </c>
      <c r="E399">
        <f>HYPERLINK("https://www.amazon.co.jp/GEAK-Samsung-Galaxy-%E3%82%B9%E3%83%9D%E3%83%BC%E3%83%84%E3%83%AA%E3%82%B9%E3%83%88%E3%83%90%E3%83%B3%E3%83%89-Classic/dp/B085NHYV1W/ref=sr_1_374?__mk_ja_JP=%E3%82%AB%E3%82%BF%E3%82%AB%E3%83%8A&amp;dchild=1&amp;keywords=Galaxy&amp;qid=1598528189&amp;sr=8-374", "Go")</f>
        <v/>
      </c>
    </row>
    <row r="400">
      <c r="A400" s="1" t="n">
        <v>398</v>
      </c>
      <c r="B400" t="inlineStr">
        <is>
          <t>Samsung Galaxy S20 用 ガラスフィルム 3D曲面加工 強化ガラス 保護フィルム【2枚セット】業界最高硬度9H スクラッチ防止 飛散防止 指紋認証対応可能 全面保護 透過率99.9% 指紋防止 気泡ゼロ 自動吸着 Galaxy S20 用 フィルム 優れたタッチ感度</t>
        </is>
      </c>
      <c r="C400" t="inlineStr">
        <is>
          <t>￥1,099</t>
        </is>
      </c>
      <c r="D400" t="inlineStr">
        <is>
          <t>4.6</t>
        </is>
      </c>
      <c r="E400">
        <f>HYPERLINK("https://www.amazon.co.jp/Samsung-%E4%BF%9D%E8%AD%B7%E3%83%95%E3%82%A3%E3%83%AB%E3%83%A0%E3%80%902%E6%9E%9A%E3%82%BB%E3%83%83%E3%83%88%E3%80%91%E6%A5%AD%E7%95%8C%E6%9C%80%E9%AB%98%E7%A1%AC%E5%BA%A69H-%E6%8C%87%E7%B4%8B%E8%AA%8D%E8%A8%BC%E5%AF%BE%E5%BF%9C%E5%8F%AF%E8%83%BD-%E9%80%8F%E9%81%8E%E7%8E%8799-9-%E5%84%AA%E3%82%8C%E3%81%9F%E3%82%BF%E3%83%83%E3%83%81%E6%84%9F%E5%BA%A6/dp/B08CKRL2BK/ref=sr_1_375?__mk_ja_JP=%E3%82%AB%E3%82%BF%E3%82%AB%E3%83%8A&amp;dchild=1&amp;keywords=Galaxy&amp;qid=1598528189&amp;sr=8-375", "Go")</f>
        <v/>
      </c>
    </row>
    <row r="401">
      <c r="A401" s="1" t="n">
        <v>399</v>
      </c>
      <c r="B401" t="inlineStr">
        <is>
          <t>JIAXIUFEN iPhone 11ケース シャイニーマーブル スリム 耐衝撃 フレキシブル バンパー TPU ソフトケース ゴムシリコンカバー iPhone 11 2019 6.1インチ jxf-ip11-61-dls-jinfen lanzi</t>
        </is>
      </c>
      <c r="C401" t="inlineStr">
        <is>
          <t>￥7,966</t>
        </is>
      </c>
      <c r="D401" t="inlineStr">
        <is>
          <t>4.7</t>
        </is>
      </c>
      <c r="E401">
        <f>HYPERLINK("https://www.amazon.co.jp/JIAXIUFEN-iPhone-%E3%82%B7%E3%83%A3%E3%82%A4%E3%83%8B%E3%83%BC%E3%83%9E%E3%83%BC%E3%83%96%E3%83%AB-%E3%82%B4%E3%83%A0%E3%82%B7%E3%83%AA%E3%82%B3%E3%83%B3%E3%82%AB%E3%83%90%E3%83%BC-jxf-ip11-61-dls-jinfen/dp/B0814KM8CK/ref=sr_1_376?__mk_ja_JP=%E3%82%AB%E3%82%BF%E3%82%AB%E3%83%8A&amp;dchild=1&amp;keywords=Galaxy&amp;qid=1598528189&amp;sr=8-376", "Go")</f>
        <v/>
      </c>
    </row>
    <row r="402">
      <c r="A402" s="1" t="n">
        <v>400</v>
      </c>
      <c r="B402" t="inlineStr">
        <is>
          <t>車載電話マウント エアベント携帯電話ホルダー iPhone 11 Pro Max XR Xs Max Xs X 8 7 6 Plus Samsung Galaxy 10 S10+ S9 S8 LG Google Nexus Nokia ソニーなどに対応 (ブラック)</t>
        </is>
      </c>
      <c r="C402" t="inlineStr">
        <is>
          <t>￥2,399</t>
        </is>
      </c>
      <c r="D402" t="inlineStr">
        <is>
          <t>4.7</t>
        </is>
      </c>
      <c r="E402">
        <f>HYPERLINK("https://www.amazon.co.jp/%E8%BB%8A%E8%BC%89%E9%9B%BB%E8%A9%B1%E3%83%9E%E3%82%A6%E3%83%B3%E3%83%88-%E3%82%A8%E3%82%A2%E3%83%99%E3%83%B3%E3%83%88%E6%90%BA%E5%B8%AF%E9%9B%BB%E8%A9%B1%E3%83%9B%E3%83%AB%E3%83%80%E3%83%BC-iPhone-Samsung-Sony%E3%81%AA%E3%81%A9%E3%81%AB%E5%AF%BE%E5%BF%9C/dp/B083Z8MYFC/ref=sr_1_377?__mk_ja_JP=%E3%82%AB%E3%82%BF%E3%82%AB%E3%83%8A&amp;dchild=1&amp;keywords=Galaxy&amp;qid=1598528189&amp;sr=8-377", "Go")</f>
        <v/>
      </c>
    </row>
    <row r="403">
      <c r="A403" s="1" t="n">
        <v>401</v>
      </c>
      <c r="B403" t="inlineStr">
        <is>
          <t>Lowepro コンパクトカメラ用ケース タホCS 10 ギャラクシーブルー 370588</t>
        </is>
      </c>
      <c r="C403" t="inlineStr">
        <is>
          <t>￥3,322</t>
        </is>
      </c>
      <c r="D403" t="inlineStr">
        <is>
          <t>4.7</t>
        </is>
      </c>
      <c r="E403">
        <f>HYPERLINK("https://www.amazon.co.jp/Lowepro-%E3%82%B3%E3%83%B3%E3%83%91%E3%82%AF%E3%83%88%E3%82%AB%E3%83%A1%E3%83%A9%E7%94%A8%E3%82%B1%E3%83%BC%E3%82%B9-%E3%82%BF%E3%83%9BCS-%E3%82%AE%E3%83%A3%E3%83%A9%E3%82%AF%E3%82%B7%E3%83%BC%E3%83%96%E3%83%AB%E3%83%BC-370588/dp/B01N5CKTEJ/ref=sr_1_378?__mk_ja_JP=%E3%82%AB%E3%82%BF%E3%82%AB%E3%83%8A&amp;dchild=1&amp;keywords=Galaxy&amp;qid=1598528189&amp;sr=8-378", "Go")</f>
        <v/>
      </c>
    </row>
    <row r="404">
      <c r="A404" s="1" t="n">
        <v>402</v>
      </c>
      <c r="B404" t="inlineStr">
        <is>
          <t>YOSH USB Type C to USB 3.1 Gen1 変換アダプタ 2個セット 永久保証 高速データ転送 5Gbps 480M/s OTG対応 MacBook iMac Pro Pixelbook Dell XPS 15 13 Surface Book 2 Surface Go Galaxy Pixel LG HTC 小型 軽量 変換コネクタ グレー</t>
        </is>
      </c>
      <c r="C404" t="inlineStr">
        <is>
          <t>￥999</t>
        </is>
      </c>
      <c r="D404" t="inlineStr">
        <is>
          <t>4.8</t>
        </is>
      </c>
      <c r="E404">
        <f>HYPERLINK("https://www.amazon.co.jp/YOSH-%E9%AB%98%E9%80%9F%E3%83%87%E3%83%BC%E3%82%BF%E8%BB%A2%E9%80%81-MacBook-Pixelbook-Surface/dp/B07XF9TQGZ/ref=sr_1_379?__mk_ja_JP=%E3%82%AB%E3%82%BF%E3%82%AB%E3%83%8A&amp;dchild=1&amp;keywords=Galaxy&amp;qid=1598528189&amp;sr=8-379", "Go")</f>
        <v/>
      </c>
    </row>
    <row r="405">
      <c r="A405" s="1" t="n">
        <v>403</v>
      </c>
      <c r="B405" t="inlineStr">
        <is>
          <t>Thankscase サムスン Galaxy Tab S4 10.5インチ 2018年発売 360度回転スタンドケース Sペンホルダー付き ハンドストラップ 財布ポケット スマートカバー For Samsung Galaxy Tab S4 10.5 LA8021TABS4105-RG</t>
        </is>
      </c>
      <c r="C405" t="inlineStr">
        <is>
          <t>￥8,712</t>
        </is>
      </c>
      <c r="D405" t="inlineStr">
        <is>
          <t>4.8</t>
        </is>
      </c>
      <c r="E405">
        <f>HYPERLINK("https://www.amazon.co.jp/Thankscase-360%E5%BA%A6%E5%9B%9E%E8%BB%A2%E3%82%B9%E3%82%BF%E3%83%B3%E3%83%89%E3%82%B1%E3%83%BC%E3%82%B9-S%E3%83%9A%E3%83%B3%E3%83%9B%E3%83%AB%E3%83%80%E3%83%BC%E4%BB%98%E3%81%8D-%E3%83%8F%E3%83%B3%E3%83%89%E3%82%B9%E3%83%88%E3%83%A9%E3%83%83%E3%83%97-LA8021TABS4105-RG/dp/B07KG5G3GD/ref=sr_1_380?__mk_ja_JP=%E3%82%AB%E3%82%BF%E3%82%AB%E3%83%8A&amp;dchild=1&amp;keywords=Galaxy&amp;qid=1598528189&amp;sr=8-380", "Go")</f>
        <v/>
      </c>
    </row>
    <row r="406">
      <c r="A406" s="1" t="n">
        <v>404</v>
      </c>
      <c r="B406" t="inlineStr">
        <is>
          <t>サムスン オリジナルEJ-PT830B Tab S4 交換用ペン スタイラス (ブラック)</t>
        </is>
      </c>
      <c r="C406" t="inlineStr">
        <is>
          <t>￥9,780</t>
        </is>
      </c>
      <c r="D406" t="inlineStr">
        <is>
          <t>4.7</t>
        </is>
      </c>
      <c r="E406">
        <f>HYPERLINK("https://www.amazon.co.jp/%E3%82%AA%E3%83%AA%E3%82%B8%E3%83%8A%E3%83%AB-EJ-PT830B-Oficial-%E4%BA%A4%E6%8F%9B%E7%94%A8%E3%83%9A%E3%83%B3-%E3%82%B9%E3%82%BF%E3%82%A4%E3%83%A9%E3%82%B9/dp/B07G3T4X4Z/ref=sr_1_381?__mk_ja_JP=%E3%82%AB%E3%82%BF%E3%82%AB%E3%83%8A&amp;dchild=1&amp;keywords=Galaxy&amp;qid=1598528189&amp;sr=8-381", "Go")</f>
        <v/>
      </c>
    </row>
    <row r="407">
      <c r="A407" s="1" t="n">
        <v>405</v>
      </c>
      <c r="B407" t="inlineStr">
        <is>
          <t>Fintie 耐衝撃ケース サムスン Galaxy Tab A 10.5 2018モデルSM-T590/T595/T597用 [Tuataraマジックリング] [360度回転] 多機能グリップスタンドキャリーカバー 内蔵スクリーンプロテクター付き ESAP119US</t>
        </is>
      </c>
      <c r="C407" t="inlineStr">
        <is>
          <t>￥19,972</t>
        </is>
      </c>
      <c r="D407" t="inlineStr">
        <is>
          <t>4.7</t>
        </is>
      </c>
      <c r="E407">
        <f>HYPERLINK("https://www.amazon.co.jp/Fintie-2018%E3%83%A2%E3%83%87%E3%83%ABSM-T590-Tuatara%E3%83%9E%E3%82%B8%E3%83%83%E3%82%AF%E3%83%AA%E3%83%B3%E3%82%B0-%E5%A4%9A%E6%A9%9F%E8%83%BD%E3%82%B0%E3%83%AA%E3%83%83%E3%83%97%E3%82%B9%E3%82%BF%E3%83%B3%E3%83%89%E3%82%AD%E3%83%A3%E3%83%AA%E3%83%BC%E3%82%AB%E3%83%90%E3%83%BC-%E5%86%85%E8%94%B5%E3%82%B9%E3%82%AF%E3%83%AA%E3%83%BC%E3%83%B3%E3%83%97%E3%83%AD%E3%83%86%E3%82%AF%E3%82%BF%E3%83%BC%E4%BB%98%E3%81%8D/dp/B07NVH4HRG/ref=sr_1_382?__mk_ja_JP=%E3%82%AB%E3%82%BF%E3%82%AB%E3%83%8A&amp;dchild=1&amp;keywords=Galaxy&amp;qid=1598528189&amp;sr=8-382", "Go")</f>
        <v/>
      </c>
    </row>
    <row r="408">
      <c r="A408" s="1" t="n">
        <v>406</v>
      </c>
      <c r="B408" t="inlineStr">
        <is>
          <t>モバイルバッテリー ソーラー 大容量【15W急速充電＆18個LEDライト付＆ソーラー充電＆Type-C入出力ポート】Soxono 26800mAh ソーラーチャージャー モバイルバッテリー 3台同時充電 IPX6防水 耐衝撃 残量表示 緊急停電対策 アウトドア/旅行/地震/台風/災害/緊急用 iPhone＆Android各種対応(ブラック)</t>
        </is>
      </c>
      <c r="C408" t="inlineStr">
        <is>
          <t>￥3,799</t>
        </is>
      </c>
      <c r="D408" t="inlineStr">
        <is>
          <t>4.7</t>
        </is>
      </c>
      <c r="E408">
        <f>HYPERLINK("https://www.amazon.co.jp/%E3%83%A2%E3%83%90%E3%82%A4%E3%83%AB%E3%83%90%E3%83%83%E3%83%86%E3%83%AA%E3%83%BC-%E5%A4%A7%E5%AE%B9%E9%87%8F%E3%80%9015W%E6%80%A5%E9%80%9F%E5%85%85%E9%9B%BB%EF%BC%8618%E5%80%8BLED%E3%83%A9%E3%82%A4%E3%83%88%E4%BB%98%EF%BC%86%E3%82%BD%E3%83%BC%E3%83%A9%E3%83%BC%E5%85%85%E9%9B%BB%EF%BC%86Type-C%E5%85%A5%E5%87%BA%E5%8A%9B%E3%83%9D%E3%83%BC%E3%83%88%E3%80%91Soxono-26800mAh-%E3%82%BD%E3%83%BC%E3%83%A9%E3%83%BC%E3%83%81%E3%83%A3%E3%83%BC%E3%82%B8%E3%83%A3%E3%83%BC-iPhone%EF%BC%86Android%E5%90%84%E7%A8%AE%E5%AF%BE%E5%BF%9C/dp/B0897CPVCB/ref=sr_1_383?__mk_ja_JP=%E3%82%AB%E3%82%BF%E3%82%AB%E3%83%8A&amp;dchild=1&amp;keywords=Galaxy&amp;qid=1598528189&amp;sr=8-383", "Go")</f>
        <v/>
      </c>
    </row>
    <row r="409">
      <c r="A409" s="1" t="n">
        <v>407</v>
      </c>
      <c r="B409" t="inlineStr">
        <is>
          <t>(ザ・フレンドリー・スウェード) The Friendly Swede ハイブリッドスタイラスペン3点セット 交換可能なマイクロニットチップ ストラップ・クロス・交換用チップ付き st-Lomma-mblablagry-3p-30-US</t>
        </is>
      </c>
      <c r="C409" t="inlineStr">
        <is>
          <t>￥3,738</t>
        </is>
      </c>
      <c r="D409" t="inlineStr">
        <is>
          <t>4.7</t>
        </is>
      </c>
      <c r="E409">
        <f>HYPERLINK("https://www.amazon.co.jp/Friendly-Swede-%E3%83%8F%E3%82%A4%E3%83%96%E3%83%AA%E3%83%83%E3%83%89%E3%82%B9%E3%82%BF%E3%82%A4%E3%83%A9%E3%82%B9%E3%83%9A%E3%83%B33%E7%82%B9%E3%82%BB%E3%83%83%E3%83%88-%E3%82%B9%E3%83%88%E3%83%A9%E3%83%83%E3%83%97%E3%83%BB%E3%82%AF%E3%83%AD%E3%82%B9%E3%83%BB%E4%BA%A4%E6%8F%9B%E7%94%A8%E3%83%81%E3%83%83%E3%83%97%E4%BB%98%E3%81%8D-st-Lomma-mblablagry-3p-30-US/dp/B074M96TMX/ref=sr_1_384?__mk_ja_JP=%E3%82%AB%E3%82%BF%E3%82%AB%E3%83%8A&amp;dchild=1&amp;keywords=Galaxy&amp;qid=1598528189&amp;sr=8-384", "Go")</f>
        <v/>
      </c>
    </row>
    <row r="410">
      <c r="A410" s="1" t="n">
        <v>408</v>
      </c>
      <c r="B410" t="inlineStr">
        <is>
          <t>MoKo ケース Samsung Galaxy Tab A 10.1 2019用 [高耐久] 耐衝撃 フルボディ 頑丈 360度回転 ショルダーストラップスタンドカバー Galaxy Tab A 10.1インチ SM-T510/T515 2019タブレット用 - ブラック</t>
        </is>
      </c>
      <c r="C410" t="inlineStr">
        <is>
          <t>現在在庫切れです。</t>
        </is>
      </c>
      <c r="D410" t="inlineStr">
        <is>
          <t>4.7</t>
        </is>
      </c>
      <c r="E410">
        <f>HYPERLINK("https://www.amazon.co.jp/Samsung-%E3%82%B7%E3%83%A7%E3%83%AB%E3%83%80%E3%83%BC%E3%82%B9%E3%83%88%E3%83%A9%E3%83%83%E3%83%97%E3%82%B9%E3%82%BF%E3%83%B3%E3%83%89%E3%82%AB%E3%83%90%E3%83%BC-10-1%E3%82%A4%E3%83%B3%E3%83%81-SM-T510-2019%E3%82%BF%E3%83%96%E3%83%AC%E3%83%83%E3%83%88%E7%94%A8/dp/B07SFLF1QL/ref=sr_1_385?__mk_ja_JP=%E3%82%AB%E3%82%BF%E3%82%AB%E3%83%8A&amp;dchild=1&amp;keywords=Galaxy&amp;qid=1598528189&amp;sr=8-385", "Go")</f>
        <v/>
      </c>
    </row>
    <row r="411">
      <c r="A411" s="1" t="n">
        <v>409</v>
      </c>
      <c r="B411" t="inlineStr">
        <is>
          <t>KAERSI 携帯電話スタンド B1</t>
        </is>
      </c>
      <c r="C411" t="inlineStr">
        <is>
          <t>￥8,383</t>
        </is>
      </c>
      <c r="D411" t="inlineStr">
        <is>
          <t>4.7</t>
        </is>
      </c>
      <c r="E411">
        <f>HYPERLINK("https://www.amazon.co.jp/KAERSI-%E6%90%BA%E5%B8%AF%E9%9B%BB%E8%A9%B1%E3%82%B9%E3%82%BF%E3%83%B3%E3%83%89-B1/dp/B087LVS3G6/ref=sr_1_386?__mk_ja_JP=%E3%82%AB%E3%82%BF%E3%82%AB%E3%83%8A&amp;dchild=1&amp;keywords=Galaxy&amp;qid=1598528189&amp;sr=8-386", "Go")</f>
        <v/>
      </c>
    </row>
    <row r="412">
      <c r="A412" s="1" t="n">
        <v>410</v>
      </c>
      <c r="B412" t="inlineStr">
        <is>
          <t>Galaxy S20 Plus ケース - Samsung galaxy S20+ 耐衝撃ケース (2020年発売) Poetic カーボン シールドシ リーズは、2020 年 スマホギャラクシーs20プラス用にデザインされました。カーボンファイバー マットブラックのスリムフィット、衝撃吸収プレミアム、 柔軟性に優れたソフト TPU ケース</t>
        </is>
      </c>
      <c r="C412" t="inlineStr">
        <is>
          <t>￥650</t>
        </is>
      </c>
      <c r="D412" t="inlineStr">
        <is>
          <t>4.7</t>
        </is>
      </c>
      <c r="E412">
        <f>HYPERLINK("https://www.amazon.co.jp/Galaxy-S20-Plus-%E3%82%B9%E3%83%9E%E3%83%9B%E3%82%AE%E3%83%A3%E3%83%A9%E3%82%AF%E3%82%B7%E3%83%BCs20%E3%83%97%E3%83%A9%E3%82%B9%E7%94%A8%E3%81%AB%E3%83%87%E3%82%B6%E3%82%A4%E3%83%B3%E3%81%95%E3%82%8C%E3%81%BE%E3%81%97%E3%81%9F%E3%80%82%E3%82%AB%E3%83%BC%E3%83%9C%E3%83%B3%E3%83%95%E3%82%A1%E3%82%A4%E3%83%90%E3%83%BC-%E3%83%9E%E3%83%83%E3%83%88%E3%83%96%E3%83%A9%E3%83%83%E3%82%AF%E3%81%AE%E3%82%B9%E3%83%AA%E3%83%A0%E3%83%95%E3%82%A3%E3%83%83%E3%83%88%E3%80%81%E8%A1%9D%E6%92%83%E5%90%B8%E5%8F%8E%E3%83%97%E3%83%AC%E3%83%9F%E3%82%A2%E3%83%A0%E3%80%81/dp/B082M5HV5J/ref=sr_1_387?__mk_ja_JP=%E3%82%AB%E3%82%BF%E3%82%AB%E3%83%8A&amp;dchild=1&amp;keywords=Galaxy&amp;qid=1598528189&amp;sr=8-387", "Go")</f>
        <v/>
      </c>
    </row>
    <row r="413">
      <c r="A413" s="1" t="n">
        <v>411</v>
      </c>
      <c r="B413" t="inlineStr">
        <is>
          <t>UGREEN USB C - Micro USBケーブル</t>
        </is>
      </c>
      <c r="C413" t="inlineStr">
        <is>
          <t>￥780</t>
        </is>
      </c>
      <c r="D413" t="inlineStr">
        <is>
          <t>4.7</t>
        </is>
      </c>
      <c r="E413">
        <f>HYPERLINK("https://www.amazon.co.jp/UGREEN-USB-C-Micro-USB%E3%82%B1%E3%83%BC%E3%83%96%E3%83%AB/dp/B07S1TV83G/ref=sr_1_388?__mk_ja_JP=%E3%82%AB%E3%82%BF%E3%82%AB%E3%83%8A&amp;dchild=1&amp;keywords=Galaxy&amp;qid=1598528189&amp;sr=8-388", "Go")</f>
        <v/>
      </c>
    </row>
    <row r="414">
      <c r="A414" s="1" t="n">
        <v>412</v>
      </c>
      <c r="B414" t="inlineStr">
        <is>
          <t>充電器 type-c RAVPower PD対応 充電器 90W 2ポートUSB-C×2 急速充電器 (GaN (窒化ガリウム)採用/2ポートで出力最適化システムPD Pioneer Technology採用/Power Delivery3.0対応/ PSE認証済 iPhone 11 / 11 Pro、iPad Pro、MacBook Air、SwitchなどUSB-C機器対応</t>
        </is>
      </c>
      <c r="C414" t="inlineStr">
        <is>
          <t>￥5,699</t>
        </is>
      </c>
      <c r="D414" t="inlineStr">
        <is>
          <t>4.8</t>
        </is>
      </c>
      <c r="E414">
        <f>HYPERLINK("https://www.amazon.co.jp/2%E3%83%9D%E3%83%BC%E3%83%88USB-C%C3%972-2%E3%83%9D%E3%83%BC%E3%83%88%E3%81%A7%E5%87%BA%E5%8A%9B%E6%9C%80%E9%81%A9%E5%8C%96%E3%82%B7%E3%82%B9%E3%83%86%E3%83%A0PD-Technology%E6%8E%A1%E7%94%A8-Delivery3-0%E5%AF%BE%E5%BF%9C-Air%E3%80%81Switch%E3%81%AA%E3%81%A9USB-C%E6%A9%9F%E5%99%A8%E5%AF%BE%E5%BF%9C/dp/B08CZSNKY7/ref=sr_1_389?__mk_ja_JP=%E3%82%AB%E3%82%BF%E3%82%AB%E3%83%8A&amp;dchild=1&amp;keywords=Galaxy&amp;qid=1598528189&amp;sr=8-389", "Go")</f>
        <v/>
      </c>
    </row>
    <row r="415">
      <c r="A415" s="1" t="n">
        <v>413</v>
      </c>
      <c r="B415" t="inlineStr">
        <is>
          <t>GalaxyS9Plus ガラス ブルーライト SC-03K ガラス フィルム SCV39 S9プラス 液晶保護 フィルム 保護シート ギャラクシーS9プラス 保護ガラス 保護ガラスフィルム 【ブルーライトカット機能、目に優しい/貼り付け簡単/干渉しない/気泡ゼロ/旭硝子/硬度9H】 1枚セット</t>
        </is>
      </c>
      <c r="C415" t="inlineStr">
        <is>
          <t>￥1,499</t>
        </is>
      </c>
      <c r="D415" t="inlineStr">
        <is>
          <t>4.8</t>
        </is>
      </c>
      <c r="E415">
        <f>HYPERLINK("https://www.amazon.co.jp/GalaxyS9Plus-%E3%83%96%E3%83%AB%E3%83%BC%E3%83%A9%E3%82%A4%E3%83%88-%E3%82%AE%E3%83%A3%E3%83%A9%E3%82%AF%E3%82%B7%E3%83%BCS9%E3%83%97%E3%83%A9%E3%82%B9-%E4%BF%9D%E8%AD%B7%E3%82%AC%E3%83%A9%E3%82%B9%E3%83%95%E3%82%A3%E3%83%AB%E3%83%A0-%E3%80%90%E3%83%96%E3%83%AB%E3%83%BC%E3%83%A9%E3%82%A4%E3%83%88%E3%82%AB%E3%83%83%E3%83%88%E6%A9%9F%E8%83%BD%E3%80%81%E7%9B%AE%E3%81%AB%E5%84%AA%E3%81%97%E3%81%84/dp/B089T6VRLX/ref=sr_1_390?__mk_ja_JP=%E3%82%AB%E3%82%BF%E3%82%AB%E3%83%8A&amp;dchild=1&amp;keywords=Galaxy&amp;qid=1598528189&amp;sr=8-390", "Go")</f>
        <v/>
      </c>
    </row>
    <row r="416">
      <c r="A416" s="1" t="n">
        <v>414</v>
      </c>
      <c r="B416" t="inlineStr">
        <is>
          <t>LEDスタープロジェクターライト 星空ライト ベッドサイドランプ 21種点灯モード 2in1レーザー /USBメモリに対応 リモコン式 BT-4.2音楽プレーヤー タイマー機能付き 音声制御 輝度/音量調整可 2020最新版 日本語説明書 プラネタリウム/クリスマス/常夜灯/夜間ライト/雰囲気作り/ハロウィン/パーテイー/プレゼント/誕生日ギフト18ヶ月品質保証付き ZENICブラック</t>
        </is>
      </c>
      <c r="C416" t="inlineStr">
        <is>
          <t>￥3,799</t>
        </is>
      </c>
      <c r="D416" t="inlineStr">
        <is>
          <t>4.8</t>
        </is>
      </c>
      <c r="E416">
        <f>HYPERLINK("https://www.amazon.co.jp/LED%E3%82%B9%E3%82%BF%E3%83%BC%E3%83%97%E3%83%AD%E3%82%B8%E3%82%A7%E3%82%AF%E3%82%BF%E3%83%BC%E3%83%A9%E3%82%A4%E3%83%88-%E3%83%99%E3%83%83%E3%83%89%E3%82%B5%E3%82%A4%E3%83%89%E3%83%A9%E3%83%B3%E3%83%97-USB%E3%83%A1%E3%83%A2%E3%83%AA%E3%81%AB%E5%AF%BE%E5%BF%9C-BT-4-2%E9%9F%B3%E6%A5%BD%E3%83%97%E3%83%AC%E3%83%BC%E3%83%A4%E3%83%BC-%E8%AA%95%E7%94%9F%E6%97%A5%E3%82%AE%E3%83%95%E3%83%8812%E3%83%B6%E6%9C%88%E5%93%81%E8%B3%AA%E4%BF%9D%E8%A8%BC%E4%BB%98%E3%81%8D/dp/B07XLB162Q/ref=sr_1_391?__mk_ja_JP=%E3%82%AB%E3%82%BF%E3%82%AB%E3%83%8A&amp;dchild=1&amp;keywords=Galaxy&amp;qid=1598528189&amp;sr=8-391", "Go")</f>
        <v/>
      </c>
    </row>
    <row r="417">
      <c r="A417" s="1" t="n">
        <v>415</v>
      </c>
      <c r="B417" t="inlineStr">
        <is>
          <t>Galaxy S20 Plus ケース、ギャラクシーS20プラス 専用 2020 スマホケース、耐衝撃、サムソン 携帯電話ケース、防塵、Poetic Samsung Galaxy S20+ Guardian Case ((2020 年 新デザイン)、ピンク</t>
        </is>
      </c>
      <c r="C417" t="inlineStr">
        <is>
          <t>￥1,695</t>
        </is>
      </c>
      <c r="D417" t="inlineStr">
        <is>
          <t>4.6</t>
        </is>
      </c>
      <c r="E417">
        <f>HYPERLINK("https://www.amazon.co.jp/%E3%82%B1%E3%83%BC%E3%82%B9%E3%80%81%E3%82%AE%E3%83%A3%E3%83%A9%E3%82%AF%E3%82%B7%E3%83%BCS20%E3%83%97%E3%83%A9%E3%82%B9-%E3%82%B9%E3%83%9E%E3%83%9B%E3%82%B1%E3%83%BC%E3%82%B9%E3%80%81%E8%80%90%E8%A1%9D%E6%92%83%E3%80%81%E3%82%B5%E3%83%A0%E3%82%BD%E3%83%B3-%E6%90%BA%E5%B8%AF%E9%9B%BB%E8%A9%B1%E3%82%B1%E3%83%BC%E3%82%B9%E3%80%81%E9%98%B2%E5%A1%B5%E3%80%81Poetic-Samsung-Guardian/dp/B0839PNPPK/ref=sr_1_392?__mk_ja_JP=%E3%82%AB%E3%82%BF%E3%82%AB%E3%83%8A&amp;dchild=1&amp;keywords=Galaxy&amp;qid=1598528189&amp;sr=8-392", "Go")</f>
        <v/>
      </c>
    </row>
    <row r="418">
      <c r="A418" s="1" t="n">
        <v>416</v>
      </c>
      <c r="B418" t="inlineStr">
        <is>
          <t>Rokform Proシリーズ[ Perch ]マウントオートバイ電話マウントfor iPhone &amp; Galaxy madeからブラック陽極酸化航空機グレードアルミ</t>
        </is>
      </c>
      <c r="C418" t="inlineStr">
        <is>
          <t>￥31,279</t>
        </is>
      </c>
      <c r="D418" t="inlineStr">
        <is>
          <t>4.7</t>
        </is>
      </c>
      <c r="E418">
        <f>HYPERLINK("https://www.amazon.co.jp/Rokform-Pro%E3%82%B7%E3%83%AA%E3%83%BC%E3%82%BA-%E3%83%9E%E3%82%A6%E3%83%B3%E3%83%88%E3%82%AA%E3%83%BC%E3%83%88%E3%83%90%E3%82%A4%E9%9B%BB%E8%A9%B1%E3%83%9E%E3%82%A6%E3%83%B3%E3%83%88for-iPhone-made%E3%81%8B%E3%82%89%E3%83%96%E3%83%A9%E3%83%83%E3%82%AF%E9%99%BD%E6%A5%B5%E9%85%B8%E5%8C%96%E8%88%AA%E7%A9%BA%E6%A9%9F%E3%82%B0%E3%83%AC%E3%83%BC%E3%83%89%E3%82%A2%E3%83%AB%E3%83%9F/dp/B07B5G3VB1/ref=sr_1_393?__mk_ja_JP=%E3%82%AB%E3%82%BF%E3%82%AB%E3%83%8A&amp;dchild=1&amp;keywords=Galaxy&amp;qid=1598528189&amp;sr=8-393", "Go")</f>
        <v/>
      </c>
    </row>
    <row r="419">
      <c r="A419" s="1" t="n">
        <v>417</v>
      </c>
      <c r="B419" t="inlineStr">
        <is>
          <t>USB C - HDMIケーブルアダプター 4K@60Hz Type C (Thunderbolt 3互換) - HDMIコネクター MacBook Pro/Air, iMac、iPad Pro、ChromeBook Pixel、Galaxy S10 Note10、Dell XPS、Google Pixelと互換性あり</t>
        </is>
      </c>
      <c r="C419" t="inlineStr">
        <is>
          <t>￥12,358</t>
        </is>
      </c>
      <c r="D419" t="inlineStr">
        <is>
          <t>4.9</t>
        </is>
      </c>
      <c r="E419">
        <f>HYPERLINK("https://www.amazon.co.jp/USB-HDMI%E3%82%B1%E3%83%BC%E3%83%96%E3%83%AB%E3%82%A2%E3%83%80%E3%83%97%E3%82%BF%E3%83%BC-Thunderbolt-Pro%E3%80%81ChromeBook-Pixel%E3%80%81Galaxy/dp/B082HZZ2GZ/ref=sr_1_394?__mk_ja_JP=%E3%82%AB%E3%82%BF%E3%82%AB%E3%83%8A&amp;dchild=1&amp;keywords=Galaxy&amp;qid=1598528189&amp;sr=8-394", "Go")</f>
        <v/>
      </c>
    </row>
    <row r="420">
      <c r="A420" s="1" t="n">
        <v>418</v>
      </c>
      <c r="B420" t="inlineStr">
        <is>
          <t>iFace First Class GALAXY S10+ ケース [ブラック]</t>
        </is>
      </c>
      <c r="C420" t="inlineStr">
        <is>
          <t>￥3,240</t>
        </is>
      </c>
      <c r="D420" t="inlineStr">
        <is>
          <t>4.5</t>
        </is>
      </c>
      <c r="E420">
        <f>HYPERLINK("https://www.amazon.co.jp/iFace-First-Class-GALAXY-%E3%83%96%E3%83%A9%E3%83%83%E3%82%AF/dp/B07T2KWWD7/ref=sr_1_395_sspa?__mk_ja_JP=%E3%82%AB%E3%82%BF%E3%82%AB%E3%83%8A&amp;dchild=1&amp;keywords=Galaxy&amp;qid=1598528189&amp;sr=8-395-spons&amp;psc=1&amp;spLa=ZW5jcnlwdGVkUXVhbGlmaWVyPUExVEU4UVJWODdWOVkyJmVuY3J5cHRlZElkPUEwMjY1NzAwMVlHVTRUMElJQ1ZOVyZlbmNyeXB0ZWRBZElkPUEyOUpCUUJSUjhOMDYwJndpZGdldE5hbWU9c3BfYnRmJmFjdGlvbj1jbGlja1JlZGlyZWN0JmRvTm90TG9nQ2xpY2s9dHJ1ZQ==", "Go")</f>
        <v/>
      </c>
    </row>
    <row r="421">
      <c r="A421" s="1" t="n">
        <v>419</v>
      </c>
      <c r="B421" t="inlineStr">
        <is>
          <t>Type USB C to Micro USB, CableCreation USB 2.0 C to Micro USB 充電&amp;データ転送ケーブル Galaxy S8/S8 Plus、Google Pixel 2 XL &amp; その他のアンドロイドデバイスに対応 ブラック 0.2m</t>
        </is>
      </c>
      <c r="C421" t="inlineStr">
        <is>
          <t>￥839</t>
        </is>
      </c>
      <c r="D421" t="inlineStr">
        <is>
          <t>4.3</t>
        </is>
      </c>
      <c r="E421">
        <f>HYPERLINK("https://www.amazon.co.jp/CableCreation-%E3%83%87%E3%83%BC%E3%82%BF%E8%BB%A2%E9%80%81%E3%82%B1%E3%83%BC%E3%83%96%E3%83%AB-Galaxy-Plus%E3%80%81Google-%E3%81%9D%E3%81%AE%E4%BB%96%E3%81%AE%E3%82%A2%E3%83%B3%E3%83%89%E3%83%AD%E3%82%A4%E3%83%89%E3%83%87%E3%83%90%E3%82%A4%E3%82%B9%E3%81%AB%E5%AF%BE%E5%BF%9C/dp/B01M72GS0H/ref=sr_1_396_sspa?__mk_ja_JP=%E3%82%AB%E3%82%BF%E3%82%AB%E3%83%8A&amp;dchild=1&amp;keywords=Galaxy&amp;qid=1598528189&amp;sr=8-396-spons&amp;psc=1&amp;spLa=ZW5jcnlwdGVkUXVhbGlmaWVyPUExVEU4UVJWODdWOVkyJmVuY3J5cHRlZElkPUEwMjY1NzAwMVlHVTRUMElJQ1ZOVyZlbmNyeXB0ZWRBZElkPUEzQ0kwRkZHSzNKOEdPJndpZGdldE5hbWU9c3BfYnRmJmFjdGlvbj1jbGlja1JlZGlyZWN0JmRvTm90TG9nQ2xpY2s9dHJ1ZQ==", "Go")</f>
        <v/>
      </c>
    </row>
    <row r="422">
      <c r="A422" s="1" t="n">
        <v>420</v>
      </c>
      <c r="B422" t="inlineStr">
        <is>
          <t>SUNGYIN 【2020最新】スマートウォッチ 1.4インチ大画面 タッチパネル式 万歩計 活動量計 心拍計 歩数計 スマートブレスレット アプリでGPS搭載 消耗カロリー 電話着信通知 アプリ通知 天気予報 音楽制御 カメラ遠隔操作 ストップウォッチ リターンボタン付き IP67防水 180mAh大容量 iOS/Android対応</t>
        </is>
      </c>
      <c r="C422" t="inlineStr">
        <is>
          <t>￥4,580</t>
        </is>
      </c>
      <c r="D422" t="inlineStr">
        <is>
          <t>5</t>
        </is>
      </c>
      <c r="E422">
        <f>HYPERLINK("https://www.amazon.co.jp/SUNGYIN-%E3%80%902020%E6%9C%80%E6%96%B0%E3%80%91%E3%82%B9%E3%83%9E%E3%83%BC%E3%83%88%E3%82%A6%E3%82%A9%E3%83%83%E3%83%81-1-4%E3%82%A4%E3%83%B3%E3%83%81%E5%A4%A7%E7%94%BB%E9%9D%A2-%E3%82%B9%E3%83%9E%E3%83%BC%E3%83%88%E3%83%96%E3%83%AC%E3%82%B9%E3%83%AC%E3%83%83%E3%83%88-%E3%82%A2%E3%83%97%E3%83%AA%E3%81%A7GPS%E6%90%AD%E8%BC%89/dp/B08BZ6MWQ6/ref=sr_1_385_sspa?__mk_ja_JP=%E3%82%AB%E3%82%BF%E3%82%AB%E3%83%8A&amp;dchild=1&amp;keywords=Galaxy&amp;qid=1598528510&amp;sr=8-385-spons&amp;psc=1&amp;spLa=ZW5jcnlwdGVkUXVhbGlmaWVyPUFTWElDVldCN1U4TzcmZW5jcnlwdGVkSWQ9QTAyOTQzNDIzQzdWOUNJRUc3VjhXJmVuY3J5cHRlZEFkSWQ9QTFENzlGMEhJVzJCQlgmd2lkZ2V0TmFtZT1zcF9hdGZfbmV4dCZhY3Rpb249Y2xpY2tSZWRpcmVjdCZkb05vdExvZ0NsaWNrPXRydWU=", "Go")</f>
        <v/>
      </c>
    </row>
    <row r="423">
      <c r="A423" s="1" t="n">
        <v>421</v>
      </c>
      <c r="B423" t="inlineStr">
        <is>
          <t>OUKITEL C19 スマートフォン本体 4G スマホ本体 SIM フリー Androidスマートフォン本体 6.49 HDインチ 13MP+2MP+2MP 4000mAh RAM 2GB + ROM16GB（256GBまでサポートする)Android 10.0 端末 携帯電話 1年間保証付き(緑, 2+16GB)</t>
        </is>
      </c>
      <c r="C423" t="inlineStr">
        <is>
          <t>￥10,900</t>
        </is>
      </c>
      <c r="D423" t="inlineStr">
        <is>
          <t>4.6</t>
        </is>
      </c>
      <c r="E423">
        <f>HYPERLINK("https://www.amazon.co.jp/OUKITEL-C19-%E3%82%B9%E3%83%9E%E3%83%BC%E3%83%88%E3%83%95%E3%82%A9%E3%83%B3%E6%9C%AC%E4%BD%93-Android%E3%82%B9%E3%83%9E%E3%83%BC%E3%83%88%E3%83%95%E3%82%A9%E3%83%B3%E6%9C%AC%E4%BD%93-ROM16GB%EF%BC%88256GB%E3%81%BE%E3%81%A7%E3%82%B5%E3%83%9D%E3%83%BC%E3%83%88%E3%81%99%E3%82%8B/dp/B08CMY9YQ3/ref=sr_1_386_sspa?__mk_ja_JP=%E3%82%AB%E3%82%BF%E3%82%AB%E3%83%8A&amp;dchild=1&amp;keywords=Galaxy&amp;qid=1598528510&amp;sr=8-386-spons&amp;psc=1&amp;spLa=ZW5jcnlwdGVkUXVhbGlmaWVyPUFTWElDVldCN1U4TzcmZW5jcnlwdGVkSWQ9QTAyOTQzNDIzQzdWOUNJRUc3VjhXJmVuY3J5cHRlZEFkSWQ9QTJaU0hGOFM2SThLMEQmd2lkZ2V0TmFtZT1zcF9hdGZfbmV4dCZhY3Rpb249Y2xpY2tSZWRpcmVjdCZkb05vdExvZ0NsaWNrPXRydWU=", "Go")</f>
        <v/>
      </c>
    </row>
    <row r="424">
      <c r="A424" s="1" t="n">
        <v>422</v>
      </c>
      <c r="B424" t="inlineStr">
        <is>
          <t>OUKITEL K9 SIMフリースマートフォン7.12インチFHD+ 大画面スマホ4G LTE携帯電話6000mAhバッテリーOTG 4GB RAM 64GB ROM Android 9.0 MT6765 Octa-Core 2.3GHz 指紋認証フェイスIDロック解除1年間保証</t>
        </is>
      </c>
      <c r="C424" t="inlineStr">
        <is>
          <t>￥23,999</t>
        </is>
      </c>
      <c r="D424" t="inlineStr">
        <is>
          <t>4.2</t>
        </is>
      </c>
      <c r="E424">
        <f>HYPERLINK("https://www.amazon.co.jp/OUKITEL-K9-SIM%E3%83%95%E3%83%AA%E3%83%BC%E3%82%B9%E3%83%9E%E3%83%BC%E3%83%88%E3%83%95%E3%82%A9%E3%83%B37-12%E3%82%A4%E3%83%B3%E3%83%81FHD-LTE%E6%90%BA%E5%B8%AF%E9%9B%BB%E8%A9%B16000mAh%E3%83%90%E3%83%83%E3%83%86%E3%83%AA%E3%83%BCOTG-%E6%8C%87%E7%B4%8B%E8%AA%8D%E8%A8%BC%E3%83%95%E3%82%A7%E3%82%A4%E3%82%B9ID%E3%83%AD%E3%83%83%E3%82%AF%E8%A7%A3%E9%99%A41%E5%B9%B4%E9%96%93%E4%BF%9D%E8%A8%BC/dp/B085TFS2YM/ref=sr_1_388_sspa?__mk_ja_JP=%E3%82%AB%E3%82%BF%E3%82%AB%E3%83%8A&amp;dchild=1&amp;keywords=Galaxy&amp;qid=1598528510&amp;sr=8-388-spons&amp;psc=1&amp;spLa=ZW5jcnlwdGVkUXVhbGlmaWVyPUFTWElDVldCN1U4TzcmZW5jcnlwdGVkSWQ9QTAyOTQzNDIzQzdWOUNJRUc3VjhXJmVuY3J5cHRlZEFkSWQ9QTJMV1FOU0lPNFBTNkYmd2lkZ2V0TmFtZT1zcF9hdGZfbmV4dCZhY3Rpb249Y2xpY2tSZWRpcmVjdCZkb05vdExvZ0NsaWNrPXRydWU=", "Go")</f>
        <v/>
      </c>
    </row>
    <row r="425">
      <c r="A425" s="1" t="n">
        <v>423</v>
      </c>
      <c r="B425" t="inlineStr">
        <is>
          <t>Orion SkyQuest xt6 Plus Dobsonian反射望遠鏡</t>
        </is>
      </c>
      <c r="C425" t="inlineStr">
        <is>
          <t>￥116,382</t>
        </is>
      </c>
      <c r="D425" t="inlineStr">
        <is>
          <t>4.9</t>
        </is>
      </c>
      <c r="E425">
        <f>HYPERLINK("https://www.amazon.co.jp/%E3%82%AA%E3%83%AA%E3%82%AA%E3%83%B3%E9%9B%BB%E6%A9%9F-Orion-SkyQuest-xt6-Plus-Dobsonian%E5%8F%8D%E5%B0%84%E6%9C%9B%E9%81%A0%E9%8F%A1/dp/B078KC78Z4/ref=sr_1_389?__mk_ja_JP=%E3%82%AB%E3%82%BF%E3%82%AB%E3%83%8A&amp;dchild=1&amp;keywords=Galaxy&amp;qid=1598528510&amp;sr=8-389", "Go")</f>
        <v/>
      </c>
    </row>
    <row r="426">
      <c r="A426" s="1" t="n">
        <v>424</v>
      </c>
      <c r="B426" t="inlineStr">
        <is>
          <t>USB C ハブ HDMI アダプター MacBook Pro/Air、iMac、Surface Go/Book 2/Pro 7/X、Dell X、CHOETECH 9 in 1 USB Type C ハブ 4K HDMI、RJ45 イーサネット、60HZ VGA、100W PDパワー、3 USB 3.0、SD/TFカードリーダー用</t>
        </is>
      </c>
      <c r="C426" t="inlineStr">
        <is>
          <t>￥14,630</t>
        </is>
      </c>
      <c r="D426" t="inlineStr">
        <is>
          <t>4.7</t>
        </is>
      </c>
      <c r="E426">
        <f>HYPERLINK("https://www.amazon.co.jp/CHOETECH-USB-C%E3%83%8F%E3%83%96%E3%83%89%E3%83%83%E3%82%AD%E3%83%B3%E3%82%B0%E3%82%B9%E3%83%86%E3%83%BC%E3%82%B7%E3%83%A7%E3%83%B3-TF%E3%82%AB%E3%83%BC%E3%83%89%E3%83%AA%E3%83%BC%E3%83%80%E3%83%BC%E3%80%81MacBook-Air%E3%80%81MacBook%E3%80%81iMac-Pro%E3%80%81%E3%81%9D%E3%81%AE%E4%BB%96USB-C%E3%83%8E%E3%83%BC%E3%83%88%E3%83%91%E3%82%BD%E3%82%B3%E3%83%B3%E7%94%A8/dp/B07ZZ8192P/ref=sr_1_390?__mk_ja_JP=%E3%82%AB%E3%82%BF%E3%82%AB%E3%83%8A&amp;dchild=1&amp;keywords=Galaxy&amp;qid=1598528510&amp;sr=8-390", "Go")</f>
        <v/>
      </c>
    </row>
    <row r="427">
      <c r="A427" s="1" t="n">
        <v>425</v>
      </c>
      <c r="B427" t="inlineStr">
        <is>
          <t>IGCK サムスン Galaxy Watch 42mmバンド Galaxy Watch アクティブバンド 20mm 交換用バンド Galaxy Watch 42mm Galaxy Watch Active2 40mm 44mm ローズゴールドバックル レディース メンズ</t>
        </is>
      </c>
      <c r="C427" t="inlineStr">
        <is>
          <t>￥13,537</t>
        </is>
      </c>
      <c r="D427" t="inlineStr">
        <is>
          <t>4.7</t>
        </is>
      </c>
      <c r="E427">
        <f>HYPERLINK("https://www.amazon.co.jp/IGCK-42mm%E3%83%90%E3%83%B3%E3%83%89-%E3%82%A2%E3%82%AF%E3%83%86%E3%82%A3%E3%83%96%E3%83%90%E3%83%B3%E3%83%89-Active2-%E3%83%AD%E3%83%BC%E3%82%BA%E3%82%B4%E3%83%BC%E3%83%AB%E3%83%89%E3%83%90%E3%83%83%E3%82%AF%E3%83%AB/dp/B07YHXNXKW/ref=sr_1_391?__mk_ja_JP=%E3%82%AB%E3%82%BF%E3%82%AB%E3%83%8A&amp;dchild=1&amp;keywords=Galaxy&amp;qid=1598528510&amp;sr=8-391", "Go")</f>
        <v/>
      </c>
    </row>
    <row r="428">
      <c r="A428" s="1" t="n">
        <v>426</v>
      </c>
      <c r="B428" t="inlineStr">
        <is>
          <t>デスク用携帯電話スタンド 高さ角度調整可能 iPadタブレットホルダースタンド 頑丈なアルミ製 iPhone/iPad/Kindle/携帯電話/タブレット対応 シルバー</t>
        </is>
      </c>
      <c r="C428" t="inlineStr">
        <is>
          <t>￥7,100</t>
        </is>
      </c>
      <c r="D428" t="inlineStr">
        <is>
          <t>5</t>
        </is>
      </c>
      <c r="E428">
        <f>HYPERLINK("https://www.amazon.co.jp/%E3%83%87%E3%82%B9%E3%82%AF%E7%94%A8%E6%90%BA%E5%B8%AF%E9%9B%BB%E8%A9%B1%E3%82%B9%E3%82%BF%E3%83%B3%E3%83%89-%E9%AB%98%E3%81%95%E8%A7%92%E5%BA%A6%E8%AA%BF%E6%95%B4%E5%8F%AF%E8%83%BD-iPad%E3%82%BF%E3%83%96%E3%83%AC%E3%83%83%E3%83%88%E3%83%9B%E3%83%AB%E3%83%80%E3%83%BC%E3%82%B9%E3%82%BF%E3%83%B3%E3%83%89-%E9%A0%91%E4%B8%88%E3%81%AA%E3%82%A2%E3%83%AB%E3%83%9F%E8%A3%BD-%E3%82%BF%E3%83%96%E3%83%AC%E3%83%83%E3%83%88%E5%AF%BE%E5%BF%9C/dp/B089T3KCLB/ref=sr_1_392?__mk_ja_JP=%E3%82%AB%E3%82%BF%E3%82%AB%E3%83%8A&amp;dchild=1&amp;keywords=Galaxy&amp;qid=1598528510&amp;sr=8-392", "Go")</f>
        <v/>
      </c>
    </row>
    <row r="429">
      <c r="A429" s="1" t="n">
        <v>427</v>
      </c>
      <c r="B429" t="inlineStr">
        <is>
          <t>Polaland Galaxy Tab A 10.1 タブレット 2019ケース PUレザー 折りたたみスタンド フォリオカバー ソフトなTPUスリムな内部シェルと磁気クラスプ付き Galaxy Tab A 10.1インチモデルSM-T510/T515用 ブラック</t>
        </is>
      </c>
      <c r="C429" t="inlineStr">
        <is>
          <t>￥15,899</t>
        </is>
      </c>
      <c r="D429" t="inlineStr">
        <is>
          <t>4.8</t>
        </is>
      </c>
      <c r="E429">
        <f>HYPERLINK("https://www.amazon.co.jp/Polaland-2019%E3%82%B1%E3%83%BC%E3%82%B9-%E6%8A%98%E3%82%8A%E3%81%9F%E3%81%9F%E3%81%BF%E3%82%B9%E3%82%BF%E3%83%B3%E3%83%89-%E3%82%BD%E3%83%95%E3%83%88%E3%81%AATPU%E3%82%B9%E3%83%AA%E3%83%A0%E3%81%AA%E5%86%85%E9%83%A8%E3%82%B7%E3%82%A7%E3%83%AB%E3%81%A8%E7%A3%81%E6%B0%97%E3%82%AF%E3%83%A9%E3%82%B9%E3%83%97%E4%BB%98%E3%81%8D-10-1%E3%82%A4%E3%83%B3%E3%83%81%E3%83%A2%E3%83%87%E3%83%ABSM-T510/dp/B07TG9ND2G/ref=sr_1_393?__mk_ja_JP=%E3%82%AB%E3%82%BF%E3%82%AB%E3%83%8A&amp;dchild=1&amp;keywords=Galaxy&amp;qid=1598528510&amp;sr=8-393", "Go")</f>
        <v/>
      </c>
    </row>
    <row r="430">
      <c r="A430" s="1" t="n">
        <v>428</v>
      </c>
      <c r="B430" t="inlineStr">
        <is>
          <t>Fintie Samsung Galaxy Watch 46mm / Gear S3 ベゼルリング 保護ベゼルカバー 傷防止ベゼル 粘着カバー ステンレス製 高級感 耐久性 装着簡単（ブラック/シルバー）</t>
        </is>
      </c>
      <c r="C430" t="inlineStr">
        <is>
          <t>￥999</t>
        </is>
      </c>
      <c r="D430" t="inlineStr">
        <is>
          <t>4.7</t>
        </is>
      </c>
      <c r="E430">
        <f>HYPERLINK("https://www.amazon.co.jp/Fintie-Samsung-Galaxy-%E4%BF%9D%E8%AD%B7%E3%83%99%E3%82%BC%E3%83%AB%E3%82%AB%E3%83%90%E3%83%BC-%E8%A3%85%E7%9D%80%E7%B0%A1%E5%8D%98%EF%BC%88%E3%83%96%E3%83%A9%E3%83%83%E3%82%AF/dp/B07VB3PR8V/ref=sr_1_394?__mk_ja_JP=%E3%82%AB%E3%82%BF%E3%82%AB%E3%83%8A&amp;dchild=1&amp;keywords=Galaxy&amp;qid=1598528510&amp;sr=8-394", "Go")</f>
        <v/>
      </c>
    </row>
    <row r="431">
      <c r="A431" s="1" t="n">
        <v>429</v>
      </c>
      <c r="B431" t="inlineStr">
        <is>
          <t>kalibri 対応: Samsung Galaxy S9 レザーケース - 高級 本革 保護 - カード入れ 磁石 スタンド サムスン ギャラクシー</t>
        </is>
      </c>
      <c r="C431" t="inlineStr">
        <is>
          <t>￥2,190</t>
        </is>
      </c>
      <c r="D431" t="inlineStr">
        <is>
          <t>5</t>
        </is>
      </c>
      <c r="E431">
        <f>HYPERLINK("https://www.amazon.co.jp/kalibri-Samsung-Galaxy-S9-%E3%82%B1%E3%83%BC%E3%82%B9/dp/B07CRLFYKV/ref=sr_1_395?__mk_ja_JP=%E3%82%AB%E3%82%BF%E3%82%AB%E3%83%8A&amp;dchild=1&amp;keywords=Galaxy&amp;qid=1598528510&amp;sr=8-395", "Go")</f>
        <v/>
      </c>
    </row>
    <row r="432">
      <c r="A432" s="1" t="n">
        <v>430</v>
      </c>
      <c r="B432" t="inlineStr">
        <is>
          <t>kwmobile 対応: Samsung Galaxy A7 (2018) ウッド ケース - 木製 x TPUシリコン製 スマホカバー サムスン ギャラクシー</t>
        </is>
      </c>
      <c r="C432" t="inlineStr">
        <is>
          <t>￥1,090</t>
        </is>
      </c>
      <c r="D432" t="inlineStr">
        <is>
          <t>4.7</t>
        </is>
      </c>
      <c r="E432">
        <f>HYPERLINK("https://www.amazon.co.jp/kwmobile-%E4%BF%9D%E8%AD%B7%E3%82%B1%E3%83%BC%E3%82%B9-Samsung-Galaxy-%E3%83%93%E3%83%B3%E3%83%86%E3%83%BC%E3%82%B8%E3%83%87%E3%82%B6%E3%82%A4%E3%83%B3/dp/B07QBQH72D/ref=sr_1_396?__mk_ja_JP=%E3%82%AB%E3%82%BF%E3%82%AB%E3%83%8A&amp;dchild=1&amp;keywords=Galaxy&amp;qid=1598528510&amp;sr=8-396", "Go")</f>
        <v/>
      </c>
    </row>
    <row r="433">
      <c r="A433" s="1" t="n">
        <v>431</v>
      </c>
      <c r="B433" t="inlineStr">
        <is>
          <t>VANKYO X180 ワイヤレスイヤホンBluetooth 5.0完全ワイヤレスイヤホンIPX7防水イヤホン左右分離型 マイク内蔵 両耳通話Hi-Fi高音質CVC8.0ノイズキャンセリング自動接続 長時間連続駆動PSE認証済iPhone/Android対応 小型 ポータブル</t>
        </is>
      </c>
      <c r="C433" t="inlineStr">
        <is>
          <t>￥2,999</t>
        </is>
      </c>
      <c r="D433" t="inlineStr">
        <is>
          <t>4.7</t>
        </is>
      </c>
      <c r="E433">
        <f>HYPERLINK("https://www.amazon.co.jp/%E3%83%AF%E3%82%A4%E3%83%A4%E3%83%AC%E3%82%B9%E3%82%A4%E3%83%A4%E3%83%9B%E3%83%B3Bluetooth-5-0%E5%AE%8C%E5%85%A8%E3%83%AF%E3%82%A4%E3%83%A4%E3%83%AC%E3%82%B9%E3%82%A4%E3%83%A4%E3%83%9B%E3%83%B3IPX7%E9%98%B2%E6%B0%B4%E3%82%A4%E3%83%A4%E3%83%9B%E3%83%B3%E5%B7%A6%E5%8F%B3%E5%88%86%E9%9B%A2%E5%9E%8B-%E4%B8%A1%E8%80%B3%E9%80%9A%E8%A9%B1Hi-Fi%E9%AB%98%E9%9F%B3%E8%B3%AACVC8-0%E3%83%8E%E3%82%A4%E3%82%BA%E3%82%AD%E3%83%A3%E3%83%B3%E3%82%BB%E3%83%AA%E3%83%B3%E3%82%B0%E8%87%AA%E5%8B%95%E6%8E%A5%E7%B6%9A-%E9%95%B7%E6%99%82%E9%96%93%E9%80%A3%E7%B6%9A%E9%A7%86%E5%8B%95PSE%E8%AA%8D%E8%A8%BC%E6%B8%88iPhone-Android%E5%AF%BE%E5%BF%9C/dp/B088RH8SDR/ref=sr_1_397?__mk_ja_JP=%E3%82%AB%E3%82%BF%E3%82%AB%E3%83%8A&amp;dchild=1&amp;keywords=Galaxy&amp;qid=1598528510&amp;sr=8-397", "Go")</f>
        <v/>
      </c>
    </row>
    <row r="434">
      <c r="A434" s="1" t="n">
        <v>432</v>
      </c>
      <c r="B434" t="inlineStr">
        <is>
          <t>Syncwire USB-C &amp; USB-Cケーブル（2本・1m）USB 2.0 Type C-Type C ケーブル 60W 20V/3A Power Delivery PD 高速充電対応 MacBook、iPad、Galaxy等type c機種対応 (ホワイト)</t>
        </is>
      </c>
      <c r="C434" t="inlineStr">
        <is>
          <t>￥1,099</t>
        </is>
      </c>
      <c r="D434" t="inlineStr">
        <is>
          <t>4.7</t>
        </is>
      </c>
      <c r="E434">
        <f>HYPERLINK("https://www.amazon.co.jp/Syncwire-USB-C%E3%82%B1%E3%83%BC%E3%83%96%E3%83%AB%EF%BC%882%E6%9C%AC%E3%83%BB1m%EF%BC%89USB-Type-C%E6%80%A5%E9%80%9F%E5%85%85%E9%9B%BB%E3%82%B3%E3%83%BC%E3%83%89%E3%80%8160W-Delivery-MacBook%E3%80%81iPad%E3%80%81Galaxy%E7%AD%89type/dp/B07S7ZFLYS/ref=sr_1_398?__mk_ja_JP=%E3%82%AB%E3%82%BF%E3%82%AB%E3%83%8A&amp;dchild=1&amp;keywords=Galaxy&amp;qid=1598528510&amp;sr=8-398", "Go")</f>
        <v/>
      </c>
    </row>
    <row r="435">
      <c r="A435" s="1" t="n">
        <v>433</v>
      </c>
      <c r="B435" t="inlineStr">
        <is>
          <t>スマホジンバル スタビライザー 片手持ち単軸スタビライザー 自撮り棒 ５段階伸縮 垂直＆水平撮影 スマホ三脚 手振れ防止 スマホ携帯電話手持ちジンバル 折りたたみ 軽量 Bluetoothリモコン付き iPhone/Android</t>
        </is>
      </c>
      <c r="C435" t="inlineStr">
        <is>
          <t>￥4,280</t>
        </is>
      </c>
      <c r="D435" t="inlineStr">
        <is>
          <t>4.7</t>
        </is>
      </c>
      <c r="E435">
        <f>HYPERLINK("https://www.amazon.co.jp/%E3%82%B9%E3%83%9E%E3%83%9B%E3%82%B8%E3%83%B3%E3%83%90%E3%83%AB-%E3%82%B9%E3%82%BF%E3%83%93%E3%83%A9%E3%82%A4%E3%82%B6%E3%83%BC-%E7%89%87%E6%89%8B%E6%8C%81%E3%81%A1%E5%8D%98%E8%BB%B8%E3%82%B9%E3%82%BF%E3%83%93%E3%83%A9%E3%82%A4%E3%82%B6%E3%83%BC-%E3%82%B9%E3%83%9E%E3%83%9B%E6%90%BA%E5%B8%AF%E9%9B%BB%E8%A9%B1%E6%89%8B%E6%8C%81%E3%81%A1%E3%82%B8%E3%83%B3%E3%83%90%E3%83%AB-Bluetooth%E3%83%AA%E3%83%A2%E3%82%B3%E3%83%B3%E4%BB%98%E3%81%8D/dp/B08BL7WMZ1/ref=sr_1_399?__mk_ja_JP=%E3%82%AB%E3%82%BF%E3%82%AB%E3%83%8A&amp;dchild=1&amp;keywords=Galaxy&amp;qid=1598528510&amp;sr=8-399", "Go")</f>
        <v/>
      </c>
    </row>
    <row r="436">
      <c r="A436" s="1" t="n">
        <v>434</v>
      </c>
      <c r="B436" t="inlineStr">
        <is>
          <t>Hyppr PD 充電器 100W Type C 急速充電器 GaN (窒化ガリウム)採用 タイプC 2USB-Cポート【PD3.0対応/PSE認証済/折畳式/】最新のMacBook Pro 16"対応、iPhone/iPad Pro/MacBook/Surface proなどのUSB-C機器対応 (ホワイト)</t>
        </is>
      </c>
      <c r="C436" t="inlineStr">
        <is>
          <t>￥4,999</t>
        </is>
      </c>
      <c r="D436" t="inlineStr">
        <is>
          <t>4.7</t>
        </is>
      </c>
      <c r="E436">
        <f>HYPERLINK("https://www.amazon.co.jp/Hyppr-2USB-C%E3%83%9D%E3%83%BC%E3%83%88%E3%80%90PD3-0%E5%AF%BE%E5%BF%9C-%E3%80%91%E6%9C%80%E6%96%B0%E3%81%AEMacBook-%E5%AF%BE%E5%BF%9C%E3%80%81iPhone-pro%E3%81%AA%E3%81%A9%E3%81%AEUSB-C%E6%A9%9F%E5%99%A8%E5%AF%BE%E5%BF%9C/dp/B07FTDG7M5/ref=sr_1_400?__mk_ja_JP=%E3%82%AB%E3%82%BF%E3%82%AB%E3%83%8A&amp;dchild=1&amp;keywords=Galaxy&amp;qid=1598528510&amp;sr=8-400", "Go")</f>
        <v/>
      </c>
    </row>
    <row r="437">
      <c r="A437" s="1" t="n">
        <v>435</v>
      </c>
      <c r="B437" t="inlineStr">
        <is>
          <t>20mm 時計バンドFIVOF For Samsung Gear S2 Classic Watch バンド ステンレスバンド 金属ベルト 交換ベルト 調整工具付き Galaxy Watch Active2 44mm/Galaxy Watch Active2 40mm 対応(20mm, 黒色)</t>
        </is>
      </c>
      <c r="C437" t="inlineStr">
        <is>
          <t>￥2,301</t>
        </is>
      </c>
      <c r="D437" t="inlineStr">
        <is>
          <t>4</t>
        </is>
      </c>
      <c r="E437">
        <f>HYPERLINK("https://www.amazon.co.jp/%E6%99%82%E8%A8%88%E3%83%90%E3%83%B3%E3%83%89FIVOF-Samsung-Classic-%E3%82%B9%E3%83%86%E3%83%B3%E3%83%AC%E3%82%B9%E3%83%90%E3%83%B3%E3%83%89-Active2/dp/B083M62Q9S/ref=sr_1_401_sspa?__mk_ja_JP=%E3%82%AB%E3%82%BF%E3%82%AB%E3%83%8A&amp;dchild=1&amp;keywords=Galaxy&amp;qid=1598528510&amp;sr=8-401-spons&amp;psc=1&amp;spLa=ZW5jcnlwdGVkUXVhbGlmaWVyPUFTWElDVldCN1U4TzcmZW5jcnlwdGVkSWQ9QTAyOTQzNDIzQzdWOUNJRUc3VjhXJmVuY3J5cHRlZEFkSWQ9QTJIVlNWVE1QM0ZLODMmd2lkZ2V0TmFtZT1zcF9tdGYmYWN0aW9uPWNsaWNrUmVkaXJlY3QmZG9Ob3RMb2dDbGljaz10cnVl", "Go")</f>
        <v/>
      </c>
    </row>
    <row r="438">
      <c r="A438" s="1" t="n">
        <v>436</v>
      </c>
      <c r="B438" t="inlineStr">
        <is>
          <t>AMOVO Galaxy S20 Plus ケース 手帳 取り外し可能 ワイヤレス充電対応 Galaxy S20+ 5G SC-52A ケース カード収納 横開き スタンド機能 ギャラクシー S20+ カバー (S20 Plus, ターコイズブルー)</t>
        </is>
      </c>
      <c r="C438" t="inlineStr">
        <is>
          <t>￥2,780</t>
        </is>
      </c>
      <c r="D438" t="inlineStr">
        <is>
          <t>4.7</t>
        </is>
      </c>
      <c r="E438">
        <f>HYPERLINK("https://www.amazon.co.jp/AMOVO-Galaxy-S20-Plus-%E3%83%AF%E3%82%A4%E3%83%A4%E3%83%AC%E3%82%B9%E5%85%85%E9%9B%BB%E5%AF%BE%E5%BF%9C/dp/B0854GVCT8/ref=sr_1_404?__mk_ja_JP=%E3%82%AB%E3%82%BF%E3%82%AB%E3%83%8A&amp;dchild=1&amp;keywords=Galaxy&amp;qid=1598528510&amp;sr=8-404", "Go")</f>
        <v/>
      </c>
    </row>
    <row r="439">
      <c r="A439" s="1" t="n">
        <v>437</v>
      </c>
      <c r="B439" t="inlineStr">
        <is>
          <t>Amamcy かわいい犬の携帯電話ホルダースタンド 木製スマートフォンデスクホルダー iPhone Xs/Max/XR/X/8/7 Plus/Google Pixel/Samsung Galaxy Note用 dog AMAzs-191304100S-02</t>
        </is>
      </c>
      <c r="C439" t="inlineStr">
        <is>
          <t>￥1,350</t>
        </is>
      </c>
      <c r="D439" t="inlineStr">
        <is>
          <t>4.7</t>
        </is>
      </c>
      <c r="E439">
        <f>HYPERLINK("https://www.amazon.co.jp/Amamcy-%E3%81%8B%E3%82%8F%E3%81%84%E3%81%84%E7%8A%AC%E3%81%AE%E6%90%BA%E5%B8%AF%E9%9B%BB%E8%A9%B1%E3%83%9B%E3%83%AB%E3%83%80%E3%83%BC%E3%82%B9%E3%82%BF%E3%83%B3%E3%83%89-%E6%9C%A8%E8%A3%BD%E3%82%B9%E3%83%9E%E3%83%BC%E3%83%88%E3%83%95%E3%82%A9%E3%83%B3%E3%83%87%E3%82%B9%E3%82%AF%E3%83%9B%E3%83%AB%E3%83%80%E3%83%BC-Samsung-AMAzs-191304100S-02/dp/B07RJMLKRM/ref=sr_1_405?__mk_ja_JP=%E3%82%AB%E3%82%BF%E3%82%AB%E3%83%8A&amp;dchild=1&amp;keywords=Galaxy&amp;qid=1598528510&amp;sr=8-405", "Go")</f>
        <v/>
      </c>
    </row>
    <row r="440">
      <c r="A440" s="1" t="n">
        <v>438</v>
      </c>
      <c r="B440" t="inlineStr">
        <is>
          <t>Wsky iPhone XS ケース iPhoneX ケース 衝撃吸収 TPU素材 高級感 薄 軽 手触り良い シンプル 背面防水 アイフォン カバー ワイヤレス充電 (ブラック)</t>
        </is>
      </c>
      <c r="C440" t="inlineStr">
        <is>
          <t>￥1,026</t>
        </is>
      </c>
      <c r="D440" t="inlineStr">
        <is>
          <t>4.8</t>
        </is>
      </c>
      <c r="E440">
        <f>HYPERLINK("https://www.amazon.co.jp/iPhone-XS-iPhoneX-TPU%E7%B4%A0%E6%9D%90-%E3%83%AF%E3%82%A4%E3%83%A4%E3%83%AC%E3%82%B9%E5%85%85%E9%9B%BB/dp/B08CZJRP34/ref=sr_1_406?__mk_ja_JP=%E3%82%AB%E3%82%BF%E3%82%AB%E3%83%8A&amp;dchild=1&amp;keywords=Galaxy&amp;qid=1598528510&amp;sr=8-406", "Go")</f>
        <v/>
      </c>
    </row>
    <row r="441">
      <c r="A441" s="1" t="n">
        <v>439</v>
      </c>
      <c r="B441" t="inlineStr">
        <is>
          <t>Galaxy A7 2019/2018 用 ケース カバークリア 保護ケース 耐衝撃 最軽量 超薄型 落下防止 透明ケース 指紋防止 汚れ防止シート 全面保護 耐水性 黄変防止 TPU素材を使用した TPUシリカゲル【ZKBEET 】 Galaxy A7 2019/2018</t>
        </is>
      </c>
      <c r="C441" t="inlineStr">
        <is>
          <t>￥398</t>
        </is>
      </c>
      <c r="D441" t="inlineStr">
        <is>
          <t>4.8</t>
        </is>
      </c>
      <c r="E441">
        <f>HYPERLINK("https://www.amazon.co.jp/Galaxy-%E3%82%AB%E3%83%90%E3%83%BC%E3%82%AF%E3%83%AA%E3%82%A2-%E6%B1%9A%E3%82%8C%E9%98%B2%E6%AD%A2%E3%82%B7%E3%83%BC%E3%83%88-TPU%E7%B4%A0%E6%9D%90%E3%82%92%E4%BD%BF%E7%94%A8%E3%81%97%E3%81%9F-TPU%E3%82%B7%E3%83%AA%E3%82%AB%E3%82%B2%E3%83%AB%E3%80%90ZKBEET/dp/B08B3JL8Q4/ref=sr_1_407?__mk_ja_JP=%E3%82%AB%E3%82%BF%E3%82%AB%E3%83%8A&amp;dchild=1&amp;keywords=Galaxy&amp;qid=1598528510&amp;sr=8-407", "Go")</f>
        <v/>
      </c>
    </row>
    <row r="442">
      <c r="A442" s="1" t="n">
        <v>440</v>
      </c>
      <c r="B442" t="inlineStr">
        <is>
          <t>Bobj頑丈なケースのSamsung Galaxy Tab A 9.7タブレット、SM - t550、タブA Plus 9.7 (SM - p550 )、(Not forタブA 10、sm-t580 ) – BobjGearカスタムフィット – VENTING – Sound Amplification – Kid Friendly BJGRSGTA1597</t>
        </is>
      </c>
      <c r="C442" t="inlineStr">
        <is>
          <t>￥16,700</t>
        </is>
      </c>
      <c r="D442" t="inlineStr">
        <is>
          <t>4.7</t>
        </is>
      </c>
      <c r="E442">
        <f>HYPERLINK("https://www.amazon.co.jp/Bobj%E9%A0%91%E4%B8%88%E3%81%AA%E3%82%B1%E3%83%BC%E3%82%B9%E3%81%AESamsung-Galaxy-9-7%E3%82%BF%E3%83%96%E3%83%AC%E3%83%83%E3%83%88%E3%80%81SM-%E2%80%93-BobjGear%E3%82%AB%E3%82%B9%E3%82%BF%E3%83%A0%E3%83%95%E3%82%A3%E3%83%83%E3%83%88-%E2%80%93-VENTING-%E2%80%93-Sound-Amplification-%E2%80%93-Kid/dp/B013SBJOS6/ref=sr_1_408?__mk_ja_JP=%E3%82%AB%E3%82%BF%E3%82%AB%E3%83%8A&amp;dchild=1&amp;keywords=Galaxy&amp;qid=1598528510&amp;sr=8-408", "Go")</f>
        <v/>
      </c>
    </row>
    <row r="443">
      <c r="A443" s="1" t="n">
        <v>441</v>
      </c>
      <c r="B443" t="inlineStr">
        <is>
          <t>NinjaBatt PowerPal 10000mAh パワーバンク、18W PD &amp; QC3 ポータブル充電器 高速充電USBとUSB-Cポート 3A 大容量外部バッテリー iPhone 8 X XS 11 Pro Galaxy S8 S9 S10</t>
        </is>
      </c>
      <c r="C443" t="inlineStr">
        <is>
          <t>￥2,310</t>
        </is>
      </c>
      <c r="D443" t="inlineStr">
        <is>
          <t>4.7</t>
        </is>
      </c>
      <c r="E443">
        <f>HYPERLINK("https://www.amazon.co.jp/NinjaBatt-PowerPal-%E3%83%91%E3%83%AF%E3%83%BC%E3%83%90%E3%83%B3%E3%82%AF%E3%80%8118W-%E9%AB%98%E9%80%9F%E5%85%85%E9%9B%BBUSB%E3%81%A8USB-C%E3%83%9D%E3%83%BC%E3%83%88-%E5%A4%A7%E5%AE%B9%E9%87%8F%E5%A4%96%E9%83%A8%E3%83%90%E3%83%83%E3%83%86%E3%83%AA%E3%83%BC/dp/B07ZHCB5HK/ref=sr_1_409?__mk_ja_JP=%E3%82%AB%E3%82%BF%E3%82%AB%E3%83%8A&amp;dchild=1&amp;keywords=Galaxy&amp;qid=1598528510&amp;sr=8-409", "Go")</f>
        <v/>
      </c>
    </row>
    <row r="444">
      <c r="A444" s="1" t="n">
        <v>442</v>
      </c>
      <c r="B444" t="inlineStr">
        <is>
          <t>ESR Samgsung Galaxy S20 Ultra ケース クリア ソフトケース ギャラクシーS20 Ultraソフトカバー 薄型 透明TPU 【透過率99.9% 指紋防止 落下防止 黄変防止 安心保護 軽量 Qi急速充電対応】Samgsung Galaxy S20 Ultra 専用スマホケース(クリア)</t>
        </is>
      </c>
      <c r="C444" t="inlineStr">
        <is>
          <t>￥1,299</t>
        </is>
      </c>
      <c r="D444" t="inlineStr">
        <is>
          <t>4.5</t>
        </is>
      </c>
      <c r="E444">
        <f>HYPERLINK("https://www.amazon.co.jp/ESR-%E3%82%AE%E3%83%A3%E3%83%A9%E3%82%AF%E3%82%B7%E3%83%BCS20-Ultra%E3%82%BD%E3%83%95%E3%83%88%E3%82%AB%E3%83%90%E3%83%BC-%E3%80%90%E9%80%8F%E9%81%8E%E7%8E%8799-9-Qi%E6%80%A5%E9%80%9F%E5%85%85%E9%9B%BB%E5%AF%BE%E5%BF%9C%E3%80%91Samgsung/dp/B08314QFPJ/ref=sr_1_410?__mk_ja_JP=%E3%82%AB%E3%82%BF%E3%82%AB%E3%83%8A&amp;dchild=1&amp;keywords=Galaxy&amp;qid=1598528510&amp;sr=8-410", "Go")</f>
        <v/>
      </c>
    </row>
    <row r="445">
      <c r="A445" s="1" t="n">
        <v>443</v>
      </c>
      <c r="B445" t="inlineStr">
        <is>
          <t>【2020音質改善型】イヤホン 高音質 ハイレゾ イヤフォン カナル型イヤホン Hi-Fi 重低音 有線 マイク付き リモコン 通話可能 音量調整 遮音性 騒音低減 ジャック 音漏れ防止 携帯 スマホ IOSに対応 RNG-031A (ホワイト)</t>
        </is>
      </c>
      <c r="C445" t="inlineStr">
        <is>
          <t>￥1,366</t>
        </is>
      </c>
      <c r="D445" t="inlineStr">
        <is>
          <t>4.7</t>
        </is>
      </c>
      <c r="E445">
        <f>HYPERLINK("https://www.amazon.co.jp/%E3%80%902020%E9%9F%B3%E8%B3%AA%E6%94%B9%E5%96%84%E5%9E%8B%E3%80%91%E3%82%A4%E3%83%A4%E3%83%9B%E3%83%B3-%E3%82%A4%E3%83%A4%E3%83%95%E3%82%A9%E3%83%B3-%E3%82%AB%E3%83%8A%E3%83%AB%E5%9E%8B%E3%82%A4%E3%83%A4%E3%83%9B%E3%83%B3-IOS%E3%81%AB%E5%AF%BE%E5%BF%9C-RNG-031A/dp/B08BCTD3N2/ref=sr_1_411?__mk_ja_JP=%E3%82%AB%E3%82%BF%E3%82%AB%E3%83%8A&amp;dchild=1&amp;keywords=Galaxy&amp;qid=1598528510&amp;sr=8-411", "Go")</f>
        <v/>
      </c>
    </row>
    <row r="446">
      <c r="A446" s="1" t="n">
        <v>444</v>
      </c>
      <c r="B446" t="inlineStr">
        <is>
          <t>Anker PowerPort PD 1 &amp; USB-C &amp; ライトニングケーブル (0.9m ホワイト) セットモデル (PD対応 18W USB-C 急速充電器)【MFi認証済み/Power Delivery対応/コンパクトサイズ 】</t>
        </is>
      </c>
      <c r="C446" t="inlineStr">
        <is>
          <t>￥3,480</t>
        </is>
      </c>
      <c r="D446" t="inlineStr">
        <is>
          <t>4.7</t>
        </is>
      </c>
      <c r="E446">
        <f>HYPERLINK("https://www.amazon.co.jp/Delivery-Anker-PowerPort-Indicator-Foldable/dp/B07GX8YN72/ref=sr_1_412?__mk_ja_JP=%E3%82%AB%E3%82%BF%E3%82%AB%E3%83%8A&amp;dchild=1&amp;keywords=Galaxy&amp;qid=1598528510&amp;sr=8-412", "Go")</f>
        <v/>
      </c>
    </row>
    <row r="447">
      <c r="A447" s="1" t="n">
        <v>445</v>
      </c>
      <c r="B447" t="inlineStr">
        <is>
          <t>SHINEZONE Sony Xperia 1 II SO-51A SOG01 ガラスフイルム【 1枚セット】+Sony Xperia 1 II SO-51A SOG01 カメラフィルム【 2枚セット】日本旭硝子製 高透過率99% 硬度9H 気泡防止 キズ防止 耐衝撃 高透明度 防滴 防塵 極薄 エクスペリア・ワン・マークツー カメラ全体保護(Xperia1II ガラスフィルム/カメラフィルム)</t>
        </is>
      </c>
      <c r="C447" t="inlineStr">
        <is>
          <t>￥1,299</t>
        </is>
      </c>
      <c r="D447" t="inlineStr">
        <is>
          <t>4.9</t>
        </is>
      </c>
      <c r="E447">
        <f>HYPERLINK("https://www.amazon.co.jp/dp/B08C6Y4J5K/ref=sr_1_413?__mk_ja_JP=%E3%82%AB%E3%82%BF%E3%82%AB%E3%83%8A&amp;dchild=1&amp;keywords=Galaxy&amp;qid=1598528510&amp;sr=8-413", "Go")</f>
        <v/>
      </c>
    </row>
    <row r="448">
      <c r="A448" s="1" t="n">
        <v>446</v>
      </c>
      <c r="B448" t="inlineStr">
        <is>
          <t>SUPCASE [ユニコーンビートルプロ] Galaxy Tab A 8.4ケース用に設計され、内蔵スクリーンプロテクター付き 全身頑丈 高耐久ケース Galaxy Tab A 8.4 SM-T307 2020リリース用 (ブラック) ブラック ‘</t>
        </is>
      </c>
      <c r="C448" t="inlineStr">
        <is>
          <t>￥11,946</t>
        </is>
      </c>
      <c r="D448" t="inlineStr">
        <is>
          <t>4.9</t>
        </is>
      </c>
      <c r="E448">
        <f>HYPERLINK("https://www.amazon.co.jp/SUPCASE-%E3%83%A6%E3%83%8B%E3%82%B3%E3%83%BC%E3%83%B3%E3%83%93%E3%83%BC%E3%83%88%E3%83%AB%E3%83%97%E3%83%AD-8-4%E3%82%B1%E3%83%BC%E3%82%B9%E7%94%A8%E3%81%AB%E8%A8%AD%E8%A8%88%E3%81%95%E3%82%8C%E3%80%81%E5%86%85%E8%94%B5%E3%82%B9%E3%82%AF%E3%83%AA%E3%83%BC%E3%83%B3%E3%83%97%E3%83%AD%E3%83%86%E3%82%AF%E3%82%BF%E3%83%BC%E4%BB%98%E3%81%8D-SM-T307-2020%E3%83%AA%E3%83%AA%E3%83%BC%E3%82%B9%E7%94%A8/dp/B088NJZD83/ref=sr_1_414?__mk_ja_JP=%E3%82%AB%E3%82%BF%E3%82%AB%E3%83%8A&amp;dchild=1&amp;keywords=Galaxy&amp;qid=1598528510&amp;sr=8-414", "Go")</f>
        <v/>
      </c>
    </row>
    <row r="449">
      <c r="A449" s="1" t="n">
        <v>447</v>
      </c>
      <c r="B449" t="inlineStr">
        <is>
          <t>Samsung 256 GB Micro SDXC Evo Plus ( mb-mc256ga )バンドルクラス10 UHS - 1 Works with Samsung Galaxy Note 9、s9、s9 +、s8、s7エッジセルPhones with Everything But Stromboli ( TM )カードリーダー</t>
        </is>
      </c>
      <c r="C449" t="inlineStr">
        <is>
          <t>￥13,860</t>
        </is>
      </c>
      <c r="D449" t="inlineStr">
        <is>
          <t>4.8</t>
        </is>
      </c>
      <c r="E449">
        <f>HYPERLINK("https://www.amazon.co.jp/Samsung-256-GB-mb-mc256ga-%E3%83%90%E3%83%B3%E3%83%89%E3%83%AB%E3%82%AF%E3%83%A9%E3%82%B910-UHS-Works/dp/B07FMC2TH9/ref=sr_1_415?__mk_ja_JP=%E3%82%AB%E3%82%BF%E3%82%AB%E3%83%8A&amp;dchild=1&amp;keywords=Galaxy&amp;qid=1598528510&amp;sr=8-415", "Go")</f>
        <v/>
      </c>
    </row>
    <row r="450">
      <c r="A450" s="1" t="n">
        <v>448</v>
      </c>
      <c r="B450" t="inlineStr">
        <is>
          <t>OUKITEL WP5 Pro IP68防水 防塵 耐衝撃 8000mAh アウトドア スマートフォン Android 10.0 4G 5.5インチ スマホ本体 フリーSIMスマートフォン本体 4GBRAM+64GBROM SONY13MP+5MPデュアルAIカメラ アウトドアタフスマホ 携帯電話 防災用品顔・指紋認証ロック解除 1年間保証付き (黒)</t>
        </is>
      </c>
      <c r="C450" t="inlineStr">
        <is>
          <t>￥19,999</t>
        </is>
      </c>
      <c r="D450" t="inlineStr">
        <is>
          <t>4</t>
        </is>
      </c>
      <c r="E450">
        <f>HYPERLINK("https://www.amazon.co.jp/OUKITEL-WP5-%E3%83%95%E3%83%AA%E3%83%BCSIM%E3%82%B9%E3%83%9E%E3%83%BC%E3%83%88%E3%83%95%E3%82%A9%E3%83%B3%E6%9C%AC%E4%BD%93-5MP%E3%83%87%E3%83%A5%E3%82%A2%E3%83%ABAI%E3%82%AB%E3%83%A1%E3%83%A9-%E9%98%B2%E7%81%BD%E7%94%A8%E5%93%81%E9%A1%94%E3%83%BB%E6%8C%87%E7%B4%8B%E8%AA%8D%E8%A8%BC%E3%83%AD%E3%83%83%E3%82%AF%E8%A7%A3%E9%99%A4/dp/B08D3CYSRP/ref=sr_1_416_sspa?__mk_ja_JP=%E3%82%AB%E3%82%BF%E3%82%AB%E3%83%8A&amp;dchild=1&amp;keywords=Galaxy&amp;qid=1598528510&amp;sr=8-416-spons&amp;psc=1&amp;spLa=ZW5jcnlwdGVkUXVhbGlmaWVyPUFTWElDVldCN1U4TzcmZW5jcnlwdGVkSWQ9QTAyOTQzNDIzQzdWOUNJRUc3VjhXJmVuY3J5cHRlZEFkSWQ9QTJGQlRCNkZKNkROODgmd2lkZ2V0TmFtZT1zcF9tdGYmYWN0aW9uPWNsaWNrUmVkaXJlY3QmZG9Ob3RMb2dDbGljaz10cnVl", "Go")</f>
        <v/>
      </c>
    </row>
    <row r="451">
      <c r="A451" s="1" t="n">
        <v>449</v>
      </c>
      <c r="B451" t="inlineStr">
        <is>
          <t>Elegante Tricolor 【Galaxy A7 SM-A750C】 ケース 手帳型 【05.モカネイビー】 カード収納 ミラー付き チャーム付き マグネット内蔵 全6色</t>
        </is>
      </c>
      <c r="C451" t="inlineStr">
        <is>
          <t>￥2,980</t>
        </is>
      </c>
      <c r="D451" t="inlineStr">
        <is>
          <t>4.4</t>
        </is>
      </c>
      <c r="E451">
        <f>HYPERLINK("https://www.amazon.co.jp/Elegante-Tricolor-%E3%80%90Galaxy-%E3%80%9005-%E3%83%A2%E3%82%AB%E3%83%8D%E3%82%A4%E3%83%93%E3%83%BC%E3%80%91-%E3%83%9E%E3%82%B0%E3%83%8D%E3%83%83%E3%83%88%E5%86%85%E8%94%B5/dp/B082CN38R9/ref=sr_1_418_sspa?__mk_ja_JP=%E3%82%AB%E3%82%BF%E3%82%AB%E3%83%8A&amp;dchild=1&amp;keywords=Galaxy&amp;qid=1598528510&amp;sr=8-418-spons&amp;psc=1&amp;spLa=ZW5jcnlwdGVkUXVhbGlmaWVyPUFTWElDVldCN1U4TzcmZW5jcnlwdGVkSWQ9QTAyOTQzNDIzQzdWOUNJRUc3VjhXJmVuY3J5cHRlZEFkSWQ9QTMyWVE1WTBRME9CVFQmd2lkZ2V0TmFtZT1zcF9tdGYmYWN0aW9uPWNsaWNrUmVkaXJlY3QmZG9Ob3RMb2dDbGljaz10cnVl", "Go")</f>
        <v/>
      </c>
    </row>
    <row r="452">
      <c r="A452" s="1" t="n">
        <v>450</v>
      </c>
      <c r="B452" t="inlineStr">
        <is>
          <t>サムスン Galaxy S9 Plus ケース Ringke [Air Prism] 超薄型ケース 柔軟 ソフト 透明 ストラップホール TPU素材 落下防止 衝撃吸収 スマホケース スリム ライト docomo SC-02K au SCV38 (Rose Gold/ローズゴールド)</t>
        </is>
      </c>
      <c r="C452" t="inlineStr">
        <is>
          <t>￥999</t>
        </is>
      </c>
      <c r="D452" t="inlineStr">
        <is>
          <t>4.8</t>
        </is>
      </c>
      <c r="E452">
        <f>HYPERLINK("https://www.amazon.co.jp/Galaxy-Ringke-%E8%B6%85%E8%96%84%E5%9E%8B%E3%82%B1%E3%83%BC%E3%82%B9-%E3%82%B9%E3%83%88%E3%83%A9%E3%83%83%E3%83%97%E3%83%9B%E3%83%BC%E3%83%AB-%E3%83%AD%E3%83%BC%E3%82%BA%E3%82%B4%E3%83%BC%E3%83%AB%E3%83%89/dp/B079YB145J/ref=sr_1_419?__mk_ja_JP=%E3%82%AB%E3%82%BF%E3%82%AB%E3%83%8A&amp;dchild=1&amp;keywords=Galaxy&amp;qid=1598528510&amp;sr=8-419", "Go")</f>
        <v/>
      </c>
    </row>
    <row r="453">
      <c r="A453" s="1" t="n">
        <v>451</v>
      </c>
      <c r="B453" t="inlineStr">
        <is>
          <t>【2020年最新バージョン】3.5mmイヤホン変換ケーブル USB Type C イヤホン変換アダプタ ヘッドフォンジャックアダプタ 音声通話/音量調節/音楽観賞</t>
        </is>
      </c>
      <c r="C453" t="inlineStr">
        <is>
          <t>￥1,093</t>
        </is>
      </c>
      <c r="D453" t="inlineStr">
        <is>
          <t>4.7</t>
        </is>
      </c>
      <c r="E453">
        <f>HYPERLINK("https://www.amazon.co.jp/%E3%80%902020%E5%B9%B4%E6%9C%80%E6%96%B0%E3%83%90%E3%83%BC%E3%82%B8%E3%83%A7%E3%83%B3%E3%80%913-5mm%E3%82%A4%E3%83%A4%E3%83%9B%E3%83%B3%E5%A4%89%E6%8F%9B%E3%82%B1%E3%83%BC%E3%83%96%E3%83%AB-Type-%E3%82%A4%E3%83%A4%E3%83%9B%E3%83%B3%E5%A4%89%E6%8F%9B%E3%82%A2%E3%83%80%E3%83%97%E3%82%BF-%E3%83%98%E3%83%83%E3%83%89%E3%83%95%E3%82%A9%E3%83%B3%E3%82%B8%E3%83%A3%E3%83%83%E3%82%AF%E3%82%A2%E3%83%80%E3%83%97%E3%82%BF-%E9%9F%B3%E5%A3%B0%E9%80%9A%E8%A9%B1/dp/B08BKJ57HK/ref=sr_1_420?__mk_ja_JP=%E3%82%AB%E3%82%BF%E3%82%AB%E3%83%8A&amp;dchild=1&amp;keywords=Galaxy&amp;qid=1598528510&amp;sr=8-420", "Go")</f>
        <v/>
      </c>
    </row>
    <row r="454">
      <c r="A454" s="1" t="n">
        <v>452</v>
      </c>
      <c r="B454" t="inlineStr">
        <is>
          <t>EUASOO USB C - HDMIアダプター 4K@60Hz USB 3.1 Type-C - HDMIアダプター [USB 3.1 Gen2] MacBook Pro 2019/2018/2017 Dell XPS 13/15 Galaxy S10/S9, Surface Book 2、Chromebook Pixelなどに対応</t>
        </is>
      </c>
      <c r="C454" t="inlineStr">
        <is>
          <t>￥4,005</t>
        </is>
      </c>
      <c r="D454" t="inlineStr">
        <is>
          <t>4.6</t>
        </is>
      </c>
      <c r="E454">
        <f>HYPERLINK("https://www.amazon.co.jp/EUASOO-USB-Thunderbolt-S9%E3%80%81Surface-2%E3%80%81Chromebook/dp/B07Y2ZHVN9/ref=sr_1_421?__mk_ja_JP=%E3%82%AB%E3%82%BF%E3%82%AB%E3%83%8A&amp;dchild=1&amp;keywords=Galaxy&amp;qid=1598528510&amp;sr=8-421", "Go")</f>
        <v/>
      </c>
    </row>
    <row r="455">
      <c r="A455" s="1" t="n">
        <v>453</v>
      </c>
      <c r="B455" t="inlineStr">
        <is>
          <t>[2020夏改良] Galaxy S9 SCV38 / SC-02K 保護フィルム s9 液晶保護フィルム ギャラクシー エス ナインフィルム 高鮮明度 3D全面保護 TPU薄い仕様 衝撃緩和 自己治癒機能 日本語貼り付け説明付き 特殊防汚コート ギャラクシー S9 画面フィルム (Galaxy S9, クリア、2枚)</t>
        </is>
      </c>
      <c r="C455" t="inlineStr">
        <is>
          <t>￥1,388</t>
        </is>
      </c>
      <c r="D455" t="inlineStr">
        <is>
          <t>4.8</t>
        </is>
      </c>
      <c r="E455">
        <f>HYPERLINK("https://www.amazon.co.jp/2020%E5%A4%8F%E6%94%B9%E8%89%AF-%E6%B6%B2%E6%99%B6%E4%BF%9D%E8%AD%B7%E3%83%95%E3%82%A3%E3%83%AB%E3%83%A0-%E3%83%8A%E3%82%A4%E3%83%B3%E3%83%95%E3%82%A3%E3%83%AB%E3%83%A0-TPU%E8%96%84%E3%81%84%E4%BB%95%E6%A7%98-%E6%97%A5%E6%9C%AC%E8%AA%9E%E8%B2%BC%E3%82%8A%E4%BB%98%E3%81%91%E8%AA%AC%E6%98%8E%E4%BB%98%E3%81%8D/dp/B08CK7PGCY/ref=sr_1_422?__mk_ja_JP=%E3%82%AB%E3%82%BF%E3%82%AB%E3%83%8A&amp;dchild=1&amp;keywords=Galaxy&amp;qid=1598528510&amp;sr=8-422", "Go")</f>
        <v/>
      </c>
    </row>
    <row r="456">
      <c r="A456" s="1" t="n">
        <v>454</v>
      </c>
      <c r="B456" t="inlineStr">
        <is>
          <t>SAMSUNG GALAXY S20 5G / SM-G981N 128GB / ギャラクシーS20 スマートフォン/SIMフリー / [クロスディル] ケース＆フィルム限定 (Cloud White)</t>
        </is>
      </c>
      <c r="C456" t="inlineStr">
        <is>
          <t>￥6,499</t>
        </is>
      </c>
      <c r="D456" t="inlineStr">
        <is>
          <t>4.8</t>
        </is>
      </c>
      <c r="E456">
        <f>HYPERLINK("https://www.amazon.co.jp/SAMSUNG-GALAXY-SM-G981N-Smartphone-Exclusive/dp/B082XXQDJF/ref=sr_1_423?__mk_ja_JP=%E3%82%AB%E3%82%BF%E3%82%AB%E3%83%8A&amp;dchild=1&amp;keywords=Galaxy&amp;qid=1598528510&amp;sr=8-423", "Go")</f>
        <v/>
      </c>
    </row>
    <row r="457">
      <c r="A457" s="1" t="n">
        <v>455</v>
      </c>
      <c r="B457" t="inlineStr">
        <is>
          <t>キャンバスラップトップ/タブレットスリーブハンドバッグ Samsung 12.2インチ Chromebook Plus/Galaxy Book 12/11.6インチ Chromebook 3 / XIDU PhilBook/Google Pixel Slate/Pixelbook/Acer Chromebook 11用 M グレー NBK252_CE11SS</t>
        </is>
      </c>
      <c r="C457" t="inlineStr">
        <is>
          <t>現在在庫切れです。</t>
        </is>
      </c>
      <c r="D457" t="inlineStr">
        <is>
          <t>4.7</t>
        </is>
      </c>
      <c r="E457">
        <f>HYPERLINK("https://www.amazon.co.jp/%E3%82%AD%E3%83%A3%E3%83%B3%E3%83%90%E3%82%B9%E3%83%8E%E3%83%BC%E3%83%88%E3%83%91%E3%82%BD%E3%82%B3%E3%83%B3-%E3%82%BF%E3%83%96%E3%83%AC%E3%83%83%E3%83%88%E3%82%B9%E3%83%AA%E3%83%BC%E3%83%96%E3%83%8F%E3%83%B3%E3%83%89%E3%83%90%E3%83%83%E3%82%B0-12-2%E3%82%A4%E3%83%B3%E3%83%81Chromebook-12-3%E3%82%A4%E3%83%B3%E3%83%81Chromebook-NBK252_CE11SS/dp/B07MR4YT3L/ref=sr_1_424?__mk_ja_JP=%E3%82%AB%E3%82%BF%E3%82%AB%E3%83%8A&amp;dchild=1&amp;keywords=Galaxy&amp;qid=1598528510&amp;sr=8-424", "Go")</f>
        <v/>
      </c>
    </row>
    <row r="458">
      <c r="A458" s="1" t="n">
        <v>456</v>
      </c>
      <c r="B458" t="inlineStr">
        <is>
          <t>kwmobile 対応: Samsung Galaxy S9 用 ケース - スマホ TPU 保護 ゴージャスリーフデザイン サムスン ギャラクシー</t>
        </is>
      </c>
      <c r="C458" t="inlineStr">
        <is>
          <t>￥780</t>
        </is>
      </c>
      <c r="D458" t="inlineStr">
        <is>
          <t>4.7</t>
        </is>
      </c>
      <c r="E458">
        <f>HYPERLINK("https://www.amazon.co.jp/kwmobile-Samsung-Galaxy-S9-%E3%82%B1%E3%83%BC%E3%82%B9/dp/B07QG1SN8Z/ref=sr_1_425?__mk_ja_JP=%E3%82%AB%E3%82%BF%E3%82%AB%E3%83%8A&amp;dchild=1&amp;keywords=Galaxy&amp;qid=1598528510&amp;sr=8-425", "Go")</f>
        <v/>
      </c>
    </row>
    <row r="459">
      <c r="A459" s="1" t="n">
        <v>457</v>
      </c>
      <c r="B459" t="inlineStr">
        <is>
          <t>Zenoplige LED リングライト 照明用 ライト 外径10in 16モード調色 10段階調光 スマホ ホルダー 三脚 USB 卓上 スタンド リモコン付き youtube/tiktok/自撮り/美容化粧/ビデオカメラ 撮影用 キット</t>
        </is>
      </c>
      <c r="C459" t="inlineStr">
        <is>
          <t>￥2,200</t>
        </is>
      </c>
      <c r="D459" t="inlineStr">
        <is>
          <t>5</t>
        </is>
      </c>
      <c r="E459">
        <f>HYPERLINK("https://www.amazon.co.jp/Zenoplige-%E3%83%AA%E3%83%B3%E3%82%B0%E3%83%A9%E3%82%A4%E3%83%88-%E5%A4%96%E5%BE%8410in-16%E3%83%A2%E3%83%BC%E3%83%89%E8%AA%BF%E8%89%B2-youtube/dp/B087Q8THVR/ref=sr_1_426?__mk_ja_JP=%E3%82%AB%E3%82%BF%E3%82%AB%E3%83%8A&amp;dchild=1&amp;keywords=Galaxy&amp;qid=1598528510&amp;sr=8-426", "Go")</f>
        <v/>
      </c>
    </row>
    <row r="460">
      <c r="A460" s="1" t="n">
        <v>458</v>
      </c>
      <c r="B460" t="inlineStr">
        <is>
          <t>Samsung Galaxy Tab S6 2019用保護軽量カバー ペンシルスロット付き 自動スリープ/スリープ解除 マルチカラー</t>
        </is>
      </c>
      <c r="C460" t="inlineStr">
        <is>
          <t>￥7,117</t>
        </is>
      </c>
      <c r="D460" t="inlineStr">
        <is>
          <t>4.9</t>
        </is>
      </c>
      <c r="E460">
        <f>HYPERLINK("https://www.amazon.co.jp/Samsung-Galaxy-2019%E7%94%A8%E4%BF%9D%E8%AD%B7%E8%BB%BD%E9%87%8F%E3%82%AB%E3%83%90%E3%83%BC-%E3%83%9A%E3%83%B3%E3%82%B7%E3%83%AB%E3%82%B9%E3%83%AD%E3%83%83%E3%83%88%E4%BB%98%E3%81%8D-%E8%87%AA%E5%8B%95%E3%82%B9%E3%83%AA%E3%83%BC%E3%83%97/dp/B07YC5B3XV/ref=sr_1_427?__mk_ja_JP=%E3%82%AB%E3%82%BF%E3%82%AB%E3%83%8A&amp;dchild=1&amp;keywords=Galaxy&amp;qid=1598528510&amp;sr=8-427", "Go")</f>
        <v/>
      </c>
    </row>
    <row r="461">
      <c r="A461" s="1" t="n">
        <v>459</v>
      </c>
      <c r="B461" t="inlineStr">
        <is>
          <t>USB Type Cケーブル 高速充電 2本パック 6.6フィート USB A - C充電器 対応機種: Samsung Galaxy S10 S9 S8 + Note 9 8 Galaxy A20 A30 A50 A70 A80 2019 LG ThinQ G8 G7 G6 G5 V40 V35 V30 丈夫な編組データ同期</t>
        </is>
      </c>
      <c r="C461" t="inlineStr">
        <is>
          <t>￥8,756</t>
        </is>
      </c>
      <c r="D461" t="inlineStr">
        <is>
          <t>4.7</t>
        </is>
      </c>
      <c r="E461">
        <f>HYPERLINK("https://www.amazon.co.jp/Type-C%E3%82%B1%E3%83%BC%E3%83%96%E3%83%AB-%E9%AB%98%E9%80%9F%E5%85%85%E9%9B%BB-2%E6%9C%AC%E3%83%91%E3%83%83%E3%82%AF-6-6%E3%83%95%E3%82%A3%E3%83%BC%E3%83%88/dp/B07WRWWDHQ/ref=sr_1_428?__mk_ja_JP=%E3%82%AB%E3%82%BF%E3%82%AB%E3%83%8A&amp;dchild=1&amp;keywords=Galaxy&amp;qid=1598528510&amp;sr=8-428", "Go")</f>
        <v/>
      </c>
    </row>
    <row r="462">
      <c r="A462" s="1" t="n">
        <v>460</v>
      </c>
      <c r="B462" t="inlineStr">
        <is>
          <t>アンディ・マムUSA大統領12/24V</t>
        </is>
      </c>
      <c r="C462" t="inlineStr">
        <is>
          <t>￥14,159</t>
        </is>
      </c>
      <c r="D462" t="inlineStr">
        <is>
          <t>4.7</t>
        </is>
      </c>
      <c r="E462">
        <f>HYPERLINK("https://www.amazon.co.jp/President-4333168210-%E3%82%A2%E3%83%B3%E3%83%87%E3%82%A3%E3%83%BB%E3%83%9E%E3%83%A0USA%E5%A4%A7%E7%B5%B1%E9%A0%9812-24V/dp/B0758HF7FV/ref=sr_1_429?__mk_ja_JP=%E3%82%AB%E3%82%BF%E3%82%AB%E3%83%8A&amp;dchild=1&amp;keywords=Galaxy&amp;qid=1598528510&amp;sr=8-429", "Go")</f>
        <v/>
      </c>
    </row>
    <row r="463">
      <c r="A463" s="1" t="n">
        <v>461</v>
      </c>
      <c r="B463" t="inlineStr">
        <is>
          <t>Pixel 4 携帯電話ケース Poetic プレミアム ハイブリッド 保護クリアケースバンパーカバー ラギッドケース 軽量 軍事グレード 落下試験済 Affinity Series Google Pixel 4 (2019) 用耐衝撃ケース クリア</t>
        </is>
      </c>
      <c r="C463" t="inlineStr">
        <is>
          <t>￥950</t>
        </is>
      </c>
      <c r="D463" t="inlineStr">
        <is>
          <t>4.7</t>
        </is>
      </c>
      <c r="E463">
        <f>HYPERLINK("https://www.amazon.co.jp/%E6%90%BA%E5%B8%AF%E9%9B%BB%E8%A9%B1%E3%82%B1%E3%83%BC%E3%82%B9-Poetic-%E4%BF%9D%E8%AD%B7%E3%82%AF%E3%83%AA%E3%82%A2%E3%82%B1%E3%83%BC%E3%82%B9%E3%83%90%E3%83%B3%E3%83%91%E3%83%BC%E3%82%AB%E3%83%90%E3%83%BC-%E3%83%A9%E3%82%AE%E3%83%83%E3%83%89%E3%82%B1%E3%83%BC%E3%82%B9-Affinity/dp/B07YYMTXBZ/ref=sr_1_430?__mk_ja_JP=%E3%82%AB%E3%82%BF%E3%82%AB%E3%83%8A&amp;dchild=1&amp;keywords=Galaxy&amp;qid=1598528510&amp;sr=8-430", "Go")</f>
        <v/>
      </c>
    </row>
    <row r="464">
      <c r="A464" s="1" t="n">
        <v>462</v>
      </c>
      <c r="B464" t="inlineStr">
        <is>
          <t>iFace First Class ディズニー ピクサー iPhone XS/X ケース [トイ・ストーリー]</t>
        </is>
      </c>
      <c r="C464" t="inlineStr">
        <is>
          <t>￥3,677</t>
        </is>
      </c>
      <c r="D464" t="inlineStr">
        <is>
          <t>4.7</t>
        </is>
      </c>
      <c r="E464">
        <f>HYPERLINK("https://www.amazon.co.jp/iFace-First-Class-iPhone-%E3%83%88%E3%82%A4%E3%83%BB%E3%82%B9%E3%83%88%E3%83%BC%E3%83%AA%E3%83%BC/dp/B077TLG417/ref=sr_1_431?__mk_ja_JP=%E3%82%AB%E3%82%BF%E3%82%AB%E3%83%8A&amp;dchild=1&amp;keywords=Galaxy&amp;qid=1598528510&amp;sr=8-431", "Go")</f>
        <v/>
      </c>
    </row>
    <row r="465">
      <c r="A465" s="1" t="n">
        <v>463</v>
      </c>
      <c r="B465" t="inlineStr">
        <is>
          <t>【2枚セット】Galaxy A7 2019/2018 フィルム 保護ガラスフィルム 液晶保護 保護シート 耐衝撃 日本製素材旭硝子製 9H硬度 平面対応浮き防止 良質な 気泡なし 気泡ゼロ 3D Touch対応 貼り付け簡単 超薄型 高透過率貼り直しが可能 高感度超耐久【ZKBEET】【2枚セット】Galaxy A7</t>
        </is>
      </c>
      <c r="C465" t="inlineStr">
        <is>
          <t>￥650</t>
        </is>
      </c>
      <c r="D465" t="inlineStr">
        <is>
          <t>4.8</t>
        </is>
      </c>
      <c r="E465">
        <f>HYPERLINK("https://www.amazon.co.jp/%E3%80%902%E6%9E%9A%E3%82%BB%E3%83%83%E3%83%88%E3%80%91Galaxy-%E4%BF%9D%E8%AD%B7%E3%82%AC%E3%83%A9%E3%82%B9%E3%83%95%E3%82%A3%E3%83%AB%E3%83%A0-%E6%97%A5%E6%9C%AC%E8%A3%BD%E7%B4%A0%E6%9D%90%E6%97%AD%E7%A1%9D%E5%AD%90%E8%A3%BD-%E9%AB%98%E9%80%8F%E9%81%8E%E7%8E%87%E8%B2%BC%E3%82%8A%E7%9B%B4%E3%81%97%E3%81%8C%E5%8F%AF%E8%83%BD-%E9%AB%98%E6%84%9F%E5%BA%A6%E8%B6%85%E8%80%90%E4%B9%85%E3%80%90ZKBEET%E3%80%91%E3%80%902%E6%9E%9A%E3%82%BB%E3%83%83%E3%83%88%E3%80%91Galaxy/dp/B08B3LSM8H/ref=sr_1_432?__mk_ja_JP=%E3%82%AB%E3%82%BF%E3%82%AB%E3%83%8A&amp;dchild=1&amp;keywords=Galaxy&amp;qid=1598528510&amp;sr=8-432", "Go")</f>
        <v/>
      </c>
    </row>
    <row r="466">
      <c r="A466" s="1" t="n">
        <v>464</v>
      </c>
      <c r="B466" t="inlineStr">
        <is>
          <t>USB 車載充電器 RAVPower 24W 4.8A メタルデュアルカーアダプター iPhone Xs XS Max XR X 8 7 Plus iPad Pro Air Mini Galaxy S9 S8 S7 S6 Edge Note タブレットなどに対応</t>
        </is>
      </c>
      <c r="C466" t="inlineStr">
        <is>
          <t>￥8,319</t>
        </is>
      </c>
      <c r="D466" t="inlineStr">
        <is>
          <t>4.7</t>
        </is>
      </c>
      <c r="E466">
        <f>HYPERLINK("https://www.amazon.co.jp/RAVPower-%E3%83%A1%E3%82%BF%E3%83%AB%E3%83%87%E3%83%A5%E3%82%A2%E3%83%AB%E3%82%AB%E3%83%BC%E3%82%A2%E3%83%80%E3%83%97%E3%82%BF%E3%83%BC-iPhone-Galaxy-%E3%82%BF%E3%83%96%E3%83%AC%E3%83%83%E3%83%88%E3%81%AA%E3%81%A9%E3%81%AB%E5%AF%BE%E5%BF%9C/dp/B07MV6YTLW/ref=sr_1_433?__mk_ja_JP=%E3%82%AB%E3%82%BF%E3%82%AB%E3%83%8A&amp;dchild=1&amp;keywords=Galaxy&amp;qid=1598528510&amp;sr=8-433", "Go")</f>
        <v/>
      </c>
    </row>
    <row r="467">
      <c r="A467" s="1" t="n">
        <v>465</v>
      </c>
      <c r="B467" t="inlineStr">
        <is>
          <t>Magpul Industries フィールドケース Samsung Galaxy S8 MAG934 ベージュ</t>
        </is>
      </c>
      <c r="C467" t="inlineStr">
        <is>
          <t>￥10,972</t>
        </is>
      </c>
      <c r="D467" t="inlineStr">
        <is>
          <t>4.7</t>
        </is>
      </c>
      <c r="E467">
        <f>HYPERLINK("https://www.amazon.co.jp/Magpul-Industries-%E3%83%95%E3%82%A3%E3%83%BC%E3%83%AB%E3%83%89%E3%82%B1%E3%83%BC%E3%82%B9-Samsung-MAG934%E7%94%A8/dp/B076CVMR6S/ref=sr_1_434?__mk_ja_JP=%E3%82%AB%E3%82%BF%E3%82%AB%E3%83%8A&amp;dchild=1&amp;keywords=Galaxy&amp;qid=1598528510&amp;sr=8-434", "Go")</f>
        <v/>
      </c>
    </row>
    <row r="468">
      <c r="A468" s="1" t="n">
        <v>466</v>
      </c>
      <c r="B468" t="inlineStr">
        <is>
          <t>Galaxy Tab E 9.6 カバー 超スリム軽量 手帳型 かわいい PUレザースマート 財布スタンドケース Samsung Galaxy Tab E 9.6 インチ T560/T561/T565用 白い猫</t>
        </is>
      </c>
      <c r="C468" t="inlineStr">
        <is>
          <t>￥4,299</t>
        </is>
      </c>
      <c r="D468" t="inlineStr">
        <is>
          <t>4.8</t>
        </is>
      </c>
      <c r="E468">
        <f>HYPERLINK("https://www.amazon.co.jp/Galaxy-%E8%B6%85%E3%82%B9%E3%83%AA%E3%83%A0%E8%BB%BD%E9%87%8F-PU%E3%83%AC%E3%82%B6%E3%83%BC%E3%82%B9%E3%83%9E%E3%83%BC%E3%83%88-%E8%B2%A1%E5%B8%83%E3%82%B9%E3%82%BF%E3%83%B3%E3%83%89%E3%82%B1%E3%83%BC%E3%82%B9-Samsung/dp/B07CYGR2TB/ref=sr_1_435?__mk_ja_JP=%E3%82%AB%E3%82%BF%E3%82%AB%E3%83%8A&amp;dchild=1&amp;keywords=Galaxy&amp;qid=1598528510&amp;sr=8-435", "Go")</f>
        <v/>
      </c>
    </row>
    <row r="469">
      <c r="A469" s="1" t="n">
        <v>467</v>
      </c>
      <c r="B469" t="inlineStr">
        <is>
          <t>【2020年度版】スマホスタンド スマホアームスタンド 卓上 タブレット寝ながら スマホスタンド 360°回転 角度調整可能 土台強化 安定性抜群 リビング/寝室/オフィス/キッチン/浴室/旅行に最適 4〜11インチまでの大きさのipad/iPhone/Android多機種対応スタンド</t>
        </is>
      </c>
      <c r="C469" t="inlineStr">
        <is>
          <t>￥1,790</t>
        </is>
      </c>
      <c r="D469" t="inlineStr">
        <is>
          <t>4.7</t>
        </is>
      </c>
      <c r="E469">
        <f>HYPERLINK("https://www.amazon.co.jp/%E3%80%902020%E5%B9%B4%E5%BA%A6%E7%89%88%E3%80%91%E3%82%B9%E3%83%9E%E3%83%9B%E3%82%B9%E3%82%BF%E3%83%B3%E3%83%89-%E3%82%B9%E3%83%9E%E3%83%9B%E3%82%A2%E3%83%BC%E3%83%A0%E3%82%B9%E3%82%BF%E3%83%B3%E3%83%89-%E3%82%BF%E3%83%96%E3%83%AC%E3%83%83%E3%83%88%E5%AF%9D%E3%81%AA%E3%81%8C%E3%82%89-4%E3%80%9C11%E3%82%A4%E3%83%B3%E3%83%81%E3%81%BE%E3%81%A7%E3%81%AE%E5%A4%A7%E3%81%8D%E3%81%95%E3%81%AEipad-Android%E5%A4%9A%E6%A9%9F%E7%A8%AE%E5%AF%BE%E5%BF%9C%E3%82%B9%E3%82%BF%E3%83%B3%E3%83%89/dp/B08BF9TSFY/ref=sr_1_436?__mk_ja_JP=%E3%82%AB%E3%82%BF%E3%82%AB%E3%83%8A&amp;dchild=1&amp;keywords=Galaxy&amp;qid=1598528510&amp;sr=8-436", "Go")</f>
        <v/>
      </c>
    </row>
    <row r="470">
      <c r="A470" s="1" t="n">
        <v>468</v>
      </c>
      <c r="B470" t="inlineStr">
        <is>
          <t>BlissLights Starport USBレーザーライト ナイトライト 星空ライト 雰囲気ライト プレゼント (グリーン)</t>
        </is>
      </c>
      <c r="C470" t="inlineStr">
        <is>
          <t>￥2,158</t>
        </is>
      </c>
      <c r="D470" t="inlineStr">
        <is>
          <t>4.7</t>
        </is>
      </c>
      <c r="E470">
        <f>HYPERLINK("https://www.amazon.co.jp/BlissLights-Starport-USB-%E3%83%AC%E3%83%BC%E3%82%B6%E3%83%BC%E3%83%A9%E3%82%A4%E3%83%88-%E8%B5%A4%E3%80%81%E7%B7%91%E3%80%81%E9%9D%92/dp/B07K5HB6XC/ref=sr_1_437?__mk_ja_JP=%E3%82%AB%E3%82%BF%E3%82%AB%E3%83%8A&amp;dchild=1&amp;keywords=Galaxy&amp;qid=1598528510&amp;sr=8-437", "Go")</f>
        <v/>
      </c>
    </row>
    <row r="471">
      <c r="A471" s="1" t="n">
        <v>469</v>
      </c>
      <c r="B471" t="inlineStr">
        <is>
          <t>NAHAI Galaxy Watchアクティブバンド ソフトシリコン交換用腕時計バンド スポーツストラップ 防水リストバンド Galaxy Watchアクティブスマートウォッチ L S</t>
        </is>
      </c>
      <c r="C471" t="inlineStr">
        <is>
          <t>￥5,581 - ￥9,273</t>
        </is>
      </c>
      <c r="D471" t="inlineStr">
        <is>
          <t>4.7</t>
        </is>
      </c>
      <c r="E471">
        <f>HYPERLINK("https://www.amazon.co.jp/NAHAI-%E3%82%A2%E3%82%AF%E3%83%86%E3%82%A3%E3%83%962%E3%83%90%E3%83%B3%E3%83%89-%E3%82%BD%E3%83%95%E3%83%88%E3%82%B7%E3%83%AA%E3%82%B3%E3%83%B3%E4%BA%A4%E6%8F%9B%E7%94%A8%E3%83%90%E3%83%B3%E3%83%89-%E3%82%B9%E3%83%9D%E3%83%BC%E3%83%84%E3%82%B9%E3%83%88%E3%83%A9%E3%83%83%E3%83%97-%E3%82%B9%E3%83%9E%E3%83%BC%E3%83%88%E3%82%A6%E3%82%A9%E3%83%83%E3%83%81%E7%94%A8/dp/B07RD6SPFP/ref=sr_1_438?__mk_ja_JP=%E3%82%AB%E3%82%BF%E3%82%AB%E3%83%8A&amp;dchild=1&amp;keywords=Galaxy&amp;qid=1598528510&amp;sr=8-438", "Go")</f>
        <v/>
      </c>
    </row>
    <row r="472">
      <c r="A472" s="1" t="n">
        <v>470</v>
      </c>
      <c r="B472" t="inlineStr">
        <is>
          <t>SUNCOON【2020夏最新改良・3枚セット】Galaxy S20 フィルム TPU素材 3D全面保護 Galaxy S20 SC-51A SCG01 フィルム 傷自動修復技術 99％高透過率 隅浮き防止 湾曲対応 ギャラクシー S20 液晶保護フィルム (Galaxy S20)</t>
        </is>
      </c>
      <c r="C472" t="inlineStr">
        <is>
          <t>￥1,399</t>
        </is>
      </c>
      <c r="D472" t="inlineStr">
        <is>
          <t>4.7</t>
        </is>
      </c>
      <c r="E472">
        <f>HYPERLINK("https://www.amazon.co.jp/SUNCOON%E3%80%902020%E5%A4%8F%E6%9C%80%E6%96%B0%E6%94%B9%E8%89%AF%E3%83%BB3%E6%9E%9A%E3%82%BB%E3%83%83%E3%83%88%E3%80%91Galaxy-3D%E5%85%A8%E9%9D%A2%E4%BF%9D%E8%AD%B7-%E5%82%B7%E8%87%AA%E5%8B%95%E4%BF%AE%E5%BE%A9%E6%8A%80%E8%A1%93-99%EF%BC%85%E9%AB%98%E9%80%8F%E9%81%8E%E7%8E%87-%E6%B6%B2%E6%99%B6%E4%BF%9D%E8%AD%B7%E3%83%95%E3%82%A3%E3%83%AB%E3%83%A0/dp/B08D38RCN2/ref=sr_1_439?__mk_ja_JP=%E3%82%AB%E3%82%BF%E3%82%AB%E3%83%8A&amp;dchild=1&amp;keywords=Galaxy&amp;qid=1598528510&amp;sr=8-439", "Go")</f>
        <v/>
      </c>
    </row>
    <row r="473">
      <c r="A473" s="1" t="n">
        <v>471</v>
      </c>
      <c r="B473" t="inlineStr">
        <is>
          <t>SIMカード取り外しツール 11ピース - カードトレイ 取り出しピン 針 カードトレイ ピン取り出し取り外しツール ニードルオープナー エジェクター トレイ取り出しピンエジェクター ニードルピン除去</t>
        </is>
      </c>
      <c r="C473" t="inlineStr">
        <is>
          <t>￥1,328</t>
        </is>
      </c>
      <c r="D473" t="inlineStr">
        <is>
          <t>4.7</t>
        </is>
      </c>
      <c r="E473">
        <f>HYPERLINK("https://www.amazon.co.jp/SIM%E3%82%AB%E3%83%BC%E3%83%89%E5%8F%96%E3%82%8A%E5%A4%96%E3%81%97%E3%83%84%E3%83%BC%E3%83%AB-11%E3%83%94%E3%83%BC%E3%82%B9-%E3%83%94%E3%83%B3%E5%8F%96%E3%82%8A%E5%87%BA%E3%81%97%E5%8F%96%E3%82%8A%E5%A4%96%E3%81%97%E3%83%84%E3%83%BC%E3%83%AB-%E3%83%8B%E3%83%BC%E3%83%89%E3%83%AB%E3%82%AA%E3%83%BC%E3%83%97%E3%83%8A%E3%83%BC-%E3%83%88%E3%83%AC%E3%82%A4%E5%8F%96%E3%82%8A%E5%87%BA%E3%81%97%E3%83%94%E3%83%B3%E3%82%A8%E3%82%B8%E3%82%A7%E3%82%AF%E3%82%BF%E3%83%BC/dp/B07W6Z9NYM/ref=sr_1_440?__mk_ja_JP=%E3%82%AB%E3%82%BF%E3%82%AB%E3%83%8A&amp;dchild=1&amp;keywords=Galaxy&amp;qid=1598528510&amp;sr=8-440", "Go")</f>
        <v/>
      </c>
    </row>
    <row r="474">
      <c r="A474" s="1" t="n">
        <v>472</v>
      </c>
      <c r="B474" t="inlineStr">
        <is>
          <t>Smart Bamboo ワイヤレス&amp;USB充電ステーション 複数のデバイス用 高速充電ドッキングステーションオーガナイザー USBポート7つとワイヤレス充電パッド1つ付き iPhone iPad iWatch Android Phone&amp;タブレット用</t>
        </is>
      </c>
      <c r="C474" t="inlineStr">
        <is>
          <t>￥3,499</t>
        </is>
      </c>
      <c r="D474" t="inlineStr">
        <is>
          <t>4.7</t>
        </is>
      </c>
      <c r="E474">
        <f>HYPERLINK("https://www.amazon.co.jp/USB%E5%85%85%E9%9B%BB%E3%82%B9%E3%83%86%E3%83%BC%E3%82%B7%E3%83%A7%E3%83%B3-%E8%A4%87%E6%95%B0%E3%81%AE%E3%83%87%E3%83%90%E3%82%A4%E3%82%B9%E7%94%A8-%E9%AB%98%E9%80%9F%E5%85%85%E9%9B%BB%E3%83%89%E3%83%83%E3%82%AD%E3%83%B3%E3%82%B0%E3%82%B9%E3%83%86%E3%83%BC%E3%82%B7%E3%83%A7%E3%83%B3%E3%82%AA%E3%83%BC%E3%82%AC%E3%83%8A%E3%82%A4%E3%82%B6%E3%83%BC-USB%E3%83%9D%E3%83%BC%E3%83%887%E3%81%A4%E3%81%A8%E3%83%AF%E3%82%A4%E3%83%A4%E3%83%AC%E3%82%B9%E5%85%85%E9%9B%BB%E3%83%91%E3%83%83%E3%83%891%E3%81%A4%E4%BB%98%E3%81%8D-Android/dp/B07VPCSYFF/ref=sr_1_441?__mk_ja_JP=%E3%82%AB%E3%82%BF%E3%82%AB%E3%83%8A&amp;dchild=1&amp;keywords=Galaxy&amp;qid=1598528510&amp;sr=8-441", "Go")</f>
        <v/>
      </c>
    </row>
    <row r="475">
      <c r="A475" s="1" t="n">
        <v>473</v>
      </c>
      <c r="B475" t="inlineStr">
        <is>
          <t>USB Type Cケーブル USB認定 Type Cケーブル USB C - USB A充電器 5パック 2x3フィート 2x6フィート 10フィート ナイロン編組高速充電コード Samsung Galaxy S10 S9 LG G6 Pixel XL Note 9/8用 ブラック ホワイト</t>
        </is>
      </c>
      <c r="C475" t="inlineStr">
        <is>
          <t>￥11,654</t>
        </is>
      </c>
      <c r="D475" t="inlineStr">
        <is>
          <t>4.7</t>
        </is>
      </c>
      <c r="E475">
        <f>HYPERLINK("https://www.amazon.co.jp/USB-Type-C%E3%82%B1%E3%83%BC%E3%83%96%E3%83%AB-USB%E8%AA%8D%E5%AE%9A-%E3%83%8A%E3%82%A4%E3%83%AD%E3%83%B3%E7%B7%A8%E7%B5%84%E9%AB%98%E9%80%9F%E5%85%85%E9%9B%BB%E3%82%B3%E3%83%BC%E3%83%89/dp/B084ZFPKD3/ref=sr_1_442?__mk_ja_JP=%E3%82%AB%E3%82%BF%E3%82%AB%E3%83%8A&amp;dchild=1&amp;keywords=Galaxy&amp;qid=1598528510&amp;sr=8-442", "Go")</f>
        <v/>
      </c>
    </row>
    <row r="476">
      <c r="A476" s="1" t="n">
        <v>474</v>
      </c>
      <c r="B476" t="inlineStr">
        <is>
          <t>ALLDOCUBE iPlay 7TタブレットPC、Android 9.0、デュアルSIM LTE対応、6.98インチ1280×720 IPS、2GB RAM 16GB ROM、デュアルカメラ、WIFI、GPS、USB、Type-C</t>
        </is>
      </c>
      <c r="C476" t="inlineStr">
        <is>
          <t>￥9,000</t>
        </is>
      </c>
      <c r="D476" t="inlineStr">
        <is>
          <t>4.2</t>
        </is>
      </c>
      <c r="E476">
        <f>HYPERLINK("https://www.amazon.co.jp/ALLDOCUBE-7T%E3%82%BF%E3%83%96%E3%83%AC%E3%83%83%E3%83%88PC%E3%80%81Android-9-0%E3%80%81%E3%83%87%E3%83%A5%E3%82%A2%E3%83%ABSIM-LTE%E5%AF%BE%E5%BF%9C%E3%80%816-98%E3%82%A4%E3%83%B3%E3%83%811280%C3%97720-ROM%E3%80%81%E3%83%87%E3%83%A5%E3%82%A2%E3%83%AB%E3%82%AB%E3%83%A1%E3%83%A9%E3%80%81WIFI%E3%80%81GPS%E3%80%81USB%E3%80%81Type-C/dp/B085L78SLQ/ref=sr_1_433_sspa?__mk_ja_JP=%E3%82%AB%E3%82%BF%E3%82%AB%E3%83%8A&amp;dchild=1&amp;keywords=Galaxy&amp;qid=1598528792&amp;sr=8-433-spons&amp;psc=1&amp;spLa=ZW5jcnlwdGVkUXVhbGlmaWVyPUExTERSR0xOWTY2NUZUJmVuY3J5cHRlZElkPUEwNjY5NTE0MTUzUkpUWFBTMFlVQSZlbmNyeXB0ZWRBZElkPUFQVkMxQzlPR1E2RTkmd2lkZ2V0TmFtZT1zcF9hdGZfbmV4dCZhY3Rpb249Y2xpY2tSZWRpcmVjdCZkb05vdExvZ0NsaWNrPXRydWU=", "Go")</f>
        <v/>
      </c>
    </row>
    <row r="477">
      <c r="A477" s="1" t="n">
        <v>475</v>
      </c>
      <c r="B477" t="inlineStr">
        <is>
          <t>LUDOS ULTRA イヤホン 有線 高音質 カナル型イヤホン ハイレゾイヤフォン 重低音 マイク付き リモコン 通話可能 音量調整 音漏れ防止 iPhone/Huawei/Samsung/PC対応</t>
        </is>
      </c>
      <c r="C477" t="inlineStr">
        <is>
          <t>￥1,697</t>
        </is>
      </c>
      <c r="D477" t="inlineStr">
        <is>
          <t>4.1</t>
        </is>
      </c>
      <c r="E477">
        <f>HYPERLINK("https://www.amazon.co.jp/%E3%82%AB%E3%83%8A%E3%83%AB%E5%9E%8B%E3%82%A4%E3%83%A4%E3%83%9B%E3%83%B3-%E3%83%8F%E3%82%A4%E3%83%AC%E3%82%BE%E3%82%A4%E3%83%A4%E3%83%95%E3%82%A9%E3%83%B3-iPhone-Huawei-Samsung/dp/B07ZVDH3X3/ref=sr_1_434_sspa?__mk_ja_JP=%E3%82%AB%E3%82%BF%E3%82%AB%E3%83%8A&amp;dchild=1&amp;keywords=Galaxy&amp;qid=1598528792&amp;sr=8-434-spons&amp;psc=1&amp;spLa=ZW5jcnlwdGVkUXVhbGlmaWVyPUExTERSR0xOWTY2NUZUJmVuY3J5cHRlZElkPUEwNjY5NTE0MTUzUkpUWFBTMFlVQSZlbmNyeXB0ZWRBZElkPUFDUkhNUU5OOUNIWDImd2lkZ2V0TmFtZT1zcF9hdGZfbmV4dCZhY3Rpb249Y2xpY2tSZWRpcmVjdCZkb05vdExvZ0NsaWNrPXRydWU=", "Go")</f>
        <v/>
      </c>
    </row>
    <row r="478">
      <c r="A478" s="1" t="n">
        <v>476</v>
      </c>
      <c r="B478" t="inlineStr">
        <is>
          <t>Shron Galaxy A7 2018 ケース PC材質で作られており,全面保護 指紋防止レンズ保護,Samsung Galaxy A7 2018 ケース 薄型 おしゃれ かっこいい(青)</t>
        </is>
      </c>
      <c r="C478" t="inlineStr">
        <is>
          <t>￥900</t>
        </is>
      </c>
      <c r="D478" t="inlineStr">
        <is>
          <t>4.4</t>
        </is>
      </c>
      <c r="E478">
        <f>HYPERLINK("https://www.amazon.co.jp/Shron-Galaxy-PC%E6%9D%90%E8%B3%AA%E3%81%A7%E4%BD%9C%E3%82%89%E3%82%8C%E3%81%A6%E3%81%8A%E3%82%8A-%E6%8C%87%E7%B4%8B%E9%98%B2%E6%AD%A2%E3%83%AC%E3%83%B3%E3%82%BA%E4%BF%9D%E8%AD%B7-Samsung/dp/B08BFKH8D1/ref=sr_1_435_sspa?__mk_ja_JP=%E3%82%AB%E3%82%BF%E3%82%AB%E3%83%8A&amp;dchild=1&amp;keywords=Galaxy&amp;qid=1598528792&amp;sr=8-435-spons&amp;psc=1&amp;spLa=ZW5jcnlwdGVkUXVhbGlmaWVyPUExTERSR0xOWTY2NUZUJmVuY3J5cHRlZElkPUEwNjY5NTE0MTUzUkpUWFBTMFlVQSZlbmNyeXB0ZWRBZElkPUExSDRCUzBHT0ZWVTRZJndpZGdldE5hbWU9c3BfYXRmX25leHQmYWN0aW9uPWNsaWNrUmVkaXJlY3QmZG9Ob3RMb2dDbGljaz10cnVl", "Go")</f>
        <v/>
      </c>
    </row>
    <row r="479">
      <c r="A479" s="1" t="n">
        <v>477</v>
      </c>
      <c r="B479" t="inlineStr">
        <is>
          <t>スマートウォッチ GPS内蔵 コンパス 方位磁針 搭載 高度計連携 気圧計装備 万歩計 スマートバンド ブレスレット Smart watch メンズ レディース 男女兼用 腕時計 スマートブレスレット 歩数計 心拍計 睡眠モニタリング付き 日本語対応 IP67防水 女性スマートスポーツウォッチ iOS Android兼用</t>
        </is>
      </c>
      <c r="C479" t="inlineStr">
        <is>
          <t>￥5,999</t>
        </is>
      </c>
      <c r="D479" t="inlineStr">
        <is>
          <t>4.1</t>
        </is>
      </c>
      <c r="E479">
        <f>HYPERLINK("https://www.amazon.co.jp/%E3%82%B9%E3%83%9E%E3%83%BC%E3%83%88%E3%82%A6%E3%82%A9%E3%83%83%E3%83%81-%E3%82%B9%E3%83%9E%E3%83%BC%E3%83%88%E3%83%96%E3%83%AC%E3%82%B9%E3%83%AC%E3%83%83%E3%83%88-%E7%9D%A1%E7%9C%A0%E3%83%A2%E3%83%8B%E3%82%BF%E3%83%AA%E3%83%B3%E3%82%B0%E4%BB%98%E3%81%8D-%E5%A5%B3%E6%80%A7%E3%82%B9%E3%83%9E%E3%83%BC%E3%83%88%E3%82%B9%E3%83%9D%E3%83%BC%E3%83%84%E3%82%A6%E3%82%A9%E3%83%83%E3%83%81-Android%E5%85%BC%E7%94%A8/dp/B083FLPY8Q/ref=sr_1_436_sspa?__mk_ja_JP=%E3%82%AB%E3%82%BF%E3%82%AB%E3%83%8A&amp;dchild=1&amp;keywords=Galaxy&amp;qid=1598528792&amp;sr=8-436-spons&amp;psc=1&amp;spLa=ZW5jcnlwdGVkUXVhbGlmaWVyPUExTERSR0xOWTY2NUZUJmVuY3J5cHRlZElkPUEwNjY5NTE0MTUzUkpUWFBTMFlVQSZlbmNyeXB0ZWRBZElkPUEzODBZRkIwMFhTOFo0JndpZGdldE5hbWU9c3BfYXRmX25leHQmYWN0aW9uPWNsaWNrUmVkaXJlY3QmZG9Ob3RMb2dDbGljaz10cnVl", "Go")</f>
        <v/>
      </c>
    </row>
    <row r="480">
      <c r="A480" s="1" t="n">
        <v>478</v>
      </c>
      <c r="B480" t="inlineStr">
        <is>
          <t>SIMカード取り外しツール 11ピース - カードトレイ 取り出しピン 針 カードトレイ ピン取り出し取り外しツール ニードルオープナー エジェクター トレイ取り出しピンエジェクター ニードルピン除去</t>
        </is>
      </c>
      <c r="C480" t="inlineStr">
        <is>
          <t>￥1,328</t>
        </is>
      </c>
      <c r="D480" t="inlineStr">
        <is>
          <t>4.7</t>
        </is>
      </c>
      <c r="E480">
        <f>HYPERLINK("https://www.amazon.co.jp/SIM%E3%82%AB%E3%83%BC%E3%83%89%E5%8F%96%E3%82%8A%E5%A4%96%E3%81%97%E3%83%84%E3%83%BC%E3%83%AB-11%E3%83%94%E3%83%BC%E3%82%B9-%E3%83%94%E3%83%B3%E5%8F%96%E3%82%8A%E5%87%BA%E3%81%97%E5%8F%96%E3%82%8A%E5%A4%96%E3%81%97%E3%83%84%E3%83%BC%E3%83%AB-%E3%83%8B%E3%83%BC%E3%83%89%E3%83%AB%E3%82%AA%E3%83%BC%E3%83%97%E3%83%8A%E3%83%BC-%E3%83%88%E3%83%AC%E3%82%A4%E5%8F%96%E3%82%8A%E5%87%BA%E3%81%97%E3%83%94%E3%83%B3%E3%82%A8%E3%82%B8%E3%82%A7%E3%82%AF%E3%82%BF%E3%83%BC/dp/B07W6Z9NYM/ref=sr_1_437?__mk_ja_JP=%E3%82%AB%E3%82%BF%E3%82%AB%E3%83%8A&amp;dchild=1&amp;keywords=Galaxy&amp;qid=1598528792&amp;sr=8-437", "Go")</f>
        <v/>
      </c>
    </row>
    <row r="481">
      <c r="A481" s="1" t="n">
        <v>479</v>
      </c>
      <c r="B481" t="inlineStr">
        <is>
          <t>Smart Bamboo ワイヤレス&amp;USB充電ステーション 複数のデバイス用 高速充電ドッキングステーションオーガナイザー USBポート7つとワイヤレス充電パッド1つ付き iPhone iPad iWatch Android Phone&amp;タブレット用</t>
        </is>
      </c>
      <c r="C481" t="inlineStr">
        <is>
          <t>￥3,499</t>
        </is>
      </c>
      <c r="D481" t="inlineStr">
        <is>
          <t>4.7</t>
        </is>
      </c>
      <c r="E481">
        <f>HYPERLINK("https://www.amazon.co.jp/USB%E5%85%85%E9%9B%BB%E3%82%B9%E3%83%86%E3%83%BC%E3%82%B7%E3%83%A7%E3%83%B3-%E8%A4%87%E6%95%B0%E3%81%AE%E3%83%87%E3%83%90%E3%82%A4%E3%82%B9%E7%94%A8-%E9%AB%98%E9%80%9F%E5%85%85%E9%9B%BB%E3%83%89%E3%83%83%E3%82%AD%E3%83%B3%E3%82%B0%E3%82%B9%E3%83%86%E3%83%BC%E3%82%B7%E3%83%A7%E3%83%B3%E3%82%AA%E3%83%BC%E3%82%AC%E3%83%8A%E3%82%A4%E3%82%B6%E3%83%BC-USB%E3%83%9D%E3%83%BC%E3%83%887%E3%81%A4%E3%81%A8%E3%83%AF%E3%82%A4%E3%83%A4%E3%83%AC%E3%82%B9%E5%85%85%E9%9B%BB%E3%83%91%E3%83%83%E3%83%891%E3%81%A4%E4%BB%98%E3%81%8D-Android/dp/B07VPCSYFF/ref=sr_1_438?__mk_ja_JP=%E3%82%AB%E3%82%BF%E3%82%AB%E3%83%8A&amp;dchild=1&amp;keywords=Galaxy&amp;qid=1598528792&amp;sr=8-438", "Go")</f>
        <v/>
      </c>
    </row>
    <row r="482">
      <c r="A482" s="1" t="n">
        <v>480</v>
      </c>
      <c r="B482" t="inlineStr">
        <is>
          <t>【30000mAh &amp; 3ケーブル内蔵 &amp; PSE認証済】 ソーラー モバイルバッテリー 大容量 急速充電 4台同時充電(Lightning+MicroUSB+Type-Cケーブル+USB出力ポート) 3way蓄電 ソーラーチャージャー モバイルバッテリー 2個LEDライト付き ソーラー充電器 スマホ充電器 防水 耐衝撃 防災グッズ 災害/旅行/アウトドア用 iPhone/iPad/Android各種他対応 DeliToo (レッド)</t>
        </is>
      </c>
      <c r="C482" t="inlineStr">
        <is>
          <t>￥3,780</t>
        </is>
      </c>
      <c r="D482" t="inlineStr">
        <is>
          <t>4.7</t>
        </is>
      </c>
      <c r="E482">
        <f>HYPERLINK("https://www.amazon.co.jp/Type-C%E3%82%B1%E3%83%BC%E3%83%96%E3%83%AB-%E3%82%BD%E3%83%BC%E3%83%A9%E3%83%BC%E3%83%81%E3%83%A3%E3%83%BC%E3%82%B8%E3%83%A3%E3%83%BC-2%E5%80%8BLED%E3%83%A9%E3%82%A4%E3%83%88%E4%BB%98%E3%81%8D-Android%E5%90%84%E7%A8%AE%E4%BB%96%E5%AF%BE%E5%BF%9C-DeliToo/dp/B08DKW86FH/ref=sr_1_439?__mk_ja_JP=%E3%82%AB%E3%82%BF%E3%82%AB%E3%83%8A&amp;dchild=1&amp;keywords=Galaxy&amp;qid=1598528792&amp;sr=8-439", "Go")</f>
        <v/>
      </c>
    </row>
    <row r="483">
      <c r="A483" s="1" t="n">
        <v>481</v>
      </c>
      <c r="B483" t="inlineStr">
        <is>
          <t>MICTUNING 電源ソケット USBポート2　USB接続通信パネル　スマホ充電器　USB電源 スイッチホ ール USBカーチャージャー 2.1A急速充電</t>
        </is>
      </c>
      <c r="C483" t="inlineStr">
        <is>
          <t>￥1,599</t>
        </is>
      </c>
      <c r="D483" t="inlineStr">
        <is>
          <t>4.7</t>
        </is>
      </c>
      <c r="E483">
        <f>HYPERLINK("https://www.amazon.co.jp/MICTUNING-%E9%9B%BB%E6%BA%90%E3%82%BD%E3%82%B1%E3%83%83%E3%83%88-USB%E3%83%9D%E3%83%BC%E3%83%882-USB%E6%8E%A5%E7%B6%9A%E9%80%9A%E4%BF%A1%E3%83%91%E3%83%8D%E3%83%AB-%E3%82%B9%E3%83%9E%E3%83%9B%E5%85%85%E9%9B%BB%E5%99%A8-USB%E9%9B%BB%E6%BA%90-USB%E3%82%AB%E3%83%BC%E3%83%81%E3%83%A3%E3%83%BC%E3%82%B8%E3%83%A3%E3%83%BC-2-1A%E6%80%A5%E9%80%9F%E5%85%85%E9%9B%BB/dp/B076D8CQYV/ref=sr_1_440?__mk_ja_JP=%E3%82%AB%E3%82%BF%E3%82%AB%E3%83%8A&amp;dchild=1&amp;keywords=Galaxy&amp;qid=1598528792&amp;sr=8-440", "Go")</f>
        <v/>
      </c>
    </row>
    <row r="484">
      <c r="A484" s="1" t="n">
        <v>482</v>
      </c>
      <c r="B484" t="inlineStr">
        <is>
          <t>Galaxy A20 SCV46 ケース [デザイン:1.スパイダーマン/クリアケース] マーベル marvel グッズ ハード スマホケース カバー ギャラクシーa20 galaxya20 scv46</t>
        </is>
      </c>
      <c r="C484" t="inlineStr">
        <is>
          <t>￥2,280</t>
        </is>
      </c>
      <c r="D484" t="inlineStr">
        <is>
          <t>4.8</t>
        </is>
      </c>
      <c r="E484">
        <f>HYPERLINK("https://www.amazon.co.jp/Galaxy-A20-SCV46-%E3%82%B1%E3%83%BC%E3%82%B9-%E3%83%87%E3%82%B6%E3%82%A4%E3%83%B3/dp/B081HVT8ZW/ref=sr_1_441?__mk_ja_JP=%E3%82%AB%E3%82%BF%E3%82%AB%E3%83%8A&amp;dchild=1&amp;keywords=Galaxy&amp;qid=1598528792&amp;sr=8-441", "Go")</f>
        <v/>
      </c>
    </row>
    <row r="485">
      <c r="A485" s="1" t="n">
        <v>483</v>
      </c>
      <c r="B485" t="inlineStr">
        <is>
          <t>CHOETECH USB C充電器 18W 電源デリバリー USB-Cウォールチャージャー タイプC 高速充電アダプター 対応機種: iPhone 11/11 Pro/11 Pro Max/X/XS/XS Max/XR、iPad Pro、Galaxy Note 10+/Note 10、Google Pixel 4。</t>
        </is>
      </c>
      <c r="C485" t="inlineStr">
        <is>
          <t>￥5,908</t>
        </is>
      </c>
      <c r="D485" t="inlineStr">
        <is>
          <t>4.7</t>
        </is>
      </c>
      <c r="E485">
        <f>HYPERLINK("https://www.amazon.co.jp/CHOETECH-C%E5%85%85%E9%9B%BB%E5%99%A8-%E9%9B%BB%E6%BA%90%E3%83%87%E3%83%AA%E3%83%90%E3%83%AA%E3%83%BC-USB-C%E3%82%A6%E3%82%A9%E3%83%BC%E3%83%AB%E3%83%81%E3%83%A3%E3%83%BC%E3%82%B8%E3%83%A3%E3%83%BC-%E9%AB%98%E9%80%9F%E5%85%85%E9%9B%BB%E3%82%A2%E3%83%80%E3%83%97%E3%82%BF%E3%83%BC/dp/B084Q54F5Y/ref=sr_1_442?__mk_ja_JP=%E3%82%AB%E3%82%BF%E3%82%AB%E3%83%8A&amp;dchild=1&amp;keywords=Galaxy&amp;qid=1598528792&amp;sr=8-442", "Go")</f>
        <v/>
      </c>
    </row>
    <row r="486">
      <c r="A486" s="1" t="n">
        <v>484</v>
      </c>
      <c r="B486" t="inlineStr">
        <is>
          <t>Choetech USB-C 急速充電器 【61W GaN (窒化ガリウム)採用/ Power Delivery3.0対応 PSE認証済】折畳式 USB PD充電器 超小型 軽量 USB Type C 充電器 MacBook Pro、iPad Pro、iPhone 11/11 Pro/11 Pro Max / XS/ XS Max / XR / X / SE（第2世代）/、GalaxyS10、Xperia XZ2、Nintendo Switch その他USB-C機器対応 ブラック</t>
        </is>
      </c>
      <c r="C486" t="inlineStr">
        <is>
          <t>￥3,699</t>
        </is>
      </c>
      <c r="D486" t="inlineStr">
        <is>
          <t>4.7</t>
        </is>
      </c>
      <c r="E486">
        <f>HYPERLINK("https://www.amazon.co.jp/dp/B084GTTTWG/ref=sr_1_443?__mk_ja_JP=%E3%82%AB%E3%82%BF%E3%82%AB%E3%83%8A&amp;dchild=1&amp;keywords=Galaxy&amp;qid=1598528792&amp;sr=8-443", "Go")</f>
        <v/>
      </c>
    </row>
    <row r="487">
      <c r="A487" s="1" t="n">
        <v>485</v>
      </c>
      <c r="B487" t="inlineStr">
        <is>
          <t>SIMカードトレイ 8個パック 取り出しピンツール 取り外しツール イジェクター ピンニードル クリーニングクロス4枚付き iPhoneモデル、iPad、iPods、Samsung Galaxy Note/S/Edge/Jシリーズ、HTC電話モデルに対応</t>
        </is>
      </c>
      <c r="C487" t="inlineStr">
        <is>
          <t>￥1,298</t>
        </is>
      </c>
      <c r="D487" t="inlineStr">
        <is>
          <t>4.7</t>
        </is>
      </c>
      <c r="E487">
        <f>HYPERLINK("https://www.amazon.co.jp/SIM%E3%82%AB%E3%83%BC%E3%83%89%E3%83%88%E3%83%AC%E3%82%A4-%E5%8F%96%E3%82%8A%E5%87%BA%E3%81%97%E3%83%94%E3%83%B3%E3%83%84%E3%83%BC%E3%83%AB-%E3%82%AF%E3%83%AA%E3%83%BC%E3%83%8B%E3%83%B3%E3%82%B0%E3%82%AF%E3%83%AD%E3%82%B94%E6%9E%9A%E4%BB%98%E3%81%8D-iPhone%E3%83%A2%E3%83%87%E3%83%AB%E3%80%81iPad%E3%80%81iPods%E3%80%81Samsung-J%E3%82%B7%E3%83%AA%E3%83%BC%E3%82%BA%E3%80%81HTC%E9%9B%BB%E8%A9%B1%E3%83%A2%E3%83%87%E3%83%AB%E3%81%AB%E5%AF%BE%E5%BF%9C/dp/B07Z646THT/ref=sr_1_444?__mk_ja_JP=%E3%82%AB%E3%82%BF%E3%82%AB%E3%83%8A&amp;dchild=1&amp;keywords=Galaxy&amp;qid=1598528792&amp;sr=8-444", "Go")</f>
        <v/>
      </c>
    </row>
    <row r="488">
      <c r="A488" s="1" t="n">
        <v>486</v>
      </c>
      <c r="B488" t="inlineStr">
        <is>
          <t>イヤホン イヤフォン ハイレゾ 高音質 重低音 有線イヤフォン マイク付き カナル型 イヤホン ステレオイヤフォン インナーイヤー型 音漏れ防止 軽量 クリア通話 iPhone iPad PC Android 赤</t>
        </is>
      </c>
      <c r="C488" t="inlineStr">
        <is>
          <t>￥1,299</t>
        </is>
      </c>
      <c r="D488" t="inlineStr">
        <is>
          <t>4.7</t>
        </is>
      </c>
      <c r="E488">
        <f>HYPERLINK("https://www.amazon.co.jp/%E6%9C%89%E7%B7%9A%E3%82%A4%E3%83%A4%E3%83%95%E3%82%A9%E3%83%B3-%E3%82%B9%E3%83%86%E3%83%AC%E3%82%AA%E3%82%A4%E3%83%A4%E3%83%95%E3%82%A9%E3%83%B3-%E3%82%A4%E3%83%B3%E3%83%8A%E3%83%BC%E3%82%A4%E3%83%A4%E3%83%BC%E5%9E%8B-iPhone-Android/dp/B0882VWBMJ/ref=sr_1_445?__mk_ja_JP=%E3%82%AB%E3%82%BF%E3%82%AB%E3%83%8A&amp;dchild=1&amp;keywords=Galaxy&amp;qid=1598528792&amp;sr=8-445", "Go")</f>
        <v/>
      </c>
    </row>
    <row r="489">
      <c r="A489" s="1" t="n">
        <v>487</v>
      </c>
      <c r="B489" t="inlineStr">
        <is>
          <t>Sandisk ( サンディスク ) 64GB ULTRA microSD ( R=100MB/s ) SDアダプタ付き SDSQUAR-064G-GN6MA ［ 海外パッケージ ］</t>
        </is>
      </c>
      <c r="C489" t="inlineStr">
        <is>
          <t>￥1,698</t>
        </is>
      </c>
      <c r="D489" t="inlineStr">
        <is>
          <t>4.6</t>
        </is>
      </c>
      <c r="E489">
        <f>HYPERLINK("https://www.amazon.co.jp/%E3%82%B5%E3%83%B3%E3%83%87%E3%82%A3%E3%82%B9%E3%82%AF-SDSQUAR-064G-GN6MA-Sandisk-Ultra-64GB/dp/B073JYVKNX/ref=sr_1_446?__mk_ja_JP=%E3%82%AB%E3%82%BF%E3%82%AB%E3%83%8A&amp;dchild=1&amp;keywords=Galaxy&amp;qid=1598528792&amp;sr=8-446", "Go")</f>
        <v/>
      </c>
    </row>
    <row r="490">
      <c r="A490" s="1" t="n">
        <v>488</v>
      </c>
      <c r="B490" t="inlineStr">
        <is>
          <t>SanDisk microSDHC 98MB/s 32GB Ultra SD変換アダプター付属 サンディスク SDSQUAR-032G 海外パッケージ品 [並行輸入品]</t>
        </is>
      </c>
      <c r="C490" t="inlineStr">
        <is>
          <t>￥1,320</t>
        </is>
      </c>
      <c r="D490" t="inlineStr">
        <is>
          <t>4.6</t>
        </is>
      </c>
      <c r="E490">
        <f>HYPERLINK("https://www.amazon.co.jp/SanDisk-microSDHC-SD%E5%A4%89%E6%8F%9B%E3%82%A2%E3%83%80%E3%83%97%E3%82%BF%E3%83%BC%E4%BB%98%E5%B1%9E-SDSQUAR-032G-%E6%B5%B7%E5%A4%96%E3%83%91%E3%83%83%E3%82%B1%E3%83%BC%E3%82%B8%E5%93%81/dp/B073JWXGNT/ref=sr_1_447?__mk_ja_JP=%E3%82%AB%E3%82%BF%E3%82%AB%E3%83%8A&amp;dchild=1&amp;keywords=Galaxy&amp;qid=1598528792&amp;sr=8-447", "Go")</f>
        <v/>
      </c>
    </row>
    <row r="491">
      <c r="A491" s="1" t="n">
        <v>489</v>
      </c>
      <c r="B491" t="inlineStr">
        <is>
          <t>SDSDQUAN-032G-G4A</t>
        </is>
      </c>
      <c r="C491" t="inlineStr">
        <is>
          <t>￥2,500</t>
        </is>
      </c>
      <c r="D491" t="inlineStr">
        <is>
          <t>4.6</t>
        </is>
      </c>
      <c r="E491">
        <f>HYPERLINK("https://www.amazon.co.jp/%E3%82%B5%E3%83%B3%E3%83%87%E3%82%A3%E3%82%B9%E3%82%AF-SDSDQUAN-032G-G4A/dp/B00M55C0NS/ref=sr_1_448?__mk_ja_JP=%E3%82%AB%E3%82%BF%E3%82%AB%E3%83%8A&amp;dchild=1&amp;keywords=Galaxy&amp;qid=1598528792&amp;sr=8-448", "Go")</f>
        <v/>
      </c>
    </row>
    <row r="492">
      <c r="A492" s="1" t="n">
        <v>490</v>
      </c>
      <c r="B492" t="inlineStr">
        <is>
          <t>Elegante Tricolor 【Galaxy A7 SM-A750C】 ケース 手帳型 【01.マカロンモーヴ】 カード収納 ミラー付き チャーム付き マグネット内蔵 全6色</t>
        </is>
      </c>
      <c r="C492" t="inlineStr">
        <is>
          <t>￥2,980</t>
        </is>
      </c>
      <c r="D492" t="inlineStr">
        <is>
          <t>4.4</t>
        </is>
      </c>
      <c r="E492">
        <f>HYPERLINK("https://www.amazon.co.jp/Elegante-Tricolor-%E3%80%90Galaxy-%E3%80%9001-%E3%83%9E%E3%82%AB%E3%83%AD%E3%83%B3%E3%83%A2%E3%83%BC%E3%83%B4%E3%80%91-%E3%83%9E%E3%82%B0%E3%83%8D%E3%83%83%E3%83%88%E5%86%85%E8%94%B5/dp/B082CBZQ8K/ref=sr_1_450_sspa?__mk_ja_JP=%E3%82%AB%E3%82%BF%E3%82%AB%E3%83%8A&amp;dchild=1&amp;keywords=Galaxy&amp;qid=1598528792&amp;sr=8-450-spons&amp;psc=1&amp;spLa=ZW5jcnlwdGVkUXVhbGlmaWVyPUExTERSR0xOWTY2NUZUJmVuY3J5cHRlZElkPUEwNjY5NTE0MTUzUkpUWFBTMFlVQSZlbmNyeXB0ZWRBZElkPUFCWFVVMDNaTElSRVomd2lkZ2V0TmFtZT1zcF9tdGYmYWN0aW9uPWNsaWNrUmVkaXJlY3QmZG9Ob3RMb2dDbGljaz10cnVl", "Go")</f>
        <v/>
      </c>
    </row>
    <row r="493">
      <c r="A493" s="1" t="n">
        <v>491</v>
      </c>
      <c r="B493" t="inlineStr">
        <is>
          <t>YNR S12 イヤホン 有線 4色 コンパクト 軽量 通勤 通学 高音質 低音域 遮音性 リモコン マイク付き 通話 3.5MM金属端子 スマホ タブレット iPhone/Huawei/Sony/Samsung/iPad/MediaPad/iPod/PC多機種対応 (Black+White+Pink+Green 4pairs)</t>
        </is>
      </c>
      <c r="C493" t="inlineStr">
        <is>
          <t>￥1,499</t>
        </is>
      </c>
      <c r="D493" t="inlineStr">
        <is>
          <t>4</t>
        </is>
      </c>
      <c r="E493">
        <f>HYPERLINK("https://www.amazon.co.jp/YNR-3-5MM%E9%87%91%E5%B1%9E%E7%AB%AF%E5%AD%90-Samsung-MediaPad-PC%E5%A4%9A%E6%A9%9F%E7%A8%AE%E5%AF%BE%E5%BF%9C/dp/B07TGTSKSH/ref=sr_1_451_sspa?__mk_ja_JP=%E3%82%AB%E3%82%BF%E3%82%AB%E3%83%8A&amp;dchild=1&amp;keywords=Galaxy&amp;qid=1598528792&amp;sr=8-451-spons&amp;psc=1&amp;spLa=ZW5jcnlwdGVkUXVhbGlmaWVyPUExTERSR0xOWTY2NUZUJmVuY3J5cHRlZElkPUEwNjY5NTE0MTUzUkpUWFBTMFlVQSZlbmNyeXB0ZWRBZElkPUFFTVkwNFRSMVFYUjgmd2lkZ2V0TmFtZT1zcF9tdGYmYWN0aW9uPWNsaWNrUmVkaXJlY3QmZG9Ob3RMb2dDbGljaz10cnVl", "Go")</f>
        <v/>
      </c>
    </row>
    <row r="494">
      <c r="A494" s="1" t="n">
        <v>492</v>
      </c>
      <c r="B494" t="inlineStr">
        <is>
          <t>ProCase フォリオケース スタンド機能 多視野角 ファイルとカードホルダー付き バンパーカバー 対応端末：Galaxy Tab A 10.1"旧モデル 2016発売 SM-T580 T585（NO S Pen バージョン） -チョコレート</t>
        </is>
      </c>
      <c r="C494" t="inlineStr">
        <is>
          <t>￥1,130</t>
        </is>
      </c>
      <c r="D494" t="inlineStr">
        <is>
          <t>4.6</t>
        </is>
      </c>
      <c r="E494">
        <f>HYPERLINK("https://www.amazon.co.jp/ProCase-Samsung-10-1%E3%82%B1%E3%83%BC%E3%82%B9-%E2%80%93-%E3%82%B9%E3%82%BF%E3%83%B3%E3%83%89%E3%83%95%E3%82%A9%E3%83%AA%E3%82%AA%E3%82%B1%E3%83%BC%E3%82%B9%E3%82%AB%E3%83%90%E3%83%BCfor-10-1-sm-t580%E3%82%BF%E3%83%96%E3%83%AC%E3%83%83%E3%83%88%E3%80%81%E8%A4%87%E6%95%B0%E3%81%AE%E8%A7%92%E5%BA%A6%E8%AA%BF%E7%AF%80%E3%80%81%E3%83%89%E3%82%AD%E3%83%A5%E3%83%A1%E3%83%B3%E3%83%88%E3%82%AB%E3%83%BC%E3%83%89%E3%83%9D%E3%82%B1%E3%83%83%E3%83%88-PC-08360831/dp/B0798DT35M/ref=sr_1_452?__mk_ja_JP=%E3%82%AB%E3%82%BF%E3%82%AB%E3%83%8A&amp;dchild=1&amp;keywords=Galaxy&amp;qid=1598528792&amp;sr=8-452", "Go")</f>
        <v/>
      </c>
    </row>
    <row r="495">
      <c r="A495" s="1" t="n">
        <v>493</v>
      </c>
      <c r="B495" t="inlineStr">
        <is>
          <t>Xbox One S Ctrllr Wht</t>
        </is>
      </c>
      <c r="C495" t="inlineStr">
        <is>
          <t>￥10,900</t>
        </is>
      </c>
      <c r="D495" t="inlineStr">
        <is>
          <t>4.6</t>
        </is>
      </c>
      <c r="E495">
        <f>HYPERLINK("https://www.amazon.co.jp/Xbox-One-S-Ctrllr-Wht/dp/B01GW3H3U8/ref=sr_1_453?__mk_ja_JP=%E3%82%AB%E3%82%BF%E3%82%AB%E3%83%8A&amp;dchild=1&amp;keywords=Galaxy&amp;qid=1598528792&amp;sr=8-453", "Go")</f>
        <v/>
      </c>
    </row>
    <row r="496">
      <c r="A496" s="1" t="n">
        <v>494</v>
      </c>
      <c r="B496" t="inlineStr">
        <is>
          <t>サムスン 128GB Micro SDXC EVO+ Plus メモリーカード サムスン携帯電話用 Galaxy S20 S20+ S20 Ultra 5G S10 Lite Phone (MB-MC128GA) Everything But Stromboli MicroSDカードリーダー</t>
        </is>
      </c>
      <c r="C496" t="inlineStr">
        <is>
          <t>￥28,831</t>
        </is>
      </c>
      <c r="D496" t="inlineStr">
        <is>
          <t>5</t>
        </is>
      </c>
      <c r="E496">
        <f>HYPERLINK("https://www.amazon.co.jp/%E3%82%B5%E3%83%A0%E3%82%B9%E3%83%B3%E6%90%BA%E5%B8%AF%E9%9B%BB%E8%A9%B1%E7%94%A8-MB-MC128GA-Everything-Stromboli-MicroSD%E3%82%AB%E3%83%BC%E3%83%89%E3%83%AA%E3%83%BC%E3%83%80%E3%83%BC/dp/B084ZVWZCV/ref=sr_1_454?__mk_ja_JP=%E3%82%AB%E3%82%BF%E3%82%AB%E3%83%8A&amp;dchild=1&amp;keywords=Galaxy&amp;qid=1598528792&amp;sr=8-454", "Go")</f>
        <v/>
      </c>
    </row>
    <row r="497">
      <c r="A497" s="1" t="n">
        <v>495</v>
      </c>
      <c r="B497" t="inlineStr">
        <is>
          <t>iNassen USB C - HDMIアダプター 4K 60Hzケーブル アルミニウム製 USB Type-C - HDMIアダプター [Thunderbolt 3ポートに対応] MacBook Pro、MacBook Air、iPad Pro、Pixelbook、XPS、Galaxyなどに対応</t>
        </is>
      </c>
      <c r="C497" t="inlineStr">
        <is>
          <t>￥6,224</t>
        </is>
      </c>
      <c r="D497" t="inlineStr">
        <is>
          <t>5</t>
        </is>
      </c>
      <c r="E497">
        <f>HYPERLINK("https://www.amazon.co.jp/iNassen-USB-Thunderbolt-Pro%E3%80%81MacBook-Pro%E3%80%81Pixelbook%E3%80%81XPS%E3%80%81Galaxy%E3%81%AA%E3%81%A9%E3%81%AB%E5%AF%BE%E5%BF%9C/dp/B084RJBWWF/ref=sr_1_455?__mk_ja_JP=%E3%82%AB%E3%82%BF%E3%82%AB%E3%83%8A&amp;dchild=1&amp;keywords=Galaxy&amp;qid=1598528792&amp;sr=8-455", "Go")</f>
        <v/>
      </c>
    </row>
    <row r="498">
      <c r="A498" s="1" t="n">
        <v>496</v>
      </c>
      <c r="B498" t="inlineStr">
        <is>
          <t>マイクロUSBケーブル Android JSAUX(2本パック 6.6フィート) Micro USB - USB A 高速同期充電器 ナイロン編組コード サムスン Galaxy S6 S7 Edge J7 Note 5 LG Kindle Xboxs PS4 カメラ スマートフォンなど用 ブルー JSNZMICROBLUE0001</t>
        </is>
      </c>
      <c r="C498" t="inlineStr">
        <is>
          <t>￥7,406</t>
        </is>
      </c>
      <c r="D498" t="inlineStr">
        <is>
          <t>4.6</t>
        </is>
      </c>
      <c r="E498">
        <f>HYPERLINK("https://www.amazon.co.jp/%E3%83%9E%E3%82%A4%E3%82%AF%E3%83%ADUSB%E3%82%B1%E3%83%BC%E3%83%96%E3%83%AB-Android-JSAUX-2%E6%9C%AC%E3%83%91%E3%83%83%E3%82%AF-6-6%E3%83%95%E3%82%A3%E3%83%BC%E3%83%88/dp/B07H91JTCD/ref=sr_1_456?__mk_ja_JP=%E3%82%AB%E3%82%BF%E3%82%AB%E3%83%8A&amp;dchild=1&amp;keywords=Galaxy&amp;qid=1598528792&amp;sr=8-456", "Go")</f>
        <v/>
      </c>
    </row>
    <row r="499">
      <c r="A499" s="1" t="n">
        <v>497</v>
      </c>
      <c r="B499" t="inlineStr">
        <is>
          <t>ラウンドGalaxyマウスパッド、Insten Super Smoothラウンドマウスパッド、Galaxy Space Planet Moonデザインゲームマウスパッドforコンピュータノートパソコンデスクトップwithノンスリップゴムベース ブルー 2428586</t>
        </is>
      </c>
      <c r="C499" t="inlineStr">
        <is>
          <t>￥9,191</t>
        </is>
      </c>
      <c r="D499" t="inlineStr">
        <is>
          <t>4.8</t>
        </is>
      </c>
      <c r="E499">
        <f>HYPERLINK("https://www.amazon.co.jp/%E3%83%A9%E3%82%A6%E3%83%B3%E3%83%89Galaxy%E3%83%9E%E3%82%A6%E3%82%B9%E3%83%91%E3%83%83%E3%83%89%E3%80%81Insten-Smooth%E3%83%A9%E3%82%A6%E3%83%B3%E3%83%89%E3%83%9E%E3%82%A6%E3%82%B9%E3%83%91%E3%83%83%E3%83%89%E3%80%81Galaxy-Planet-Moon%E3%83%87%E3%82%B6%E3%82%A4%E3%83%B3%E3%82%B2%E3%83%BC%E3%83%A0%E3%83%9E%E3%82%A6%E3%82%B9%E3%83%91%E3%83%83%E3%83%89for%E3%82%B3%E3%83%B3%E3%83%94%E3%83%A5%E3%83%BC%E3%82%BF%E3%83%8E%E3%83%BC%E3%83%88%E3%83%91%E3%82%BD%E3%82%B3%E3%83%B3%E3%83%87%E3%82%B9%E3%82%AF%E3%83%88%E3%83%83%E3%83%97with%E3%83%8E%E3%83%B3%E3%82%B9%E3%83%AA%E3%83%83%E3%83%97%E3%82%B4%E3%83%A0%E3%83%99%E3%83%BC%E3%82%B9-2428586/dp/B07DK8L3QX/ref=sr_1_457?__mk_ja_JP=%E3%82%AB%E3%82%BF%E3%82%AB%E3%83%8A&amp;dchild=1&amp;keywords=Galaxy&amp;qid=1598528792&amp;sr=8-457", "Go")</f>
        <v/>
      </c>
    </row>
    <row r="500">
      <c r="A500" s="1" t="n">
        <v>498</v>
      </c>
      <c r="B500" t="inlineStr">
        <is>
          <t>Galaxy Tab E 9.6 カバー 超スリム軽量 手帳型 かわいい PUレザースマート 財布スタンドケース Samsung Galaxy Tab E 9.6 インチ T560/T561/T565用 白い猫</t>
        </is>
      </c>
      <c r="C500" t="inlineStr">
        <is>
          <t>￥4,299</t>
        </is>
      </c>
      <c r="D500" t="inlineStr">
        <is>
          <t>4.8</t>
        </is>
      </c>
      <c r="E500">
        <f>HYPERLINK("https://www.amazon.co.jp/Galaxy-%E8%B6%85%E3%82%B9%E3%83%AA%E3%83%A0%E8%BB%BD%E9%87%8F-PU%E3%83%AC%E3%82%B6%E3%83%BC%E3%82%B9%E3%83%9E%E3%83%BC%E3%83%88-%E8%B2%A1%E5%B8%83%E3%82%B9%E3%82%BF%E3%83%B3%E3%83%89%E3%82%B1%E3%83%BC%E3%82%B9-Samsung/dp/B07CYGR2TB/ref=sr_1_458?__mk_ja_JP=%E3%82%AB%E3%82%BF%E3%82%AB%E3%83%8A&amp;dchild=1&amp;keywords=Galaxy&amp;qid=1598528792&amp;sr=8-458", "Go")</f>
        <v/>
      </c>
    </row>
    <row r="501">
      <c r="A501" s="1" t="n">
        <v>499</v>
      </c>
      <c r="B501" t="inlineStr">
        <is>
          <t>【Spigen】 Galaxy S20 Plus ケース [ SC-52A SCG02 ] TPU 軽量 衝撃吸収 米軍MIL規格取得 柔軟 耐衝撃 ワイヤレス充電対応 シュピゲン リキッド・エアー ACS00754 (マット・ブラック)</t>
        </is>
      </c>
      <c r="C501" t="inlineStr">
        <is>
          <t>￥1,790</t>
        </is>
      </c>
      <c r="D501" t="inlineStr">
        <is>
          <t>4.6</t>
        </is>
      </c>
      <c r="E501">
        <f>HYPERLINK("https://www.amazon.co.jp/%E3%80%90Spigen%E3%80%91-%E7%B1%B3%E8%BB%8DMIL%E8%A6%8F%E6%A0%BC%E5%8F%96%E5%BE%97-%E3%83%AF%E3%82%A4%E3%83%A4%E3%83%AC%E3%82%B9%E5%85%85%E9%9B%BB%E5%AF%BE%E5%BF%9C-%E3%83%AA%E3%82%AD%E3%83%83%E3%83%89%E3%83%BB%E3%82%A8%E3%82%A2%E3%83%BC-ACS00754/dp/B082LQ2WC5/ref=sr_1_459?__mk_ja_JP=%E3%82%AB%E3%82%BF%E3%82%AB%E3%83%8A&amp;dchild=1&amp;keywords=Galaxy&amp;qid=1598528792&amp;sr=8-459", "Go")</f>
        <v/>
      </c>
    </row>
    <row r="502">
      <c r="A502" s="1" t="n">
        <v>500</v>
      </c>
      <c r="B502" t="inlineStr">
        <is>
          <t>Lamy AL-star EMR Digital Pen Stylus Pen Black（並行輸入品）</t>
        </is>
      </c>
      <c r="C502" t="inlineStr">
        <is>
          <t>￥10,480</t>
        </is>
      </c>
      <c r="D502" t="inlineStr">
        <is>
          <t>4.8</t>
        </is>
      </c>
      <c r="E502">
        <f>HYPERLINK("https://www.amazon.co.jp/Lamy-AL-star-Digital-Stylus-Black%EF%BC%88%E4%B8%A6%E8%A1%8C%E8%BC%B8%E5%85%A5%E5%93%81%EF%BC%89/dp/B07ZQK8H1V/ref=sr_1_460?__mk_ja_JP=%E3%82%AB%E3%82%BF%E3%82%AB%E3%83%8A&amp;dchild=1&amp;keywords=Galaxy&amp;qid=1598528792&amp;sr=8-460", "Go")</f>
        <v/>
      </c>
    </row>
    <row r="503">
      <c r="A503" s="1" t="n">
        <v>501</v>
      </c>
      <c r="B503" t="inlineStr">
        <is>
          <t>【Spigen】 Galaxy S8 Plus ケース [ SC-03J SCV35 ] 対応 TPU 米軍MIL規格取得 マット仕上げ ラギッド・アーマー 571CS21661 (ブラック)</t>
        </is>
      </c>
      <c r="C503" t="inlineStr">
        <is>
          <t>￥500</t>
        </is>
      </c>
      <c r="D503" t="inlineStr">
        <is>
          <t>4.6</t>
        </is>
      </c>
      <c r="E503">
        <f>HYPERLINK("https://www.amazon.co.jp/%E3%80%90Spigen%E3%80%91-%E3%82%B9%E3%83%9E%E3%83%9B%E3%82%B1%E3%83%BC%E3%82%B9-%E7%B1%B3%E8%BB%8DMIL%E8%A6%8F%E6%A0%BC%E5%8F%96%E5%BE%97-%E3%83%A9%E3%82%AE%E3%83%83%E3%83%89%E3%83%BB%E3%82%A2%E3%83%BC%E3%83%9E%E3%83%BC-571CS21661/dp/B06XNW4ZVJ/ref=sr_1_461?__mk_ja_JP=%E3%82%AB%E3%82%BF%E3%82%AB%E3%83%8A&amp;dchild=1&amp;keywords=Galaxy&amp;qid=1598528792&amp;sr=8-461", "Go")</f>
        <v/>
      </c>
    </row>
    <row r="504">
      <c r="A504" s="1" t="n">
        <v>502</v>
      </c>
      <c r="B504" t="inlineStr">
        <is>
          <t>Samsung Galaxy S8 ソフトシリコン3Dイエローダック耐衝撃保護かわいい漫画ラブリーアニマルカバーハイファッション韓国のかわいいケース (Galaxy S8,Yellow Duck)</t>
        </is>
      </c>
      <c r="C504" t="inlineStr">
        <is>
          <t>￥1,098</t>
        </is>
      </c>
      <c r="D504" t="inlineStr">
        <is>
          <t>5</t>
        </is>
      </c>
      <c r="E504">
        <f>HYPERLINK("https://www.amazon.co.jp/Samsung-Galaxy-%E3%82%BD%E3%83%95%E3%83%88%E3%82%B7%E3%83%AA%E3%82%B3%E3%83%B33D%E3%82%A4%E3%82%A8%E3%83%AD%E3%83%BC%E3%83%80%E3%83%83%E3%82%AF%E8%80%90%E8%A1%9D%E6%92%83%E4%BF%9D%E8%AD%B7%E3%81%8B%E3%82%8F%E3%81%84%E3%81%84%E6%BC%AB%E7%94%BB%E3%83%A9%E3%83%96%E3%83%AA%E3%83%BC%E3%82%A2%E3%83%8B%E3%83%9E%E3%83%AB%E3%82%AB%E3%83%90%E3%83%BC%E3%83%8F%E3%82%A4%E3%83%95%E3%82%A1%E3%83%83%E3%82%B7%E3%83%A7%E3%83%B3%E9%9F%93%E5%9B%BD%E3%81%AE%E3%81%8B%E3%82%8F%E3%81%84%E3%81%84%E3%82%B1%E3%83%BC%E3%82%B9-Yellow-Duck/dp/B07VL27Z6M/ref=sr_1_462?__mk_ja_JP=%E3%82%AB%E3%82%BF%E3%82%AB%E3%83%8A&amp;dchild=1&amp;keywords=Galaxy&amp;qid=1598528792&amp;sr=8-462", "Go")</f>
        <v/>
      </c>
    </row>
    <row r="505">
      <c r="A505" s="1" t="n">
        <v>503</v>
      </c>
      <c r="B505" t="inlineStr">
        <is>
          <t>【Spigen】 Galaxy S8 Plus ケース [ SC-03J SCV35 ] 対応 耐衝撃 米軍MIL規格取得 スタンド機能 ワイヤレス充電対応 タフ・アーマー 571CS21694 (メイプル・ ゴールド)</t>
        </is>
      </c>
      <c r="C505" t="inlineStr">
        <is>
          <t>￥500</t>
        </is>
      </c>
      <c r="D505" t="inlineStr">
        <is>
          <t>4.6</t>
        </is>
      </c>
      <c r="E505">
        <f>HYPERLINK("https://www.amazon.co.jp/%E3%80%90Spigen%E3%80%91-%E3%82%B9%E3%83%9E%E3%83%9B%E3%82%B1%E3%83%BC%E3%82%B9-%E7%B1%B3%E8%BB%8DMIL%E8%A6%8F%E6%A0%BC%E5%8F%96%E5%BE%97-%E3%82%BF%E3%83%95%E3%83%BB%E3%82%A2%E3%83%BC%E3%83%9E%E3%83%BC-571CS21694/dp/B06XP5W7JJ/ref=sr_1_463?__mk_ja_JP=%E3%82%AB%E3%82%BF%E3%82%AB%E3%83%8A&amp;dchild=1&amp;keywords=Galaxy&amp;qid=1598528792&amp;sr=8-463", "Go")</f>
        <v/>
      </c>
    </row>
    <row r="506">
      <c r="A506" s="1" t="n">
        <v>504</v>
      </c>
      <c r="B506" t="inlineStr">
        <is>
          <t>OUKITEL C19 スマートフォン本体 4G スマホ本体 SIM フリー Androidスマートフォン本体 6.49 HDインチ 13MP+2MP+2MP 4000mAh RAM 2GB + ROM16GB（256GBまでサポートする)Android 10.0 端末 携帯電話 1年間保証付き (ブラック, 2+16GB)</t>
        </is>
      </c>
      <c r="C506" t="inlineStr">
        <is>
          <t>￥10,900</t>
        </is>
      </c>
      <c r="D506" t="inlineStr">
        <is>
          <t>4.6</t>
        </is>
      </c>
      <c r="E506">
        <f>HYPERLINK("https://www.amazon.co.jp/OUKITEL-%E3%82%B9%E3%83%9E%E3%83%BC%E3%83%88%E3%83%95%E3%82%A9%E3%83%B3%E6%9C%AC%E4%BD%93-Android%E3%82%B9%E3%83%9E%E3%83%BC%E3%83%88%E3%83%95%E3%82%A9%E3%83%B3%E6%9C%AC%E4%BD%93-4000mAh-ROM16GB%EF%BC%88256GB%E3%81%BE%E3%81%A7%E3%82%B5%E3%83%9D%E3%83%BC%E3%83%88%E3%81%99%E3%82%8B/dp/B08CKP2914/ref=sr_1_464_sspa?__mk_ja_JP=%E3%82%AB%E3%82%BF%E3%82%AB%E3%83%8A&amp;dchild=1&amp;keywords=Galaxy&amp;qid=1598528792&amp;sr=8-464-spons&amp;psc=1&amp;spLa=ZW5jcnlwdGVkUXVhbGlmaWVyPUExTERSR0xOWTY2NUZUJmVuY3J5cHRlZElkPUEwNjY5NTE0MTUzUkpUWFBTMFlVQSZlbmNyeXB0ZWRBZElkPUExQVBQOTVQSEQ1VTlaJndpZGdldE5hbWU9c3BfbXRmJmFjdGlvbj1jbGlja1JlZGlyZWN0JmRvTm90TG9nQ2xpY2s9dHJ1ZQ==", "Go")</f>
        <v/>
      </c>
    </row>
    <row r="507">
      <c r="A507" s="1" t="n">
        <v>505</v>
      </c>
      <c r="B507" t="inlineStr">
        <is>
          <t>MaiJin 対応サムスンギャラクシー Samsung Galaxy J7 2017 / J7 Pro 2017 (5.5インチ) 透明 耐衝撃 スマホケース TPU クリア ソフト 背面保護カバー</t>
        </is>
      </c>
      <c r="C507" t="inlineStr">
        <is>
          <t>￥499</t>
        </is>
      </c>
      <c r="D507" t="inlineStr">
        <is>
          <t>5</t>
        </is>
      </c>
      <c r="E507">
        <f>HYPERLINK("https://www.amazon.co.jp/Transparent-Shockproof-Smartphone-Protective-transparent/dp/B078SCTKJ2/ref=sr_1_465?__mk_ja_JP=%E3%82%AB%E3%82%BF%E3%82%AB%E3%83%8A&amp;dchild=1&amp;keywords=Galaxy&amp;qid=1598528792&amp;sr=8-465", "Go")</f>
        <v/>
      </c>
    </row>
    <row r="508">
      <c r="A508" s="1" t="n">
        <v>506</v>
      </c>
      <c r="B508" t="inlineStr">
        <is>
          <t>URBAN ARMOR GEAR UAG Samsung Galaxy A50 Scout [ブラック] ミリタリー 落下試験済み 電話ケース</t>
        </is>
      </c>
      <c r="C508" t="inlineStr">
        <is>
          <t>￥5,881</t>
        </is>
      </c>
      <c r="D508" t="inlineStr">
        <is>
          <t>4.7</t>
        </is>
      </c>
      <c r="E508">
        <f>HYPERLINK("https://www.amazon.co.jp/URBAN-ARMOR-GEAR-Samsung-Galaxy/dp/B07RHSGL8X/ref=sr_1_466?__mk_ja_JP=%E3%82%AB%E3%82%BF%E3%82%AB%E3%83%8A&amp;dchild=1&amp;keywords=Galaxy&amp;qid=1598528792&amp;sr=8-466", "Go")</f>
        <v/>
      </c>
    </row>
    <row r="509">
      <c r="A509" s="1" t="n">
        <v>507</v>
      </c>
      <c r="B509" t="inlineStr">
        <is>
          <t>Bose QuietComfort 35 wireless headphones II - Silver [並行輸入品]</t>
        </is>
      </c>
      <c r="C509" t="inlineStr">
        <is>
          <t>￥27,777</t>
        </is>
      </c>
      <c r="D509" t="inlineStr">
        <is>
          <t>4.6</t>
        </is>
      </c>
      <c r="E509">
        <f>HYPERLINK("https://www.amazon.co.jp/Bose-QuietComfort-35-wireless-headphones/dp/B0756GB78C/ref=sr_1_467?__mk_ja_JP=%E3%82%AB%E3%82%BF%E3%82%AB%E3%83%8A&amp;dchild=1&amp;keywords=Galaxy&amp;qid=1598528792&amp;sr=8-467", "Go")</f>
        <v/>
      </c>
    </row>
    <row r="510">
      <c r="A510" s="1" t="n">
        <v>508</v>
      </c>
      <c r="B510" t="inlineStr">
        <is>
          <t>サムスン オリジナル Galaxy S20 Ultra 5G シリコンカバー/携帯電話ケース EF-PG988TBEGEU</t>
        </is>
      </c>
      <c r="C510" t="inlineStr">
        <is>
          <t>￥4,042</t>
        </is>
      </c>
      <c r="D510" t="inlineStr">
        <is>
          <t>5</t>
        </is>
      </c>
      <c r="E510">
        <f>HYPERLINK("https://www.amazon.co.jp/Samsung-%E3%82%AA%E3%83%AA%E3%82%B8%E3%83%8A%E3%83%AB-Galaxy-%E3%82%B7%E3%83%AA%E3%82%B3%E3%83%B3%E3%82%AB%E3%83%90%E3%83%BC-%E6%90%BA%E5%B8%AF%E9%9B%BB%E8%A9%B1%E3%82%B1%E3%83%BC%E3%82%B9/dp/B083M56J15/ref=sr_1_468?__mk_ja_JP=%E3%82%AB%E3%82%BF%E3%82%AB%E3%83%8A&amp;dchild=1&amp;keywords=Galaxy&amp;qid=1598528792&amp;sr=8-468", "Go")</f>
        <v/>
      </c>
    </row>
    <row r="511">
      <c r="A511" s="1" t="n">
        <v>509</v>
      </c>
      <c r="B511" t="inlineStr">
        <is>
          <t>Ablus 96ポケットミニフォトアルバム 富士フィルム Instax Miniカメラ、ポラロイドスナップ、Z2300、SocialMaticインスタントカメラ&amp;Zipインスタントプリンター用 96 pockets ピンク</t>
        </is>
      </c>
      <c r="C511" t="inlineStr">
        <is>
          <t>￥24,177から1個のオプション</t>
        </is>
      </c>
      <c r="D511" t="inlineStr">
        <is>
          <t>4.7</t>
        </is>
      </c>
      <c r="E511">
        <f>HYPERLINK("https://www.amazon.co.jp/Ablus-96%E3%83%9D%E3%82%B1%E3%83%83%E3%83%88%E3%83%9F%E3%83%8B%E3%83%95%E3%82%A9%E3%83%88%E3%82%A2%E3%83%AB%E3%83%90%E3%83%A0-Mini%E3%82%AB%E3%83%A1%E3%83%A9%E3%80%81%E3%83%9D%E3%83%A9%E3%83%AD%E3%82%A4%E3%83%89%E3%82%B9%E3%83%8A%E3%83%83%E3%83%97%E3%80%81Z2300%E3%80%81SocialMatic%E3%82%A4%E3%83%B3%E3%82%B9%E3%82%BF%E3%83%B3%E3%83%88%E3%82%AB%E3%83%A1%E3%83%A9-Zip%E3%82%A4%E3%83%B3%E3%82%B9%E3%82%BF%E3%83%B3%E3%83%88%E3%83%97%E3%83%AA%E3%83%B3%E3%82%BF%E3%83%BC%E7%94%A8-pockets/dp/B07TY8GF87/ref=sr_1_469?__mk_ja_JP=%E3%82%AB%E3%82%BF%E3%82%AB%E3%83%8A&amp;dchild=1&amp;keywords=Galaxy&amp;qid=1598528792&amp;sr=8-469", "Go")</f>
        <v/>
      </c>
    </row>
    <row r="512">
      <c r="A512" s="1" t="n">
        <v>510</v>
      </c>
      <c r="B512" t="inlineStr">
        <is>
          <t>Trianium 3個パック ガラスプロテクター iPhone 11用 スクリーンプロテクター iPhone XR スクリーンプロテクター 強化ガラスフィルム [6.1インチ] HD 透明度 0.25mm 取り付け位置調整ケーストレイ付き (3個パック)</t>
        </is>
      </c>
      <c r="C512" t="inlineStr">
        <is>
          <t>￥6,257</t>
        </is>
      </c>
      <c r="D512" t="inlineStr">
        <is>
          <t>4.6</t>
        </is>
      </c>
      <c r="E512">
        <f>HYPERLINK("https://www.amazon.co.jp/Trianium-%E3%82%B9%E3%82%AF%E3%83%AA%E3%83%BC%E3%83%B3%E3%83%97%E3%83%AD%E3%83%86%E3%82%AF%E3%82%BF%E3%83%BC3%E6%9E%9A%E3%82%BB%E3%83%83%E3%83%88-iPhone-%E3%83%97%E3%83%AC%E3%83%9F%E3%82%A2%E3%83%A0HD%E3%82%AF%E3%83%A9%E3%83%AA%E3%83%86%E3%82%A3-%E3%82%A2%E3%83%A9%E3%82%A4%E3%83%A1%E3%83%B3%E3%83%88%E3%82%B1%E3%83%BC%E3%82%B9%E3%83%95%E3%83%AC%E3%83%BC%E3%83%A0/dp/B07FNYD5RQ/ref=sr_1_470?__mk_ja_JP=%E3%82%AB%E3%82%BF%E3%82%AB%E3%83%8A&amp;dchild=1&amp;keywords=Galaxy&amp;qid=1598528792&amp;sr=8-470", "Go")</f>
        <v/>
      </c>
    </row>
    <row r="513">
      <c r="A513" s="1" t="n">
        <v>511</v>
      </c>
      <c r="B513" t="inlineStr">
        <is>
          <t>BOSE FRAMES RONDO ワイヤレスオーディオサングラス</t>
        </is>
      </c>
      <c r="C513" t="inlineStr">
        <is>
          <t>￥20,944</t>
        </is>
      </c>
      <c r="D513" t="inlineStr">
        <is>
          <t>4.2</t>
        </is>
      </c>
      <c r="E513">
        <f>HYPERLINK("https://www.amazon.co.jp/BOSE-FRAMES-RONDO-%E3%83%AF%E3%82%A4%E3%83%A4%E3%83%AC%E3%82%B9%E3%82%AA%E3%83%BC%E3%83%87%E3%82%A3%E3%82%AA%E3%82%B5%E3%83%B3%E3%82%B0%E3%83%A9%E3%82%B9-%E3%83%96%E3%83%A9%E3%83%83%E3%82%AF/dp/B0824NRM4M/ref=sr_1_471_sspa?__mk_ja_JP=%E3%82%AB%E3%82%BF%E3%82%AB%E3%83%8A&amp;dchild=1&amp;keywords=Galaxy&amp;qid=1598528792&amp;sr=8-471-spons&amp;psc=1&amp;spLa=ZW5jcnlwdGVkUXVhbGlmaWVyPUExTERSR0xOWTY2NUZUJmVuY3J5cHRlZElkPUEwNjY5NTE0MTUzUkpUWFBTMFlVQSZlbmNyeXB0ZWRBZElkPUEyU1dYTFY2U1NaTEtKJndpZGdldE5hbWU9c3BfYnRmJmFjdGlvbj1jbGlja1JlZGlyZWN0JmRvTm90TG9nQ2xpY2s9dHJ1ZQ==", "Go")</f>
        <v/>
      </c>
    </row>
    <row r="514">
      <c r="A514" s="1" t="n">
        <v>512</v>
      </c>
      <c r="B514" t="inlineStr">
        <is>
          <t>NiceCool Samsung Galaxy Buds (R170) Bluetooth トゥルーワイヤレスイヤホン ワイヤレス充電ケース, 携帯用キャリングケース (グレー)</t>
        </is>
      </c>
      <c r="C514" t="inlineStr">
        <is>
          <t>￥699</t>
        </is>
      </c>
      <c r="D514" t="inlineStr">
        <is>
          <t>4.5</t>
        </is>
      </c>
      <c r="E514">
        <f>HYPERLINK("https://www.amazon.co.jp/NiceCool-Bluetooth-%E3%83%88%E3%82%A5%E3%83%AB%E3%83%BC%E3%83%AF%E3%82%A4%E3%83%A4%E3%83%AC%E3%82%B9%E3%82%A4%E3%83%A4%E3%83%9B%E3%83%B3-%E3%83%AF%E3%82%A4%E3%83%A4%E3%83%AC%E3%82%B9%E5%85%85%E9%9B%BB%E3%82%B1%E3%83%BC%E3%82%B9-%E6%90%BA%E5%B8%AF%E7%94%A8%E3%82%AD%E3%83%A3%E3%83%AA%E3%83%B3%E3%82%B0%E3%82%B1%E3%83%BC%E3%82%B9/dp/B07RTK5C9Z/ref=sr_1_472_sspa?__mk_ja_JP=%E3%82%AB%E3%82%BF%E3%82%AB%E3%83%8A&amp;dchild=1&amp;keywords=Galaxy&amp;qid=1598528792&amp;sr=8-472-spons&amp;psc=1&amp;spLa=ZW5jcnlwdGVkUXVhbGlmaWVyPUExTERSR0xOWTY2NUZUJmVuY3J5cHRlZElkPUEwNjY5NTE0MTUzUkpUWFBTMFlVQSZlbmNyeXB0ZWRBZElkPUExUjBNNUEyT05PMVI2JndpZGdldE5hbWU9c3BfYnRmJmFjdGlvbj1jbGlja1JlZGlyZWN0JmRvTm90TG9nQ2xpY2s9dHJ1ZQ==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2020-08-27T19:25:54Z</dcterms:created>
  <dcterms:modified xsi:type="dcterms:W3CDTF">2020-08-27T19:25:54Z</dcterms:modified>
</cp:coreProperties>
</file>