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UMIDIGI S5 Proスマートフォン Android 10.0 simフリー スマホ 本体 ポップアップ セルフィカメラ 内蔵指紋センサー 6.39インチFHD＋フルスクリーン Helio G90Tゲームプロセッサ グローバルLTEバンド対応6GBRAM+256 GB ROM AU使えます（一年保証）オーシャンブルー</t>
        </is>
      </c>
      <c r="C2" t="inlineStr">
        <is>
          <t>￥29,969</t>
        </is>
      </c>
      <c r="D2" t="inlineStr">
        <is>
          <t>4.7</t>
        </is>
      </c>
      <c r="E2">
        <f>HYPERLINK("https://www.amazon.co.jp/UMIDIGI-Smartphone-Fingerprint-Processor-Compatible/dp/B089K9JBKN/ref=sr_1_1?__mk_ja_JP=%E3%82%AB%E3%82%BF%E3%82%AB%E3%83%8A&amp;dchild=1&amp;keywords=Xperia&amp;qid=1598528999&amp;sr=8-1", "Go")</f>
        <v/>
      </c>
    </row>
    <row r="3">
      <c r="A3" s="1" t="n">
        <v>1</v>
      </c>
      <c r="B3" t="inlineStr">
        <is>
          <t>OUKITEL C19 SIM フリー スマートフォン本体 4G スマホ本体 Androidスマートフォン本体 6.49 HDインチ 13MP+2MP+2MP 4000mAh RAM 2GB + ROM16GB（256GBまでサポートする)Android 10.0 端末 携帯電話 1年間保証付き (ブルー, 2+16GB)</t>
        </is>
      </c>
      <c r="C3" t="inlineStr">
        <is>
          <t>￥10,900</t>
        </is>
      </c>
      <c r="D3" t="inlineStr">
        <is>
          <t>4.6</t>
        </is>
      </c>
      <c r="E3">
        <f>HYPERLINK("https://www.amazon.co.jp/OUKITEL-C19-Smartphone-Android-Supports/dp/B08CK886QD/ref=sr_1_2?__mk_ja_JP=%E3%82%AB%E3%82%BF%E3%82%AB%E3%83%8A&amp;dchild=1&amp;keywords=Xperia&amp;qid=1598528999&amp;sr=8-2", "Go")</f>
        <v/>
      </c>
    </row>
    <row r="4">
      <c r="A4" s="1" t="n">
        <v>2</v>
      </c>
      <c r="B4" t="inlineStr">
        <is>
          <t>新品未使用 802SO Xperia1 Softbank パープル 〇判定 SIMロック解除済</t>
        </is>
      </c>
      <c r="C4" t="inlineStr">
        <is>
          <t>￥52,800</t>
        </is>
      </c>
      <c r="D4" t="inlineStr">
        <is>
          <t>4.5</t>
        </is>
      </c>
      <c r="E4">
        <f>HYPERLINK("https://www.amazon.co.jp/%E6%96%B0%E5%93%81%E6%9C%AA%E4%BD%BF%E7%94%A8-802SO-Xperia1-Softbank-SIM%E3%83%AD%E3%83%83%E3%82%AF%E8%A7%A3%E9%99%A4%E6%B8%88/dp/B086ZBRB29/ref=sr_1_3?__mk_ja_JP=%E3%82%AB%E3%82%BF%E3%82%AB%E3%83%8A&amp;dchild=1&amp;keywords=Xperia&amp;qid=1598528999&amp;sr=8-3", "Go")</f>
        <v/>
      </c>
    </row>
    <row r="5">
      <c r="A5" s="1" t="n">
        <v>3</v>
      </c>
      <c r="B5" t="inlineStr">
        <is>
          <t>Xiaomi Redmi Note 9 Pro グローバル版 (6GB+128GB) 6.67 inch/Dual SIM / 64+8+5+2MP Quad Camera/Googleplay/日本語対応/SIMフリー (Interstellar Gray/グレー)</t>
        </is>
      </c>
      <c r="C5" t="inlineStr">
        <is>
          <t>￥29,770</t>
        </is>
      </c>
      <c r="D5" t="inlineStr">
        <is>
          <t>4.5</t>
        </is>
      </c>
      <c r="E5">
        <f>HYPERLINK("https://www.amazon.co.jp/Xiaomi-%E3%82%B0%E3%83%AD%E3%83%BC%E3%83%90%E3%83%AB%E7%89%88-Camera-Googleplay-Interstellar/dp/B0881TZRTZ/ref=sr_1_4?__mk_ja_JP=%E3%82%AB%E3%82%BF%E3%82%AB%E3%83%8A&amp;dchild=1&amp;keywords=Xperia&amp;qid=1598528999&amp;sr=8-4", "Go")</f>
        <v/>
      </c>
    </row>
    <row r="6">
      <c r="A6" s="1" t="n">
        <v>4</v>
      </c>
      <c r="B6" t="inlineStr">
        <is>
          <t>HUAWEI（ファーウェイ） P30 lite ピーコックブルー[6.15インチ / メモリ 4GB / ストレージ 64GB] MAR-LX2J-BL</t>
        </is>
      </c>
      <c r="C6" t="inlineStr">
        <is>
          <t>￥24,300</t>
        </is>
      </c>
      <c r="D6" t="inlineStr">
        <is>
          <t>4.5</t>
        </is>
      </c>
      <c r="E6">
        <f>HYPERLINK("https://www.amazon.co.jp/HUAWEI%EF%BC%88%E3%83%95%E3%82%A1%E3%83%BC%E3%82%A6%E3%82%A7%E3%82%A4%EF%BC%89-%E3%83%94%E3%83%BC%E3%82%B3%E3%83%83%E3%82%AF%E3%83%96%E3%83%AB%E3%83%BC-6-15%E3%82%A4%E3%83%B3%E3%83%81-%E3%82%B9%E3%83%88%E3%83%AC%E3%83%BC%E3%82%B8-MAR-LX2J-BL/dp/B07VDL8K8Q/ref=sr_1_5?__mk_ja_JP=%E3%82%AB%E3%82%BF%E3%82%AB%E3%83%8A&amp;dchild=1&amp;keywords=Xperia&amp;qid=1598528999&amp;sr=8-5", "Go")</f>
        <v/>
      </c>
    </row>
    <row r="7">
      <c r="A7" s="1" t="n">
        <v>5</v>
      </c>
      <c r="B7" t="inlineStr">
        <is>
          <t>Xperia 1 SOV40 [パープル] au</t>
        </is>
      </c>
      <c r="C7" t="inlineStr">
        <is>
          <t>￥54,000</t>
        </is>
      </c>
      <c r="D7" t="inlineStr">
        <is>
          <t>4.7</t>
        </is>
      </c>
      <c r="E7">
        <f>HYPERLINK("https://www.amazon.co.jp/Xperia-1-SOV40-%E3%83%91%E3%83%BC%E3%83%97%E3%83%AB-au/dp/B07VT3B1JG/ref=sr_1_6?__mk_ja_JP=%E3%82%AB%E3%82%BF%E3%82%AB%E3%83%8A&amp;dchild=1&amp;keywords=Xperia&amp;qid=1598528999&amp;sr=8-6", "Go")</f>
        <v/>
      </c>
    </row>
    <row r="8">
      <c r="A8" s="1" t="n">
        <v>6</v>
      </c>
      <c r="B8" t="inlineStr">
        <is>
          <t>HUAWEI P20 ブラック 【日本正規代理店品】 P20/Black</t>
        </is>
      </c>
      <c r="C8" t="inlineStr">
        <is>
          <t>￥24,500</t>
        </is>
      </c>
      <c r="D8" t="inlineStr">
        <is>
          <t>4.5</t>
        </is>
      </c>
      <c r="E8">
        <f>HYPERLINK("https://www.amazon.co.jp/Huawei-5-8%E3%82%A4%E3%83%B3%E3%83%81-P20-SIM%E3%83%95%E3%83%AA%E3%83%BC%E3%82%B9%E3%83%9E%E3%83%BC%E3%83%88%E3%83%95%E3%82%A9%E3%83%B3-%E3%83%96%E3%83%A9%E3%83%83%E3%82%AF%E3%80%90%E6%97%A5%E6%9C%AC%E6%AD%A3%E8%A6%8F%E4%BB%A3%E7%90%86%E5%BA%97%E5%93%81%E3%80%91/dp/B07CZMH37T/ref=sr_1_7?__mk_ja_JP=%E3%82%AB%E3%82%BF%E3%82%AB%E3%83%8A&amp;dchild=1&amp;keywords=Xperia&amp;qid=1598528999&amp;sr=8-7", "Go")</f>
        <v/>
      </c>
    </row>
    <row r="9">
      <c r="A9" s="1" t="n">
        <v>7</v>
      </c>
      <c r="B9" t="inlineStr">
        <is>
          <t>Sony XPERIA 1 Dual SIM (J9110) 128GB/6GB (Purple/パープル) SIMフリー【並行輸入品】</t>
        </is>
      </c>
      <c r="C9" t="inlineStr">
        <is>
          <t>￥73,970</t>
        </is>
      </c>
      <c r="D9" t="inlineStr">
        <is>
          <t>4.4</t>
        </is>
      </c>
      <c r="E9">
        <f>HYPERLINK("https://www.amazon.co.jp/XPERIA-J9110-128GB-Purple-parallel/dp/B07T5SXYMQ/ref=sr_1_8?__mk_ja_JP=%E3%82%AB%E3%82%BF%E3%82%AB%E3%83%8A&amp;dchild=1&amp;keywords=Xperia&amp;qid=1598528999&amp;sr=8-8", "Go")</f>
        <v/>
      </c>
    </row>
    <row r="10">
      <c r="A10" s="1" t="n">
        <v>8</v>
      </c>
      <c r="B10" t="inlineStr">
        <is>
          <t>Sony XPERIA 1 Dual SIM (J9110) 128GB/6GB (Black/ブラック) SIMフリー【並行輸入品】</t>
        </is>
      </c>
      <c r="C10" t="inlineStr">
        <is>
          <t>￥69,700</t>
        </is>
      </c>
      <c r="D10" t="inlineStr">
        <is>
          <t>4.5</t>
        </is>
      </c>
      <c r="E10">
        <f>HYPERLINK("https://www.amazon.co.jp/XPERIA-J9110-128GB-Black-SIM%E3%83%95%E3%83%AA%E3%83%BC%E3%80%90%E4%B8%A6%E8%A1%8C%E8%BC%B8%E5%85%A5%E5%93%81%E3%80%91/dp/B07T2B1H1Y/ref=sr_1_9?__mk_ja_JP=%E3%82%AB%E3%82%BF%E3%82%AB%E3%83%8A&amp;dchild=1&amp;keywords=Xperia&amp;qid=1598528999&amp;sr=8-9", "Go")</f>
        <v/>
      </c>
    </row>
    <row r="11">
      <c r="A11" s="1" t="n">
        <v>9</v>
      </c>
      <c r="B11" t="inlineStr">
        <is>
          <t>Sony XPERIA 1 Dual SIM (J9110) 128GB/6GB (Grey/グレー) SIMフリー【並行輸入品】</t>
        </is>
      </c>
      <c r="C11" t="inlineStr">
        <is>
          <t>￥73,970</t>
        </is>
      </c>
      <c r="D11" t="inlineStr">
        <is>
          <t>4.3</t>
        </is>
      </c>
      <c r="E11">
        <f>HYPERLINK("https://www.amazon.co.jp/Sony-XPERIA-J9110-128GB-SIM%E3%83%95%E3%83%AA%E3%83%BC%E3%80%90%E4%B8%A6%E8%A1%8C%E8%BC%B8%E5%85%A5%E5%93%81%E3%80%91/dp/B07T6DMCDQ/ref=sr_1_10?__mk_ja_JP=%E3%82%AB%E3%82%BF%E3%82%AB%E3%83%8A&amp;dchild=1&amp;keywords=Xperia&amp;qid=1598528999&amp;sr=8-10", "Go")</f>
        <v/>
      </c>
    </row>
    <row r="12">
      <c r="A12" s="1" t="n">
        <v>10</v>
      </c>
      <c r="B12" t="inlineStr">
        <is>
          <t>ソニー Xperia802SO-WH ＳＩＭフリー端末</t>
        </is>
      </c>
      <c r="C12" t="inlineStr">
        <is>
          <t>￥53,700</t>
        </is>
      </c>
      <c r="D12" t="inlineStr">
        <is>
          <t>4.5</t>
        </is>
      </c>
      <c r="E12">
        <f>HYPERLINK("https://www.amazon.co.jp/Sony-Xperia-802SO-WH-Free-Device/dp/B086ZBPGH6/ref=sr_1_11?__mk_ja_JP=%E3%82%AB%E3%82%BF%E3%82%AB%E3%83%8A&amp;dchild=1&amp;keywords=Xperia&amp;qid=1598528999&amp;sr=8-11", "Go")</f>
        <v/>
      </c>
    </row>
    <row r="13">
      <c r="A13" s="1" t="n">
        <v>11</v>
      </c>
      <c r="B13" t="inlineStr">
        <is>
          <t>OUKITEL WP5 IP68防水 防塵 耐衝撃 8000mAh アウトドア スマートフォン Android 10.0 4G 5.5インチ スマホ本体 フリーSIMスマートフォン本体 4GBRAM+32GBROM SONY13MP+5MPデュアルAIカメラ アウトドアタフスマホ 携帯電話 防災用品顔・指紋認証ロック解除 1年間保証付き (黒)</t>
        </is>
      </c>
      <c r="C13" t="inlineStr">
        <is>
          <t>￥16,999</t>
        </is>
      </c>
      <c r="D13" t="inlineStr">
        <is>
          <t>4.6</t>
        </is>
      </c>
      <c r="E13">
        <f>HYPERLINK("https://www.amazon.co.jp/OUKITEL-WP5-%E3%83%95%E3%83%AA%E3%83%BCSIM%E3%82%B9%E3%83%9E%E3%83%BC%E3%83%88%E3%83%95%E3%82%A9%E3%83%B3%E6%9C%AC%E4%BD%93-5MP%E3%83%87%E3%83%A5%E3%82%A2%E3%83%ABAI%E3%82%AB%E3%83%A1%E3%83%A9-%E9%98%B2%E7%81%BD%E7%94%A8%E5%93%81%E9%A1%94%E3%83%BB%E6%8C%87%E7%B4%8B%E8%AA%8D%E8%A8%BC%E3%83%AD%E3%83%83%E3%82%AF%E8%A7%A3%E9%99%A4/dp/B08B64QDJC/ref=sr_1_12?__mk_ja_JP=%E3%82%AB%E3%82%BF%E3%82%AB%E3%83%8A&amp;dchild=1&amp;keywords=Xperia&amp;qid=1598528999&amp;sr=8-12", "Go")</f>
        <v/>
      </c>
    </row>
    <row r="14">
      <c r="A14" s="1" t="n">
        <v>12</v>
      </c>
      <c r="B14" t="inlineStr">
        <is>
          <t>新品未使用 802SO Xperia1 Softbank ブラック 〇判定 SIMロック解除済</t>
        </is>
      </c>
      <c r="C14" t="inlineStr">
        <is>
          <t>￥114,587</t>
        </is>
      </c>
      <c r="D14" t="inlineStr">
        <is>
          <t>4.5</t>
        </is>
      </c>
      <c r="E14">
        <f>HYPERLINK("https://www.amazon.co.jp/%E6%96%B0%E5%93%81%E6%9C%AA%E4%BD%BF%E7%94%A8-802SO-Xperia1-Softbank-SIM%E3%83%AD%E3%83%83%E3%82%AF%E8%A7%A3%E9%99%A4%E6%B8%88/dp/B086ZBKBD1/ref=sr_1_13?__mk_ja_JP=%E3%82%AB%E3%82%BF%E3%82%AB%E3%83%8A&amp;dchild=1&amp;keywords=Xperia&amp;qid=1598528999&amp;sr=8-13", "Go")</f>
        <v/>
      </c>
    </row>
    <row r="15">
      <c r="A15" s="1" t="n">
        <v>13</v>
      </c>
      <c r="B15" t="inlineStr">
        <is>
          <t>BlackBerry KEY2 Black RAM6GB/ROM128GB 【日本正規代理店品】 BBF 100-9 Android SIMフリー スマートフォン QWERTY キーボード BBF100-9</t>
        </is>
      </c>
      <c r="C15" t="inlineStr">
        <is>
          <t>￥87,953</t>
        </is>
      </c>
      <c r="D15" t="inlineStr">
        <is>
          <t>4.5</t>
        </is>
      </c>
      <c r="E15">
        <f>HYPERLINK("https://www.amazon.co.jp/BlackBerry-%E3%80%90%E6%97%A5%E6%9C%AC%E6%AD%A3%E8%A6%8F%E4%BB%A3%E7%90%86%E5%BA%97%E5%93%81%E3%80%91-Android-%E3%82%B9%E3%83%9E%E3%83%BC%E3%83%88%E3%83%95%E3%82%A9%E3%83%B3-BBF100-9/dp/B07FKMMR7K/ref=sr_1_14?__mk_ja_JP=%E3%82%AB%E3%82%BF%E3%82%AB%E3%83%8A&amp;dchild=1&amp;keywords=Xperia&amp;qid=1598528999&amp;sr=8-14", "Go")</f>
        <v/>
      </c>
    </row>
    <row r="16">
      <c r="A16" s="1" t="n">
        <v>14</v>
      </c>
      <c r="B16" t="inlineStr">
        <is>
          <t>HUAWEI P30 Lite パールホワイト【日本正規代理店品】</t>
        </is>
      </c>
      <c r="C16" t="inlineStr">
        <is>
          <t>￥25,520</t>
        </is>
      </c>
      <c r="D16" t="inlineStr">
        <is>
          <t>4.4</t>
        </is>
      </c>
      <c r="E16">
        <f>HYPERLINK("https://www.amazon.co.jp/HUAWEI-%E3%83%95%E3%82%A1%E3%83%BC%E3%82%A6%E3%82%A7%E3%82%A4-LITE-WHITE-%E3%83%91%E3%83%BC%E3%83%AB%E3%83%9B%E3%83%AF%E3%82%A4%E3%83%88%E3%80%90%E6%97%A5%E6%9C%AC%E6%AD%A3%E8%A6%8F%E4%BB%A3%E7%90%86%E5%BA%97%E5%93%81%E3%80%91/dp/B07R58X5KK/ref=sr_1_15?__mk_ja_JP=%E3%82%AB%E3%82%BF%E3%82%AB%E3%83%8A&amp;dchild=1&amp;keywords=Xperia&amp;qid=1598528999&amp;sr=8-15", "Go")</f>
        <v/>
      </c>
    </row>
    <row r="17">
      <c r="A17" s="1" t="n">
        <v>15</v>
      </c>
      <c r="B17" t="inlineStr">
        <is>
          <t>Samsung Galaxy S20+ 5G (SM-G9860) Dual SIM / 128GB+12GB RAM / 6.7”/ 5G対応 / SIMフリー スマートフォン, Snapdragon 865 (Cosmic Black/コスミックブラック)</t>
        </is>
      </c>
      <c r="C17" t="inlineStr">
        <is>
          <t>￥98,000</t>
        </is>
      </c>
      <c r="D17" t="inlineStr">
        <is>
          <t>4.6</t>
        </is>
      </c>
      <c r="E17">
        <f>HYPERLINK("https://www.amazon.co.jp/Samsung-SM-G9860-%E3%82%B9%E3%83%9E%E3%83%BC%E3%83%88%E3%83%95%E3%82%A9%E3%83%B3-Snapdragon-%E3%82%B3%E3%82%B9%E3%83%9F%E3%83%83%E3%82%AF%E3%83%96%E3%83%A9%E3%83%83%E3%82%AF/dp/B085HN3MM3/ref=sr_1_16?__mk_ja_JP=%E3%82%AB%E3%82%BF%E3%82%AB%E3%83%8A&amp;dchild=1&amp;keywords=Xperia&amp;qid=1598528999&amp;sr=8-16", "Go")</f>
        <v/>
      </c>
    </row>
    <row r="18">
      <c r="A18" s="1" t="n">
        <v>16</v>
      </c>
      <c r="B18" t="inlineStr">
        <is>
          <t>Samsung ギャラクシーS10E +6GbラムSm-G970デュアルSIM 5.8" LTEファクトリーロック解除スマートフォン（国際モデル） 128ギガバイト プリズムブラック</t>
        </is>
      </c>
      <c r="C18" t="inlineStr">
        <is>
          <t>￥71,800</t>
        </is>
      </c>
      <c r="D18" t="inlineStr">
        <is>
          <t>4.4</t>
        </is>
      </c>
      <c r="E18">
        <f>HYPERLINK("https://www.amazon.co.jp/Samsung-Sm-G970-Unlocked-Smartphone-International/dp/B07NZVM3RN/ref=sr_1_17?__mk_ja_JP=%E3%82%AB%E3%82%BF%E3%82%AB%E3%83%8A&amp;dchild=1&amp;keywords=Xperia&amp;qid=1598528999&amp;sr=8-17", "Go")</f>
        <v/>
      </c>
    </row>
    <row r="19">
      <c r="A19" s="1" t="n">
        <v>17</v>
      </c>
      <c r="B19" t="inlineStr">
        <is>
          <t>【進化版】UMIDIGI A7 Pro スマートフォン本体 Android 10.0 スマホ本体 6.3 FHD+フルスクリーン SIMフリー スマホ 本体16MP+16MP+5MP 4眼カメラ 4150mAh 4GB RAM + 128GB ROM オクタコア グローバルバージョン 顔認証 指紋認証 技適認証済 au 使えます(オーシャンブルー)</t>
        </is>
      </c>
      <c r="C19" t="inlineStr">
        <is>
          <t>￥17,969</t>
        </is>
      </c>
      <c r="D19" t="inlineStr">
        <is>
          <t>4.4</t>
        </is>
      </c>
      <c r="E19">
        <f>HYPERLINK("https://www.amazon.co.jp/%E3%80%90%E9%80%B2%E5%8C%96%E7%89%88%E3%80%91UMIDIGI-%E3%82%B9%E3%83%9E%E3%83%BC%E3%83%88%E3%83%95%E3%82%A9%E3%83%B3%E6%9C%AC%E4%BD%93-Android-%E3%82%B0%E3%83%AD%E3%83%BC%E3%83%90%E3%83%AB%E3%83%90%E3%83%BC%E3%82%B8%E3%83%A7%E3%83%B3-%E3%82%AA%E3%83%BC%E3%82%B7%E3%83%A3%E3%83%B3%E3%83%96%E3%83%AB%E3%83%BC/dp/B089SQV34X/ref=sr_1_18?__mk_ja_JP=%E3%82%AB%E3%82%BF%E3%82%AB%E3%83%8A&amp;dchild=1&amp;keywords=Xperia&amp;qid=1598528999&amp;sr=8-18", "Go")</f>
        <v/>
      </c>
    </row>
    <row r="20">
      <c r="A20" s="1" t="n">
        <v>18</v>
      </c>
      <c r="B20" t="inlineStr">
        <is>
          <t>HUAWEI NOVA 5T ミッドサマーパープル 【日本正規代理店品】 NOVA 5T/PURPLE</t>
        </is>
      </c>
      <c r="C20" t="inlineStr">
        <is>
          <t>￥39,525</t>
        </is>
      </c>
      <c r="D20" t="inlineStr">
        <is>
          <t>4.4</t>
        </is>
      </c>
      <c r="E20">
        <f>HYPERLINK("https://www.amazon.co.jp/HUAWEI-NOVA-5T-%E3%83%9F%E3%83%83%E3%83%89%E3%82%B5%E3%83%9E%E3%83%BC%E3%83%91%E3%83%BC%E3%83%97%E3%83%AB-PURPLE/dp/B0819Q7M3T/ref=sr_1_19?__mk_ja_JP=%E3%82%AB%E3%82%BF%E3%82%AB%E3%83%8A&amp;dchild=1&amp;keywords=Xperia&amp;qid=1598528999&amp;sr=8-19", "Go")</f>
        <v/>
      </c>
    </row>
    <row r="21">
      <c r="A21" s="1" t="n">
        <v>19</v>
      </c>
      <c r="B21" t="inlineStr">
        <is>
          <t>Samsung ギャラクシーA30S A307G / DS 64GBデュアルSIM電話番号W /トリプル（25Mp + 8MP + 5Mピクセル）カメラ - GSM のみ、ノーCDMA国際バージョン（プリズムクラッシュ） 緑</t>
        </is>
      </c>
      <c r="C21" t="inlineStr">
        <is>
          <t>￥26,270</t>
        </is>
      </c>
      <c r="D21" t="inlineStr">
        <is>
          <t>4.4</t>
        </is>
      </c>
      <c r="E21">
        <f>HYPERLINK("https://www.amazon.co.jp/Samsung-%E3%82%AE%E3%83%A3%E3%83%A9%E3%82%AF%E3%82%B7%E3%83%BCA30S-64GB%E3%83%87%E3%83%A5%E3%82%A2%E3%83%ABSIM%E9%9B%BB%E8%A9%B1%E7%95%AA%E5%8F%B7W-%E3%83%88%E3%83%AA%E3%83%97%E3%83%AB%EF%BC%8825Mp-5M%E3%83%94%E3%82%AF%E3%82%BB%E3%83%AB%EF%BC%89%E3%82%AB%E3%83%A1%E3%83%A9/dp/B07XF1V753/ref=sr_1_20?__mk_ja_JP=%E3%82%AB%E3%82%BF%E3%82%AB%E3%83%8A&amp;dchild=1&amp;keywords=Xperia&amp;qid=1598528999&amp;sr=8-20", "Go")</f>
        <v/>
      </c>
    </row>
    <row r="22">
      <c r="A22" s="1" t="n">
        <v>20</v>
      </c>
      <c r="B22" t="inlineStr">
        <is>
          <t>HUAWEI HUAWEI nova lite 2　ブルー5.6インチ SIMフリースマートフォン［メモリ 3GB/ストレージ 32GB］ NOVA-LITE 2 BLUE</t>
        </is>
      </c>
      <c r="C22" t="inlineStr">
        <is>
          <t>￥21,800</t>
        </is>
      </c>
      <c r="D22" t="inlineStr">
        <is>
          <t>4.4</t>
        </is>
      </c>
      <c r="E22">
        <f>HYPERLINK("https://www.amazon.co.jp/HUAWEI-%E3%83%96%E3%83%AB%E3%83%BC5-6%E3%82%A4%E3%83%B3%E3%83%81-SIM%E3%83%95%E3%83%AA%E3%83%BC%E3%82%B9%E3%83%9E%E3%83%BC%E3%83%88%E3%83%95%E3%82%A9%E3%83%B3%EF%BC%BB%E3%83%A1%E3%83%A2%E3%83%AA-NOVA-LITE-BLUE/dp/B07DHGZR22/ref=sr_1_21?__mk_ja_JP=%E3%82%AB%E3%82%BF%E3%82%AB%E3%83%8A&amp;dchild=1&amp;keywords=Xperia&amp;qid=1598528999&amp;sr=8-21", "Go")</f>
        <v/>
      </c>
    </row>
    <row r="23">
      <c r="A23" s="1" t="n">
        <v>21</v>
      </c>
      <c r="B23" t="inlineStr">
        <is>
          <t>Xperia XZ1 Compact SO-02K black</t>
        </is>
      </c>
      <c r="C23" t="inlineStr">
        <is>
          <t>￥16,800</t>
        </is>
      </c>
      <c r="D23" t="inlineStr">
        <is>
          <t>4.6</t>
        </is>
      </c>
      <c r="E23">
        <f>HYPERLINK("https://www.amazon.co.jp/Xperia-XZ1-Compact-SO-02K-black/dp/B077NY1CB1/ref=sr_1_22?__mk_ja_JP=%E3%82%AB%E3%82%BF%E3%82%AB%E3%83%8A&amp;dchild=1&amp;keywords=Xperia&amp;qid=1598528999&amp;sr=8-22", "Go")</f>
        <v/>
      </c>
    </row>
    <row r="24">
      <c r="A24" s="1" t="n">
        <v>22</v>
      </c>
      <c r="B24" t="inlineStr">
        <is>
          <t>Sony XPERIA 5 - J9210 (128GB / 6GB RAM) - Blue ブール 【並行輸入品】[写真は参照用で、SDメモリーカードには付属しておりませんです。]</t>
        </is>
      </c>
      <c r="C24" t="inlineStr">
        <is>
          <t>￥68,000</t>
        </is>
      </c>
      <c r="D24" t="inlineStr">
        <is>
          <t>4.5</t>
        </is>
      </c>
      <c r="E24">
        <f>HYPERLINK("https://www.amazon.co.jp/Sony-XPERIA-J9210-%E3%80%90%E4%B8%A6%E8%A1%8C%E8%BC%B8%E5%85%A5%E5%93%81%E3%80%91-%E5%86%99%E7%9C%9F%E3%81%AF%E5%8F%82%E7%85%A7%E7%94%A8%E3%81%A7%E3%80%81SD%E3%83%A1%E3%83%A2%E3%83%AA%E3%83%BC%E3%82%AB%E3%83%BC%E3%83%89%E3%81%AB%E3%81%AF%E4%BB%98%E5%B1%9E%E3%81%97%E3%81%A6%E3%81%8A%E3%82%8A%E3%81%BE%E3%81%9B%E3%82%93%E3%81%A7%E3%81%99%E3%80%82/dp/B07XZRTB1G/ref=sr_1_23?__mk_ja_JP=%E3%82%AB%E3%82%BF%E3%82%AB%E3%83%8A&amp;dchild=1&amp;keywords=Xperia&amp;qid=1598528999&amp;sr=8-23", "Go")</f>
        <v/>
      </c>
    </row>
    <row r="25">
      <c r="A25" s="1" t="n">
        <v>23</v>
      </c>
      <c r="B25" t="inlineStr">
        <is>
          <t>モトローラ Moto G7 Power セラミックブラック 【日本正規代理店品】 PAEK0002JP/A</t>
        </is>
      </c>
      <c r="C25" t="inlineStr">
        <is>
          <t>￥23,745</t>
        </is>
      </c>
      <c r="D25" t="inlineStr">
        <is>
          <t>4.3</t>
        </is>
      </c>
      <c r="E25">
        <f>HYPERLINK("https://www.amazon.co.jp/%E3%83%A2%E3%83%88%E3%83%AD%E3%83%BC%E3%83%A9-Power-%E3%82%BB%E3%83%A9%E3%83%9F%E3%83%83%E3%82%AF%E3%83%96%E3%83%A9%E3%83%83%E3%82%AF-%E3%80%90%E6%97%A5%E6%9C%AC%E6%AD%A3%E8%A6%8F%E4%BB%A3%E7%90%86%E5%BA%97%E5%93%81%E3%80%91-PAEK0002JP/dp/B07S1SPK1Z/ref=sr_1_24?__mk_ja_JP=%E3%82%AB%E3%82%BF%E3%82%AB%E3%83%8A&amp;dchild=1&amp;keywords=Xperia&amp;qid=1598528999&amp;sr=8-24", "Go")</f>
        <v/>
      </c>
    </row>
    <row r="26">
      <c r="A26" s="1" t="n">
        <v>24</v>
      </c>
      <c r="B26" t="inlineStr">
        <is>
          <t>ASUS ZenFone 6 ミッドナイトブラック (6GB/128GB) 【日本正規代理店品】 ZS630KL-BK128S6/A</t>
        </is>
      </c>
      <c r="C26" t="inlineStr">
        <is>
          <t>￥95,500</t>
        </is>
      </c>
      <c r="D26" t="inlineStr">
        <is>
          <t>4.3</t>
        </is>
      </c>
      <c r="E26">
        <f>HYPERLINK("https://www.amazon.co.jp/ZenFone-%E3%83%9F%E3%83%83%E3%83%89%E3%83%8A%E3%82%A4%E3%83%88%E3%83%96%E3%83%A9%E3%83%83%E3%82%AF-128GB-%E3%80%90%E6%97%A5%E6%9C%AC%E6%AD%A3%E8%A6%8F%E4%BB%A3%E7%90%86%E5%BA%97%E5%93%81%E3%80%91-ZS630KL-BK128S6/dp/B07W8VWW31/ref=sr_1_25?__mk_ja_JP=%E3%82%AB%E3%82%BF%E3%82%AB%E3%83%8A&amp;dchild=1&amp;keywords=Xperia&amp;qid=1598528999&amp;sr=8-25", "Go")</f>
        <v/>
      </c>
    </row>
    <row r="27">
      <c r="A27" s="1" t="n">
        <v>25</v>
      </c>
      <c r="B27" t="inlineStr">
        <is>
          <t>Xiaomi スマートホン Xiaomi Redmi Note 9Sグローバル版 6GB RAM 128GB ROM・SIMフリースマートフォン 日本語対応・Android 10搭載 Googleアプリ対応 4800万画素カメラ 5020mAhバッテリ 6.67インチ IPS 1080 x 2400 (Glacier White/グレイシヤーホワイト)</t>
        </is>
      </c>
      <c r="C27" t="inlineStr">
        <is>
          <t>￥25,900</t>
        </is>
      </c>
      <c r="D27" t="inlineStr">
        <is>
          <t>4.3</t>
        </is>
      </c>
      <c r="E27">
        <f>HYPERLINK("https://www.amazon.co.jp/Xiaomi-ROM%E3%83%BBSIM%E3%83%95%E3%83%AA%E3%83%BC%E3%82%B9%E3%83%9E%E3%83%BC%E3%83%88%E3%83%95%E3%82%A9%E3%83%B3-%E6%97%A5%E6%9C%AC%E8%AA%9E%E5%AF%BE%E5%BF%9C%E3%83%BBAndroid-Google%E3%82%A2%E3%83%97%E3%83%AA%E5%AF%BE%E5%BF%9C-5020mAh%E3%83%90%E3%83%83%E3%83%86%E3%83%AA/dp/B085S4LC4V/ref=sr_1_26?__mk_ja_JP=%E3%82%AB%E3%82%BF%E3%82%AB%E3%83%8A&amp;dchild=1&amp;keywords=Xperia&amp;qid=1598528999&amp;sr=8-26", "Go")</f>
        <v/>
      </c>
    </row>
    <row r="28">
      <c r="A28" s="1" t="n">
        <v>26</v>
      </c>
      <c r="B28" t="inlineStr">
        <is>
          <t>SAMSUNG docomo GALAXY Feel SC-04J Moon White</t>
        </is>
      </c>
      <c r="C28" t="inlineStr">
        <is>
          <t>￥12,800</t>
        </is>
      </c>
      <c r="D28" t="inlineStr">
        <is>
          <t>4.5</t>
        </is>
      </c>
      <c r="E28">
        <f>HYPERLINK("https://www.amazon.co.jp/SAMSUNG-docomo-GALAXY-SC-04J-White/dp/B071XJ5VMZ/ref=sr_1_27?__mk_ja_JP=%E3%82%AB%E3%82%BF%E3%82%AB%E3%83%8A&amp;dchild=1&amp;keywords=Xperia&amp;qid=1598528999&amp;sr=8-27", "Go")</f>
        <v/>
      </c>
    </row>
    <row r="29">
      <c r="A29" s="1" t="n">
        <v>27</v>
      </c>
      <c r="B29" t="inlineStr">
        <is>
          <t>docomo Xperia X Compact SO-02J 白ロム (ホワイト)</t>
        </is>
      </c>
      <c r="C29" t="inlineStr">
        <is>
          <t>￥6,980</t>
        </is>
      </c>
      <c r="D29" t="inlineStr">
        <is>
          <t>4.4</t>
        </is>
      </c>
      <c r="E29">
        <f>HYPERLINK("https://www.amazon.co.jp/docomo-Xperia-Compact-SO-02J-%E3%83%9B%E3%83%AF%E3%82%A4%E3%83%88/dp/B01N3XANTE/ref=sr_1_28?__mk_ja_JP=%E3%82%AB%E3%82%BF%E3%82%AB%E3%83%8A&amp;dchild=1&amp;keywords=Xperia&amp;qid=1598528999&amp;sr=8-28", "Go")</f>
        <v/>
      </c>
    </row>
    <row r="30">
      <c r="A30" s="1" t="n">
        <v>28</v>
      </c>
      <c r="B30" t="inlineStr">
        <is>
          <t>FUJITSU(富士通） arrows Be 16GB ブラック F-05J docomo</t>
        </is>
      </c>
      <c r="C30" t="inlineStr">
        <is>
          <t>￥5,980</t>
        </is>
      </c>
      <c r="D30" t="inlineStr">
        <is>
          <t>4.6</t>
        </is>
      </c>
      <c r="E30">
        <f>HYPERLINK("https://www.amazon.co.jp/docomo-arrows-Be-F-05J-Black/dp/B071W8HJ5Q/ref=sr_1_29?__mk_ja_JP=%E3%82%AB%E3%82%BF%E3%82%AB%E3%83%8A&amp;dchild=1&amp;keywords=Xperia&amp;qid=1598528999&amp;sr=8-29", "Go")</f>
        <v/>
      </c>
    </row>
    <row r="31">
      <c r="A31" s="1" t="n">
        <v>29</v>
      </c>
      <c r="B31" t="inlineStr">
        <is>
          <t>SONY(ソニー) Xperia X Compact 32GB ユニバースブラック SO-02J docomoロック解除SIMフリー</t>
        </is>
      </c>
      <c r="C31" t="inlineStr">
        <is>
          <t>￥28,500</t>
        </is>
      </c>
      <c r="D31" t="inlineStr">
        <is>
          <t>4.4</t>
        </is>
      </c>
      <c r="E31">
        <f>HYPERLINK("https://www.amazon.co.jp/docomo-Xperia-Compact-SO-02J-Universe/dp/B01N0ADU0D/ref=sr_1_30?__mk_ja_JP=%E3%82%AB%E3%82%BF%E3%82%AB%E3%83%8A&amp;dchild=1&amp;keywords=Xperia&amp;qid=1598528999&amp;sr=8-30", "Go")</f>
        <v/>
      </c>
    </row>
    <row r="32">
      <c r="A32" s="1" t="n">
        <v>30</v>
      </c>
      <c r="B32" t="inlineStr">
        <is>
          <t>UMIDIGI F2 SIMフリースマートフォン128GB ROM + 6GB RAM Helio P70オクタコア 5150mAh大容量バッテリー 18W高速充電 Android 10.0 48MP+13MP+5MP+5MPクアッドリアカメラ 6.53インチ全画面 FHD+パンチホールディスプレイ技適認証済 顔認証 指紋認証</t>
        </is>
      </c>
      <c r="C32" t="inlineStr">
        <is>
          <t>￥27,669</t>
        </is>
      </c>
      <c r="D32" t="inlineStr">
        <is>
          <t>4.3</t>
        </is>
      </c>
      <c r="E32">
        <f>HYPERLINK("https://www.amazon.co.jp/UMIDIGI-SIM%E3%83%95%E3%83%AA%E3%83%BC%E3%82%B9%E3%83%9E%E3%83%BC%E3%83%88%E3%83%95%E3%82%A9%E3%83%B3128GB-5150mAh%E5%A4%A7%E5%AE%B9%E9%87%8F%E3%83%90%E3%83%83%E3%83%86%E3%83%AA%E3%83%BC-5MP%E3%82%AF%E3%82%A2%E3%83%83%E3%83%89%E3%83%AA%E3%82%A2%E3%82%AB%E3%83%A1%E3%83%A9-%E3%83%91%E3%83%B3%E3%83%81%E3%83%9B%E3%83%BC%E3%83%AB%E3%83%87%E3%82%A3%E3%82%B9%E3%83%97%E3%83%AC%E3%82%A4%E6%8A%80%E9%81%A9%E8%AA%8D%E8%A8%BC%E6%B8%88/dp/B085SWGST7/ref=sr_1_31?__mk_ja_JP=%E3%82%AB%E3%82%BF%E3%82%AB%E3%83%8A&amp;dchild=1&amp;keywords=Xperia&amp;qid=1598528999&amp;sr=8-31", "Go")</f>
        <v/>
      </c>
    </row>
    <row r="33">
      <c r="A33" s="1" t="n">
        <v>31</v>
      </c>
      <c r="B33" t="inlineStr">
        <is>
          <t>SO-03J XZs Warm Silver シルバー 白ロム docomo</t>
        </is>
      </c>
      <c r="C33" t="inlineStr">
        <is>
          <t>￥42,980</t>
        </is>
      </c>
      <c r="D33" t="inlineStr">
        <is>
          <t>4.7</t>
        </is>
      </c>
      <c r="E33">
        <f>HYPERLINK("https://www.amazon.co.jp/SO-03J-Warm-Silver-%E3%82%B7%E3%83%AB%E3%83%90%E3%83%BC-docomo/dp/B072KND5ZT/ref=sr_1_32?__mk_ja_JP=%E3%82%AB%E3%82%BF%E3%82%AB%E3%83%8A&amp;dchild=1&amp;keywords=Xperia&amp;qid=1598528999&amp;sr=8-32", "Go")</f>
        <v/>
      </c>
    </row>
    <row r="34">
      <c r="A34" s="1" t="n">
        <v>32</v>
      </c>
      <c r="B34" t="inlineStr">
        <is>
          <t>OUKITEL WP6 アウトドア スマートフォン SIMフリースマートフォン スマホ本体 10000mAhバッテリー6GB RAM 128GB ROM 48MPトリプルリアカメラ 6.3インチ FHD+ Android 9.0 Helio P70 IP68 防水 防塵 耐衝撃 スマートフォン指紋認識 顔認証 携帯電話 デュアルSIM(Nano) 防災用品 1年間保証付き (ブラック)</t>
        </is>
      </c>
      <c r="C34" t="inlineStr">
        <is>
          <t>￥34,999</t>
        </is>
      </c>
      <c r="D34" t="inlineStr">
        <is>
          <t>4.4</t>
        </is>
      </c>
      <c r="E34">
        <f>HYPERLINK("https://www.amazon.co.jp/OUKITEL-SIM%E3%83%95%E3%83%AA%E3%83%BC%E3%82%B9%E3%83%9E%E3%83%BC%E3%83%88%E3%83%95%E3%82%A9%E3%83%B3-10000mAh%E3%83%90%E3%83%83%E3%83%86%E3%83%AA%E3%83%BC6GB-48MP%E3%83%88%E3%83%AA%E3%83%97%E3%83%AB%E3%83%AA%E3%82%A2%E3%82%AB%E3%83%A1%E3%83%A9-%E3%82%B9%E3%83%9E%E3%83%BC%E3%83%88%E3%83%95%E3%82%A9%E3%83%B3%E6%8C%87%E7%B4%8B%E8%AA%8D%E8%AD%98/dp/B08728442S/ref=sr_1_33?__mk_ja_JP=%E3%82%AB%E3%82%BF%E3%82%AB%E3%83%8A&amp;dchild=1&amp;keywords=Xperia&amp;qid=1598528999&amp;sr=8-33", "Go")</f>
        <v/>
      </c>
    </row>
    <row r="35">
      <c r="A35" s="1" t="n">
        <v>33</v>
      </c>
      <c r="B35" t="inlineStr">
        <is>
          <t>HUAWEI P20 Lite クラインブルー 【日本正規代理店品】 P20 lite/Klein Blue</t>
        </is>
      </c>
      <c r="C35" t="inlineStr">
        <is>
          <t>￥23,200</t>
        </is>
      </c>
      <c r="D35" t="inlineStr">
        <is>
          <t>4.2</t>
        </is>
      </c>
      <c r="E35">
        <f>HYPERLINK("https://www.amazon.co.jp/5-84%E3%82%A4%E3%83%B3%E3%83%81-P20-lite-SIM%E3%83%95%E3%83%AA%E3%83%BC%E3%82%B9%E3%83%9E%E3%83%BC%E3%83%88%E3%83%95%E3%82%A9%E3%83%B3-%E3%82%AF%E3%83%A9%E3%82%A4%E3%83%B3%E3%83%96%E3%83%AB%E3%83%BC%E3%80%90%E6%97%A5%E6%9C%AC%E6%AD%A3%E8%A6%8F%E4%BB%A3%E7%90%86%E5%BA%97%E5%93%81%E3%80%91/dp/B07CZFVVVV/ref=sr_1_34?__mk_ja_JP=%E3%82%AB%E3%82%BF%E3%82%AB%E3%83%8A&amp;dchild=1&amp;keywords=Xperia&amp;qid=1598528999&amp;sr=8-34", "Go")</f>
        <v/>
      </c>
    </row>
    <row r="36">
      <c r="A36" s="1" t="n">
        <v>34</v>
      </c>
      <c r="B36" t="inlineStr">
        <is>
          <t>Huawei 5.2型 P10 lite SIMフリースマートフォン パールホワイト</t>
        </is>
      </c>
      <c r="C36" t="inlineStr">
        <is>
          <t>￥2,980</t>
        </is>
      </c>
      <c r="D36" t="inlineStr">
        <is>
          <t>4.2</t>
        </is>
      </c>
      <c r="E36">
        <f>HYPERLINK("https://www.amazon.co.jp/Huawei-P10-lite-SIM%E3%83%95%E3%83%AA%E3%83%BC%E3%82%B9%E3%83%9E%E3%83%BC%E3%83%88%E3%83%95%E3%82%A9%E3%83%B3-%E3%83%91%E3%83%BC%E3%83%AB%E3%83%9B%E3%83%AF%E3%82%A4%E3%83%88/dp/B071LJGVSD/ref=sr_1_35?__mk_ja_JP=%E3%82%AB%E3%82%BF%E3%82%AB%E3%83%8A&amp;dchild=1&amp;keywords=Xperia&amp;qid=1598528999&amp;sr=8-35", "Go")</f>
        <v/>
      </c>
    </row>
    <row r="37">
      <c r="A37" s="1" t="n">
        <v>35</v>
      </c>
      <c r="B37" t="inlineStr">
        <is>
          <t>au SONY Xperia 1 SOV40 グレー</t>
        </is>
      </c>
      <c r="C37" t="inlineStr">
        <is>
          <t>￥55,500</t>
        </is>
      </c>
      <c r="D37" t="inlineStr">
        <is>
          <t>4.5</t>
        </is>
      </c>
      <c r="E37">
        <f>HYPERLINK("https://www.amazon.co.jp/SONY-Xperia-SOV40-%E3%82%B0%E3%83%AC%E3%83%BC/dp/B07TQLRX89/ref=sr_1_36?__mk_ja_JP=%E3%82%AB%E3%82%BF%E3%82%AB%E3%83%8A&amp;dchild=1&amp;keywords=Xperia&amp;qid=1598528999&amp;sr=8-36", "Go")</f>
        <v/>
      </c>
    </row>
    <row r="38">
      <c r="A38" s="1" t="n">
        <v>36</v>
      </c>
      <c r="B38" t="inlineStr">
        <is>
          <t>Blackview A80Pro スマートフォン本体 4Gスマホ本体 simフリースマートフォン本体 6.49インチ 13MP+8MP 4680mAh RAM 4GB + ROM 64GB Android 9.0端末 携帯電話 技適認証済み 1年間保証付き(ブラック)</t>
        </is>
      </c>
      <c r="C38" t="inlineStr">
        <is>
          <t>￥15,990</t>
        </is>
      </c>
      <c r="D38" t="inlineStr">
        <is>
          <t>4.2</t>
        </is>
      </c>
      <c r="E38">
        <f>HYPERLINK("https://www.amazon.co.jp/Blackview-A80Pro-%E3%82%B9%E3%83%9E%E3%83%BC%E3%83%88%E3%83%95%E3%82%A9%E3%83%B3%E6%9C%AC%E4%BD%93-4G%E3%82%B9%E3%83%9E%E3%83%9B%E6%9C%AC%E4%BD%93-sim%E3%83%95%E3%83%AA%E3%83%BC%E3%82%B9%E3%83%9E%E3%83%BC%E3%83%88%E3%83%95%E3%82%A9%E3%83%B3%E6%9C%AC%E4%BD%93/dp/B07ZX11912/ref=sr_1_37?__mk_ja_JP=%E3%82%AB%E3%82%BF%E3%82%AB%E3%83%8A&amp;dchild=1&amp;keywords=Xperia&amp;qid=1598528999&amp;sr=8-37", "Go")</f>
        <v/>
      </c>
    </row>
    <row r="39">
      <c r="A39" s="1" t="n">
        <v>37</v>
      </c>
      <c r="B39" t="inlineStr">
        <is>
          <t>OPPO AX7 ブルー 【日本正規代理店品】 CPH1903(BL)</t>
        </is>
      </c>
      <c r="C39" t="inlineStr">
        <is>
          <t>￥19,090</t>
        </is>
      </c>
      <c r="D39" t="inlineStr">
        <is>
          <t>4.2</t>
        </is>
      </c>
      <c r="E39">
        <f>HYPERLINK("https://www.amazon.co.jp/OPPO-AX7%E3%80%90%E5%9B%BD%E5%86%85%E6%AD%A3%E8%A6%8F%E5%93%81%E3%80%916-2%E3%82%A4%E3%83%B3%E3%83%81-SIM%E3%83%95%E3%83%AA%E3%83%BC%E3%82%B9%E3%83%9E%E3%83%BC%E3%83%88%E3%83%95%E3%82%A9%E3%83%B3-CPH1903-BL/dp/B07KT6PGTC/ref=sr_1_38?__mk_ja_JP=%E3%82%AB%E3%82%BF%E3%82%AB%E3%83%8A&amp;dchild=1&amp;keywords=Xperia&amp;qid=1598528999&amp;sr=8-38", "Go")</f>
        <v/>
      </c>
    </row>
    <row r="40">
      <c r="A40" s="1" t="n">
        <v>38</v>
      </c>
      <c r="B40" t="inlineStr">
        <is>
          <t>UMIDIGI POWER3 フリースマートフォン スマートフォン 本体 simフリー 6150mAh超大容量バッテリーAndroid 10 RAM 4GB＋ROM 64GB 10 W急速逆充電付き 18W高速充電付き 6.53インチFHD+ 顔認証 指紋認証 技適認証済み ミッドナイトグリーン</t>
        </is>
      </c>
      <c r="C40" t="inlineStr">
        <is>
          <t>￥23,969</t>
        </is>
      </c>
      <c r="D40" t="inlineStr">
        <is>
          <t>4.2</t>
        </is>
      </c>
      <c r="E40">
        <f>HYPERLINK("https://www.amazon.co.jp/UMIDIGI-POWER3-%E3%83%95%E3%83%AA%E3%83%BC%E3%82%B9%E3%83%9E%E3%83%BC%E3%83%88%E3%83%95%E3%82%A9%E3%83%B3-6150mAh%E8%B6%85%E5%A4%A7%E5%AE%B9%E9%87%8F%E3%83%90%E3%83%83%E3%83%86%E3%83%AA%E3%83%BCAndroid-6-53%E3%82%A4%E3%83%B3%E3%83%81FHD/dp/B085SYTTTD/ref=sr_1_39?__mk_ja_JP=%E3%82%AB%E3%82%BF%E3%82%AB%E3%83%8A&amp;dchild=1&amp;keywords=Xperia&amp;qid=1598528999&amp;sr=8-39", "Go")</f>
        <v/>
      </c>
    </row>
    <row r="41">
      <c r="A41" s="1" t="n">
        <v>39</v>
      </c>
      <c r="B41" t="inlineStr">
        <is>
          <t>HUAWEI nova lite 3 オーロラブルー 【日本正規代理店品】 NOVA LITE 3/BL/A</t>
        </is>
      </c>
      <c r="C41" t="inlineStr">
        <is>
          <t>￥17,300</t>
        </is>
      </c>
      <c r="D41" t="inlineStr">
        <is>
          <t>4.2</t>
        </is>
      </c>
      <c r="E41">
        <f>HYPERLINK("https://www.amazon.co.jp/HUAWEI-%E3%80%90%E6%97%A5%E6%9C%AC%E6%AD%A3%E8%A6%8F%E4%BB%A3%E7%90%86%E5%BA%97%E5%93%81%E3%80%91-NOVA-LITE-BL/dp/B07WJKHJX2/ref=sr_1_40?__mk_ja_JP=%E3%82%AB%E3%82%BF%E3%82%AB%E3%83%8A&amp;dchild=1&amp;keywords=Xperia&amp;qid=1598528999&amp;sr=8-40", "Go")</f>
        <v/>
      </c>
    </row>
    <row r="42">
      <c r="A42" s="1" t="n">
        <v>40</v>
      </c>
      <c r="B42" t="inlineStr">
        <is>
          <t>モトローラ Moto G8 Plus ポイズンベリー 【日本正規代理店品】 PAGE0020JP/A</t>
        </is>
      </c>
      <c r="C42" t="inlineStr">
        <is>
          <t>￥34,277</t>
        </is>
      </c>
      <c r="D42" t="inlineStr">
        <is>
          <t>4.2</t>
        </is>
      </c>
      <c r="E42">
        <f>HYPERLINK("https://www.amazon.co.jp/%E3%83%A2%E3%83%88%E3%83%AD%E3%83%BC%E3%83%A9-Moto-%E3%83%9D%E3%82%A4%E3%82%BA%E3%83%B3%E3%83%99%E3%83%AA%E3%83%BC-%E3%80%90%E6%97%A5%E6%9C%AC%E6%AD%A3%E8%A6%8F%E4%BB%A3%E7%90%86%E5%BA%97%E5%93%81%E3%80%91-PAGE0020JP/dp/B08515459J/ref=sr_1_41?__mk_ja_JP=%E3%82%AB%E3%82%BF%E3%82%AB%E3%83%8A&amp;dchild=1&amp;keywords=Xperia&amp;qid=1598528999&amp;sr=8-41", "Go")</f>
        <v/>
      </c>
    </row>
    <row r="43">
      <c r="A43" s="1" t="n">
        <v>41</v>
      </c>
      <c r="B43" t="inlineStr">
        <is>
          <t>Sony Xperia XZ1 (Dual 64GB) G8342 - BLACK ブラック【並行輸入品】</t>
        </is>
      </c>
      <c r="C43" t="inlineStr">
        <is>
          <t>￥1,496</t>
        </is>
      </c>
      <c r="D43" t="inlineStr">
        <is>
          <t>4.2</t>
        </is>
      </c>
      <c r="E43">
        <f>HYPERLINK("https://www.amazon.co.jp/Sony-Xperia-Dual-64GB-G8342/dp/B0753MMK5B/ref=sr_1_42?__mk_ja_JP=%E3%82%AB%E3%82%BF%E3%82%AB%E3%83%8A&amp;dchild=1&amp;keywords=Xperia&amp;qid=1598528999&amp;sr=8-42", "Go")</f>
        <v/>
      </c>
    </row>
    <row r="44">
      <c r="A44" s="1" t="n">
        <v>42</v>
      </c>
      <c r="B44" t="inlineStr">
        <is>
          <t>OUKITEL WP5 (2020) アウトドア スマートフォン SIMフリー スマホ本体 Android 10 IP68 防水 防塵 耐衝撃 SIMフリースマートフォン本体 4GB RAM + 32GB ROM 8000mAh 5.5インチ 指紋認識 顔認証 携帯電話 デュアルSIM(Nano) 13MP SONY リアデュアルカメラ LEDライト 防災用品 1年間保証付き (オレンジ)</t>
        </is>
      </c>
      <c r="C44" t="inlineStr">
        <is>
          <t>￥16,999</t>
        </is>
      </c>
      <c r="D44" t="inlineStr">
        <is>
          <t>4.2</t>
        </is>
      </c>
      <c r="E44">
        <f>HYPERLINK("https://www.amazon.co.jp/OUKITEL-%E3%82%B9%E3%83%9E%E3%83%BC%E3%83%88%E3%83%95%E3%82%A9%E3%83%B3-Android-SIM%E3%83%95%E3%83%AA%E3%83%BC%E3%82%B9%E3%83%9E%E3%83%BC%E3%83%88%E3%83%95%E3%82%A9%E3%83%B3%E6%9C%AC%E4%BD%93-%E3%83%AA%E3%82%A2%E3%83%87%E3%83%A5%E3%82%A2%E3%83%AB%E3%82%AB%E3%83%A1%E3%83%A9/dp/B085BRMWBF/ref=sr_1_43?__mk_ja_JP=%E3%82%AB%E3%82%BF%E3%82%AB%E3%83%8A&amp;dchild=1&amp;keywords=Xperia&amp;qid=1598528999&amp;sr=8-43", "Go")</f>
        <v/>
      </c>
    </row>
    <row r="45">
      <c r="A45" s="1" t="n">
        <v>43</v>
      </c>
      <c r="B45" t="inlineStr">
        <is>
          <t>Samsung Galaxy Note10 Lite (SM-N770F/DS) グローバル版 Dual SIM - 128GB/8GB, 4G LTE (Aura Black/ブラック) SIMフリー</t>
        </is>
      </c>
      <c r="C45" t="inlineStr">
        <is>
          <t>￥53,590</t>
        </is>
      </c>
      <c r="D45" t="inlineStr">
        <is>
          <t>4.4</t>
        </is>
      </c>
      <c r="E45">
        <f>HYPERLINK("https://www.amazon.co.jp/Samsung-Galaxy-Note10-SM-N770F-%E3%82%B0%E3%83%AD%E3%83%BC%E3%83%90%E3%83%AB%E7%89%88/dp/B084MH6VYM/ref=sr_1_44?__mk_ja_JP=%E3%82%AB%E3%82%BF%E3%82%AB%E3%83%8A&amp;dchild=1&amp;keywords=Xperia&amp;qid=1598528999&amp;sr=8-44", "Go")</f>
        <v/>
      </c>
    </row>
    <row r="46">
      <c r="A46" s="1" t="n">
        <v>44</v>
      </c>
      <c r="B46" t="inlineStr">
        <is>
          <t>HUAWEI Mate 10 Pro ミッドナイトブルー 【日本正規代理店品】 Mate 10 Pro/Midnight Blue</t>
        </is>
      </c>
      <c r="C46" t="inlineStr">
        <is>
          <t>￥23,800</t>
        </is>
      </c>
      <c r="D46" t="inlineStr">
        <is>
          <t>4.3</t>
        </is>
      </c>
      <c r="E46">
        <f>HYPERLINK("https://www.amazon.co.jp/HUAWEI-Mate-Pro-SIM%E3%83%95%E3%83%AA%E3%83%BC%E3%82%B9%E3%83%9E%E3%83%BC%E3%83%88%E3%83%95%E3%82%A9%E3%83%B3-%E3%83%9F%E3%83%83%E3%83%89%E3%83%8A%E3%82%A4%E3%83%88%E3%83%96%E3%83%AB%E3%83%BC%E3%80%90%E6%97%A5%E6%9C%AC%E6%AD%A3%E8%A6%8F%E4%BB%A3%E7%90%86%E5%BA%97%E5%93%81%E3%80%91/dp/B07788JMR5/ref=sr_1_45?__mk_ja_JP=%E3%82%AB%E3%82%BF%E3%82%AB%E3%83%8A&amp;dchild=1&amp;keywords=Xperia&amp;qid=1598528999&amp;sr=8-45", "Go")</f>
        <v/>
      </c>
    </row>
    <row r="47">
      <c r="A47" s="1" t="n">
        <v>45</v>
      </c>
      <c r="B47" t="inlineStr">
        <is>
          <t>OUKITEL K9 SIMフリースマートフォン7.12インチFHD+ 大画面スマホ4G LTE携帯電話6000mAhバッテリーOTG 4GB RAM 64GB ROM Android 9.0 MT6765 Octa-Core 2.3GHz 指紋認証フェイスIDロック解除1年間保証</t>
        </is>
      </c>
      <c r="C47" t="inlineStr">
        <is>
          <t>￥23,999</t>
        </is>
      </c>
      <c r="D47" t="inlineStr">
        <is>
          <t>4.2</t>
        </is>
      </c>
      <c r="E47">
        <f>HYPERLINK("https://www.amazon.co.jp/OUKITEL-K9-SIM%E3%83%95%E3%83%AA%E3%83%BC%E3%82%B9%E3%83%9E%E3%83%BC%E3%83%88%E3%83%95%E3%82%A9%E3%83%B37-12%E3%82%A4%E3%83%B3%E3%83%81FHD-LTE%E6%90%BA%E5%B8%AF%E9%9B%BB%E8%A9%B16000mAh%E3%83%90%E3%83%83%E3%83%86%E3%83%AA%E3%83%BCOTG-%E6%8C%87%E7%B4%8B%E8%AA%8D%E8%A8%BC%E3%83%95%E3%82%A7%E3%82%A4%E3%82%B9ID%E3%83%AD%E3%83%83%E3%82%AF%E8%A7%A3%E9%99%A41%E5%B9%B4%E9%96%93%E4%BF%9D%E8%A8%BC/dp/B085TFS2YM/ref=sr_1_46?__mk_ja_JP=%E3%82%AB%E3%82%BF%E3%82%AB%E3%83%8A&amp;dchild=1&amp;keywords=Xperia&amp;qid=1598528999&amp;sr=8-46", "Go")</f>
        <v/>
      </c>
    </row>
    <row r="48">
      <c r="A48" s="1" t="n">
        <v>46</v>
      </c>
      <c r="B48" t="inlineStr">
        <is>
          <t>SONY 【SIMロック解除済】docomo Xperia XZ Premium SO-04J Deepsea Black</t>
        </is>
      </c>
      <c r="C48" t="inlineStr">
        <is>
          <t>￥20,800</t>
        </is>
      </c>
      <c r="D48" t="inlineStr">
        <is>
          <t>4.8</t>
        </is>
      </c>
      <c r="E48">
        <f>HYPERLINK("https://www.amazon.co.jp/SONY-%E3%80%90SIM%E3%83%AD%E3%83%83%E3%82%AF%E8%A7%A3%E9%99%A4%E6%B8%88%E3%80%91docomo-Xperia-Premium-Deepsea/dp/B07423NVKP/ref=sr_1_47?__mk_ja_JP=%E3%82%AB%E3%82%BF%E3%82%AB%E3%83%8A&amp;dchild=1&amp;keywords=Xperia&amp;qid=1598528999&amp;sr=8-47", "Go")</f>
        <v/>
      </c>
    </row>
    <row r="49">
      <c r="A49" s="1" t="n">
        <v>47</v>
      </c>
      <c r="B49" t="inlineStr">
        <is>
          <t>SONY(ソニー) Xperia XZs 32GB ブラック 602SO SoftBank</t>
        </is>
      </c>
      <c r="C49" t="inlineStr">
        <is>
          <t>￥9,800</t>
        </is>
      </c>
      <c r="D49" t="inlineStr">
        <is>
          <t>4.8</t>
        </is>
      </c>
      <c r="E49">
        <f>HYPERLINK("https://www.amazon.co.jp/softbank-SONY-Xperia-602SO-Black/dp/B078Y5JZYY/ref=sr_1_48?__mk_ja_JP=%E3%82%AB%E3%82%BF%E3%82%AB%E3%83%8A&amp;dchild=1&amp;keywords=Xperia&amp;qid=1598528999&amp;sr=8-48", "Go")</f>
        <v/>
      </c>
    </row>
    <row r="50">
      <c r="A50" s="1" t="n">
        <v>48</v>
      </c>
      <c r="B50" t="inlineStr">
        <is>
          <t>【2枚セット】Sony Xperia 10 II/Xperia 10 2ガラスフィルムXperia 10 II 強化ガラス液晶保護フィルム日本旭硝子素材／硬度9H ／高透過率／2.5D丸縁加工／飛散防止／傷防止／耐指紋/気泡ゼロ/撥油性/自動吸着/保護フィルム（Xperia 10 II）</t>
        </is>
      </c>
      <c r="C50" t="inlineStr">
        <is>
          <t>￥820</t>
        </is>
      </c>
      <c r="D50" t="inlineStr">
        <is>
          <t>4.4</t>
        </is>
      </c>
      <c r="E50">
        <f>HYPERLINK("https://www.amazon.co.jp/Xperia-2%E3%82%AC%E3%83%A9%E3%82%B9%E3%83%95%E3%82%A3%E3%83%AB%E3%83%A0Xperia-%E5%BC%B7%E5%8C%96%E3%82%AC%E3%83%A9%E3%82%B9%E6%B6%B2%E6%99%B6%E4%BF%9D%E8%AD%B7%E3%83%95%E3%82%A3%E3%83%AB%E3%83%A0%E6%97%A5%E6%9C%AC%E6%97%AD%E7%A1%9D%E5%AD%90%E7%B4%A0%E6%9D%90%EF%BC%8F%E7%A1%AC%E5%BA%A69H-%EF%BC%8F%E9%AB%98%E9%80%8F%E9%81%8E%E7%8E%87%EF%BC%8F2-5D%E4%B8%B8%E7%B8%81%E5%8A%A0%E5%B7%A5%EF%BC%8F%E9%A3%9B%E6%95%A3%E9%98%B2%E6%AD%A2%EF%BC%8F%E5%82%B7%E9%98%B2%E6%AD%A2%EF%BC%8F%E8%80%90%E6%8C%87%E7%B4%8B-%E4%BF%9D%E8%AD%B7%E3%83%95%E3%82%A3%E3%83%AB%E3%83%A0%EF%BC%88Xperia/dp/B087G2RBC5/ref=sr_1_49_sspa?__mk_ja_JP=%E3%82%AB%E3%82%BF%E3%82%AB%E3%83%8A&amp;dchild=1&amp;keywords=Xperia&amp;qid=1598528999&amp;sr=8-49-spons&amp;psc=1&amp;spLa=ZW5jcnlwdGVkUXVhbGlmaWVyPUFHOUlLVVpWWkNITlkmZW5jcnlwdGVkSWQ9QTAyODU3NjZSMkdaT1UyOFM1VVQmZW5jcnlwdGVkQWRJZD1BMzhNRDdKSkhJUlJUVCZ3aWRnZXROYW1lPXNwX2J0ZiZhY3Rpb249Y2xpY2tSZWRpcmVjdCZkb05vdExvZ0NsaWNrPXRydWU=", "Go")</f>
        <v/>
      </c>
    </row>
    <row r="51">
      <c r="A51" s="1" t="n">
        <v>49</v>
      </c>
      <c r="B51" t="inlineStr">
        <is>
          <t>【進化版】UMIDIGI A7 Pro スマートフォン本体 Android 10.0 スマホ本体 6.3 FHD+フルスクリーン SIMフリー スマホ 本体16MP+16MP+5MP 4眼カメラ 4150mAh 4GB RAM + 128GB ROM オクタコア グローバルバージョン 顔認証 指紋認証 技適認証済 au 使えます(オーシャンブルー)</t>
        </is>
      </c>
      <c r="C51" t="inlineStr">
        <is>
          <t>￥17,969</t>
        </is>
      </c>
      <c r="D51" t="inlineStr">
        <is>
          <t>4.4</t>
        </is>
      </c>
      <c r="E51">
        <f>HYPERLINK("https://www.amazon.co.jp/%E3%80%90%E9%80%B2%E5%8C%96%E7%89%88%E3%80%91UMIDIGI-%E3%82%B9%E3%83%9E%E3%83%BC%E3%83%88%E3%83%95%E3%82%A9%E3%83%B3%E6%9C%AC%E4%BD%93-Android-%E3%82%B0%E3%83%AD%E3%83%BC%E3%83%90%E3%83%AB%E3%83%90%E3%83%BC%E3%82%B8%E3%83%A7%E3%83%B3-%E3%82%AA%E3%83%BC%E3%82%B7%E3%83%A3%E3%83%B3%E3%83%96%E3%83%AB%E3%83%BC/dp/B089SQV34X/ref=sr_1_49_sspa?__mk_ja_JP=%E3%82%AB%E3%82%BF%E3%82%AB%E3%83%8A&amp;dchild=1&amp;keywords=Xperia&amp;qid=1598529206&amp;sr=8-49-spons&amp;psc=1&amp;spLa=ZW5jcnlwdGVkUXVhbGlmaWVyPUE0MktOQkpVM0xVUjYmZW5jcnlwdGVkSWQ9QTA2MTIzODAxUzVaSThJRFkwNlJLJmVuY3J5cHRlZEFkSWQ9QVBZWVFMTzAzRFZXRyZ3aWRnZXROYW1lPXNwX2F0Zl9uZXh0JmFjdGlvbj1jbGlja1JlZGlyZWN0JmRvTm90TG9nQ2xpY2s9dHJ1ZQ==", "Go")</f>
        <v/>
      </c>
    </row>
    <row r="52">
      <c r="A52" s="1" t="n">
        <v>50</v>
      </c>
      <c r="B52" t="inlineStr">
        <is>
          <t>【ONES】 Xperia Ace ケース 高透明 米軍MIL規格 〔耐衝撃、軽·薄、フィット感〕『エアクッション技術、滑り止めマットバンパー』 Airシリーズ SONY SO-02L カバー クリア</t>
        </is>
      </c>
      <c r="C52" t="inlineStr">
        <is>
          <t>￥1,399</t>
        </is>
      </c>
      <c r="D52" t="inlineStr">
        <is>
          <t>4.3</t>
        </is>
      </c>
      <c r="E52">
        <f>HYPERLINK("https://www.amazon.co.jp/%E3%80%90ONES%E3%80%91-Ace-%E7%B1%B3%E8%BB%8DMIL%E8%A6%8F%E6%A0%BC-%E3%80%94%E8%80%90%E8%A1%9D%E6%92%83%E3%80%81%E8%BB%BD%C2%B7%E8%96%84%E3%80%81%E3%83%95%E3%82%A3%E3%83%83%E3%83%88%E6%84%9F%E3%80%95%E3%80%8E%E3%82%A8%E3%82%A2%E3%82%AF%E3%83%83%E3%82%B7%E3%83%A7%E3%83%B3%E6%8A%80%E8%A1%93%E3%80%81%E6%BB%91%E3%82%8A%E6%AD%A2%E3%82%81%E3%83%9E%E3%83%83%E3%83%88%E3%83%90%E3%83%B3%E3%83%91%E3%83%BC%E3%80%8F-Air%E3%82%B7%E3%83%AA%E3%83%BC%E3%82%BA/dp/B088DVR541/ref=sr_1_50_sspa?__mk_ja_JP=%E3%82%AB%E3%82%BF%E3%82%AB%E3%83%8A&amp;dchild=1&amp;keywords=Xperia&amp;qid=1598529206&amp;sr=8-50-spons&amp;psc=1&amp;spLa=ZW5jcnlwdGVkUXVhbGlmaWVyPUE0MktOQkpVM0xVUjYmZW5jcnlwdGVkSWQ9QTA2MTIzODAxUzVaSThJRFkwNlJLJmVuY3J5cHRlZEFkSWQ9QTFSVTBHSzA0OU9SU0cmd2lkZ2V0TmFtZT1zcF9hdGZfbmV4dCZhY3Rpb249Y2xpY2tSZWRpcmVjdCZkb05vdExvZ0NsaWNrPXRydWU=", "Go")</f>
        <v/>
      </c>
    </row>
    <row r="53">
      <c r="A53" s="1" t="n">
        <v>51</v>
      </c>
      <c r="B53" t="inlineStr">
        <is>
          <t>UMIDIGI A7 Pro スマートフォン、simフリー スマホ 本体 au不可 4GB RAM + 64GB スマホ Android 10 グローバルLTEバンド対応 6.3インチ FHD+ディスプレイクアッドカメラGoogleアプリ対応 [一年保証] オーシャンブルー</t>
        </is>
      </c>
      <c r="C53" t="inlineStr">
        <is>
          <t>￥15,969</t>
        </is>
      </c>
      <c r="D53" t="inlineStr">
        <is>
          <t>4.7</t>
        </is>
      </c>
      <c r="E53">
        <f>HYPERLINK("https://www.amazon.co.jp/UMIDIGI-%E3%82%B9%E3%83%9E%E3%83%BC%E3%83%88%E3%83%95%E3%82%A9%E3%83%B3%E3%80%81sim%E3%83%95%E3%83%AA%E3%83%BC-%E3%82%B0%E3%83%AD%E3%83%BC%E3%83%90%E3%83%ABLTE%E3%83%90%E3%83%B3%E3%83%89%E5%AF%BE%E5%BF%9C-%E3%83%87%E3%82%A3%E3%82%B9%E3%83%97%E3%83%AC%E3%82%A4%E3%82%AF%E3%82%A2%E3%83%83%E3%83%89%E3%82%AB%E3%83%A1%E3%83%A9Google%E3%82%A2%E3%83%97%E3%83%AA%E5%AF%BE%E5%BF%9C-%E3%82%AA%E3%83%BC%E3%82%B7%E3%83%A3%E3%83%B3%E3%83%96%E3%83%AB%E3%83%BC/dp/B0895W1ZSB/ref=sr_1_51_sspa?__mk_ja_JP=%E3%82%AB%E3%82%BF%E3%82%AB%E3%83%8A&amp;dchild=1&amp;keywords=Xperia&amp;qid=1598529206&amp;sr=8-51-spons&amp;psc=1&amp;spLa=ZW5jcnlwdGVkUXVhbGlmaWVyPUE0MktOQkpVM0xVUjYmZW5jcnlwdGVkSWQ9QTA2MTIzODAxUzVaSThJRFkwNlJLJmVuY3J5cHRlZEFkSWQ9QTJNMk8yVVcwSDFJOVAmd2lkZ2V0TmFtZT1zcF9hdGZfbmV4dCZhY3Rpb249Y2xpY2tSZWRpcmVjdCZkb05vdExvZ0NsaWNrPXRydWU=", "Go")</f>
        <v/>
      </c>
    </row>
    <row r="54">
      <c r="A54" s="1" t="n">
        <v>52</v>
      </c>
      <c r="B54" t="inlineStr">
        <is>
          <t>OUKITEL C18 pro(2020) SIMフリースマートフォン本体 真実な4個のカメラ16MP+8MP+5MP+2MP 4Gスマホ本体 6.55’’HD+インチ 全画面表示androidスマホ本体 P25 プロセッサー64GB ROM+4GB RAM 4000mAh バッテリーガラス裏蓋携帯電話 指紋認証 顔認証 1年間保証付き、au不可 (ブラック)</t>
        </is>
      </c>
      <c r="C54" t="inlineStr">
        <is>
          <t>￥16,999</t>
        </is>
      </c>
      <c r="D54" t="inlineStr">
        <is>
          <t>4.5</t>
        </is>
      </c>
      <c r="E54">
        <f>HYPERLINK("https://www.amazon.co.jp/OUKITEL-SIM%E3%83%95%E3%83%AA%E3%83%BC%E3%82%B9%E3%83%9E%E3%83%BC%E3%83%88%E3%83%95%E3%82%A9%E3%83%B3%E6%9C%AC%E4%BD%93-%E7%9C%9F%E5%AE%9F%E3%81%AA4%E5%80%8B%E3%81%AE%E3%82%AB%E3%83%A1%E3%83%A916MP-%E5%85%A8%E7%94%BB%E9%9D%A2%E8%A1%A8%E7%A4%BAandroid%E3%82%B9%E3%83%9E%E3%83%9B%E6%9C%AC%E4%BD%93-%E3%83%90%E3%83%83%E3%83%86%E3%83%AA%E3%83%BC%E3%82%AC%E3%83%A9%E3%82%B9%E8%A3%8F%E8%93%8B%E6%90%BA%E5%B8%AF%E9%9B%BB%E8%A9%B1/dp/B086VY3K3J/ref=sr_1_52_sspa?__mk_ja_JP=%E3%82%AB%E3%82%BF%E3%82%AB%E3%83%8A&amp;dchild=1&amp;keywords=Xperia&amp;qid=1598529206&amp;sr=8-52-spons&amp;psc=1&amp;spLa=ZW5jcnlwdGVkUXVhbGlmaWVyPUE0MktOQkpVM0xVUjYmZW5jcnlwdGVkSWQ9QTA2MTIzODAxUzVaSThJRFkwNlJLJmVuY3J5cHRlZEFkSWQ9QTE2VDJaU1NCQ1U2UE4md2lkZ2V0TmFtZT1zcF9hdGZfbmV4dCZhY3Rpb249Y2xpY2tSZWRpcmVjdCZkb05vdExvZ0NsaWNrPXRydWU=", "Go")</f>
        <v/>
      </c>
    </row>
    <row r="55">
      <c r="A55" s="1" t="n">
        <v>53</v>
      </c>
      <c r="B55" t="inlineStr">
        <is>
          <t>SONY(ソニー) Xperia Z5 Compact 32GB コーラル SO-02H docomo</t>
        </is>
      </c>
      <c r="C55" t="inlineStr">
        <is>
          <t>￥6,480</t>
        </is>
      </c>
      <c r="D55" t="inlineStr">
        <is>
          <t>4.9</t>
        </is>
      </c>
      <c r="E55">
        <f>HYPERLINK("https://www.amazon.co.jp/docomo-Xperia-Z5-Compact-SO-02H/dp/B01MYYYOZL/ref=sr_1_53?__mk_ja_JP=%E3%82%AB%E3%82%BF%E3%82%AB%E3%83%8A&amp;dchild=1&amp;keywords=Xperia&amp;qid=1598529206&amp;sr=8-53", "Go")</f>
        <v/>
      </c>
    </row>
    <row r="56">
      <c r="A56" s="1" t="n">
        <v>54</v>
      </c>
      <c r="B56" t="inlineStr">
        <is>
          <t>SONY Sony Xperia XZ2 Premium Dual H8166 [Chrome Black 64GB 海外版 SIMフリー]</t>
        </is>
      </c>
      <c r="C56" t="inlineStr">
        <is>
          <t>￥69,800</t>
        </is>
      </c>
      <c r="D56" t="inlineStr">
        <is>
          <t>4.5</t>
        </is>
      </c>
      <c r="E56">
        <f>HYPERLINK("https://www.amazon.co.jp/Sony-Xperia-Premium-H8166-%E6%B5%B7%E5%A4%96%E7%89%88-SIM%E3%83%95%E3%83%AA%E3%83%BC/dp/B07FVK3RHB/ref=sr_1_54?__mk_ja_JP=%E3%82%AB%E3%82%BF%E3%82%AB%E3%83%8A&amp;dchild=1&amp;keywords=Xperia&amp;qid=1598529206&amp;sr=8-54", "Go")</f>
        <v/>
      </c>
    </row>
    <row r="57">
      <c r="A57" s="1" t="n">
        <v>55</v>
      </c>
      <c r="B57" t="inlineStr">
        <is>
          <t>HUAWEI Mate 20 Pro トワイライト 【日本正規代理店品】 MATE 20 PRO/TW/A</t>
        </is>
      </c>
      <c r="C57" t="inlineStr">
        <is>
          <t>￥82,900</t>
        </is>
      </c>
      <c r="D57" t="inlineStr">
        <is>
          <t>4.2</t>
        </is>
      </c>
      <c r="E57">
        <f>HYPERLINK("https://www.amazon.co.jp/HUAWEI-20-MATE-PRO-TW/dp/B07KLFG8PN/ref=sr_1_55?__mk_ja_JP=%E3%82%AB%E3%82%BF%E3%82%AB%E3%83%8A&amp;dchild=1&amp;keywords=Xperia&amp;qid=1598529206&amp;sr=8-55", "Go")</f>
        <v/>
      </c>
    </row>
    <row r="58">
      <c r="A58" s="1" t="n">
        <v>56</v>
      </c>
      <c r="B58" t="inlineStr">
        <is>
          <t>HUAWEI P9 LITE SIMフリースマートフォン VNS-L22-BLACK(ブラック)</t>
        </is>
      </c>
      <c r="C58" t="inlineStr">
        <is>
          <t>￥21,980</t>
        </is>
      </c>
      <c r="D58" t="inlineStr">
        <is>
          <t>4.1</t>
        </is>
      </c>
      <c r="E58">
        <f>HYPERLINK("https://www.amazon.co.jp/HUAWEI-LITE-SIM%E3%83%95%E3%83%AA%E3%83%BC%E3%82%B9%E3%83%9E%E3%83%BC%E3%83%88%E3%83%95%E3%82%A9%E3%83%B3-VNS-L22-BLACK-%E3%83%96%E3%83%A9%E3%83%83%E3%82%AF/dp/B01GCAN5SU/ref=sr_1_56?__mk_ja_JP=%E3%82%AB%E3%82%BF%E3%82%AB%E3%83%8A&amp;dchild=1&amp;keywords=Xperia&amp;qid=1598529206&amp;sr=8-56", "Go")</f>
        <v/>
      </c>
    </row>
    <row r="59">
      <c r="A59" s="1" t="n">
        <v>57</v>
      </c>
      <c r="B59" t="inlineStr">
        <is>
          <t>(SIMフリー) Google Pixel 2 XL 128GB (Black) [並行輸入品]</t>
        </is>
      </c>
      <c r="C59" t="inlineStr">
        <is>
          <t>￥38,000</t>
        </is>
      </c>
      <c r="D59" t="inlineStr">
        <is>
          <t>4.2</t>
        </is>
      </c>
      <c r="E59">
        <f>HYPERLINK("https://www.amazon.co.jp/SIM%E3%83%95%E3%83%AA%E3%83%BC-Google-Pixel-128GB-Black/dp/B0767538YH/ref=sr_1_57?__mk_ja_JP=%E3%82%AB%E3%82%BF%E3%82%AB%E3%83%8A&amp;dchild=1&amp;keywords=Xperia&amp;qid=1598529206&amp;sr=8-57", "Go")</f>
        <v/>
      </c>
    </row>
    <row r="60">
      <c r="A60" s="1" t="n">
        <v>58</v>
      </c>
      <c r="B60" t="inlineStr">
        <is>
          <t>OUKITEL C17 Pro SIMフリースマートフォン6.35インチブラインドホールスクリーン4GB RAM + 64GB ROM MT6367 Octa-ocre携帯電話トリプルバックカメラ13MP + 5MP + 2MP、3900mAhビッグバッテリーAndroid 9.0 OS 4GデュアルSIMフェイスおよび指紋ロック解除1年間の保証&amp;技術認定に合格する（サポート5G/2.4G WIFI）</t>
        </is>
      </c>
      <c r="C60" t="inlineStr">
        <is>
          <t>￥15,999</t>
        </is>
      </c>
      <c r="D60" t="inlineStr">
        <is>
          <t>4.2</t>
        </is>
      </c>
      <c r="E60">
        <f>HYPERLINK("https://www.amazon.co.jp/OUKITEL-SIM%E3%83%95%E3%83%AA%E3%83%BC%E3%82%B9%E3%83%9E%E3%83%BC%E3%83%88%E3%83%95%E3%82%A9%E3%83%B36-35%E3%82%A4%E3%83%B3%E3%83%81%E3%83%96%E3%83%A9%E3%82%A4%E3%83%B3%E3%83%89%E3%83%9B%E3%83%BC%E3%83%AB%E3%82%B9%E3%82%AF%E3%83%AA%E3%83%BC%E3%83%B34GB-Octa-ocre%E6%90%BA%E5%B8%AF%E9%9B%BB%E8%A9%B1%E3%83%88%E3%83%AA%E3%83%97%E3%83%AB%E3%83%90%E3%83%83%E3%82%AF%E3%82%AB%E3%83%A1%E3%83%A913MP-2MP%E3%80%813900mAh%E3%83%93%E3%83%83%E3%82%B0%E3%83%90%E3%83%83%E3%83%86%E3%83%AA%E3%83%BCAndroid-4G%E3%83%87%E3%83%A5%E3%82%A2%E3%83%ABSIM%E3%83%95%E3%82%A7%E3%82%A4%E3%82%B9%E3%81%8A%E3%82%88%E3%81%B3%E6%8C%87%E7%B4%8B%E3%83%AD%E3%83%83%E3%82%AF%E8%A7%A3%E9%99%A41%E5%B9%B4%E9%96%93%E3%81%AE%E4%BF%9D%E8%A8%BC/dp/B08B649GTN/ref=sr_1_58?__mk_ja_JP=%E3%82%AB%E3%82%BF%E3%82%AB%E3%83%8A&amp;dchild=1&amp;keywords=Xperia&amp;qid=1598529206&amp;sr=8-58", "Go")</f>
        <v/>
      </c>
    </row>
    <row r="61">
      <c r="A61" s="1" t="n">
        <v>59</v>
      </c>
      <c r="B61" t="inlineStr">
        <is>
          <t>ASUS Zenfone Max M2 ミッドナイトブラック (4GB/32GB) 【日本正規代理店品】 ZB633KL-BK32S4/A</t>
        </is>
      </c>
      <c r="C61" t="inlineStr">
        <is>
          <t>￥21,188</t>
        </is>
      </c>
      <c r="D61" t="inlineStr">
        <is>
          <t>4.1</t>
        </is>
      </c>
      <c r="E61">
        <f>HYPERLINK("https://www.amazon.co.jp/ASUS-Zenfone-%E3%83%9F%E3%83%83%E3%83%89%E3%83%8A%E3%82%A4%E3%83%88%E3%83%96%E3%83%A9%E3%83%83%E3%82%AF-%E3%80%90%E6%97%A5%E6%9C%AC%E6%AD%A3%E8%A6%8F%E4%BB%A3%E7%90%86%E5%BA%97%E5%93%81%E3%80%91-ZB633KL-BK32S4/dp/B07P8KY73P/ref=sr_1_59?__mk_ja_JP=%E3%82%AB%E3%82%BF%E3%82%AB%E3%83%8A&amp;dchild=1&amp;keywords=Xperia&amp;qid=1598529206&amp;sr=8-59", "Go")</f>
        <v/>
      </c>
    </row>
    <row r="62">
      <c r="A62" s="1" t="n">
        <v>60</v>
      </c>
      <c r="B62" t="inlineStr">
        <is>
          <t>SHARP SIMフリースマホ AQUOS sense3 シルバーホワイト SH-M12-S</t>
        </is>
      </c>
      <c r="C62" t="inlineStr">
        <is>
          <t>￥31,790</t>
        </is>
      </c>
      <c r="D62" t="inlineStr">
        <is>
          <t>4.1</t>
        </is>
      </c>
      <c r="E62">
        <f>HYPERLINK("https://www.amazon.co.jp/SHARP-SIM%E3%83%95%E3%83%AA%E3%83%BC%E3%82%B9%E3%83%9E%E3%83%9B-sense3-%E3%82%B7%E3%83%AB%E3%83%90%E3%83%BC%E3%83%9B%E3%83%AF%E3%82%A4%E3%83%88-SH-M12-S/dp/B081RKXMKP/ref=sr_1_60?__mk_ja_JP=%E3%82%AB%E3%82%BF%E3%82%AB%E3%83%8A&amp;dchild=1&amp;keywords=Xperia&amp;qid=1598529206&amp;sr=8-60", "Go")</f>
        <v/>
      </c>
    </row>
    <row r="63">
      <c r="A63" s="1" t="n">
        <v>61</v>
      </c>
      <c r="B63" t="inlineStr">
        <is>
          <t>OPPO R15 Neo ダイヤモンドブルー (3GB/64GB) 【日本正規代理店品】 873310</t>
        </is>
      </c>
      <c r="C63" t="inlineStr">
        <is>
          <t>￥22,890</t>
        </is>
      </c>
      <c r="D63" t="inlineStr">
        <is>
          <t>4.1</t>
        </is>
      </c>
      <c r="E63">
        <f>HYPERLINK("https://www.amazon.co.jp/OPPO-SIM%E3%83%95%E3%83%AA%E3%83%BC%E3%82%B9%E3%83%9E%E3%83%BC%E3%83%88%E3%83%95%E3%82%A9%E3%83%B3-%E3%83%80%E3%82%A4%E3%83%A4%E3%83%A2%E3%83%B3%E3%83%89-%E3%83%96%E3%83%AB%E3%83%BC%E3%80%903G-873310/dp/B07G793GNY/ref=sr_1_61?__mk_ja_JP=%E3%82%AB%E3%82%BF%E3%82%AB%E3%83%8A&amp;dchild=1&amp;keywords=Xperia&amp;qid=1598529206&amp;sr=8-61", "Go")</f>
        <v/>
      </c>
    </row>
    <row r="64">
      <c r="A64" s="1" t="n">
        <v>62</v>
      </c>
      <c r="B64" t="inlineStr">
        <is>
          <t>SONY(ソニー) Xperia XZ1 64GB ウォームシルバー SOV36 au</t>
        </is>
      </c>
      <c r="C64" t="inlineStr">
        <is>
          <t>￥39,800</t>
        </is>
      </c>
      <c r="D64" t="inlineStr">
        <is>
          <t>4.8</t>
        </is>
      </c>
      <c r="E64">
        <f>HYPERLINK("https://www.amazon.co.jp/Xperia-XZ1-SOV36-Warm-Silver/dp/B078HHHNJH/ref=sr_1_62?__mk_ja_JP=%E3%82%AB%E3%82%BF%E3%82%AB%E3%83%8A&amp;dchild=1&amp;keywords=Xperia&amp;qid=1598529206&amp;sr=8-62", "Go")</f>
        <v/>
      </c>
    </row>
    <row r="65">
      <c r="A65" s="1" t="n">
        <v>63</v>
      </c>
      <c r="B65" t="inlineStr">
        <is>
          <t>Blackview BV5500 Plus SIMフリー スマホ 本体 防水 防塵 IP68 4G スマートフォン Android 10.0 4G 格安 携帯電話 キイロ</t>
        </is>
      </c>
      <c r="C65" t="inlineStr">
        <is>
          <t>￥13,999</t>
        </is>
      </c>
      <c r="D65" t="inlineStr">
        <is>
          <t>4.3</t>
        </is>
      </c>
      <c r="E65">
        <f>HYPERLINK("https://www.amazon.co.jp/Blackview-BV5500-Plus-%E3%82%B9%E3%83%9E%E3%83%BC%E3%83%88%E3%83%95%E3%82%A9%E3%83%B3-Android/dp/B0882YGKJ5/ref=sr_1_63?__mk_ja_JP=%E3%82%AB%E3%82%BF%E3%82%AB%E3%83%8A&amp;dchild=1&amp;keywords=Xperia&amp;qid=1598529206&amp;sr=8-63", "Go")</f>
        <v/>
      </c>
    </row>
    <row r="66">
      <c r="A66" s="1" t="n">
        <v>64</v>
      </c>
      <c r="B66" t="inlineStr">
        <is>
          <t>モトローラ Moto G7 クリアホワイト 【日本正規代理店品】 PADY0001JP/A</t>
        </is>
      </c>
      <c r="C66" t="inlineStr">
        <is>
          <t>￥27,574</t>
        </is>
      </c>
      <c r="D66" t="inlineStr">
        <is>
          <t>4.1</t>
        </is>
      </c>
      <c r="E66">
        <f>HYPERLINK("https://www.amazon.co.jp/%E3%83%A2%E3%83%88%E3%83%AD%E3%83%BC%E3%83%A9-Moto-%E3%82%AF%E3%83%AA%E3%82%A2%E3%83%9B%E3%83%AF%E3%82%A4%E3%83%88-%E3%80%90%E6%97%A5%E6%9C%AC%E6%AD%A3%E8%A6%8F%E4%BB%A3%E7%90%86%E5%BA%97%E5%93%81%E3%80%91-PADY0001JP/dp/B07S1SYZYW/ref=sr_1_64?__mk_ja_JP=%E3%82%AB%E3%82%BF%E3%82%AB%E3%83%8A&amp;dchild=1&amp;keywords=Xperia&amp;qid=1598529206&amp;sr=8-64", "Go")</f>
        <v/>
      </c>
    </row>
    <row r="67">
      <c r="A67" s="1" t="n">
        <v>65</v>
      </c>
      <c r="B67" t="inlineStr">
        <is>
          <t>Xperia1 softbank 802so スマホケース エクスペリアワン カバー らふら 名入れ メタルブラック</t>
        </is>
      </c>
      <c r="C67" t="inlineStr">
        <is>
          <t>￥1,680</t>
        </is>
      </c>
      <c r="D67" t="inlineStr">
        <is>
          <t>5</t>
        </is>
      </c>
      <c r="E67">
        <f>HYPERLINK("https://www.amazon.co.jp/%E3%82%B9%E3%83%9E%E3%83%9B%E3%82%B1%E3%83%BC%E3%82%B9-%E3%82%A8%E3%82%AF%E3%82%B9%E3%83%9A%E3%83%AA%E3%82%A2%E3%83%AF%E3%83%B3-Xperia1-softbank-%E3%83%A1%E3%82%BF%E3%83%AB%E3%83%96%E3%83%A9%E3%83%83%E3%82%AF/dp/B07SLNMQV9/ref=sr_1_65_sspa?__mk_ja_JP=%E3%82%AB%E3%82%BF%E3%82%AB%E3%83%8A&amp;dchild=1&amp;keywords=Xperia&amp;qid=1598529206&amp;sr=8-65-spons&amp;psc=1&amp;spLa=ZW5jcnlwdGVkUXVhbGlmaWVyPUE0MktOQkpVM0xVUjYmZW5jcnlwdGVkSWQ9QTA2MTIzODAxUzVaSThJRFkwNlJLJmVuY3J5cHRlZEFkSWQ9QVJPSkU2SEZORjlCMiZ3aWRnZXROYW1lPXNwX210ZiZhY3Rpb249Y2xpY2tSZWRpcmVjdCZkb05vdExvZ0NsaWNrPXRydWU=", "Go")</f>
        <v/>
      </c>
    </row>
    <row r="68">
      <c r="A68" s="1" t="n">
        <v>66</v>
      </c>
      <c r="B68" t="inlineStr">
        <is>
          <t>docomo Galaxy Note8 SC-01k ゴールド</t>
        </is>
      </c>
      <c r="C68" t="inlineStr">
        <is>
          <t>￥34,800</t>
        </is>
      </c>
      <c r="D68" t="inlineStr">
        <is>
          <t>4.3</t>
        </is>
      </c>
      <c r="E68">
        <f>HYPERLINK("https://www.amazon.co.jp/docomo-Galaxy-Note8-SC-01k-%E3%82%B4%E3%83%BC%E3%83%AB%E3%83%89/dp/B0771NW71D/ref=sr_1_68?__mk_ja_JP=%E3%82%AB%E3%82%BF%E3%82%AB%E3%83%8A&amp;dchild=1&amp;keywords=Xperia&amp;qid=1598529206&amp;sr=8-68", "Go")</f>
        <v/>
      </c>
    </row>
    <row r="69">
      <c r="A69" s="1" t="n">
        <v>67</v>
      </c>
      <c r="B69" t="inlineStr">
        <is>
          <t>SH-M07-B(ブラック) AQUOS sense plus 3GB/32GB SIMフリ-</t>
        </is>
      </c>
      <c r="C69" t="inlineStr">
        <is>
          <t>￥41,260</t>
        </is>
      </c>
      <c r="D69" t="inlineStr">
        <is>
          <t>4.2</t>
        </is>
      </c>
      <c r="E69">
        <f>HYPERLINK("https://www.amazon.co.jp/%E3%82%B7%E3%83%A3%E3%83%BC%E3%83%97-AQUOS-sense-plus-SH-M07X5-B/dp/B07DS4JVZQ/ref=sr_1_69?__mk_ja_JP=%E3%82%AB%E3%82%BF%E3%82%AB%E3%83%8A&amp;dchild=1&amp;keywords=Xperia&amp;qid=1598529206&amp;sr=8-69", "Go")</f>
        <v/>
      </c>
    </row>
    <row r="70">
      <c r="A70" s="1" t="n">
        <v>68</v>
      </c>
      <c r="B70" t="inlineStr">
        <is>
          <t>OPPO Reno3 A ホワイト【日本正規代理店品】 CPH2013 WH</t>
        </is>
      </c>
      <c r="C70" t="inlineStr">
        <is>
          <t>￥37,789</t>
        </is>
      </c>
      <c r="D70" t="inlineStr">
        <is>
          <t>4.1</t>
        </is>
      </c>
      <c r="E70">
        <f>HYPERLINK("https://www.amazon.co.jp/OPPO-Reno3-%E3%83%9B%E3%83%AF%E3%82%A4%E3%83%88%E3%80%90%E6%97%A5%E6%9C%AC%E6%AD%A3%E8%A6%8F%E4%BB%A3%E7%90%86%E5%BA%97%E5%93%81%E3%80%91-CPH2013-WH/dp/B088X1GWWG/ref=sr_1_70?__mk_ja_JP=%E3%82%AB%E3%82%BF%E3%82%AB%E3%83%8A&amp;dchild=1&amp;keywords=Xperia&amp;qid=1598529206&amp;sr=8-70", "Go")</f>
        <v/>
      </c>
    </row>
    <row r="71">
      <c r="A71" s="1" t="n">
        <v>69</v>
      </c>
      <c r="B71" t="inlineStr">
        <is>
          <t>HUAWEI HUAWEI nova lite 2　ゴールド5.6インチ SIMフリースマートフォン［メモリ 3GB/ストレージ 32GB］ NOVA-LITE 2 GOLD</t>
        </is>
      </c>
      <c r="C71" t="inlineStr">
        <is>
          <t>￥20,126</t>
        </is>
      </c>
      <c r="D71" t="inlineStr">
        <is>
          <t>4.1</t>
        </is>
      </c>
      <c r="E71">
        <f>HYPERLINK("https://www.amazon.co.jp/HUAWEI-%E3%82%B4%E3%83%BC%E3%83%AB%E3%83%895-6%E3%82%A4%E3%83%B3%E3%83%81-SIM%E3%83%95%E3%83%AA%E3%83%BC%E3%82%B9%E3%83%9E%E3%83%BC%E3%83%88%E3%83%95%E3%82%A9%E3%83%B3%EF%BC%BB%E3%83%A1%E3%83%A2%E3%83%AA-NOVA-LITE-GOLD/dp/B07DHNKLLP/ref=sr_1_71?__mk_ja_JP=%E3%82%AB%E3%82%BF%E3%82%AB%E3%83%8A&amp;dchild=1&amp;keywords=Xperia&amp;qid=1598529206&amp;sr=8-71", "Go")</f>
        <v/>
      </c>
    </row>
    <row r="72">
      <c r="A72" s="1" t="n">
        <v>70</v>
      </c>
      <c r="B72" t="inlineStr">
        <is>
          <t>Blackview A80 Pro 2020ニューモデル SIMフリー スマホ 本体 1300万画素 Android 9.0 スマートフォン 6.49インチ 大画面 格安 携帯電話 ブラック</t>
        </is>
      </c>
      <c r="C72" t="inlineStr">
        <is>
          <t>￥15,990</t>
        </is>
      </c>
      <c r="D72" t="inlineStr">
        <is>
          <t>4.1</t>
        </is>
      </c>
      <c r="E72">
        <f>HYPERLINK("https://www.amazon.co.jp/Blackview-A80-Pro-2020%E3%83%8B%E3%83%A5%E3%83%BC%E3%83%A2%E3%83%87%E3%83%AB-1300%E4%B8%87%E7%94%BB%E7%B4%A0/dp/B0882WTF7X/ref=sr_1_72?__mk_ja_JP=%E3%82%AB%E3%82%BF%E3%82%AB%E3%83%8A&amp;dchild=1&amp;keywords=Xperia&amp;qid=1598529206&amp;sr=8-72", "Go")</f>
        <v/>
      </c>
    </row>
    <row r="73">
      <c r="A73" s="1" t="n">
        <v>71</v>
      </c>
      <c r="B73" t="inlineStr">
        <is>
          <t>Sony XPERIA 5 - J9210 (128GB / 6GB RAM) - Red レッド 【並行輸入品】[写真は参照用で、SDメモリーカードには付属しておりませんです。]</t>
        </is>
      </c>
      <c r="C73" t="inlineStr">
        <is>
          <t>￥69,600</t>
        </is>
      </c>
      <c r="D73" t="inlineStr">
        <is>
          <t>4.5</t>
        </is>
      </c>
      <c r="E73">
        <f>HYPERLINK("https://www.amazon.co.jp/Sony-XPERIA-J9210-%E3%80%90%E4%B8%A6%E8%A1%8C%E8%BC%B8%E5%85%A5%E5%93%81%E3%80%91-%E5%86%99%E7%9C%9F%E3%81%AF%E5%8F%82%E7%85%A7%E7%94%A8%E3%81%A7%E3%80%81SD%E3%83%A1%E3%83%A2%E3%83%AA%E3%83%BC%E3%82%AB%E3%83%BC%E3%83%89%E3%81%AB%E3%81%AF%E4%BB%98%E5%B1%9E%E3%81%97%E3%81%A6%E3%81%8A%E3%82%8A%E3%81%BE%E3%81%9B%E3%82%93%E3%81%A7%E3%81%99%E3%80%82/dp/B07XZSG7W8/ref=sr_1_73?__mk_ja_JP=%E3%82%AB%E3%82%BF%E3%82%AB%E3%83%8A&amp;dchild=1&amp;keywords=Xperia&amp;qid=1598529206&amp;sr=8-73", "Go")</f>
        <v/>
      </c>
    </row>
    <row r="74">
      <c r="A74" s="1" t="n">
        <v>72</v>
      </c>
      <c r="B74" t="inlineStr">
        <is>
          <t>HUAWEI(ファーウェイ) HUAWEI P20 lite 64GB クラインブルー HWV32 au</t>
        </is>
      </c>
      <c r="C74" t="inlineStr">
        <is>
          <t>￥14,495</t>
        </is>
      </c>
      <c r="D74" t="inlineStr">
        <is>
          <t>4.1</t>
        </is>
      </c>
      <c r="E74">
        <f>HYPERLINK("https://www.amazon.co.jp/HUAWEI-P20-lite-HWV32-%E3%82%AF%E3%83%A9%E3%82%A4%E3%83%B3%E3%83%96%E3%83%AB%E3%83%BC/dp/B07DSZ79V5/ref=sr_1_74?__mk_ja_JP=%E3%82%AB%E3%82%BF%E3%82%AB%E3%83%8A&amp;dchild=1&amp;keywords=Xperia&amp;qid=1598529206&amp;sr=8-74", "Go")</f>
        <v/>
      </c>
    </row>
    <row r="75">
      <c r="A75" s="1" t="n">
        <v>73</v>
      </c>
      <c r="B75" t="inlineStr">
        <is>
          <t>Sony Xperia XZ1 G8341 (64GB) 海外版 SIMフリー (Black/ブラック)</t>
        </is>
      </c>
      <c r="C75" t="inlineStr">
        <is>
          <t>￥66,821</t>
        </is>
      </c>
      <c r="D75" t="inlineStr">
        <is>
          <t>4.2</t>
        </is>
      </c>
      <c r="E75">
        <f>HYPERLINK("https://www.amazon.co.jp/Sony-Xperia-G8341-SIM%E3%83%95%E3%83%AA%E3%83%BC-Black/dp/B076Y69B76/ref=sr_1_75?__mk_ja_JP=%E3%82%AB%E3%82%BF%E3%82%AB%E3%83%8A&amp;dchild=1&amp;keywords=Xperia&amp;qid=1598529206&amp;sr=8-75", "Go")</f>
        <v/>
      </c>
    </row>
    <row r="76">
      <c r="A76" s="1" t="n">
        <v>74</v>
      </c>
      <c r="B76" t="inlineStr">
        <is>
          <t>OPPO Reno 10x Zoom オーシャングリーン 【日本正規代理店品】 CPH1919 OG</t>
        </is>
      </c>
      <c r="C76" t="inlineStr">
        <is>
          <t>￥86,000</t>
        </is>
      </c>
      <c r="D76" t="inlineStr">
        <is>
          <t>4.2</t>
        </is>
      </c>
      <c r="E76">
        <f>HYPERLINK("https://www.amazon.co.jp/OPPO-%E3%82%AA%E3%83%BC%E3%82%B7%E3%83%A3%E3%83%B3%E3%82%B0%E3%83%AA%E3%83%BC%E3%83%B3-%E3%80%90%E6%97%A5%E6%9C%AC%E6%AD%A3%E8%A6%8F%E4%BB%A3%E7%90%86%E5%BA%97%E5%93%81%E3%80%91-CPH1919-OG/dp/B07T4K93TH/ref=sr_1_76?__mk_ja_JP=%E3%82%AB%E3%82%BF%E3%82%AB%E3%83%8A&amp;dchild=1&amp;keywords=Xperia&amp;qid=1598529206&amp;sr=8-76", "Go")</f>
        <v/>
      </c>
    </row>
    <row r="77">
      <c r="A77" s="1" t="n">
        <v>75</v>
      </c>
      <c r="B77" t="inlineStr">
        <is>
          <t>docomo Galaxy A20 SC-02M ブラック Black 白ロム</t>
        </is>
      </c>
      <c r="C77" t="inlineStr">
        <is>
          <t>￥13,800</t>
        </is>
      </c>
      <c r="D77" t="inlineStr">
        <is>
          <t>4.1</t>
        </is>
      </c>
      <c r="E77">
        <f>HYPERLINK("https://www.amazon.co.jp/docomo-Galaxy-SC-02M-%E3%83%96%E3%83%A9%E3%83%83%E3%82%AF-Black/dp/B081861S1M/ref=sr_1_77?__mk_ja_JP=%E3%82%AB%E3%82%BF%E3%82%AB%E3%83%8A&amp;dchild=1&amp;keywords=Xperia&amp;qid=1598529206&amp;sr=8-77", "Go")</f>
        <v/>
      </c>
    </row>
    <row r="78">
      <c r="A78" s="1" t="n">
        <v>76</v>
      </c>
      <c r="B78" t="inlineStr">
        <is>
          <t>Sony Xperia XZ2 Compact Dual H8324-64GB (Black ブラック 黒) SIM フリー [並行輸入品]</t>
        </is>
      </c>
      <c r="C78" t="inlineStr">
        <is>
          <t>￥19,800</t>
        </is>
      </c>
      <c r="D78" t="inlineStr">
        <is>
          <t>4.1</t>
        </is>
      </c>
      <c r="E78">
        <f>HYPERLINK("https://www.amazon.co.jp/Xperia-Compact-H8324-Black-SIM%E3%83%95%E3%83%AA%E3%83%BC/dp/B07BYFDDHT/ref=sr_1_78?__mk_ja_JP=%E3%82%AB%E3%82%BF%E3%82%AB%E3%83%8A&amp;dchild=1&amp;keywords=Xperia&amp;qid=1598529206&amp;sr=8-78", "Go")</f>
        <v/>
      </c>
    </row>
    <row r="79">
      <c r="A79" s="1" t="n">
        <v>77</v>
      </c>
      <c r="B79" t="inlineStr">
        <is>
          <t>Xperia XZ1 Compact SO-02K white silver docomo</t>
        </is>
      </c>
      <c r="C79" t="inlineStr">
        <is>
          <t>￥47,800</t>
        </is>
      </c>
      <c r="D79" t="inlineStr">
        <is>
          <t>4.4</t>
        </is>
      </c>
      <c r="E79">
        <f>HYPERLINK("https://www.amazon.co.jp/Xperia-XZ1-Compact-SO-02K-silver/dp/B077QL6JQX/ref=sr_1_79?__mk_ja_JP=%E3%82%AB%E3%82%BF%E3%82%AB%E3%83%8A&amp;dchild=1&amp;keywords=Xperia&amp;qid=1598529206&amp;sr=8-79", "Go")</f>
        <v/>
      </c>
    </row>
    <row r="80">
      <c r="A80" s="1" t="n">
        <v>78</v>
      </c>
      <c r="B80" t="inlineStr">
        <is>
          <t>SONY(ソニー) Xperia XZ2 Style Cover Stand SCSH40JP/H グレー</t>
        </is>
      </c>
      <c r="C80" t="inlineStr">
        <is>
          <t>￥2,480</t>
        </is>
      </c>
      <c r="D80" t="inlineStr">
        <is>
          <t>4.4</t>
        </is>
      </c>
      <c r="E80">
        <f>HYPERLINK("https://www.amazon.co.jp/Xperia-XZ2%EF%BC%88SO-03K-SoftBank%EF%BC%89%E7%94%A8-%E3%82%B9%E3%82%BF%E3%83%B3%E3%83%89%E6%A9%9F%E8%83%BD%E4%BB%98%E3%81%8D%EF%BC%88%E3%82%B0%E3%83%AC%E3%83%BC%EF%BC%89-SCSH40JP/dp/B07D2C96QJ/ref=sr_1_80_sspa?__mk_ja_JP=%E3%82%AB%E3%82%BF%E3%82%AB%E3%83%8A&amp;dchild=1&amp;keywords=Xperia&amp;qid=1598529206&amp;sr=8-80-spons&amp;psc=1&amp;spLa=ZW5jcnlwdGVkUXVhbGlmaWVyPUE0MktOQkpVM0xVUjYmZW5jcnlwdGVkSWQ9QTA2MTIzODAxUzVaSThJRFkwNlJLJmVuY3J5cHRlZEFkSWQ9QTM3NDFFSklZMEdOMSZ3aWRnZXROYW1lPXNwX210ZiZhY3Rpb249Y2xpY2tSZWRpcmVjdCZkb05vdExvZ0NsaWNrPXRydWU=", "Go")</f>
        <v/>
      </c>
    </row>
    <row r="81">
      <c r="A81" s="1" t="n">
        <v>79</v>
      </c>
      <c r="B81" t="inlineStr">
        <is>
          <t>UMIDIGI F1 SIMフリースマートフォン Android 9.0 6.3インチ FHD+ 大画面 ノッチ付きディスプレイ 128GB ROM + 4GB RAM Helio P60オクタコア 5150mAh大容量バッテリー 18W高速充電 16MP+8MPデュアルリアカメラ 技適認証済み 顔認証 指紋認証 au不可 (ブラック)</t>
        </is>
      </c>
      <c r="C81" t="inlineStr">
        <is>
          <t>￥19,777</t>
        </is>
      </c>
      <c r="D81" t="inlineStr">
        <is>
          <t>4.3</t>
        </is>
      </c>
      <c r="E81">
        <f>HYPERLINK("https://www.amazon.co.jp/UMIDIGI-SIM%E3%83%95%E3%83%AA%E3%83%BC%E3%82%B9%E3%83%9E%E3%83%BC%E3%83%88%E3%83%95%E3%82%A9%E3%83%B3-%E3%83%8E%E3%83%83%E3%83%81%E4%BB%98%E3%81%8D%E3%83%87%E3%82%A3%E3%82%B9%E3%83%97%E3%83%AC%E3%82%A4-5150mAh%E5%A4%A7%E5%AE%B9%E9%87%8F%E3%83%90%E3%83%83%E3%83%86%E3%83%AA%E3%83%BC-8MP%E3%83%87%E3%83%A5%E3%82%A2%E3%83%AB%E3%83%AA%E3%82%A2%E3%82%AB%E3%83%A1%E3%83%A9/dp/B07P5LLHQS/ref=sr_1_83?__mk_ja_JP=%E3%82%AB%E3%82%BF%E3%82%AB%E3%83%8A&amp;dchild=1&amp;keywords=Xperia&amp;qid=1598529206&amp;sr=8-83", "Go")</f>
        <v/>
      </c>
    </row>
    <row r="82">
      <c r="A82" s="1" t="n">
        <v>80</v>
      </c>
      <c r="B82" t="inlineStr">
        <is>
          <t>Apple(アップル) iPhone SE 32GB ローズゴールド MP852J／A SIMフリー</t>
        </is>
      </c>
      <c r="C82" t="inlineStr">
        <is>
          <t>￥14,495</t>
        </is>
      </c>
      <c r="D82" t="inlineStr">
        <is>
          <t>4.1</t>
        </is>
      </c>
      <c r="E82">
        <f>HYPERLINK("https://www.amazon.co.jp/Apple-iPhoneSE-MP852J-%E3%83%AD%E3%83%BC%E3%82%BA%E3%82%B4%E3%83%BC%E3%83%AB%E3%83%89%E3%80%90%E5%9B%BD%E5%86%85%E7%89%88-SIM%E3%83%95%E3%83%AA%E3%83%BC%E3%80%91/dp/B075FQH35W/ref=sr_1_84?__mk_ja_JP=%E3%82%AB%E3%82%BF%E3%82%AB%E3%83%8A&amp;dchild=1&amp;keywords=Xperia&amp;qid=1598529206&amp;sr=8-84", "Go")</f>
        <v/>
      </c>
    </row>
    <row r="83">
      <c r="A83" s="1" t="n">
        <v>81</v>
      </c>
      <c r="B83" t="inlineStr">
        <is>
          <t>シャープ AQUOS sense2 SH-M08 ホワイトシルバー5.5インチ SIMフリースマートフォン［メモリ 3GB/ストレージ 32GB/IGZOディスプレイ］ SH-M08-S</t>
        </is>
      </c>
      <c r="C83" t="inlineStr">
        <is>
          <t>￥22,980</t>
        </is>
      </c>
      <c r="D83" t="inlineStr">
        <is>
          <t>4</t>
        </is>
      </c>
      <c r="E83">
        <f>HYPERLINK("https://www.amazon.co.jp/%E3%82%B7%E3%83%A3%E3%83%BC%E3%83%97-%E3%83%9B%E3%83%AF%E3%82%A4%E3%83%88%E3%82%B7%E3%83%AB%E3%83%90%E3%83%BC5-5%E3%82%A4%E3%83%B3%E3%83%81-SIM%E3%83%95%E3%83%AA%E3%83%BC%E3%82%B9%E3%83%9E%E3%83%BC%E3%83%88%E3%83%95%E3%82%A9%E3%83%B3%EF%BC%BB%E3%83%A1%E3%83%A2%E3%83%AA-IGZO%E3%83%87%E3%82%A3%E3%82%B9%E3%83%97%E3%83%AC%E3%82%A4%EF%BC%BD-SH-M08-S/dp/B07M969MFS/ref=sr_1_85?__mk_ja_JP=%E3%82%AB%E3%82%BF%E3%82%AB%E3%83%8A&amp;dchild=1&amp;keywords=Xperia&amp;qid=1598529206&amp;sr=8-85", "Go")</f>
        <v/>
      </c>
    </row>
    <row r="84">
      <c r="A84" s="1" t="n">
        <v>82</v>
      </c>
      <c r="B84" t="inlineStr">
        <is>
          <t>ASUS Zenfone5 ブラック 【日本正規代理店品】 ZE620KL-BK64S6/A</t>
        </is>
      </c>
      <c r="C84" t="inlineStr">
        <is>
          <t>￥35,998</t>
        </is>
      </c>
      <c r="D84" t="inlineStr">
        <is>
          <t>4</t>
        </is>
      </c>
      <c r="E84">
        <f>HYPERLINK("https://www.amazon.co.jp/ASUS-ZenFone-SIM%E3%83%95%E3%83%AA%E3%83%BC%E3%82%B9%E3%83%9E%E3%83%BC%E3%83%88%E3%83%95%E3%82%A9%E3%83%B3%E3%80%90%E6%97%A5%E6%9C%AC%E6%AD%A3%E8%A6%8F%E4%BB%A3%E7%90%86%E5%BA%97%E5%93%81%E3%80%91%E3%82%B7%E3%83%A3%E3%82%A4%E3%83%8B%E3%83%BC%E3%83%96%E3%83%A9%E3%83%83%E3%82%AF-Amazon%E3%82%B3%E3%82%A4%E3%83%B3%E3%82%AF%E3%83%BC%E3%83%9D%E3%83%B3%E4%BB%98%E3%81%8D-ZE620KL-BK64S6/dp/B07CRVTF7D/ref=sr_1_86?__mk_ja_JP=%E3%82%AB%E3%82%BF%E3%82%AB%E3%83%8A&amp;dchild=1&amp;keywords=Xperia&amp;qid=1598529206&amp;sr=8-86", "Go")</f>
        <v/>
      </c>
    </row>
    <row r="85">
      <c r="A85" s="1" t="n">
        <v>83</v>
      </c>
      <c r="B85" t="inlineStr">
        <is>
          <t>ドコモ Galaxy S7 edge SC-02H ブラック</t>
        </is>
      </c>
      <c r="C85" t="inlineStr">
        <is>
          <t>￥11,800</t>
        </is>
      </c>
      <c r="D85" t="inlineStr">
        <is>
          <t>4.2</t>
        </is>
      </c>
      <c r="E85">
        <f>HYPERLINK("https://www.amazon.co.jp/Galaxy-S7-edge-SC-02H-%E3%83%96%E3%83%A9%E3%83%83%E3%82%AF/dp/B01GKUV3EK/ref=sr_1_87?__mk_ja_JP=%E3%82%AB%E3%82%BF%E3%82%AB%E3%83%8A&amp;dchild=1&amp;keywords=Xperia&amp;qid=1598529206&amp;sr=8-87", "Go")</f>
        <v/>
      </c>
    </row>
    <row r="86">
      <c r="A86" s="1" t="n">
        <v>84</v>
      </c>
      <c r="B86" t="inlineStr">
        <is>
          <t>SoftBank Xperia XZ 601SO ミネラルブラック</t>
        </is>
      </c>
      <c r="C86" t="inlineStr">
        <is>
          <t>￥6,980</t>
        </is>
      </c>
      <c r="D86" t="inlineStr">
        <is>
          <t>4.3</t>
        </is>
      </c>
      <c r="E86">
        <f>HYPERLINK("https://www.amazon.co.jp/SoftBank-Xperia-XZ-601SO-%E3%83%9F%E3%83%8D%E3%83%A9%E3%83%AB%E3%83%96%E3%83%A9%E3%83%83%E3%82%AF/dp/B06WVG7SLG/ref=sr_1_88?__mk_ja_JP=%E3%82%AB%E3%82%BF%E3%82%AB%E3%83%8A&amp;dchild=1&amp;keywords=Xperia&amp;qid=1598529206&amp;sr=8-88", "Go")</f>
        <v/>
      </c>
    </row>
    <row r="87">
      <c r="A87" s="1" t="n">
        <v>85</v>
      </c>
      <c r="B87" t="inlineStr">
        <is>
          <t>HUAWEI Nova Lite 2 ゴールド 【日本正規代理店品】 NOVA LITE 2/GOLD</t>
        </is>
      </c>
      <c r="C87" t="inlineStr">
        <is>
          <t>￥7,200</t>
        </is>
      </c>
      <c r="D87" t="inlineStr">
        <is>
          <t>4</t>
        </is>
      </c>
      <c r="E87">
        <f>HYPERLINK("https://www.amazon.co.jp/Huawei-5-65%E3%82%A4%E3%83%B3%E3%83%81-nova-SIM%E3%83%95%E3%83%AA%E3%83%BC%E3%82%B9%E3%83%9E%E3%83%BC%E3%83%88%E3%83%95%E3%82%A9%E3%83%B3-%E3%82%B4%E3%83%BC%E3%83%AB%E3%83%89%E3%80%90%E6%97%A5%E6%9C%AC%E6%AD%A3%E8%A6%8F%E4%BB%A3%E7%90%86%E5%BA%97%E5%93%81%E3%80%91/dp/B07B3N58FL/ref=sr_1_91?__mk_ja_JP=%E3%82%AB%E3%82%BF%E3%82%AB%E3%83%8A&amp;dchild=1&amp;keywords=Xperia&amp;qid=1598529206&amp;sr=8-91", "Go")</f>
        <v/>
      </c>
    </row>
    <row r="88">
      <c r="A88" s="1" t="n">
        <v>86</v>
      </c>
      <c r="B88" t="inlineStr">
        <is>
          <t>【ワイモバイル・プランMR専用】Y!mobile HUAWEI P30 lite パールホワイト ※回線契約後発送</t>
        </is>
      </c>
      <c r="C88" t="inlineStr">
        <is>
          <t>￥2,980</t>
        </is>
      </c>
      <c r="D88" t="inlineStr">
        <is>
          <t>4.1</t>
        </is>
      </c>
      <c r="E88">
        <f>HYPERLINK("https://www.amazon.co.jp/%E3%80%90%E3%83%AF%E3%82%A4%E3%83%A2%E3%83%90%E3%82%A4%E3%83%AB%E3%80%91Y-mobile-%E3%83%AF%E3%82%A4%E3%83%A2%E3%83%90%E3%82%A4%E3%83%AB-HWWEC3-%E2%80%BB%E5%9B%9E%E7%B7%9A%E5%A5%91%E7%B4%84%E5%BE%8C%E7%99%BA%E9%80%81/dp/B07W6NRL4T/ref=sr_1_92?__mk_ja_JP=%E3%82%AB%E3%82%BF%E3%82%AB%E3%83%8A&amp;dchild=1&amp;keywords=Xperia&amp;qid=1598529206&amp;sr=8-92", "Go")</f>
        <v/>
      </c>
    </row>
    <row r="89">
      <c r="A89" s="1" t="n">
        <v>87</v>
      </c>
      <c r="B89" t="inlineStr">
        <is>
          <t>AU Xperia 8 SOV42 オレンジ 白ロム</t>
        </is>
      </c>
      <c r="C89" t="inlineStr">
        <is>
          <t>￥32,634</t>
        </is>
      </c>
      <c r="D89" t="inlineStr">
        <is>
          <t>4.6</t>
        </is>
      </c>
      <c r="E89">
        <f>HYPERLINK("https://www.amazon.co.jp/AU-Xperia-SOV42-%E3%82%AA%E3%83%AC%E3%83%B3%E3%82%B8-%E7%99%BD%E3%83%AD%E3%83%A0/dp/B0832ZQ7L2/ref=sr_1_93?__mk_ja_JP=%E3%82%AB%E3%82%BF%E3%82%AB%E3%83%8A&amp;dchild=1&amp;keywords=Xperia&amp;qid=1598529206&amp;sr=8-93", "Go")</f>
        <v/>
      </c>
    </row>
    <row r="90">
      <c r="A90" s="1" t="n">
        <v>88</v>
      </c>
      <c r="B90" t="inlineStr">
        <is>
          <t>ASUS ROG Phone (8GB/512GB) マットブラック【日本正規代理店品】ZS600KL-BK512S8/A</t>
        </is>
      </c>
      <c r="C90" t="inlineStr">
        <is>
          <t>￥55,347</t>
        </is>
      </c>
      <c r="D90" t="inlineStr">
        <is>
          <t>4</t>
        </is>
      </c>
      <c r="E90">
        <f>HYPERLINK("https://www.amazon.co.jp/ZS600KL-%E3%80%90%E6%97%A5%E6%9C%AC%E6%AD%A3%E8%A6%8F%E4%BB%A3%E7%90%86%E5%BA%97%E5%93%81%E3%80%91%E3%82%B2%E3%83%BC%E3%83%9F%E3%83%B3%E3%82%B0%E3%82%B9%E3%83%9E%E3%83%BC%E3%83%88%E3%83%95%E3%82%A9%E3%83%B3-ZS600KL-BK512S8-802-11ad%E5%AF%BE%E5%BF%9C-%E5%86%B7%E5%8D%B4%E3%83%A6%E3%83%8B%E3%83%83%E3%83%88%E4%BB%98%E5%B1%9E/dp/B07JKWK58T/ref=sr_1_94?__mk_ja_JP=%E3%82%AB%E3%82%BF%E3%82%AB%E3%83%8A&amp;dchild=1&amp;keywords=Xperia&amp;qid=1598529206&amp;sr=8-94", "Go")</f>
        <v/>
      </c>
    </row>
    <row r="91">
      <c r="A91" s="1" t="n">
        <v>89</v>
      </c>
      <c r="B91" t="inlineStr">
        <is>
          <t>docomo Galaxy A20 SC-02M ホワイト White 白ロム</t>
        </is>
      </c>
      <c r="C91" t="inlineStr">
        <is>
          <t>￥13,400</t>
        </is>
      </c>
      <c r="D91" t="inlineStr">
        <is>
          <t>4</t>
        </is>
      </c>
      <c r="E91">
        <f>HYPERLINK("https://www.amazon.co.jp/docomo-Galaxy-SC-02M-%E3%83%9B%E3%83%AF%E3%82%A4%E3%83%88-White/dp/B08185JY75/ref=sr_1_95?__mk_ja_JP=%E3%82%AB%E3%82%BF%E3%82%AB%E3%83%8A&amp;dchild=1&amp;keywords=Xperia&amp;qid=1598529206&amp;sr=8-95", "Go")</f>
        <v/>
      </c>
    </row>
    <row r="92">
      <c r="A92" s="1" t="n">
        <v>90</v>
      </c>
      <c r="B92" t="inlineStr">
        <is>
          <t>ASUS ZenFone3 SIMフリースマートフォン (ホワイト/5.2インチ)【日本正規代理店品】(オクタコアCPU/3GB/32GB/DSDS &amp; au VoLTE対応)ZE520KL-WH32S3/A</t>
        </is>
      </c>
      <c r="C92" t="inlineStr">
        <is>
          <t>￥33,980</t>
        </is>
      </c>
      <c r="D92" t="inlineStr">
        <is>
          <t>4</t>
        </is>
      </c>
      <c r="E92">
        <f>HYPERLINK("https://www.amazon.co.jp/ZenFone3-SIM%E3%83%95%E3%83%AA%E3%83%BC%E3%82%B9%E3%83%9E%E3%83%BC%E3%83%88%E3%83%95%E3%82%A9%E3%83%B3-%E3%80%90%E6%97%A5%E6%9C%AC%E6%AD%A3%E8%A6%8F%E4%BB%A3%E7%90%86%E5%BA%97%E5%93%81%E3%80%91-%E3%82%AA%E3%82%AF%E3%82%BF%E3%82%B3%E3%82%A2CPU-ZE520KL-WH32S3/dp/B072PT1QVM/ref=sr_1_96?__mk_ja_JP=%E3%82%AB%E3%82%BF%E3%82%AB%E3%83%8A&amp;dchild=1&amp;keywords=Xperia&amp;qid=1598529206&amp;sr=8-96", "Go")</f>
        <v/>
      </c>
    </row>
    <row r="93">
      <c r="A93" s="1" t="n">
        <v>91</v>
      </c>
      <c r="B93" t="inlineStr">
        <is>
          <t>FUJITSU(富士通） arrows Be 32GB ブラック F-04K docomoロック解除SIMフリー</t>
        </is>
      </c>
      <c r="C93" t="inlineStr">
        <is>
          <t>￥28,800</t>
        </is>
      </c>
      <c r="D93" t="inlineStr">
        <is>
          <t>4.2</t>
        </is>
      </c>
      <c r="E93">
        <f>HYPERLINK("https://www.amazon.co.jp/docomo-arrows-Be-F-04K-Black/dp/B07DG4Y3LW/ref=sr_1_97?__mk_ja_JP=%E3%82%AB%E3%82%BF%E3%82%AB%E3%83%8A&amp;dchild=1&amp;keywords=Xperia&amp;qid=1598529206&amp;sr=8-97", "Go")</f>
        <v/>
      </c>
    </row>
    <row r="94">
      <c r="A94" s="1" t="n">
        <v>92</v>
      </c>
      <c r="B94" t="inlineStr">
        <is>
          <t>Sony Xperia 10 II (XQ-AU52) 4GB/128GB / Dual SIM/SIMフリー (Mint/ミントグリーン)</t>
        </is>
      </c>
      <c r="C94" t="inlineStr">
        <is>
          <t>￥36,490</t>
        </is>
      </c>
      <c r="D94" t="inlineStr">
        <is>
          <t>4.4</t>
        </is>
      </c>
      <c r="E94">
        <f>HYPERLINK("https://www.amazon.co.jp/Xperia-XQ-AU52-128GB-SIM%E3%83%95%E3%83%AA%E3%83%BC-%E3%83%9F%E3%83%B3%E3%83%88%E3%82%B0%E3%83%AA%E3%83%BC%E3%83%B3/dp/B0894RZJLP/ref=sr_1_98?__mk_ja_JP=%E3%82%AB%E3%82%BF%E3%82%AB%E3%83%8A&amp;dchild=1&amp;keywords=Xperia&amp;qid=1598529206&amp;sr=8-98", "Go")</f>
        <v/>
      </c>
    </row>
    <row r="95">
      <c r="A95" s="1" t="n">
        <v>93</v>
      </c>
      <c r="B95" t="inlineStr">
        <is>
          <t>sony ソニーのXperia XコンパクトミントブルーF5321 [並行輸入品] ブルー</t>
        </is>
      </c>
      <c r="C95" t="inlineStr">
        <is>
          <t>￥19,800</t>
        </is>
      </c>
      <c r="D95" t="inlineStr">
        <is>
          <t>4.2</t>
        </is>
      </c>
      <c r="E95">
        <f>HYPERLINK("https://www.amazon.co.jp/Xperia-Compact-%E3%83%9F%E3%83%B3%E3%83%88%E3%83%96%E3%83%AB%E3%83%BC-F5321-%E4%B8%A6%E8%A1%8C%E8%BC%B8%E5%85%A5%E5%93%81/dp/B01MG2NX05/ref=sr_1_99?__mk_ja_JP=%E3%82%AB%E3%82%BF%E3%82%AB%E3%83%8A&amp;dchild=1&amp;keywords=Xperia&amp;qid=1598529206&amp;sr=8-99", "Go")</f>
        <v/>
      </c>
    </row>
    <row r="96">
      <c r="A96" s="1" t="n">
        <v>94</v>
      </c>
      <c r="B96" t="inlineStr">
        <is>
          <t>UMIDIGI Power SIMフリースマートフォン Android 9.0 6.3インチ FHD+ 大画面ノッチ付きディスプレイ 5150mAh大容量バッテリー 4GB RAM + 64GB ROM Helio P35オクタコア 16MP+5MPデュアルカメラ18W 高速充電 グローバル対応端末 技適認証済み 指紋認証 顔認証 auキャリア不可 (ブラック)</t>
        </is>
      </c>
      <c r="C96" t="inlineStr">
        <is>
          <t>￥15,777</t>
        </is>
      </c>
      <c r="D96" t="inlineStr">
        <is>
          <t>4</t>
        </is>
      </c>
      <c r="E96">
        <f>HYPERLINK("https://www.amazon.co.jp/Power-SIM%E3%83%95%E3%83%AA%E3%83%BC%E3%82%B9%E3%83%9E%E3%83%BC%E3%83%88%E3%83%95%E3%82%A9%E3%83%B3-%E5%A4%A7%E7%94%BB%E9%9D%A2%E3%83%8E%E3%83%83%E3%83%81%E4%BB%98%E3%81%8D%E3%83%87%E3%82%A3%E3%82%B9%E3%83%97%E3%83%AC%E3%82%A4-5150mAh%E5%A4%A7%E5%AE%B9%E9%87%8F%E3%83%90%E3%83%83%E3%83%86%E3%83%AA%E3%83%BC-5MP%E3%83%87%E3%83%A5%E3%82%A2%E3%83%AB%E3%82%AB%E3%83%A1%E3%83%A918W/dp/B07ZQ8CCGJ/ref=sr_1_100?__mk_ja_JP=%E3%82%AB%E3%82%BF%E3%82%AB%E3%83%8A&amp;dchild=1&amp;keywords=Xperia&amp;qid=1598529206&amp;sr=8-100", "Go")</f>
        <v/>
      </c>
    </row>
    <row r="97">
      <c r="A97" s="1" t="n">
        <v>95</v>
      </c>
      <c r="B97" t="inlineStr">
        <is>
          <t>docomo AQUOS sense2 SH-01L Nuance Black 白ロム</t>
        </is>
      </c>
      <c r="C97" t="inlineStr">
        <is>
          <t>￥21,000</t>
        </is>
      </c>
      <c r="D97" t="inlineStr">
        <is>
          <t>4.2</t>
        </is>
      </c>
      <c r="E97">
        <f>HYPERLINK("https://www.amazon.co.jp/docomo-AQUOS-sense2-SH-01L-Nuance/dp/B07LG7RYNV/ref=sr_1_101?__mk_ja_JP=%E3%82%AB%E3%82%BF%E3%82%AB%E3%83%8A&amp;dchild=1&amp;keywords=Xperia&amp;qid=1598529206&amp;sr=8-101", "Go")</f>
        <v/>
      </c>
    </row>
    <row r="98">
      <c r="A98" s="1" t="n">
        <v>96</v>
      </c>
      <c r="B98" t="inlineStr">
        <is>
          <t>Sony Xperia XZ2 Compact Dual H8324-64GB (Moss Green グリーン) SIM フリー [並行輸入品]</t>
        </is>
      </c>
      <c r="C98" t="inlineStr">
        <is>
          <t>￥19,800</t>
        </is>
      </c>
      <c r="D98" t="inlineStr">
        <is>
          <t>4.2</t>
        </is>
      </c>
      <c r="E98">
        <f>HYPERLINK("https://www.amazon.co.jp/Xperia-Compact-H8324-Green-SIM%E3%83%95%E3%83%AA%E3%83%BC/dp/B07BYC9TGG/ref=sr_1_102?__mk_ja_JP=%E3%82%AB%E3%82%BF%E3%82%AB%E3%83%8A&amp;dchild=1&amp;keywords=Xperia&amp;qid=1598529206&amp;sr=8-102", "Go")</f>
        <v/>
      </c>
    </row>
    <row r="99">
      <c r="A99" s="1" t="n">
        <v>97</v>
      </c>
      <c r="B99" t="inlineStr">
        <is>
          <t>SONY Sony Xperia XZ1 Dual G8342 [Venus Pink 64GB 海外版　SIMフリー]</t>
        </is>
      </c>
      <c r="C99" t="inlineStr">
        <is>
          <t>￥19,800</t>
        </is>
      </c>
      <c r="D99" t="inlineStr">
        <is>
          <t>4.5</t>
        </is>
      </c>
      <c r="E99">
        <f>HYPERLINK("https://www.amazon.co.jp/SONY-Xperia-G8342-Venus-%E6%B5%B7%E5%A4%96%E7%89%88-SIM%E3%83%95%E3%83%AA%E3%83%BC/dp/B077D2RVK6/ref=sr_1_103?__mk_ja_JP=%E3%82%AB%E3%82%BF%E3%82%AB%E3%83%8A&amp;dchild=1&amp;keywords=Xperia&amp;qid=1598529206&amp;sr=8-103", "Go")</f>
        <v/>
      </c>
    </row>
    <row r="100">
      <c r="A100" s="1" t="n">
        <v>98</v>
      </c>
      <c r="B100" t="inlineStr">
        <is>
          <t>au Xperia XZ3 SOV39 ブラック</t>
        </is>
      </c>
      <c r="C100" t="inlineStr">
        <is>
          <t>￥65,000</t>
        </is>
      </c>
      <c r="D100" t="inlineStr">
        <is>
          <t>4</t>
        </is>
      </c>
      <c r="E100">
        <f>HYPERLINK("https://www.amazon.co.jp/au-Xperia-XZ3-SOV39-%E3%83%96%E3%83%A9%E3%83%83%E3%82%AF/dp/B07KW6W123/ref=sr_1_104?__mk_ja_JP=%E3%82%AB%E3%82%BF%E3%82%AB%E3%83%8A&amp;dchild=1&amp;keywords=Xperia&amp;qid=1598529206&amp;sr=8-104", "Go")</f>
        <v/>
      </c>
    </row>
    <row r="101">
      <c r="A101" s="1" t="n">
        <v>99</v>
      </c>
      <c r="B101" t="inlineStr">
        <is>
          <t>【ONES】 Xperia 1 II ケース 高透明 米軍MIL規格 〔耐衝撃、軽·薄、フィット感〕『エアバッグ、滑り止め、Qiワイヤレス充電』 Airシリーズ SONY カバー クリア</t>
        </is>
      </c>
      <c r="C101" t="inlineStr">
        <is>
          <t>￥1,122</t>
        </is>
      </c>
      <c r="D101" t="inlineStr">
        <is>
          <t>4.3</t>
        </is>
      </c>
      <c r="E101">
        <f>HYPERLINK("https://www.amazon.co.jp/Xperia-II-%E9%AB%98%E9%80%8F%E6%98%8E-%E7%B1%B3%E8%BB%8DMIL%E8%A6%8F%E6%A0%BC-%E3%80%94%E8%80%90%E8%A1%9D%E6%92%83%E3%80%81%E8%BB%BD%C2%B7%E8%96%84%E3%80%81%E3%83%95%E3%82%A3%E3%83%83%E3%83%88%E6%84%9F%E3%80%95%E3%80%8E%E3%82%A8%E3%82%A2%E3%83%90%E3%83%83%E3%82%B0%E3%80%81%E6%BB%91%E3%82%8A%E6%AD%A2%E3%82%81%E3%80%81Qi%E3%83%AF%E3%82%A4%E3%83%A4%E3%83%AC%E3%82%B9%E5%85%85%E9%9B%BB%E3%80%8F/dp/B088DTLCLJ/ref=sr_1_98_sspa?__mk_ja_JP=%E3%82%AB%E3%82%BF%E3%82%AB%E3%83%8A&amp;dchild=1&amp;keywords=Xperia&amp;qid=1598529484&amp;sr=8-98-spons&amp;psc=1&amp;spLa=ZW5jcnlwdGVkUXVhbGlmaWVyPUFXREhNTkQ3M1VDSkcmZW5jcnlwdGVkSWQ9QTA2NjI0MTMyRERVN0RCTkUxWlZHJmVuY3J5cHRlZEFkSWQ9QTIyTk85NDdQMktKRjkmd2lkZ2V0TmFtZT1zcF9hdGZfbmV4dCZhY3Rpb249Y2xpY2tSZWRpcmVjdCZkb05vdExvZ0NsaWNrPXRydWU=", "Go")</f>
        <v/>
      </c>
    </row>
    <row r="102">
      <c r="A102" s="1" t="n">
        <v>100</v>
      </c>
      <c r="B102" t="inlineStr">
        <is>
          <t>OUKITEL WP5 Pro IP68防水 防塵 耐衝撃 8000mAh アウトドア スマートフォン Android 10.0 4G 5.5インチ スマホ本体 フリーSIMスマートフォン本体 4GBRAM+64GBROM SONY13MP+5MPデュアルAIカメラ アウトドアタフスマホ 携帯電話 防災用品顔・指紋認証ロック解除 1年間保証付き (黒)</t>
        </is>
      </c>
      <c r="C102" t="inlineStr">
        <is>
          <t>￥19,999</t>
        </is>
      </c>
      <c r="D102" t="inlineStr">
        <is>
          <t>4</t>
        </is>
      </c>
      <c r="E102">
        <f>HYPERLINK("https://www.amazon.co.jp/OUKITEL-WP5-%E3%83%95%E3%83%AA%E3%83%BCSIM%E3%82%B9%E3%83%9E%E3%83%BC%E3%83%88%E3%83%95%E3%82%A9%E3%83%B3%E6%9C%AC%E4%BD%93-5MP%E3%83%87%E3%83%A5%E3%82%A2%E3%83%ABAI%E3%82%AB%E3%83%A1%E3%83%A9-%E9%98%B2%E7%81%BD%E7%94%A8%E5%93%81%E9%A1%94%E3%83%BB%E6%8C%87%E7%B4%8B%E8%AA%8D%E8%A8%BC%E3%83%AD%E3%83%83%E3%82%AF%E8%A7%A3%E9%99%A4/dp/B08D3CYSRP/ref=sr_1_99_sspa?__mk_ja_JP=%E3%82%AB%E3%82%BF%E3%82%AB%E3%83%8A&amp;dchild=1&amp;keywords=Xperia&amp;qid=1598529484&amp;sr=8-99-spons&amp;psc=1&amp;spLa=ZW5jcnlwdGVkUXVhbGlmaWVyPUFXREhNTkQ3M1VDSkcmZW5jcnlwdGVkSWQ9QTA2NjI0MTMyRERVN0RCTkUxWlZHJmVuY3J5cHRlZEFkSWQ9QTJGQlRCNkZKNkROODgmd2lkZ2V0TmFtZT1zcF9hdGZfbmV4dCZhY3Rpb249Y2xpY2tSZWRpcmVjdCZkb05vdExvZ0NsaWNrPXRydWU=", "Go")</f>
        <v/>
      </c>
    </row>
    <row r="103">
      <c r="A103" s="1" t="n">
        <v>101</v>
      </c>
      <c r="B103" t="inlineStr">
        <is>
          <t>au Xperia XZ3 SOV39 Forest Green</t>
        </is>
      </c>
      <c r="C103" t="inlineStr">
        <is>
          <t>￥47,500</t>
        </is>
      </c>
      <c r="D103" t="inlineStr">
        <is>
          <t>4.2</t>
        </is>
      </c>
      <c r="E103">
        <f>HYPERLINK("https://www.amazon.co.jp/Xperia-XZ3-SOV39-Forest-Green/dp/B07KW67YH6/ref=sr_1_103?__mk_ja_JP=%E3%82%AB%E3%82%BF%E3%82%AB%E3%83%8A&amp;dchild=1&amp;keywords=Xperia&amp;qid=1598529484&amp;sr=8-103", "Go")</f>
        <v/>
      </c>
    </row>
    <row r="104">
      <c r="A104" s="1" t="n">
        <v>102</v>
      </c>
      <c r="B104" t="inlineStr">
        <is>
          <t>SIMフリー AQUOS sense3 SH-02M docomo ピンク</t>
        </is>
      </c>
      <c r="C104" t="inlineStr">
        <is>
          <t>￥33,800</t>
        </is>
      </c>
      <c r="D104" t="inlineStr">
        <is>
          <t>4.1</t>
        </is>
      </c>
      <c r="E104">
        <f>HYPERLINK("https://www.amazon.co.jp/SIM%E3%83%95%E3%83%AA%E3%83%BC-AQUOS-sense3-SH-02M-docomo/dp/B081VBKLKQ/ref=sr_1_106?__mk_ja_JP=%E3%82%AB%E3%82%BF%E3%82%AB%E3%83%8A&amp;dchild=1&amp;keywords=Xperia&amp;qid=1598529484&amp;sr=8-106", "Go")</f>
        <v/>
      </c>
    </row>
    <row r="105">
      <c r="A105" s="1" t="n">
        <v>103</v>
      </c>
      <c r="B105" t="inlineStr">
        <is>
          <t>Sony Xperia XZs G8232 Dual SIM BLACK 5.2" / 19MP/ 64 GB, 4 GB RAM SIMフリー [並行輸入品]</t>
        </is>
      </c>
      <c r="C105" t="inlineStr">
        <is>
          <t>￥31,800</t>
        </is>
      </c>
      <c r="D105" t="inlineStr">
        <is>
          <t>4.1</t>
        </is>
      </c>
      <c r="E105">
        <f>HYPERLINK("https://www.amazon.co.jp/Xperia-G8232-BLACK-SIM%E3%83%95%E3%83%AA%E3%83%BC-%E4%B8%A6%E8%A1%8C%E8%BC%B8%E5%85%A5%E5%93%81/dp/B06XZ2PFH5/ref=sr_1_107?__mk_ja_JP=%E3%82%AB%E3%82%BF%E3%82%AB%E3%83%8A&amp;dchild=1&amp;keywords=Xperia&amp;qid=1598529484&amp;sr=8-107", "Go")</f>
        <v/>
      </c>
    </row>
    <row r="106">
      <c r="A106" s="1" t="n">
        <v>104</v>
      </c>
      <c r="B106" t="inlineStr">
        <is>
          <t>【セット割】HUAWEI nova lite 3+ ミッドナイトブラック 【日本正規代理店品】 + ワイモバイルSIMカード</t>
        </is>
      </c>
      <c r="C106" t="inlineStr">
        <is>
          <t>￥16,800</t>
        </is>
      </c>
      <c r="D106" t="inlineStr">
        <is>
          <t>4</t>
        </is>
      </c>
      <c r="E106">
        <f>HYPERLINK("https://www.amazon.co.jp/%E3%80%90%E3%82%BB%E3%83%83%E3%83%88%E5%89%B2%E3%80%91HUAWEI-nova-%E3%83%9F%E3%83%83%E3%83%89%E3%83%8A%E3%82%A4%E3%83%88%E3%83%96%E3%83%A9%E3%83%83%E3%82%AF-%E3%80%90%E6%97%A5%E6%9C%AC%E6%AD%A3%E8%A6%8F%E4%BB%A3%E7%90%86%E5%BA%97%E5%93%81%E3%80%91-%E3%83%AF%E3%82%A4%E3%83%A2%E3%83%90%E3%82%A4%E3%83%ABSIM%E3%82%AB%E3%83%BC%E3%83%89/dp/B0896CXFT3/ref=sr_1_109?__mk_ja_JP=%E3%82%AB%E3%82%BF%E3%82%AB%E3%83%8A&amp;dchild=1&amp;keywords=Xperia&amp;qid=1598529484&amp;sr=8-109", "Go")</f>
        <v/>
      </c>
    </row>
    <row r="107">
      <c r="A107" s="1" t="n">
        <v>105</v>
      </c>
      <c r="B107" t="inlineStr">
        <is>
          <t>SONY(ソニー) Xperia XZ 32GB フォレストブルー SOV34 au</t>
        </is>
      </c>
      <c r="C107" t="inlineStr">
        <is>
          <t>￥8,980</t>
        </is>
      </c>
      <c r="D107" t="inlineStr">
        <is>
          <t>5</t>
        </is>
      </c>
      <c r="E107">
        <f>HYPERLINK("https://www.amazon.co.jp/Xperia-XZ-SOV34-Forest-%E3%83%95%E3%82%A9%E3%83%AC%E3%82%B9%E3%83%88%E3%83%96%E3%83%AB%E3%83%BC/dp/B01N2WSTLU/ref=sr_1_111?__mk_ja_JP=%E3%82%AB%E3%82%BF%E3%82%AB%E3%83%8A&amp;dchild=1&amp;keywords=Xperia&amp;qid=1598529484&amp;sr=8-111", "Go")</f>
        <v/>
      </c>
    </row>
    <row r="108">
      <c r="A108" s="1" t="n">
        <v>106</v>
      </c>
      <c r="B108" t="inlineStr">
        <is>
          <t>SONY(ソニー) Xperia XZs 32GB アイスブルー SOV35 au</t>
        </is>
      </c>
      <c r="C108" t="inlineStr">
        <is>
          <t>￥6,780</t>
        </is>
      </c>
      <c r="D108" t="inlineStr">
        <is>
          <t>5</t>
        </is>
      </c>
      <c r="E108">
        <f>HYPERLINK("https://www.amazon.co.jp/Xperia-XZs-SOV35-Ice-Blue/dp/B0764XYWT4/ref=sr_1_112?__mk_ja_JP=%E3%82%AB%E3%82%BF%E3%82%AB%E3%83%8A&amp;dchild=1&amp;keywords=Xperia&amp;qid=1598529484&amp;sr=8-112", "Go")</f>
        <v/>
      </c>
    </row>
    <row r="109">
      <c r="A109" s="1" t="n">
        <v>107</v>
      </c>
      <c r="B109" t="inlineStr">
        <is>
          <t>au HUAWEI nova 2 HWV31 ブルー</t>
        </is>
      </c>
      <c r="C109" t="inlineStr">
        <is>
          <t>￥22,928</t>
        </is>
      </c>
      <c r="D109" t="inlineStr">
        <is>
          <t>4</t>
        </is>
      </c>
      <c r="E109">
        <f>HYPERLINK("https://www.amazon.co.jp/HUAWEI-nova-HWV31-%E3%83%96%E3%83%AB%E3%83%BC/dp/B079ZWSHXL/ref=sr_1_116?__mk_ja_JP=%E3%82%AB%E3%82%BF%E3%82%AB%E3%83%8A&amp;dchild=1&amp;keywords=Xperia&amp;qid=1598529484&amp;sr=8-116", "Go")</f>
        <v/>
      </c>
    </row>
    <row r="110">
      <c r="A110" s="1" t="n">
        <v>108</v>
      </c>
      <c r="B110" t="inlineStr">
        <is>
          <t>SONY SoftBank Xperia Z5 501SO Graphite Black</t>
        </is>
      </c>
      <c r="C110" t="inlineStr">
        <is>
          <t>￥7,150</t>
        </is>
      </c>
      <c r="D110" t="inlineStr">
        <is>
          <t>4.4</t>
        </is>
      </c>
      <c r="E110">
        <f>HYPERLINK("https://www.amazon.co.jp/SoftBank-Xperia-501SO-Graphite-Black/dp/B019F20WRE/ref=sr_1_118?__mk_ja_JP=%E3%82%AB%E3%82%BF%E3%82%AB%E3%83%8A&amp;dchild=1&amp;keywords=Xperia&amp;qid=1598529484&amp;sr=8-118", "Go")</f>
        <v/>
      </c>
    </row>
    <row r="111">
      <c r="A111" s="1" t="n">
        <v>109</v>
      </c>
      <c r="B111" t="inlineStr">
        <is>
          <t>SONY(ソニー) Xperia XZ1 64GB ウォームシルバー SO-01K docomoロック解除SIMフリー</t>
        </is>
      </c>
      <c r="C111" t="inlineStr">
        <is>
          <t>￥17,800</t>
        </is>
      </c>
      <c r="D111" t="inlineStr">
        <is>
          <t>4.5</t>
        </is>
      </c>
      <c r="E111">
        <f>HYPERLINK("https://www.amazon.co.jp/docomo-Xperia-XZ1-SO-01K-Silver/dp/B077N6T9CW/ref=sr_1_119?__mk_ja_JP=%E3%82%AB%E3%82%BF%E3%82%AB%E3%83%8A&amp;dchild=1&amp;keywords=Xperia&amp;qid=1598529484&amp;sr=8-119", "Go")</f>
        <v/>
      </c>
    </row>
    <row r="112">
      <c r="A112" s="1" t="n">
        <v>110</v>
      </c>
      <c r="B112" t="inlineStr">
        <is>
          <t>Xperia ray SO-03C docomo [Gold]</t>
        </is>
      </c>
      <c r="C112" t="inlineStr">
        <is>
          <t>￥1,980</t>
        </is>
      </c>
      <c r="D112" t="inlineStr">
        <is>
          <t>4.5</t>
        </is>
      </c>
      <c r="E112">
        <f>HYPERLINK("https://www.amazon.co.jp/Xperia-ray-SO-03C-docomo-Gold/dp/B00BBSXAAW/ref=sr_1_120?__mk_ja_JP=%E3%82%AB%E3%82%BF%E3%82%AB%E3%83%8A&amp;dchild=1&amp;keywords=Xperia&amp;qid=1598529484&amp;sr=8-120", "Go")</f>
        <v/>
      </c>
    </row>
    <row r="113">
      <c r="A113" s="1" t="n">
        <v>111</v>
      </c>
      <c r="B113" t="inlineStr">
        <is>
          <t>docomo AQUOS sense2 SH-01L シルキーホワイト 白ロム</t>
        </is>
      </c>
      <c r="C113" t="inlineStr">
        <is>
          <t>￥13,480</t>
        </is>
      </c>
      <c r="D113" t="inlineStr">
        <is>
          <t>4</t>
        </is>
      </c>
      <c r="E113">
        <f>HYPERLINK("https://www.amazon.co.jp/docomo-AQUOS-sense2-SH-01L-%E3%82%B7%E3%83%AB%E3%82%AD%E3%83%BC%E3%83%9B%E3%83%AF%E3%82%A4%E3%83%88/dp/B07LGCMXW1/ref=sr_1_123?__mk_ja_JP=%E3%82%AB%E3%82%BF%E3%82%AB%E3%83%8A&amp;dchild=1&amp;keywords=Xperia&amp;qid=1598529484&amp;sr=8-123", "Go")</f>
        <v/>
      </c>
    </row>
    <row r="114">
      <c r="A114" s="1" t="n">
        <v>112</v>
      </c>
      <c r="B114" t="inlineStr">
        <is>
          <t>docomo Xperia X Performance SO-04H 白ロム (ホワイト)</t>
        </is>
      </c>
      <c r="C114" t="inlineStr">
        <is>
          <t>￥4,150</t>
        </is>
      </c>
      <c r="D114" t="inlineStr">
        <is>
          <t>4.1</t>
        </is>
      </c>
      <c r="E114">
        <f>HYPERLINK("https://www.amazon.co.jp/docomo-Xperia-Performance-SO-04H-%E3%83%9B%E3%83%AF%E3%82%A4%E3%83%88/dp/B01HPP36F8/ref=sr_1_125?__mk_ja_JP=%E3%82%AB%E3%82%BF%E3%82%AB%E3%83%8A&amp;dchild=1&amp;keywords=Xperia&amp;qid=1598529484&amp;sr=8-125", "Go")</f>
        <v/>
      </c>
    </row>
    <row r="115">
      <c r="A115" s="1" t="n">
        <v>113</v>
      </c>
      <c r="B115" t="inlineStr">
        <is>
          <t>Sony Xperia 10 II (XQ-AU52) 4GB/128GB / Dual SIM/SIMフリー (Blue/ブルー)</t>
        </is>
      </c>
      <c r="C115" t="inlineStr">
        <is>
          <t>￥36,590</t>
        </is>
      </c>
      <c r="D115" t="inlineStr">
        <is>
          <t>4.2</t>
        </is>
      </c>
      <c r="E115">
        <f>HYPERLINK("https://www.amazon.co.jp/Sony-Xperia-XQ-AU52-128GB-SIM%E3%83%95%E3%83%AA%E3%83%BC/dp/B0894RFP87/ref=sr_1_126?__mk_ja_JP=%E3%82%AB%E3%82%BF%E3%82%AB%E3%83%8A&amp;dchild=1&amp;keywords=Xperia&amp;qid=1598529484&amp;sr=8-126", "Go")</f>
        <v/>
      </c>
    </row>
    <row r="116">
      <c r="A116" s="1" t="n">
        <v>114</v>
      </c>
      <c r="B116" t="inlineStr">
        <is>
          <t>docomo AQUOS ZETA SH-01G [WHITE] 白ロム</t>
        </is>
      </c>
      <c r="C116" t="inlineStr">
        <is>
          <t>￥15,800</t>
        </is>
      </c>
      <c r="D116" t="inlineStr">
        <is>
          <t>4</t>
        </is>
      </c>
      <c r="E116">
        <f>HYPERLINK("https://www.amazon.co.jp/docomo-AQUOS-ZETA-SH-01G-WHITE/dp/B00QH4WWS6/ref=sr_1_127?__mk_ja_JP=%E3%82%AB%E3%82%BF%E3%82%AB%E3%83%8A&amp;dchild=1&amp;keywords=Xperia&amp;qid=1598529484&amp;sr=8-127", "Go")</f>
        <v/>
      </c>
    </row>
    <row r="117">
      <c r="A117" s="1" t="n">
        <v>115</v>
      </c>
      <c r="B117" t="inlineStr">
        <is>
          <t>LOOF Nature Xperia 1 / Xperia 1 Professional Edition / SOV40 / SO-03L ケース 手帳型 カバー 天然木 本革 ウッド 手帳型ケース 手帳型カバー 携帯ケース 携帯カバー スマホケース スマホカバー ベルト無し 木製 スタンド機能付き カード収納 カードポケット (桜)</t>
        </is>
      </c>
      <c r="C117" t="inlineStr">
        <is>
          <t>￥1,980</t>
        </is>
      </c>
      <c r="D117" t="inlineStr">
        <is>
          <t>4.7</t>
        </is>
      </c>
      <c r="E117">
        <f>HYPERLINK("https://www.amazon.co.jp/Nature-Xperia-SO-03L-%E3%82%B9%E3%83%9E%E3%83%9B%E3%82%B1%E3%83%BC%E3%82%B9-%E3%82%B9%E3%82%BF%E3%83%B3%E3%83%89%E6%A9%9F%E8%83%BD%E4%BB%98/dp/B07SWZM5JG/ref=sr_1_128_sspa?__mk_ja_JP=%E3%82%AB%E3%82%BF%E3%82%AB%E3%83%8A&amp;dchild=1&amp;keywords=Xperia&amp;qid=1598529484&amp;sr=8-128-spons&amp;psc=1&amp;spLa=ZW5jcnlwdGVkUXVhbGlmaWVyPUFXREhNTkQ3M1VDSkcmZW5jcnlwdGVkSWQ9QTA2NjI0MTMyRERVN0RCTkUxWlZHJmVuY3J5cHRlZEFkSWQ9QTNEQUpROUlGVUkyVlEmd2lkZ2V0TmFtZT1zcF9tdGYmYWN0aW9uPWNsaWNrUmVkaXJlY3QmZG9Ob3RMb2dDbGljaz10cnVl", "Go")</f>
        <v/>
      </c>
    </row>
    <row r="118">
      <c r="A118" s="1" t="n">
        <v>116</v>
      </c>
      <c r="B118" t="inlineStr">
        <is>
          <t>SO-03H　BLACK　エクスペリア　XPERIA Z5 Premium　ブラック　黒色　docomo版</t>
        </is>
      </c>
      <c r="C118" t="inlineStr">
        <is>
          <t>￥1,190</t>
        </is>
      </c>
      <c r="D118" t="inlineStr">
        <is>
          <t>4.6</t>
        </is>
      </c>
      <c r="E118">
        <f>HYPERLINK("https://www.amazon.co.jp/SO-03H-Xperia-Premium-SO-03H-BLACK-%E3%82%A8%E3%82%AF%E3%82%B9%E3%83%9A%E3%83%AA%E3%82%A2-XPERIA-Premium-%E3%83%96%E3%83%A9%E3%83%83%E3%82%AF-%E9%BB%92%E8%89%B2-docomo%E7%89%88/dp/B018I3ARJO/ref=sr_1_131?__mk_ja_JP=%E3%82%AB%E3%82%BF%E3%82%AB%E3%83%8A&amp;dchild=1&amp;keywords=Xperia&amp;qid=1598529484&amp;sr=8-131", "Go")</f>
        <v/>
      </c>
    </row>
    <row r="119">
      <c r="A119" s="1" t="n">
        <v>117</v>
      </c>
      <c r="B119" t="inlineStr">
        <is>
          <t>SONY(ソニー) Xperia XZ 32GB プラチナ 601SO SoftBank</t>
        </is>
      </c>
      <c r="C119" t="inlineStr">
        <is>
          <t>￥6,980</t>
        </is>
      </c>
      <c r="D119" t="inlineStr">
        <is>
          <t>4</t>
        </is>
      </c>
      <c r="E119">
        <f>HYPERLINK("https://www.amazon.co.jp/SoftBank-SONY-Xperia-XZ-601SO/dp/B01N5RD356/ref=sr_1_139?__mk_ja_JP=%E3%82%AB%E3%82%BF%E3%82%AB%E3%83%8A&amp;dchild=1&amp;keywords=Xperia&amp;qid=1598529484&amp;sr=8-139", "Go")</f>
        <v/>
      </c>
    </row>
    <row r="120">
      <c r="A120" s="1" t="n">
        <v>118</v>
      </c>
      <c r="B120" t="inlineStr">
        <is>
          <t>docomo Xperia A4 SO-04G　ブルー 白ロム</t>
        </is>
      </c>
      <c r="C120" t="inlineStr">
        <is>
          <t>￥29,200</t>
        </is>
      </c>
      <c r="D120" t="inlineStr">
        <is>
          <t>4.2</t>
        </is>
      </c>
      <c r="E120">
        <f>HYPERLINK("https://www.amazon.co.jp/docomo-Xperia-A4-SO-04G-%E3%83%96%E3%83%AB%E3%83%BC-%E7%99%BD%E3%83%AD%E3%83%A0/dp/B014PA0RX0/ref=sr_1_140?__mk_ja_JP=%E3%82%AB%E3%82%BF%E3%82%AB%E3%83%8A&amp;dchild=1&amp;keywords=Xperia&amp;qid=1598529484&amp;sr=8-140", "Go")</f>
        <v/>
      </c>
    </row>
    <row r="121">
      <c r="A121" s="1" t="n">
        <v>119</v>
      </c>
      <c r="B121" t="inlineStr">
        <is>
          <t>SIMフリー Xperia 8 SOV42 au ホワイト</t>
        </is>
      </c>
      <c r="C121" t="inlineStr">
        <is>
          <t>￥34,000</t>
        </is>
      </c>
      <c r="D121" t="inlineStr">
        <is>
          <t>4.1</t>
        </is>
      </c>
      <c r="E121">
        <f>HYPERLINK("https://www.amazon.co.jp/%E3%82%A8%E3%83%BC%E3%83%A6%E3%83%BC-SOV42-SIM%E3%83%95%E3%83%AA%E3%83%BC-Xperia-%E3%83%9B%E3%83%AF%E3%82%A4%E3%83%88/dp/B081NC2843/ref=sr_1_141?__mk_ja_JP=%E3%82%AB%E3%82%BF%E3%82%AB%E3%83%8A&amp;dchild=1&amp;keywords=Xperia&amp;qid=1598529484&amp;sr=8-141", "Go")</f>
        <v/>
      </c>
    </row>
    <row r="122">
      <c r="A122" s="1" t="n">
        <v>120</v>
      </c>
      <c r="B122" t="inlineStr">
        <is>
          <t>Samsung Galaxy S20 5G (SM-G9810) Dual SIM / 128GB+12GB RAM / 6.2”/ 5G対応 / SIMフリー スマートフォン, Snapdragon 865 (Cosmic Gray/コスミックグレー)</t>
        </is>
      </c>
      <c r="C122" t="inlineStr">
        <is>
          <t>￥84,677</t>
        </is>
      </c>
      <c r="D122" t="inlineStr">
        <is>
          <t>4</t>
        </is>
      </c>
      <c r="E122">
        <f>HYPERLINK("https://www.amazon.co.jp/Samsung-SM-G9810-%E3%82%B9%E3%83%9E%E3%83%BC%E3%83%88%E3%83%95%E3%82%A9%E3%83%B3-Snapdragon-%E3%82%B3%E3%82%B9%E3%83%9F%E3%83%83%E3%82%AF%E3%82%B0%E3%83%AC%E3%83%BC/dp/B085HDTHPW/ref=sr_1_142?__mk_ja_JP=%E3%82%AB%E3%82%BF%E3%82%AB%E3%83%8A&amp;dchild=1&amp;keywords=Xperia&amp;qid=1598529484&amp;sr=8-142", "Go")</f>
        <v/>
      </c>
    </row>
    <row r="123">
      <c r="A123" s="1" t="n">
        <v>121</v>
      </c>
      <c r="B123" t="inlineStr">
        <is>
          <t>Xperia arc SO-01C docomo [Misty Silver]</t>
        </is>
      </c>
      <c r="C123" t="inlineStr">
        <is>
          <t>￥2,350</t>
        </is>
      </c>
      <c r="D123" t="inlineStr">
        <is>
          <t>4.5</t>
        </is>
      </c>
      <c r="E123">
        <f>HYPERLINK("https://www.amazon.co.jp/Xperia-arc-SO-01C-docomo-Silver/dp/B00BCW61YE/ref=sr_1_143?__mk_ja_JP=%E3%82%AB%E3%82%BF%E3%82%AB%E3%83%8A&amp;dchild=1&amp;keywords=Xperia&amp;qid=1598529484&amp;sr=8-143", "Go")</f>
        <v/>
      </c>
    </row>
    <row r="124">
      <c r="A124" s="1" t="n">
        <v>122</v>
      </c>
      <c r="B124" t="inlineStr">
        <is>
          <t>SONY 純正 Xperia Z1f 用 純正 クレードル DK35 卓上ホルダ SO-02F</t>
        </is>
      </c>
      <c r="C124" t="inlineStr">
        <is>
          <t>￥1,680</t>
        </is>
      </c>
      <c r="D124" t="inlineStr">
        <is>
          <t>4.5</t>
        </is>
      </c>
      <c r="E124">
        <f>HYPERLINK("https://www.amazon.co.jp/SONY-%E7%B4%94%E6%AD%A3-Xperia-%E3%82%AF%E3%83%AC%E3%83%BC%E3%83%89%E3%83%AB-%E5%8D%93%E4%B8%8A%E3%83%9B%E3%83%AB%E3%83%80-SO-02F/dp/B00RI3MM4O/ref=sr_1_144?__mk_ja_JP=%E3%82%AB%E3%82%BF%E3%82%AB%E3%83%8A&amp;dchild=1&amp;keywords=Xperia&amp;qid=1598529484&amp;sr=8-144", "Go")</f>
        <v/>
      </c>
    </row>
    <row r="125">
      <c r="A125" s="1" t="n">
        <v>123</v>
      </c>
      <c r="B125" t="inlineStr">
        <is>
          <t>au Xperia XZ3 SOV39 Bordeaux Red</t>
        </is>
      </c>
      <c r="C125" t="inlineStr">
        <is>
          <t>￥26,000</t>
        </is>
      </c>
      <c r="D125" t="inlineStr">
        <is>
          <t>4</t>
        </is>
      </c>
      <c r="E125">
        <f>HYPERLINK("https://www.amazon.co.jp/Xperia-XZ3-SOV39-Bordeaux-Red/dp/B07T7LX949/ref=sr_1_149?__mk_ja_JP=%E3%82%AB%E3%82%BF%E3%82%AB%E3%83%8A&amp;dchild=1&amp;keywords=Xperia&amp;qid=1598529484&amp;sr=8-149", "Go")</f>
        <v/>
      </c>
    </row>
    <row r="126">
      <c r="A126" s="1" t="n">
        <v>124</v>
      </c>
      <c r="B126" t="inlineStr">
        <is>
          <t>SIMフリー SONY Xperia Z5 Premium Dual E6883 LTE 32GB Black ブラック【並行輸入品】</t>
        </is>
      </c>
      <c r="C126" t="inlineStr">
        <is>
          <t>￥1,399</t>
        </is>
      </c>
      <c r="D126" t="inlineStr">
        <is>
          <t>4</t>
        </is>
      </c>
      <c r="E126">
        <f>HYPERLINK("https://www.amazon.co.jp/SIM%E3%83%95%E3%83%AA%E3%83%BC-Xperia-Premium-E6883-Black/dp/B017TLVR36/ref=sr_1_150?__mk_ja_JP=%E3%82%AB%E3%82%BF%E3%82%AB%E3%83%8A&amp;dchild=1&amp;keywords=Xperia&amp;qid=1598529484&amp;sr=8-150", "Go")</f>
        <v/>
      </c>
    </row>
    <row r="127">
      <c r="A127" s="1" t="n">
        <v>125</v>
      </c>
      <c r="B127" t="inlineStr">
        <is>
          <t>docomo Xperia XZ1 SO-01K Black 白ロム</t>
        </is>
      </c>
      <c r="C127" t="inlineStr">
        <is>
          <t>￥23,780</t>
        </is>
      </c>
      <c r="D127" t="inlineStr">
        <is>
          <t>4.2</t>
        </is>
      </c>
      <c r="E127">
        <f>HYPERLINK("https://www.amazon.co.jp/docomo-Xperia-XZ1-SO-01K-Black/dp/B077RVJR6M/ref=sr_1_154?__mk_ja_JP=%E3%82%AB%E3%82%BF%E3%82%AB%E3%83%8A&amp;dchild=1&amp;keywords=Xperia&amp;qid=1598529484&amp;sr=8-154", "Go")</f>
        <v/>
      </c>
    </row>
    <row r="128">
      <c r="A128" s="1" t="n">
        <v>126</v>
      </c>
      <c r="B128" t="inlineStr">
        <is>
          <t>Sony Xperia 1 ケース薄型 PC 耐衝撃 指紋防止 超薄型 超耐磨 軽量 レンズ保護 衝撃吸収 Sony Xperia 1[ SO-03L SOV40 ] スマートフォンケース (Xperia 1ケースピンク)</t>
        </is>
      </c>
      <c r="C128" t="inlineStr">
        <is>
          <t>￥1,180</t>
        </is>
      </c>
      <c r="D128" t="inlineStr">
        <is>
          <t>4</t>
        </is>
      </c>
      <c r="E128">
        <f>HYPERLINK("https://www.amazon.co.jp/Xperia-%E3%82%B1%E3%83%BC%E3%82%B9%E8%96%84%E5%9E%8B-SO-03L-%E3%82%B9%E3%83%9E%E3%83%BC%E3%83%88%E3%83%95%E3%82%A9%E3%83%B3%E3%82%B1%E3%83%BC%E3%82%B9-1%E3%82%B1%E3%83%BC%E3%82%B9%E3%83%94%E3%83%B3%E3%82%AF/dp/B07V5DB7J4/ref=sr_1_156_sspa?__mk_ja_JP=%E3%82%AB%E3%82%BF%E3%82%AB%E3%83%8A&amp;dchild=1&amp;keywords=Xperia&amp;qid=1598529484&amp;sr=8-156-spons&amp;psc=1&amp;spLa=ZW5jcnlwdGVkUXVhbGlmaWVyPUFXREhNTkQ3M1VDSkcmZW5jcnlwdGVkSWQ9QTA2NjI0MTMyRERVN0RCTkUxWlZHJmVuY3J5cHRlZEFkSWQ9QUMzTTZLSFVENkFKQSZ3aWRnZXROYW1lPXNwX2J0ZiZhY3Rpb249Y2xpY2tSZWRpcmVjdCZkb05vdExvZ0NsaWNrPXRydWU=", "Go")</f>
        <v/>
      </c>
    </row>
    <row r="129">
      <c r="A129" s="1" t="n">
        <v>127</v>
      </c>
      <c r="B129" t="inlineStr">
        <is>
          <t>松平商会 SHANTI Xperia 1 SO-03L SOV40 901SO shanti スマホ ケース 手帳 カーボン調手帳型ケース エクスペリア カーボン カバー かっこいい おしゃれ</t>
        </is>
      </c>
      <c r="C129" t="inlineStr">
        <is>
          <t>￥8,000</t>
        </is>
      </c>
      <c r="D129" t="inlineStr">
        <is>
          <t>4.2</t>
        </is>
      </c>
      <c r="E129">
        <f>HYPERLINK("https://www.amazon.co.jp/SHANTI-Xperia-SO-03L-shanti-%E3%82%AB%E3%83%BC%E3%83%9C%E3%83%B3%E8%AA%BF%E6%89%8B%E5%B8%B3%E5%9E%8B%E3%82%B1%E3%83%BC%E3%82%B9/dp/B07V1DFBR2/ref=sr_1_147_sspa?__mk_ja_JP=%E3%82%AB%E3%82%BF%E3%82%AB%E3%83%8A&amp;dchild=1&amp;keywords=Xperia&amp;qid=1598529829&amp;sr=8-147-spons&amp;psc=1&amp;spLa=ZW5jcnlwdGVkUXVhbGlmaWVyPUEyUFhHUzZSUFdTWEcwJmVuY3J5cHRlZElkPUEwMDc1ODA0MVVTRE9CM1lYWEFTRSZlbmNyeXB0ZWRBZElkPUEyMkEwQU9MOEZCWUYzJndpZGdldE5hbWU9c3BfYXRmX25leHQmYWN0aW9uPWNsaWNrUmVkaXJlY3QmZG9Ob3RMb2dDbGljaz10cnVl", "Go")</f>
        <v/>
      </c>
    </row>
    <row r="130">
      <c r="A130" s="1" t="n">
        <v>128</v>
      </c>
      <c r="B130" t="inlineStr">
        <is>
          <t>SoftBank Xperia XZ2 702SO シルバー</t>
        </is>
      </c>
      <c r="C130" t="inlineStr">
        <is>
          <t>￥39,800</t>
        </is>
      </c>
      <c r="D130" t="inlineStr">
        <is>
          <t>4</t>
        </is>
      </c>
      <c r="E130">
        <f>HYPERLINK("https://www.amazon.co.jp/%E3%82%BD%E3%83%8B%E3%83%BC-SONY-702SO-SoftBank-Xperia/dp/B07KW25G7W/ref=sr_1_149?__mk_ja_JP=%E3%82%AB%E3%82%BF%E3%82%AB%E3%83%8A&amp;dchild=1&amp;keywords=Xperia&amp;qid=1598529829&amp;sr=8-149", "Go")</f>
        <v/>
      </c>
    </row>
    <row r="131">
      <c r="A131" s="1" t="n">
        <v>129</v>
      </c>
      <c r="B131" t="inlineStr">
        <is>
          <t>au SOL21 Xperia VL ホワイト 白ロム</t>
        </is>
      </c>
      <c r="C131" t="inlineStr">
        <is>
          <t>￥3,350</t>
        </is>
      </c>
      <c r="D131" t="inlineStr">
        <is>
          <t>4</t>
        </is>
      </c>
      <c r="E131">
        <f>HYPERLINK("https://www.amazon.co.jp/au-SOL21-Xperia-VL-%E3%83%9B%E3%83%AF%E3%82%A4%E3%83%88%E7%99%BD%E3%83%AD%E3%83%A0/dp/B00CPHCLO4/ref=sr_1_153?__mk_ja_JP=%E3%82%AB%E3%82%BF%E3%82%AB%E3%83%8A&amp;dchild=1&amp;keywords=Xperia&amp;qid=1598529829&amp;sr=8-153", "Go")</f>
        <v/>
      </c>
    </row>
    <row r="132">
      <c r="A132" s="1" t="n">
        <v>130</v>
      </c>
      <c r="B132" t="inlineStr">
        <is>
          <t>SONY(ソニー) Xperia X Performance 32GB ホワイト 502SO SoftBank</t>
        </is>
      </c>
      <c r="C132" t="inlineStr">
        <is>
          <t>￥5,910</t>
        </is>
      </c>
      <c r="D132" t="inlineStr">
        <is>
          <t>4.6</t>
        </is>
      </c>
      <c r="E132">
        <f>HYPERLINK("https://www.amazon.co.jp/SoftBank-Xperia-Performance-502SO-white/dp/B01M15P0NI/ref=sr_1_156?__mk_ja_JP=%E3%82%AB%E3%82%BF%E3%82%AB%E3%83%8A&amp;dchild=1&amp;keywords=Xperia&amp;qid=1598529829&amp;sr=8-156", "Go")</f>
        <v/>
      </c>
    </row>
    <row r="133">
      <c r="A133" s="1" t="n">
        <v>131</v>
      </c>
      <c r="B133" t="inlineStr">
        <is>
          <t>SONY(ソニー) Xperia Z5 32GB グリーン SOV32 au</t>
        </is>
      </c>
      <c r="C133" t="inlineStr">
        <is>
          <t>￥27,800</t>
        </is>
      </c>
      <c r="D133" t="inlineStr">
        <is>
          <t>4.6</t>
        </is>
      </c>
      <c r="E133">
        <f>HYPERLINK("https://www.amazon.co.jp/SONY-Xperia-Z5-SOV32-Green/dp/B018XGOWBK/ref=sr_1_157?__mk_ja_JP=%E3%82%AB%E3%82%BF%E3%82%AB%E3%83%8A&amp;dchild=1&amp;keywords=Xperia&amp;qid=1598529829&amp;sr=8-157", "Go")</f>
        <v/>
      </c>
    </row>
    <row r="134">
      <c r="A134" s="1" t="n">
        <v>132</v>
      </c>
      <c r="B134" t="inlineStr">
        <is>
          <t>docomo Xperia XZ2 Premium SO-04K Chrome Silver SIMロック解除済み …</t>
        </is>
      </c>
      <c r="C134" t="inlineStr">
        <is>
          <t>￥54,000</t>
        </is>
      </c>
      <c r="D134" t="inlineStr">
        <is>
          <t>4.6</t>
        </is>
      </c>
      <c r="E134">
        <f>HYPERLINK("https://www.amazon.co.jp/docomo-Xperia-Premium-SO-04K-SIM%E3%83%AD%E3%83%83%E3%82%AF%E8%A7%A3%E9%99%A4%E6%B8%88%E3%81%BF/dp/B07HQ5LMZ5/ref=sr_1_160?__mk_ja_JP=%E3%82%AB%E3%82%BF%E3%82%AB%E3%83%8A&amp;dchild=1&amp;keywords=Xperia&amp;qid=1598529829&amp;sr=8-160", "Go")</f>
        <v/>
      </c>
    </row>
    <row r="135">
      <c r="A135" s="1" t="n">
        <v>133</v>
      </c>
      <c r="B135" t="inlineStr">
        <is>
          <t>SONY Xperia XZ3 801SO ブラック SoftBank</t>
        </is>
      </c>
      <c r="C135" t="inlineStr">
        <is>
          <t>￥46,500</t>
        </is>
      </c>
      <c r="D135" t="inlineStr">
        <is>
          <t>4.2</t>
        </is>
      </c>
      <c r="E135">
        <f>HYPERLINK("https://www.amazon.co.jp/Sony-Xperia-801SO-Black-SoftBank/dp/B07RLRZ22Z/ref=sr_1_170?__mk_ja_JP=%E3%82%AB%E3%82%BF%E3%82%AB%E3%83%8A&amp;dchild=1&amp;keywords=Xperia&amp;qid=1598529829&amp;sr=8-170", "Go")</f>
        <v/>
      </c>
    </row>
    <row r="136">
      <c r="A136" s="1" t="n">
        <v>134</v>
      </c>
      <c r="B136" t="inlineStr">
        <is>
          <t>Sony Xperia 1 II 5G (XQ-AT52) グローバル版 / 8GB+256GB / Dual SIM/SIMフリー (Purple/パープル)</t>
        </is>
      </c>
      <c r="C136" t="inlineStr">
        <is>
          <t>￥109,690</t>
        </is>
      </c>
      <c r="D136" t="inlineStr">
        <is>
          <t>5</t>
        </is>
      </c>
      <c r="E136">
        <f>HYPERLINK("https://www.amazon.co.jp/Xperia-XQ-AT52-%E3%82%B0%E3%83%AD%E3%83%BC%E3%83%90%E3%83%AB%E7%89%88-SIM%E3%83%95%E3%83%AA%E3%83%BC-Purple/dp/B08BFY4RP2/ref=sr_1_171?__mk_ja_JP=%E3%82%AB%E3%82%BF%E3%82%AB%E3%83%8A&amp;dchild=1&amp;keywords=Xperia&amp;qid=1598529829&amp;sr=8-171", "Go")</f>
        <v/>
      </c>
    </row>
    <row r="137">
      <c r="A137" s="1" t="n">
        <v>135</v>
      </c>
      <c r="B137" t="inlineStr">
        <is>
          <t>SONY Xperia XZ3 801SO ホワイトシルバー SoftBank</t>
        </is>
      </c>
      <c r="C137" t="inlineStr">
        <is>
          <t>￥35,680</t>
        </is>
      </c>
      <c r="D137" t="inlineStr">
        <is>
          <t>5</t>
        </is>
      </c>
      <c r="E137">
        <f>HYPERLINK("https://www.amazon.co.jp/Xperia-XZ3-801SO-%E3%83%9B%E3%83%AF%E3%82%A4%E3%83%88%E3%82%B7%E3%83%AB%E3%83%90%E3%83%BC-SoftBank/dp/B07RLTNZ12/ref=sr_1_172?__mk_ja_JP=%E3%82%AB%E3%82%BF%E3%82%AB%E3%83%8A&amp;dchild=1&amp;keywords=Xperia&amp;qid=1598529829&amp;sr=8-172", "Go")</f>
        <v/>
      </c>
    </row>
    <row r="138">
      <c r="A138" s="1" t="n">
        <v>136</v>
      </c>
      <c r="B138" t="inlineStr">
        <is>
          <t>Xperia XZ2 Compact SO-05K ブラック</t>
        </is>
      </c>
      <c r="C138" t="inlineStr">
        <is>
          <t>￥28,200</t>
        </is>
      </c>
      <c r="D138" t="inlineStr">
        <is>
          <t>5</t>
        </is>
      </c>
      <c r="E138">
        <f>HYPERLINK("https://www.amazon.co.jp/Xperia-XZ2-Compact-SO-05K-%E3%83%96%E3%83%A9%E3%83%83%E3%82%AF/dp/B07FCG9R35/ref=sr_1_173?__mk_ja_JP=%E3%82%AB%E3%82%BF%E3%82%AB%E3%83%8A&amp;dchild=1&amp;keywords=Xperia&amp;qid=1598529829&amp;sr=8-173", "Go")</f>
        <v/>
      </c>
    </row>
    <row r="139">
      <c r="A139" s="1" t="n">
        <v>137</v>
      </c>
      <c r="B139" t="inlineStr">
        <is>
          <t>SIMフリー Xperia 8 SOV42 au ブルー</t>
        </is>
      </c>
      <c r="C139" t="inlineStr">
        <is>
          <t>￥36,500</t>
        </is>
      </c>
      <c r="D139" t="inlineStr">
        <is>
          <t>4</t>
        </is>
      </c>
      <c r="E139">
        <f>HYPERLINK("https://www.amazon.co.jp/%E3%82%A8%E3%83%BC%E3%83%A6%E3%83%BC-SOV42-SIM%E3%83%95%E3%83%AA%E3%83%BC-Xperia-%E3%83%96%E3%83%AB%E3%83%BC/dp/B081NCGQGY/ref=sr_1_174?__mk_ja_JP=%E3%82%AB%E3%82%BF%E3%82%AB%E3%83%8A&amp;dchild=1&amp;keywords=Xperia&amp;qid=1598529829&amp;sr=8-174", "Go")</f>
        <v/>
      </c>
    </row>
    <row r="140">
      <c r="A140" s="1" t="n">
        <v>138</v>
      </c>
      <c r="B140" t="inlineStr">
        <is>
          <t>Xperia arc SO-01C docomo [Midnight Blue]</t>
        </is>
      </c>
      <c r="C140" t="inlineStr">
        <is>
          <t>￥9,980</t>
        </is>
      </c>
      <c r="D140" t="inlineStr">
        <is>
          <t>4</t>
        </is>
      </c>
      <c r="E140">
        <f>HYPERLINK("https://www.amazon.co.jp/Xperia-arc-SO-01C-docomo-Midnight/dp/B00BCW614E/ref=sr_1_175?__mk_ja_JP=%E3%82%AB%E3%82%BF%E3%82%AB%E3%83%8A&amp;dchild=1&amp;keywords=Xperia&amp;qid=1598529829&amp;sr=8-175", "Go")</f>
        <v/>
      </c>
    </row>
    <row r="141">
      <c r="A141" s="1" t="n">
        <v>139</v>
      </c>
      <c r="B141" t="inlineStr">
        <is>
          <t>ラスタバナナ スマホケース カバー Xperia Ace SO-02L ハイブリッド VANILLA PACK ピンク エクスペリアエース 4744XP1CHB</t>
        </is>
      </c>
      <c r="C141" t="inlineStr">
        <is>
          <t>￥2,490</t>
        </is>
      </c>
      <c r="D141" t="inlineStr">
        <is>
          <t>4.4</t>
        </is>
      </c>
      <c r="E141">
        <f>HYPERLINK("https://www.amazon.co.jp/%E3%83%A9%E3%82%B9%E3%82%BF%E3%83%90%E3%83%8A%E3%83%8A-%E3%82%B9%E3%83%9E%E3%83%9B%E3%82%B1%E3%83%BC%E3%82%B9-VANILLA-%E3%82%A8%E3%82%AF%E3%82%B9%E3%83%9A%E3%83%AA%E3%82%A2%E3%82%A8%E3%83%BC%E3%82%B9-4744XP1CHB/dp/B07SBTBDY5/ref=sr_1_176_sspa?__mk_ja_JP=%E3%82%AB%E3%82%BF%E3%82%AB%E3%83%8A&amp;dchild=1&amp;keywords=Xperia&amp;qid=1598529829&amp;sr=8-176-spons&amp;psc=1&amp;spLa=ZW5jcnlwdGVkUXVhbGlmaWVyPUEyUFhHUzZSUFdTWEcwJmVuY3J5cHRlZElkPUEwMDc1ODA0MVVTRE9CM1lYWEFTRSZlbmNyeXB0ZWRBZElkPUExTk43MzlOTExQVzkzJndpZGdldE5hbWU9c3BfbXRmJmFjdGlvbj1jbGlja1JlZGlyZWN0JmRvTm90TG9nQ2xpY2s9dHJ1ZQ==", "Go")</f>
        <v/>
      </c>
    </row>
    <row r="142">
      <c r="A142" s="1" t="n">
        <v>140</v>
      </c>
      <c r="B142" t="inlineStr">
        <is>
          <t>SONY(ソニー) Xperia XZ1 64GB ヴィーナスピンク SOV36 au</t>
        </is>
      </c>
      <c r="C142" t="inlineStr">
        <is>
          <t>￥37,980</t>
        </is>
      </c>
      <c r="D142" t="inlineStr">
        <is>
          <t>5</t>
        </is>
      </c>
      <c r="E142">
        <f>HYPERLINK("https://www.amazon.co.jp/Xperia-XZ1-SOV36-%E3%83%B4%E3%82%A3%E3%83%BC%E3%83%8A%E3%82%B9%E3%83%94%E3%83%B3%E3%82%AF-%E7%99%BD%E3%83%AD%E3%83%A0/dp/B078TWJ4LZ/ref=sr_1_177_sspa?__mk_ja_JP=%E3%82%AB%E3%82%BF%E3%82%AB%E3%83%8A&amp;dchild=1&amp;keywords=Xperia&amp;qid=1598529829&amp;sr=8-177-spons&amp;psc=1&amp;spLa=ZW5jcnlwdGVkUXVhbGlmaWVyPUEyUFhHUzZSUFdTWEcwJmVuY3J5cHRlZElkPUEwMDc1ODA0MVVTRE9CM1lYWEFTRSZlbmNyeXB0ZWRBZElkPUExNkxCN1o2QU1OTE1LJndpZGdldE5hbWU9c3BfbXRmJmFjdGlvbj1jbGlja1JlZGlyZWN0JmRvTm90TG9nQ2xpY2s9dHJ1ZQ==", "Go")</f>
        <v/>
      </c>
    </row>
    <row r="143">
      <c r="A143" s="1" t="n">
        <v>141</v>
      </c>
      <c r="B143" t="inlineStr">
        <is>
          <t>SIMフリー Sony Xperia Z5 Dual E6683 Black LTE 32GB [並行輸入品]</t>
        </is>
      </c>
      <c r="C143" t="inlineStr">
        <is>
          <t>￥2,290</t>
        </is>
      </c>
      <c r="D143" t="inlineStr">
        <is>
          <t>4</t>
        </is>
      </c>
      <c r="E143">
        <f>HYPERLINK("https://www.amazon.co.jp/SIM%E3%83%95%E3%83%AA%E3%83%BC-Xperia-E6683-Black-%E4%B8%A6%E8%A1%8C%E8%BC%B8%E5%85%A5%E5%93%81/dp/B017VZYZOS/ref=sr_1_179?__mk_ja_JP=%E3%82%AB%E3%82%BF%E3%82%AB%E3%83%8A&amp;dchild=1&amp;keywords=Xperia&amp;qid=1598529829&amp;sr=8-179", "Go")</f>
        <v/>
      </c>
    </row>
    <row r="144">
      <c r="A144" s="1" t="n">
        <v>142</v>
      </c>
      <c r="B144" t="inlineStr">
        <is>
          <t>Xperia acro IS11S au [Ruby]</t>
        </is>
      </c>
      <c r="C144" t="inlineStr">
        <is>
          <t>￥5,000</t>
        </is>
      </c>
      <c r="D144" t="inlineStr">
        <is>
          <t>5</t>
        </is>
      </c>
      <c r="E144">
        <f>HYPERLINK("https://www.amazon.co.jp/Xperia-acro-IS11S-au-Ruby/dp/B00BCF6CDQ/ref=sr_1_180?__mk_ja_JP=%E3%82%AB%E3%82%BF%E3%82%AB%E3%83%8A&amp;dchild=1&amp;keywords=Xperia&amp;qid=1598529829&amp;sr=8-180", "Go")</f>
        <v/>
      </c>
    </row>
    <row r="145">
      <c r="A145" s="1" t="n">
        <v>143</v>
      </c>
      <c r="B145" t="inlineStr">
        <is>
          <t>SONY(ソニー) Xperia Z5 32GB ピンク SOV32 au</t>
        </is>
      </c>
      <c r="C145" t="inlineStr">
        <is>
          <t>￥6,980</t>
        </is>
      </c>
      <c r="D145" t="inlineStr">
        <is>
          <t>4.1</t>
        </is>
      </c>
      <c r="E145">
        <f>HYPERLINK("https://www.amazon.co.jp/SONY-Xperia-Z5-SOV32-%E3%83%94%E3%83%B3%E3%82%AF/dp/B01DD1Z188/ref=sr_1_183?__mk_ja_JP=%E3%82%AB%E3%82%BF%E3%82%AB%E3%83%8A&amp;dchild=1&amp;keywords=Xperia&amp;qid=1598529829&amp;sr=8-183", "Go")</f>
        <v/>
      </c>
    </row>
    <row r="146">
      <c r="A146" s="1" t="n">
        <v>144</v>
      </c>
      <c r="B146" t="inlineStr">
        <is>
          <t>SoftBank Xperia XZ1 701SO ヴィーナス ピンク</t>
        </is>
      </c>
      <c r="C146" t="inlineStr">
        <is>
          <t>￥11,800</t>
        </is>
      </c>
      <c r="D146" t="inlineStr">
        <is>
          <t>4.3</t>
        </is>
      </c>
      <c r="E146">
        <f>HYPERLINK("https://www.amazon.co.jp/SoftBank-Xperia-XZ1-701SO-%E3%83%B4%E3%82%A3%E3%83%BC%E3%83%8A%E3%82%B9/dp/B078X9CRJQ/ref=sr_1_187?__mk_ja_JP=%E3%82%AB%E3%82%BF%E3%82%AB%E3%83%8A&amp;dchild=1&amp;keywords=Xperia&amp;qid=1598529829&amp;sr=8-187", "Go")</f>
        <v/>
      </c>
    </row>
    <row r="147">
      <c r="A147" s="1" t="n">
        <v>145</v>
      </c>
      <c r="B147" t="inlineStr">
        <is>
          <t>docomo Xperia XZ2 SO-03K Deep Green　グリーン　白ロム</t>
        </is>
      </c>
      <c r="C147" t="inlineStr">
        <is>
          <t>￥30,500</t>
        </is>
      </c>
      <c r="D147" t="inlineStr">
        <is>
          <t>4.3</t>
        </is>
      </c>
      <c r="E147">
        <f>HYPERLINK("https://www.amazon.co.jp/docomo-Xperia-XZ2-SO-03K-Green-%E3%82%B0%E3%83%AA%E3%83%BC%E3%83%B3-%E7%99%BD%E3%83%AD%E3%83%A0/dp/B07FWMTBFG/ref=sr_1_188?__mk_ja_JP=%E3%82%AB%E3%82%BF%E3%82%AB%E3%83%8A&amp;dchild=1&amp;keywords=Xperia&amp;qid=1598529829&amp;sr=8-188", "Go")</f>
        <v/>
      </c>
    </row>
    <row r="148">
      <c r="A148" s="1" t="n">
        <v>146</v>
      </c>
      <c r="B148" t="inlineStr">
        <is>
          <t>au () Xperia VL SOL21 ブルー</t>
        </is>
      </c>
      <c r="C148" t="inlineStr">
        <is>
          <t>￥4,500</t>
        </is>
      </c>
      <c r="D148" t="inlineStr">
        <is>
          <t>4.5</t>
        </is>
      </c>
      <c r="E148">
        <f>HYPERLINK("https://www.amazon.co.jp/au-Xperia-VL-SOL21-%E3%83%96%E3%83%AB%E3%83%BC/dp/B00CU994O2/ref=sr_1_191?__mk_ja_JP=%E3%82%AB%E3%82%BF%E3%82%AB%E3%83%8A&amp;dchild=1&amp;keywords=Xperia&amp;qid=1598529829&amp;sr=8-191", "Go")</f>
        <v/>
      </c>
    </row>
    <row r="149">
      <c r="A149" s="1" t="n">
        <v>147</v>
      </c>
      <c r="B149" t="inlineStr">
        <is>
          <t>docomo Xperia XＺ SO-0１J DeepPink</t>
        </is>
      </c>
      <c r="C149" t="inlineStr">
        <is>
          <t>￥8,400</t>
        </is>
      </c>
      <c r="D149" t="inlineStr">
        <is>
          <t>4</t>
        </is>
      </c>
      <c r="E149">
        <f>HYPERLINK("https://www.amazon.co.jp/docomo-Xperia-X%EF%BC%BA-SO-0%EF%BC%91J-DeepPink/dp/B01NBUVMCY/ref=sr_1_195?__mk_ja_JP=%E3%82%AB%E3%82%BF%E3%82%AB%E3%83%8A&amp;dchild=1&amp;keywords=Xperia&amp;qid=1598529829&amp;sr=8-195", "Go")</f>
        <v/>
      </c>
    </row>
    <row r="150">
      <c r="A150" s="1" t="n">
        <v>148</v>
      </c>
      <c r="B150" t="inlineStr">
        <is>
          <t>Xperia GX SO-04D docomo [ホワイト]　白ロム</t>
        </is>
      </c>
      <c r="C150" t="inlineStr">
        <is>
          <t>￥19,800</t>
        </is>
      </c>
      <c r="D150" t="inlineStr">
        <is>
          <t>4</t>
        </is>
      </c>
      <c r="E150">
        <f>HYPERLINK("https://www.amazon.co.jp/Xperia-SO-04D-docomo-%E3%83%9B%E3%83%AF%E3%82%A4%E3%83%88-%E7%99%BD%E3%83%AD%E3%83%A0/dp/B008UPZR1O/ref=sr_1_196?__mk_ja_JP=%E3%82%AB%E3%82%BF%E3%82%AB%E3%83%8A&amp;dchild=1&amp;keywords=Xperia&amp;qid=1598529829&amp;sr=8-196", "Go")</f>
        <v/>
      </c>
    </row>
    <row r="151">
      <c r="A151" s="1" t="n">
        <v>149</v>
      </c>
      <c r="B151" t="inlineStr">
        <is>
          <t>Xperia Z3 SO-01G docomo [Copper]　白ロム</t>
        </is>
      </c>
      <c r="C151" t="inlineStr">
        <is>
          <t>￥9,800</t>
        </is>
      </c>
      <c r="D151" t="inlineStr">
        <is>
          <t>4.1</t>
        </is>
      </c>
      <c r="E151">
        <f>HYPERLINK("https://www.amazon.co.jp/Xperia-Z3-SO-01G-docomo-Copper/dp/B00U5U3P34/ref=sr_1_198?__mk_ja_JP=%E3%82%AB%E3%82%BF%E3%82%AB%E3%83%8A&amp;dchild=1&amp;keywords=Xperia&amp;qid=1598530077&amp;sr=8-198", "Go")</f>
        <v/>
      </c>
    </row>
    <row r="152">
      <c r="A152" s="1" t="n">
        <v>150</v>
      </c>
      <c r="B152" t="inlineStr">
        <is>
          <t>SONY(ソニー) Xperia XZs 32GB アイスブルー 602SO SoftBank</t>
        </is>
      </c>
      <c r="C152" t="inlineStr">
        <is>
          <t>￥9,980</t>
        </is>
      </c>
      <c r="D152" t="inlineStr">
        <is>
          <t>4</t>
        </is>
      </c>
      <c r="E152">
        <f>HYPERLINK("https://www.amazon.co.jp/SoftBank-Xperia-XZs-602SO-%E3%82%A2%E3%82%A4%E3%82%B9%E3%83%96%E3%83%AB%E3%83%BC/dp/B07729321M/ref=sr_1_203?__mk_ja_JP=%E3%82%AB%E3%82%BF%E3%82%AB%E3%83%8A&amp;dchild=1&amp;keywords=Xperia&amp;qid=1598530077&amp;sr=8-203", "Go")</f>
        <v/>
      </c>
    </row>
    <row r="153">
      <c r="A153" s="1" t="n">
        <v>151</v>
      </c>
      <c r="B153" t="inlineStr">
        <is>
          <t>Sony Xperia1 ケース リング クリア 透明 リング付き tpu シリコン スリム 薄型 SO-03L SOV40 6.5インチ スマホケース 耐衝撃 車載ホルダー対応 ストラップホール 黄変防止 一体型 人気 携帯カバー</t>
        </is>
      </c>
      <c r="C153" t="inlineStr">
        <is>
          <t>￥1,550</t>
        </is>
      </c>
      <c r="D153" t="inlineStr">
        <is>
          <t>4.2</t>
        </is>
      </c>
      <c r="E153">
        <f>HYPERLINK("https://www.amazon.co.jp/Xperia1-SO-03L-6-5%E3%82%A4%E3%83%B3%E3%83%81-%E8%BB%8A%E8%BC%89%E3%83%9B%E3%83%AB%E3%83%80%E3%83%BC%E5%AF%BE%E5%BF%9C-%E3%82%B9%E3%83%88%E3%83%A9%E3%83%83%E3%83%97%E3%83%9B%E3%83%BC%E3%83%AB/dp/B08DHFMBJQ/ref=sr_1_210_sspa?__mk_ja_JP=%E3%82%AB%E3%82%BF%E3%82%AB%E3%83%8A&amp;dchild=1&amp;keywords=Xperia&amp;qid=1598530077&amp;sr=8-210-spons&amp;psc=1&amp;spLa=ZW5jcnlwdGVkUXVhbGlmaWVyPUFYV1NINVNHR0Y5WFkmZW5jcnlwdGVkSWQ9QTA1MjA1MjU3MDZYMkZaWlNOQlYmZW5jcnlwdGVkQWRJZD1BMTAwVTNMQkkyQ1JCUiZ3aWRnZXROYW1lPXNwX210ZiZhY3Rpb249Y2xpY2tSZWRpcmVjdCZkb05vdExvZ0NsaWNrPXRydWU=", "Go")</f>
        <v/>
      </c>
    </row>
    <row r="154">
      <c r="A154" s="1" t="n">
        <v>152</v>
      </c>
      <c r="B154" t="inlineStr">
        <is>
          <t>xperia xz2 compact moss green SO-05K 本体 ドコモ</t>
        </is>
      </c>
      <c r="C154" t="inlineStr">
        <is>
          <t>￥47,000</t>
        </is>
      </c>
      <c r="D154" t="inlineStr">
        <is>
          <t>4.7</t>
        </is>
      </c>
      <c r="E154">
        <f>HYPERLINK("https://www.amazon.co.jp/xperia-compact-moss-green-SO-05K/dp/B07RBDJHRX/ref=sr_1_219?__mk_ja_JP=%E3%82%AB%E3%82%BF%E3%82%AB%E3%83%8A&amp;dchild=1&amp;keywords=Xperia&amp;qid=1598530077&amp;sr=8-219", "Go")</f>
        <v/>
      </c>
    </row>
    <row r="155">
      <c r="A155" s="1" t="n">
        <v>153</v>
      </c>
      <c r="B155" t="inlineStr">
        <is>
          <t>docomo Xperia XZ2 Compact SO-05K Coral Pink ピンク 白ロム</t>
        </is>
      </c>
      <c r="C155" t="inlineStr">
        <is>
          <t>￥46,899</t>
        </is>
      </c>
      <c r="D155" t="inlineStr">
        <is>
          <t>4</t>
        </is>
      </c>
      <c r="E155">
        <f>HYPERLINK("https://www.amazon.co.jp/docomo-Xperia-Compact-SO-05K-Coral/dp/B07SKK7MMR/ref=sr_1_225?__mk_ja_JP=%E3%82%AB%E3%82%BF%E3%82%AB%E3%83%8A&amp;dchild=1&amp;keywords=Xperia&amp;qid=1598530077&amp;sr=8-225", "Go")</f>
        <v/>
      </c>
    </row>
    <row r="156">
      <c r="A156" s="1" t="n">
        <v>154</v>
      </c>
      <c r="B156" t="inlineStr">
        <is>
          <t>SONY(ソニー) Xperia Z5 Compact 32GB イエロー SO-02H docomo</t>
        </is>
      </c>
      <c r="C156" t="inlineStr">
        <is>
          <t>￥5,980</t>
        </is>
      </c>
      <c r="D156" t="inlineStr">
        <is>
          <t>4.1</t>
        </is>
      </c>
      <c r="E156">
        <f>HYPERLINK("https://www.amazon.co.jp/docomo-Xperia-Z5-Compact-SO-02H/dp/B018M0FJOQ/ref=sr_1_227?__mk_ja_JP=%E3%82%AB%E3%82%BF%E3%82%AB%E3%83%8A&amp;dchild=1&amp;keywords=Xperia&amp;qid=1598530077&amp;sr=8-227", "Go")</f>
        <v/>
      </c>
    </row>
    <row r="157">
      <c r="A157" s="1" t="n">
        <v>155</v>
      </c>
      <c r="B157" t="inlineStr">
        <is>
          <t>au Xperia XZ2 Premium SOV38 クロムシルバー 白ロム</t>
        </is>
      </c>
      <c r="C157" t="inlineStr">
        <is>
          <t>￥35,500</t>
        </is>
      </c>
      <c r="D157" t="inlineStr">
        <is>
          <t>4.5</t>
        </is>
      </c>
      <c r="E157">
        <f>HYPERLINK("https://www.amazon.co.jp/Xperia-XZ2-Premium-SOV38-%E3%82%AF%E3%83%AD%E3%83%A0%E3%82%B7%E3%83%AB%E3%83%90%E3%83%BC/dp/B07GV9NQFS/ref=sr_1_244?__mk_ja_JP=%E3%82%AB%E3%82%BF%E3%82%AB%E3%83%8A&amp;dchild=1&amp;keywords=Xperia&amp;qid=1598530077&amp;sr=8-244", "Go")</f>
        <v/>
      </c>
    </row>
    <row r="158">
      <c r="A158" s="1" t="n">
        <v>156</v>
      </c>
      <c r="B158" t="inlineStr">
        <is>
          <t>SoftBank Xperia XZ1 701SO Black</t>
        </is>
      </c>
      <c r="C158" t="inlineStr">
        <is>
          <t>￥9,380</t>
        </is>
      </c>
      <c r="D158" t="inlineStr">
        <is>
          <t>4.5</t>
        </is>
      </c>
      <c r="E158">
        <f>HYPERLINK("https://www.amazon.co.jp/SoftBank-Xperia-XZ1-701SO-Black/dp/B078J8MPV9/ref=sr_1_245?__mk_ja_JP=%E3%82%AB%E3%82%BF%E3%82%AB%E3%83%8A&amp;dchild=1&amp;keywords=Xperia&amp;qid=1598530077&amp;sr=8-245", "Go")</f>
        <v/>
      </c>
    </row>
    <row r="159">
      <c r="A159" s="1" t="n">
        <v>157</v>
      </c>
      <c r="B159" t="inlineStr">
        <is>
          <t>SONY(ソニー) Xperia XZ2 Compact 64GB ホワイトシルバー SO-05K docomoロック解除SIMフリー</t>
        </is>
      </c>
      <c r="C159" t="inlineStr">
        <is>
          <t>￥34,800</t>
        </is>
      </c>
      <c r="D159" t="inlineStr">
        <is>
          <t>4.5</t>
        </is>
      </c>
      <c r="E159">
        <f>HYPERLINK("https://www.amazon.co.jp/Xperia-XZ2-Compact-SO-05K-%E3%83%9B%E3%83%AF%E3%82%A4%E3%83%88%E3%82%B7%E3%83%AB%E3%83%90%E3%83%BC/dp/B07FC35RDQ/ref=sr_1_246?__mk_ja_JP=%E3%82%AB%E3%82%BF%E3%82%AB%E3%83%8A&amp;dchild=1&amp;keywords=Xperia&amp;qid=1598530077&amp;sr=8-246", "Go")</f>
        <v/>
      </c>
    </row>
    <row r="160">
      <c r="A160" s="1" t="n">
        <v>158</v>
      </c>
      <c r="B160" t="inlineStr">
        <is>
          <t>UMIDIGI A7 Pro スマートフォン,シムフリー スマホ本体 au不可 4GB RAM + 64GB Android 10 スマホ グローバルLTEバンド対応 6.3インチ FHD+ディスプレイクアッドカメラGoogleアプリ対応 [一年保証] コズミックブラック</t>
        </is>
      </c>
      <c r="C160" t="inlineStr">
        <is>
          <t>￥15,969</t>
        </is>
      </c>
      <c r="D160" t="inlineStr">
        <is>
          <t>4.7</t>
        </is>
      </c>
      <c r="E160">
        <f>HYPERLINK("https://www.amazon.co.jp/UMIDIGI-%E3%82%B9%E3%83%9E%E3%83%BC%E3%83%88%E3%83%95%E3%82%A9%E3%83%B3-%E3%82%B0%E3%83%AD%E3%83%BC%E3%83%90%E3%83%ABLTE%E3%83%90%E3%83%B3%E3%83%89%E5%AF%BE%E5%BF%9C-%E3%83%87%E3%82%A3%E3%82%B9%E3%83%97%E3%83%AC%E3%82%A4%E3%82%AF%E3%82%A2%E3%83%83%E3%83%89%E3%82%AB%E3%83%A1%E3%83%A9Google%E3%82%A2%E3%83%97%E3%83%AA%E5%AF%BE%E5%BF%9C-%E3%82%B3%E3%82%BA%E3%83%9F%E3%83%83%E3%82%AF%E3%83%96%E3%83%A9%E3%83%83%E3%82%AF/dp/B0895VKCL6/ref=sr_1_241_sspa?__mk_ja_JP=%E3%82%AB%E3%82%BF%E3%82%AB%E3%83%8A&amp;dchild=1&amp;keywords=Xperia&amp;qid=1598530286&amp;sr=8-241-spons&amp;psc=1&amp;spLa=ZW5jcnlwdGVkUXVhbGlmaWVyPUEyUUlURlM2MEdMUVZQJmVuY3J5cHRlZElkPUEwNTA3Nzc0Mjk0NjFJMEg0NkdVSyZlbmNyeXB0ZWRBZElkPUExQ1ZHQUQ2VlpKUTBYJndpZGdldE5hbWU9c3BfYXRmX25leHQmYWN0aW9uPWNsaWNrUmVkaXJlY3QmZG9Ob3RMb2dDbGljaz10cnVl", "Go")</f>
        <v/>
      </c>
    </row>
    <row r="161">
      <c r="A161" s="1" t="n">
        <v>159</v>
      </c>
      <c r="B161" t="inlineStr">
        <is>
          <t>LOOF Hold Xperia 1 SO-03L SOV40 Xperia 1 Professional Edition ケース 手帳型 スマホケース 磁石なし 手帳型ケース カードポケット ベルトホールド付き 落下防止 スタンド機能付 (グレージュ)</t>
        </is>
      </c>
      <c r="C161" t="inlineStr">
        <is>
          <t>￥2,980</t>
        </is>
      </c>
      <c r="D161" t="inlineStr">
        <is>
          <t>4.1</t>
        </is>
      </c>
      <c r="E161">
        <f>HYPERLINK("https://www.amazon.co.jp/Xperia-Professional-%E3%82%AB%E3%83%BC%E3%83%89%E3%83%9D%E3%82%B1%E3%83%83%E3%83%88-%E3%83%99%E3%83%AB%E3%83%88%E3%83%9B%E3%83%BC%E3%83%AB%E3%83%89%E4%BB%98%E3%81%8D-%E3%82%B9%E3%82%BF%E3%83%B3%E3%83%89%E6%A9%9F%E8%83%BD%E4%BB%98/dp/B088WK2LL5/ref=sr_1_242_sspa?__mk_ja_JP=%E3%82%AB%E3%82%BF%E3%82%AB%E3%83%8A&amp;dchild=1&amp;keywords=Xperia&amp;qid=1598530286&amp;sr=8-242-spons&amp;psc=1&amp;spLa=ZW5jcnlwdGVkUXVhbGlmaWVyPUEyUUlURlM2MEdMUVZQJmVuY3J5cHRlZElkPUEwNTA3Nzc0Mjk0NjFJMEg0NkdVSyZlbmNyeXB0ZWRBZElkPUEyNFJSMk1OSTRKNE03JndpZGdldE5hbWU9c3BfYXRmX25leHQmYWN0aW9uPWNsaWNrUmVkaXJlY3QmZG9Ob3RMb2dDbGljaz10cnVl", "Go")</f>
        <v/>
      </c>
    </row>
    <row r="162">
      <c r="A162" s="1" t="n">
        <v>160</v>
      </c>
      <c r="B162" t="inlineStr">
        <is>
          <t>ラスタバナナ スマホケース カバー Xperia Ace SO-02L ハイブリッド VANILLA PACK ブラック エクスペリアエース 4742XP1CHB</t>
        </is>
      </c>
      <c r="C162" t="inlineStr">
        <is>
          <t>￥2,490</t>
        </is>
      </c>
      <c r="D162" t="inlineStr">
        <is>
          <t>4.4</t>
        </is>
      </c>
      <c r="E162">
        <f>HYPERLINK("https://www.amazon.co.jp/%E3%83%A9%E3%82%B9%E3%82%BF%E3%83%90%E3%83%8A%E3%83%8A-%E3%82%B9%E3%83%9E%E3%83%9B%E3%82%B1%E3%83%BC%E3%82%B9-VANILLA-%E3%82%A8%E3%82%AF%E3%82%B9%E3%83%9A%E3%83%AA%E3%82%A2%E3%82%A8%E3%83%BC%E3%82%B9-4742XP1CHB/dp/B07S6M58DF/ref=sr_1_244_sspa?__mk_ja_JP=%E3%82%AB%E3%82%BF%E3%82%AB%E3%83%8A&amp;dchild=1&amp;keywords=Xperia&amp;qid=1598530286&amp;sr=8-244-spons&amp;psc=1&amp;spLa=ZW5jcnlwdGVkUXVhbGlmaWVyPUEyUUlURlM2MEdMUVZQJmVuY3J5cHRlZElkPUEwNTA3Nzc0Mjk0NjFJMEg0NkdVSyZlbmNyeXB0ZWRBZElkPUExRVpUMjMwT0dVNzVEJndpZGdldE5hbWU9c3BfYXRmX25leHQmYWN0aW9uPWNsaWNrUmVkaXJlY3QmZG9Ob3RMb2dDbGljaz10cnVl", "Go")</f>
        <v/>
      </c>
    </row>
    <row r="163">
      <c r="A163" s="1" t="n">
        <v>161</v>
      </c>
      <c r="B163" t="inlineStr">
        <is>
          <t>SONY(ソニー) セール対象品 Xperia XZ 32GB ディープピンク SO-01J docomoロック解除SIMフリー</t>
        </is>
      </c>
      <c r="C163" t="inlineStr">
        <is>
          <t>￥13,800</t>
        </is>
      </c>
      <c r="D163" t="inlineStr">
        <is>
          <t>4</t>
        </is>
      </c>
      <c r="E163">
        <f>HYPERLINK("https://www.amazon.co.jp/SONY-docomo-Xperia-SO-01J-Deep/dp/B01N91R5UZ/ref=sr_1_245?__mk_ja_JP=%E3%82%AB%E3%82%BF%E3%82%AB%E3%83%8A&amp;dchild=1&amp;keywords=Xperia&amp;qid=1598530286&amp;sr=8-245", "Go")</f>
        <v/>
      </c>
    </row>
    <row r="164">
      <c r="A164" s="1" t="n">
        <v>162</v>
      </c>
      <c r="B164" t="inlineStr">
        <is>
          <t>【ワイモバイル】Y!mobile SHARP Android One S3 ターコイズ ※回線契約後発送</t>
        </is>
      </c>
      <c r="C164" t="inlineStr">
        <is>
          <t>￥7,200</t>
        </is>
      </c>
      <c r="D164" t="inlineStr">
        <is>
          <t>4.1</t>
        </is>
      </c>
      <c r="E164">
        <f>HYPERLINK("https://www.amazon.co.jp/%E3%80%90%E3%83%AF%E3%82%A4%E3%83%A2%E3%83%90%E3%82%A4%E3%83%AB%E3%80%91Y-mobile-Android-SHWGQ4-%E2%80%BB%E5%9B%9E%E7%B7%9A%E5%A5%91%E7%B4%84%E5%BE%8C%E7%99%BA%E9%80%81/dp/B07TV3DH1J/ref=sr_1_256?__mk_ja_JP=%E3%82%AB%E3%82%BF%E3%82%AB%E3%83%8A&amp;dchild=1&amp;keywords=Xperia&amp;qid=1598530286&amp;sr=8-256", "Go")</f>
        <v/>
      </c>
    </row>
    <row r="165">
      <c r="A165" s="1" t="n">
        <v>163</v>
      </c>
      <c r="B165" t="inlineStr">
        <is>
          <t>SONY(ソニー) Xperia X Compact 32GB ソフトピンク SO-02J docomoロック解除SIMフリー</t>
        </is>
      </c>
      <c r="C165" t="inlineStr">
        <is>
          <t>￥7,480</t>
        </is>
      </c>
      <c r="D165" t="inlineStr">
        <is>
          <t>4.3</t>
        </is>
      </c>
      <c r="E165">
        <f>HYPERLINK("https://www.amazon.co.jp/docomo-Xperia-Compact-SO-02J-%E3%82%BD%E3%83%95%E3%83%88%E3%83%94%E3%83%B3%E3%82%AF/dp/B01NAG5HJO/ref=sr_1_271?__mk_ja_JP=%E3%82%AB%E3%82%BF%E3%82%AB%E3%83%8A&amp;dchild=1&amp;keywords=Xperia&amp;qid=1598530286&amp;sr=8-271", "Go")</f>
        <v/>
      </c>
    </row>
    <row r="166">
      <c r="A166" s="1" t="n">
        <v>164</v>
      </c>
      <c r="B166" t="inlineStr">
        <is>
          <t>◆402SO　Xperia Z4　アクアグリーン　ソフトバンク　SoftBank◆</t>
        </is>
      </c>
      <c r="C166" t="inlineStr">
        <is>
          <t>￥5,170</t>
        </is>
      </c>
      <c r="D166" t="inlineStr">
        <is>
          <t>4</t>
        </is>
      </c>
      <c r="E166">
        <f>HYPERLINK("https://www.amazon.co.jp/%E3%82%BD%E3%83%95%E3%83%88%E3%83%90%E3%83%B3%E3%82%AF-%E3%82%AF%E3%83%AA%E3%82%A8%E3%82%A4%E3%83%86%E3%82%A3%E3%83%96-402SO-%E2%97%86402SO-Xperia-Z4-%E3%82%A2%E3%82%AF%E3%82%A2%E3%82%B0%E3%83%AA%E3%83%BC%E3%83%B3-%E3%82%BD%E3%83%95%E3%83%88%E3%83%90%E3%83%B3%E3%82%AF-SoftBank%E2%97%86/dp/B010A0GMGK/ref=sr_1_273?__mk_ja_JP=%E3%82%AB%E3%82%BF%E3%82%AB%E3%83%8A&amp;dchild=1&amp;keywords=Xperia&amp;qid=1598530286&amp;sr=8-273", "Go")</f>
        <v/>
      </c>
    </row>
    <row r="167">
      <c r="A167" s="1" t="n">
        <v>165</v>
      </c>
      <c r="B167" t="inlineStr">
        <is>
          <t>Xperia NX SO-02D docomo [White]</t>
        </is>
      </c>
      <c r="C167" t="inlineStr">
        <is>
          <t>￥2,980</t>
        </is>
      </c>
      <c r="D167" t="inlineStr">
        <is>
          <t>4</t>
        </is>
      </c>
      <c r="E167">
        <f>HYPERLINK("https://www.amazon.co.jp/Xperia-NX-SO-02D-docomo-White/dp/B00BF892RS/ref=sr_1_274?__mk_ja_JP=%E3%82%AB%E3%82%BF%E3%82%AB%E3%83%8A&amp;dchild=1&amp;keywords=Xperia&amp;qid=1598530286&amp;sr=8-274", "Go")</f>
        <v/>
      </c>
    </row>
    <row r="168">
      <c r="A168" s="1" t="n">
        <v>166</v>
      </c>
      <c r="B168" t="inlineStr">
        <is>
          <t>SONY(ソニー) Xperia XZ1 64GB ヴィーナスピンク SOV36 au</t>
        </is>
      </c>
      <c r="C168" t="inlineStr">
        <is>
          <t>￥37,980</t>
        </is>
      </c>
      <c r="D168" t="inlineStr">
        <is>
          <t>5</t>
        </is>
      </c>
      <c r="E168">
        <f>HYPERLINK("https://www.amazon.co.jp/Xperia-XZ1-SOV36-%E3%83%B4%E3%82%A3%E3%83%BC%E3%83%8A%E3%82%B9%E3%83%94%E3%83%B3%E3%82%AF-%E7%99%BD%E3%83%AD%E3%83%A0/dp/B078TWJ4LZ/ref=sr_1_278?__mk_ja_JP=%E3%82%AB%E3%82%BF%E3%82%AB%E3%83%8A&amp;dchild=1&amp;keywords=Xperia&amp;qid=1598530286&amp;sr=8-278", "Go")</f>
        <v/>
      </c>
    </row>
    <row r="169">
      <c r="A169" s="1" t="n">
        <v>167</v>
      </c>
      <c r="B169" t="inlineStr">
        <is>
          <t>docomo SONY Xperia XZ3 SO-01L White Silver ホワイト シルバー</t>
        </is>
      </c>
      <c r="C169" t="inlineStr">
        <is>
          <t>￥39,800</t>
        </is>
      </c>
      <c r="D169" t="inlineStr">
        <is>
          <t>5</t>
        </is>
      </c>
      <c r="E169">
        <f>HYPERLINK("https://www.amazon.co.jp/docomo-Xperia-SO-01L-White-Silver/dp/B07LGP2244/ref=sr_1_279?__mk_ja_JP=%E3%82%AB%E3%82%BF%E3%82%AB%E3%83%8A&amp;dchild=1&amp;keywords=Xperia&amp;qid=1598530286&amp;sr=8-279", "Go")</f>
        <v/>
      </c>
    </row>
    <row r="170">
      <c r="A170" s="1" t="n">
        <v>168</v>
      </c>
      <c r="B170" t="inlineStr">
        <is>
          <t>SIMフリースマホ Mode1 RR Black</t>
        </is>
      </c>
      <c r="C170" t="inlineStr">
        <is>
          <t>￥22,790</t>
        </is>
      </c>
      <c r="D170" t="inlineStr">
        <is>
          <t>5</t>
        </is>
      </c>
      <c r="E170">
        <f>HYPERLINK("https://www.amazon.co.jp/Mode1-RR-%E3%83%A2%E3%83%BC%E3%83%89%E3%83%AF%E3%83%B3%E3%83%80%E3%83%96%E3%83%AB%E3%82%A2%E3%83%BC%E3%83%AB-MD-04P-SIM%E3%83%95%E3%83%AA%E3%83%BC%E3%82%B9%E3%83%9E%E3%83%9B/dp/B07W48QPM8/ref=sr_1_280?__mk_ja_JP=%E3%82%AB%E3%82%BF%E3%82%AB%E3%83%8A&amp;dchild=1&amp;keywords=Xperia&amp;qid=1598530286&amp;sr=8-280", "Go")</f>
        <v/>
      </c>
    </row>
    <row r="171">
      <c r="A171" s="1" t="n">
        <v>169</v>
      </c>
      <c r="B171" t="inlineStr">
        <is>
          <t>SoftBank Xperia XZ1 701SO ウォームシルバー 白ロム</t>
        </is>
      </c>
      <c r="C171" t="inlineStr">
        <is>
          <t>￥12,980</t>
        </is>
      </c>
      <c r="D171" t="inlineStr">
        <is>
          <t>5</t>
        </is>
      </c>
      <c r="E171">
        <f>HYPERLINK("https://www.amazon.co.jp/SoftBank-Xperia-XZ1-701SO-%E3%82%A6%E3%82%A9%E3%83%BC%E3%83%A0%E3%82%B7%E3%83%AB%E3%83%90%E3%83%BC/dp/B078XB7FQS/ref=sr_1_281?__mk_ja_JP=%E3%82%AB%E3%82%BF%E3%82%AB%E3%83%8A&amp;dchild=1&amp;keywords=Xperia&amp;qid=1598530286&amp;sr=8-281", "Go")</f>
        <v/>
      </c>
    </row>
    <row r="172">
      <c r="A172" s="1" t="n">
        <v>170</v>
      </c>
      <c r="B172" t="inlineStr">
        <is>
          <t>SONY au Xperia XZs SOV35 Citrus</t>
        </is>
      </c>
      <c r="C172" t="inlineStr">
        <is>
          <t>￥39,000</t>
        </is>
      </c>
      <c r="D172" t="inlineStr">
        <is>
          <t>5</t>
        </is>
      </c>
      <c r="E172">
        <f>HYPERLINK("https://www.amazon.co.jp/SONY-Xperia-XZs-SOV35-Citrus/dp/B075CFKP6N/ref=sr_1_282?__mk_ja_JP=%E3%82%AB%E3%82%BF%E3%82%AB%E3%83%8A&amp;dchild=1&amp;keywords=Xperia&amp;qid=1598530286&amp;sr=8-282", "Go")</f>
        <v/>
      </c>
    </row>
    <row r="173">
      <c r="A173" s="1" t="n">
        <v>171</v>
      </c>
      <c r="B173" t="inlineStr">
        <is>
          <t>au SHV41 AQUOS R compact メタルブラック 白ロム</t>
        </is>
      </c>
      <c r="C173" t="inlineStr">
        <is>
          <t>￥10,280</t>
        </is>
      </c>
      <c r="D173" t="inlineStr">
        <is>
          <t>5</t>
        </is>
      </c>
      <c r="E173">
        <f>HYPERLINK("https://www.amazon.co.jp/SHV41-AQUOS-compact-%E3%83%A1%E3%82%BF%E3%83%AB%E3%83%96%E3%83%A9%E3%83%83%E3%82%AF-%E7%99%BD%E3%83%AD%E3%83%A0/dp/B07FXF16GH/ref=sr_1_283?__mk_ja_JP=%E3%82%AB%E3%82%BF%E3%82%AB%E3%83%8A&amp;dchild=1&amp;keywords=Xperia&amp;qid=1598530286&amp;sr=8-283", "Go")</f>
        <v/>
      </c>
    </row>
    <row r="174">
      <c r="A174" s="1" t="n">
        <v>172</v>
      </c>
      <c r="B174" t="inlineStr">
        <is>
          <t>SONY(ソニー) Xperia XZ 32GB ディープピンク 601SO SoftBank</t>
        </is>
      </c>
      <c r="C174" t="inlineStr">
        <is>
          <t>￥7,980</t>
        </is>
      </c>
      <c r="D174" t="inlineStr">
        <is>
          <t>5</t>
        </is>
      </c>
      <c r="E174">
        <f>HYPERLINK("https://www.amazon.co.jp/SoftBank-Xperia-XZ-601SO-%E3%83%87%E3%82%A3%E3%83%BC%E3%83%97%E3%83%94%E3%83%B3%E3%82%AF/dp/B01MS9HWR2/ref=sr_1_284?__mk_ja_JP=%E3%82%AB%E3%82%BF%E3%82%AB%E3%83%8A&amp;dchild=1&amp;keywords=Xperia&amp;qid=1598530286&amp;sr=8-284", "Go")</f>
        <v/>
      </c>
    </row>
    <row r="175">
      <c r="A175" s="1" t="n">
        <v>173</v>
      </c>
      <c r="B175" t="inlineStr">
        <is>
          <t>SONY(ソニー) Xperia Z5 32GB グリーン 501SO SoftBank</t>
        </is>
      </c>
      <c r="C175" t="inlineStr">
        <is>
          <t>￥7,200</t>
        </is>
      </c>
      <c r="D175" t="inlineStr">
        <is>
          <t>5</t>
        </is>
      </c>
      <c r="E175">
        <f>HYPERLINK("https://www.amazon.co.jp/SoftBank-Xperia-Z5-501SO-Green/dp/B01DPE4XIM/ref=sr_1_285?__mk_ja_JP=%E3%82%AB%E3%82%BF%E3%82%AB%E3%83%8A&amp;dchild=1&amp;keywords=Xperia&amp;qid=1598530286&amp;sr=8-285", "Go")</f>
        <v/>
      </c>
    </row>
    <row r="176">
      <c r="A176" s="1" t="n">
        <v>174</v>
      </c>
      <c r="B176" t="inlineStr">
        <is>
          <t>SoftBank AQUOS R compact 701SH ダイヤモンドイエロー 白ロム</t>
        </is>
      </c>
      <c r="C176" t="inlineStr">
        <is>
          <t>￥30,790</t>
        </is>
      </c>
      <c r="D176" t="inlineStr">
        <is>
          <t>5</t>
        </is>
      </c>
      <c r="E176">
        <f>HYPERLINK("https://www.amazon.co.jp/SoftBank-AQUOS-compact-701SH-%E3%83%80%E3%82%A4%E3%83%A4%E3%83%A2%E3%83%B3%E3%83%89%E3%82%A4%E3%82%A8%E3%83%AD%E3%83%BC/dp/B07QWGYF6Q/ref=sr_1_287?__mk_ja_JP=%E3%82%AB%E3%82%BF%E3%82%AB%E3%83%8A&amp;dchild=1&amp;keywords=Xperia&amp;qid=1598530286&amp;sr=8-287", "Go")</f>
        <v/>
      </c>
    </row>
    <row r="177">
      <c r="A177" s="1" t="n">
        <v>175</v>
      </c>
      <c r="B177" t="inlineStr">
        <is>
          <t>SONY(ソニー) Xperia Z5 32GB グリーン SO-01H docomoロック解除SIMフリー</t>
        </is>
      </c>
      <c r="C177" t="inlineStr">
        <is>
          <t>￥9,480</t>
        </is>
      </c>
      <c r="D177" t="inlineStr">
        <is>
          <t>5</t>
        </is>
      </c>
      <c r="E177">
        <f>HYPERLINK("https://www.amazon.co.jp/docomo-SO-01H-Xperia-Z5-Z5-SO-01H-%E3%82%B0%E3%83%AA%E3%83%BC%E3%83%B3-%E7%B7%91-%E3%82%A8%E3%82%AF%E3%82%B9%E3%83%9A%E3%83%AA%E3%82%A2Z5-%E3%80%90docomo%E3%80%91/dp/B017DBXJS8/ref=sr_1_288?__mk_ja_JP=%E3%82%AB%E3%82%BF%E3%82%AB%E3%83%8A&amp;dchild=1&amp;keywords=Xperia&amp;qid=1598530286&amp;sr=8-288", "Go")</f>
        <v/>
      </c>
    </row>
    <row r="178">
      <c r="A178" s="1" t="n">
        <v>176</v>
      </c>
      <c r="B178" t="inlineStr">
        <is>
          <t>au SOV37 Xperia XZ2 Ash Pink SONY</t>
        </is>
      </c>
      <c r="C178" t="inlineStr">
        <is>
          <t>￥34,999</t>
        </is>
      </c>
      <c r="D178" t="inlineStr">
        <is>
          <t>5</t>
        </is>
      </c>
      <c r="E178">
        <f>HYPERLINK("https://www.amazon.co.jp/%E3%80%90SIM%E3%83%AD%E3%83%83%E3%82%AF%E8%A7%A3%E9%99%A4%E6%B8%88%E3%81%BF%E3%80%91au-SOV37-Xperia-XZ2-Pink/dp/B07FCSHQY7/ref=sr_1_289?__mk_ja_JP=%E3%82%AB%E3%82%BF%E3%82%AB%E3%83%8A&amp;dchild=1&amp;keywords=Xperia&amp;qid=1598530286&amp;sr=8-289", "Go")</f>
        <v/>
      </c>
    </row>
    <row r="179">
      <c r="A179" s="1" t="n">
        <v>177</v>
      </c>
      <c r="B179" t="inlineStr">
        <is>
          <t>SoftBank AQUOS R compact 701SH アメジストパープル 白ロム</t>
        </is>
      </c>
      <c r="C179" t="inlineStr">
        <is>
          <t>￥28,500</t>
        </is>
      </c>
      <c r="D179" t="inlineStr">
        <is>
          <t>5</t>
        </is>
      </c>
      <c r="E179">
        <f>HYPERLINK("https://www.amazon.co.jp/SoftBank-AQUOS-compact-701SH-%E3%82%A2%E3%83%A1%E3%82%B8%E3%82%B9%E3%83%88%E3%83%91%E3%83%BC%E3%83%97%E3%83%AB/dp/B07RR2GVX6/ref=sr_1_290?__mk_ja_JP=%E3%82%AB%E3%82%BF%E3%82%AB%E3%83%8A&amp;dchild=1&amp;keywords=Xperia&amp;qid=1598530286&amp;sr=8-290", "Go")</f>
        <v/>
      </c>
    </row>
    <row r="180">
      <c r="A180" s="1" t="n">
        <v>178</v>
      </c>
      <c r="B180" t="inlineStr">
        <is>
          <t>docomo Xperia XZ3 SO-01L フォレスト グリーン 白ロム</t>
        </is>
      </c>
      <c r="C180" t="inlineStr">
        <is>
          <t>￥44,800</t>
        </is>
      </c>
      <c r="D180" t="inlineStr">
        <is>
          <t>5</t>
        </is>
      </c>
      <c r="E180">
        <f>HYPERLINK("https://www.amazon.co.jp/docomo-Xperia-SO-01L-%E3%83%95%E3%82%A9%E3%83%AC%E3%82%B9%E3%83%88-%E3%82%B0%E3%83%AA%E3%83%BC%E3%83%B3/dp/B07PWGLQVF/ref=sr_1_291?__mk_ja_JP=%E3%82%AB%E3%82%BF%E3%82%AB%E3%83%8A&amp;dchild=1&amp;keywords=Xperia&amp;qid=1598530286&amp;sr=8-291", "Go")</f>
        <v/>
      </c>
    </row>
    <row r="181">
      <c r="A181" s="1" t="n">
        <v>179</v>
      </c>
      <c r="B181" t="inlineStr">
        <is>
          <t>SONY 【SIMロック解除済】au Sony Xperia XZ2 SOV37 Liquid Silver</t>
        </is>
      </c>
      <c r="C181" t="inlineStr">
        <is>
          <t>￥23,950</t>
        </is>
      </c>
      <c r="D181" t="inlineStr">
        <is>
          <t>5</t>
        </is>
      </c>
      <c r="E181">
        <f>HYPERLINK("https://www.amazon.co.jp/SONY-%E3%80%90SIM%E3%83%AD%E3%83%83%E3%82%AF%E8%A7%A3%E9%99%A4%E6%B8%88%E3%80%91au-Xperia-SOV37-Liquid/dp/B07DVGKB9Y/ref=sr_1_292?__mk_ja_JP=%E3%82%AB%E3%82%BF%E3%82%AB%E3%83%8A&amp;dchild=1&amp;keywords=Xperia&amp;qid=1598530286&amp;sr=8-292", "Go")</f>
        <v/>
      </c>
    </row>
    <row r="182">
      <c r="A182" s="1" t="n">
        <v>180</v>
      </c>
      <c r="B182" t="inlineStr">
        <is>
          <t>SONY(ソニー) Xperia X Performance 32GB ホワイト SO-04H docomoロック解除SIMフリー</t>
        </is>
      </c>
      <c r="C182" t="inlineStr">
        <is>
          <t>￥7,000</t>
        </is>
      </c>
      <c r="D182" t="inlineStr">
        <is>
          <t>5</t>
        </is>
      </c>
      <c r="E182">
        <f>HYPERLINK("https://www.amazon.co.jp/docomo-Xperia-SO-04H-WHITE-%E7%99%BD%E3%83%AD%E3%83%A0/dp/B01HR83OQO/ref=sr_1_293?__mk_ja_JP=%E3%82%AB%E3%82%BF%E3%82%AB%E3%83%8A&amp;dchild=1&amp;keywords=Xperia&amp;qid=1598530286&amp;sr=8-293", "Go")</f>
        <v/>
      </c>
    </row>
    <row r="183">
      <c r="A183" s="1" t="n">
        <v>181</v>
      </c>
      <c r="B183" t="inlineStr">
        <is>
          <t>Sony Xperia 1 II ケース クリア リング付き カバー ソフト ソフト TPU 傷防止 レンズ保護 黄変防止 軽量</t>
        </is>
      </c>
      <c r="C183" t="inlineStr">
        <is>
          <t>￥1,450</t>
        </is>
      </c>
      <c r="D183" t="inlineStr">
        <is>
          <t>4.5</t>
        </is>
      </c>
      <c r="E183">
        <f>HYPERLINK("https://www.amazon.co.jp/Sony-Xperia-%E3%83%AA%E3%83%B3%E3%82%B0%E4%BB%98%E3%81%8D-%E3%83%AC%E3%83%B3%E3%82%BA%E4%BF%9D%E8%AD%B7-%E9%BB%84%E5%A4%89%E9%98%B2%E6%AD%A2/dp/B086SZK1WD/ref=sr_1_291_sspa?__mk_ja_JP=%E3%82%AB%E3%82%BF%E3%82%AB%E3%83%8A&amp;dchild=1&amp;keywords=Xperia&amp;qid=1598530489&amp;sr=8-291-spons&amp;psc=1&amp;spLa=ZW5jcnlwdGVkUXVhbGlmaWVyPUEzMUk2UVY3VzhYTjlHJmVuY3J5cHRlZElkPUEwNDA1MDQ3M1RGMzBFWE81NFoyRSZlbmNyeXB0ZWRBZElkPUExSVEzTU5ZTlpSSE1RJndpZGdldE5hbWU9c3BfYXRmX25leHQmYWN0aW9uPWNsaWNrUmVkaXJlY3QmZG9Ob3RMb2dDbGljaz10cnVl", "Go")</f>
        <v/>
      </c>
    </row>
    <row r="184">
      <c r="A184" s="1" t="n">
        <v>182</v>
      </c>
      <c r="B184" t="inlineStr">
        <is>
          <t>Sony Xperia 1 II ケース SO-51A ケース クリア スリム tpu 透明 薄型 シリコン 耐衝撃 ストラップホール付き 軽量 人気 Xperia1 II SOG01 保護カバー ローズゴールド</t>
        </is>
      </c>
      <c r="C184" t="inlineStr">
        <is>
          <t>￥1,360</t>
        </is>
      </c>
      <c r="D184" t="inlineStr">
        <is>
          <t>4.3</t>
        </is>
      </c>
      <c r="E184">
        <f>HYPERLINK("https://www.amazon.co.jp/Xperia-SO-51A-%E3%82%B9%E3%83%88%E3%83%A9%E3%83%83%E3%83%97%E3%83%9B%E3%83%BC%E3%83%AB%E4%BB%98%E3%81%8D-Xperia1-%E3%83%AD%E3%83%BC%E3%82%BA%E3%82%B4%E3%83%BC%E3%83%AB%E3%83%89/dp/B08BL47D2N/ref=sr_1_292_sspa?__mk_ja_JP=%E3%82%AB%E3%82%BF%E3%82%AB%E3%83%8A&amp;dchild=1&amp;keywords=Xperia&amp;qid=1598530489&amp;sr=8-292-spons&amp;psc=1&amp;spLa=ZW5jcnlwdGVkUXVhbGlmaWVyPUEzMUk2UVY3VzhYTjlHJmVuY3J5cHRlZElkPUEwNDA1MDQ3M1RGMzBFWE81NFoyRSZlbmNyeXB0ZWRBZElkPUEyWEpNOEo0QldIMTQ5JndpZGdldE5hbWU9c3BfYXRmX25leHQmYWN0aW9uPWNsaWNrUmVkaXJlY3QmZG9Ob3RMb2dDbGljaz10cnVl", "Go")</f>
        <v/>
      </c>
    </row>
    <row r="185">
      <c r="A185" s="1" t="n">
        <v>183</v>
      </c>
      <c r="B185" t="inlineStr">
        <is>
          <t>AQUOS R2 compact 803SH (黒)</t>
        </is>
      </c>
      <c r="C185" t="inlineStr">
        <is>
          <t>￥53,790</t>
        </is>
      </c>
      <c r="D185" t="inlineStr">
        <is>
          <t>5</t>
        </is>
      </c>
      <c r="E185">
        <f>HYPERLINK("https://www.amazon.co.jp/AQUOS-R2-compact-803SH-%E9%BB%92/dp/B07V7SGP1X/ref=sr_1_293?__mk_ja_JP=%E3%82%AB%E3%82%BF%E3%82%AB%E3%83%8A&amp;dchild=1&amp;keywords=Xperia&amp;qid=1598530489&amp;sr=8-293", "Go")</f>
        <v/>
      </c>
    </row>
    <row r="186">
      <c r="A186" s="1" t="n">
        <v>184</v>
      </c>
      <c r="B186" t="inlineStr">
        <is>
          <t>au Xperia XZ2 Premium SOV38 Chrome Silver</t>
        </is>
      </c>
      <c r="C186" t="inlineStr">
        <is>
          <t>￥50,300</t>
        </is>
      </c>
      <c r="D186" t="inlineStr">
        <is>
          <t>5</t>
        </is>
      </c>
      <c r="E186">
        <f>HYPERLINK("https://www.amazon.co.jp/Xperia-XZ2-Premium-SOV38-Chrome/dp/B07P2L1GPY/ref=sr_1_294?__mk_ja_JP=%E3%82%AB%E3%82%BF%E3%82%AB%E3%83%8A&amp;dchild=1&amp;keywords=Xperia&amp;qid=1598530489&amp;sr=8-294", "Go")</f>
        <v/>
      </c>
    </row>
    <row r="187">
      <c r="A187" s="1" t="n">
        <v>185</v>
      </c>
      <c r="B187" t="inlineStr">
        <is>
          <t>SONY Sony Xperia C5 Ultra Dual E5563 LTE [Mint 16GB 海外版 SIMフリー]</t>
        </is>
      </c>
      <c r="C187" t="inlineStr">
        <is>
          <t>￥1,399</t>
        </is>
      </c>
      <c r="D187" t="inlineStr">
        <is>
          <t>5</t>
        </is>
      </c>
      <c r="E187">
        <f>HYPERLINK("https://www.amazon.co.jp/Sony-Xperia-Ultra-E5563-SIM%E3%83%95%E3%83%AA%E3%83%BC/dp/B014KI31TE/ref=sr_1_295?__mk_ja_JP=%E3%82%AB%E3%82%BF%E3%82%AB%E3%83%8A&amp;dchild=1&amp;keywords=Xperia&amp;qid=1598530489&amp;sr=8-295", "Go")</f>
        <v/>
      </c>
    </row>
    <row r="188">
      <c r="A188" s="1" t="n">
        <v>186</v>
      </c>
      <c r="B188" t="inlineStr">
        <is>
          <t>SOT21 Xperia(TM) Z2 Tablet ホワイト</t>
        </is>
      </c>
      <c r="C188" t="inlineStr">
        <is>
          <t>￥14,999</t>
        </is>
      </c>
      <c r="D188" t="inlineStr">
        <is>
          <t>5</t>
        </is>
      </c>
      <c r="E188">
        <f>HYPERLINK("https://www.amazon.co.jp/SOT21-Xperia-TM-Z2-Tablet/dp/B0105LC0UG/ref=sr_1_296?__mk_ja_JP=%E3%82%AB%E3%82%BF%E3%82%AB%E3%83%8A&amp;dchild=1&amp;keywords=Xperia&amp;qid=1598530489&amp;sr=8-296", "Go")</f>
        <v/>
      </c>
    </row>
    <row r="189">
      <c r="A189" s="1" t="n">
        <v>187</v>
      </c>
      <c r="B189" t="inlineStr">
        <is>
          <t>SonyEricsson Xperia Pro MK16a 黒 SIMフリー 並行輸入品</t>
        </is>
      </c>
      <c r="C189" t="inlineStr">
        <is>
          <t>￥1,370</t>
        </is>
      </c>
      <c r="D189" t="inlineStr">
        <is>
          <t>5</t>
        </is>
      </c>
      <c r="E189">
        <f>HYPERLINK("https://www.amazon.co.jp/SonyEricsson-Xperia-MK16a-SIM%E3%83%95%E3%83%AA%E3%83%BC-%E4%B8%A6%E8%A1%8C%E8%BC%B8%E5%85%A5%E5%93%81/dp/B00CPKFXOQ/ref=sr_1_297?__mk_ja_JP=%E3%82%AB%E3%82%BF%E3%82%AB%E3%83%8A&amp;dchild=1&amp;keywords=Xperia&amp;qid=1598530489&amp;sr=8-297", "Go")</f>
        <v/>
      </c>
    </row>
    <row r="190">
      <c r="A190" s="1" t="n">
        <v>188</v>
      </c>
      <c r="B190" t="inlineStr">
        <is>
          <t>Xperia Z SO-02E docomo [White]</t>
        </is>
      </c>
      <c r="C190" t="inlineStr">
        <is>
          <t>￥32,800</t>
        </is>
      </c>
      <c r="D190" t="inlineStr">
        <is>
          <t>5</t>
        </is>
      </c>
      <c r="E190">
        <f>HYPERLINK("https://www.amazon.co.jp/Xperia-Z-SO-02E-docomo-White/dp/B00C15MZUU/ref=sr_1_298?__mk_ja_JP=%E3%82%AB%E3%82%BF%E3%82%AB%E3%83%8A&amp;dchild=1&amp;keywords=Xperia&amp;qid=1598530489&amp;sr=8-298", "Go")</f>
        <v/>
      </c>
    </row>
    <row r="191">
      <c r="A191" s="1" t="n">
        <v>189</v>
      </c>
      <c r="B191" t="inlineStr">
        <is>
          <t>Xperia（ラスターホワイト）</t>
        </is>
      </c>
      <c r="C191" t="inlineStr">
        <is>
          <t>￥79,800</t>
        </is>
      </c>
      <c r="D191" t="inlineStr">
        <is>
          <t>5</t>
        </is>
      </c>
      <c r="E191">
        <f>HYPERLINK("https://www.amazon.co.jp/docomo-SO-01B-Xperia-Xperia%EF%BC%88%E3%83%A9%E3%82%B9%E3%82%BF%E3%83%BC%E3%83%9B%E3%83%AF%E3%82%A4%E3%83%88%EF%BC%89/dp/B003NCYT4A/ref=sr_1_299?__mk_ja_JP=%E3%82%AB%E3%82%BF%E3%82%AB%E3%83%8A&amp;dchild=1&amp;keywords=Xperia&amp;qid=1598530489&amp;sr=8-299", "Go")</f>
        <v/>
      </c>
    </row>
    <row r="192">
      <c r="A192" s="1" t="n">
        <v>190</v>
      </c>
      <c r="B192" t="inlineStr">
        <is>
          <t>Xperia 1 II SO-51A SOG01 ちょっと上質なカラー 手帳型 ケース カバー SO-51Aケース SO-51Aカバー SOG01ケース SOG01カバー SO51Aケース SO51Aカバー Xperia1II 2 エクスペリア1II SO51A スマホケース スマホカバー 手帳型ケース 手帳型カバー スタンド機能 内側黒TPU 【NB】 上質ブラック</t>
        </is>
      </c>
      <c r="C192" t="inlineStr">
        <is>
          <t>￥2,980</t>
        </is>
      </c>
      <c r="D192" t="inlineStr">
        <is>
          <t>4</t>
        </is>
      </c>
      <c r="E192">
        <f>HYPERLINK("https://www.amazon.co.jp/%E3%81%A1%E3%82%87%E3%81%A3%E3%81%A8%E4%B8%8A%E8%B3%AA%E3%81%AA%E3%82%AB%E3%83%A9%E3%83%BC-SO-51A%E3%82%B1%E3%83%BC%E3%82%B9-SO-51A%E3%82%AB%E3%83%90%E3%83%BC-Xperia1II-%E3%82%A8%E3%82%AF%E3%82%B9%E3%83%9A%E3%83%AA%E3%82%A21II/dp/B088GSMZCW/ref=sr_1_307_sspa?__mk_ja_JP=%E3%82%AB%E3%82%BF%E3%82%AB%E3%83%8A&amp;dchild=1&amp;keywords=Xperia&amp;qid=1598530489&amp;sr=8-307-spons&amp;psc=1&amp;spLa=ZW5jcnlwdGVkUXVhbGlmaWVyPUEzMUk2UVY3VzhYTjlHJmVuY3J5cHRlZElkPUEwNDA1MDQ3M1RGMzBFWE81NFoyRSZlbmNyeXB0ZWRBZElkPUExTzJOVjU0Ujk1TVVGJndpZGdldE5hbWU9c3BfbXRmJmFjdGlvbj1jbGlja1JlZGlyZWN0JmRvTm90TG9nQ2xpY2s9dHJ1ZQ==", "Go")</f>
        <v/>
      </c>
    </row>
    <row r="193">
      <c r="A193" s="1" t="n">
        <v>191</v>
      </c>
      <c r="B193" t="inlineStr">
        <is>
          <t>【ワイモバイル・プランMR専用】Y!mobile SONY Xperia 10 II ブルー ※回線契約後発送</t>
        </is>
      </c>
      <c r="C193" t="inlineStr">
        <is>
          <t>￥32,400</t>
        </is>
      </c>
      <c r="D193" t="inlineStr">
        <is>
          <t>4.1</t>
        </is>
      </c>
      <c r="E193">
        <f>HYPERLINK("https://www.amazon.co.jp/%E3%80%90%E3%83%AF%E3%82%A4%E3%83%A2%E3%83%90%E3%82%A4%E3%83%AB%E3%83%BB%E3%83%97%E3%83%A9%E3%83%B3MR%E5%B0%82%E7%94%A8%E3%80%91Y-mobile-SONY-Xperia-%E2%80%BB%E5%9B%9E%E7%B7%9A%E5%A5%91%E7%B4%84%E5%BE%8C%E7%99%BA%E9%80%81/dp/B0895KW3PG/ref=sr_1_318?__mk_ja_JP=%E3%82%AB%E3%82%BF%E3%82%AB%E3%83%8A&amp;dchild=1&amp;keywords=Xperia&amp;qid=1598530489&amp;sr=8-318", "Go")</f>
        <v/>
      </c>
    </row>
    <row r="194">
      <c r="A194" s="1" t="n">
        <v>192</v>
      </c>
      <c r="B194" t="inlineStr">
        <is>
          <t>SoftBank Xperia X Performance 502SO Graphite Black 白ロム</t>
        </is>
      </c>
      <c r="C194" t="inlineStr">
        <is>
          <t>￥5,910</t>
        </is>
      </c>
      <c r="D194" t="inlineStr">
        <is>
          <t>4.1</t>
        </is>
      </c>
      <c r="E194">
        <f>HYPERLINK("https://www.amazon.co.jp/SoftBank-Xperia-Performance-502SO-Graphite/dp/B01LZUWPGQ/ref=sr_1_319?__mk_ja_JP=%E3%82%AB%E3%82%BF%E3%82%AB%E3%83%8A&amp;dchild=1&amp;keywords=Xperia&amp;qid=1598530489&amp;sr=8-319", "Go")</f>
        <v/>
      </c>
    </row>
    <row r="195">
      <c r="A195" s="1" t="n">
        <v>193</v>
      </c>
      <c r="B195" t="inlineStr">
        <is>
          <t>xperia 1 so-03l sov40 802so ケース カバー 手帳 手帳型 トレンディ so03l xperia1ケース xperia1カバー xperia1手帳型 xperia1手帳 xperia1 エクスペリア 手帳型ケース 手帳型カバー TPU スマホ 赤 (モダンボルドー)</t>
        </is>
      </c>
      <c r="C195" t="inlineStr">
        <is>
          <t>￥2,980</t>
        </is>
      </c>
      <c r="D195" t="inlineStr">
        <is>
          <t>4</t>
        </is>
      </c>
      <c r="E195">
        <f>HYPERLINK("https://www.amazon.co.jp/xperia1%E3%82%B1%E3%83%BC%E3%82%B9-xperia1%E3%82%AB%E3%83%90%E3%83%BC-xperia1%E6%89%8B%E5%B8%B3%E5%9E%8B-xperia1%E6%89%8B%E5%B8%B3-xperia1/dp/B07S4B6S96/ref=sr_1_320_sspa?__mk_ja_JP=%E3%82%AB%E3%82%BF%E3%82%AB%E3%83%8A&amp;dchild=1&amp;keywords=Xperia&amp;qid=1598530489&amp;sr=8-320-spons&amp;psc=1&amp;spLa=ZW5jcnlwdGVkUXVhbGlmaWVyPUEzMUk2UVY3VzhYTjlHJmVuY3J5cHRlZElkPUEwNDA1MDQ3M1RGMzBFWE81NFoyRSZlbmNyeXB0ZWRBZElkPUEzMTZGVURaNERITksxJndpZGdldE5hbWU9c3BfbXRmJmFjdGlvbj1jbGlja1JlZGlyZWN0JmRvTm90TG9nQ2xpY2s9dHJ1ZQ==", "Go")</f>
        <v/>
      </c>
    </row>
    <row r="196">
      <c r="A196" s="1" t="n">
        <v>194</v>
      </c>
      <c r="B196" t="inlineStr">
        <is>
          <t>AU AQUOS sense3 SHV45 Light Copper ライトカッパー 白ロム</t>
        </is>
      </c>
      <c r="C196" t="inlineStr">
        <is>
          <t>￥29,800</t>
        </is>
      </c>
      <c r="D196" t="inlineStr">
        <is>
          <t>4</t>
        </is>
      </c>
      <c r="E196">
        <f>HYPERLINK("https://www.amazon.co.jp/AQUOS-sense3-SHV45-Copper-%E3%83%A9%E3%82%A4%E3%83%88%E3%82%AB%E3%83%83%E3%83%91%E3%83%BC/dp/B08344SWHP/ref=sr_1_331?__mk_ja_JP=%E3%82%AB%E3%82%BF%E3%82%AB%E3%83%8A&amp;dchild=1&amp;keywords=Xperia&amp;qid=1598530489&amp;sr=8-331", "Go")</f>
        <v/>
      </c>
    </row>
    <row r="197">
      <c r="A197" s="1" t="n">
        <v>195</v>
      </c>
      <c r="B197" t="inlineStr">
        <is>
          <t>SONY 白ロム docomo Xperia SX SO-05D オレンジ</t>
        </is>
      </c>
      <c r="C197" t="inlineStr">
        <is>
          <t>￥1,980</t>
        </is>
      </c>
      <c r="D197" t="inlineStr">
        <is>
          <t>4</t>
        </is>
      </c>
      <c r="E197">
        <f>HYPERLINK("https://www.amazon.co.jp/White-docomo-Xperia-SO-05D-Orange/dp/B0098CSP4E/ref=sr_1_333?__mk_ja_JP=%E3%82%AB%E3%82%BF%E3%82%AB%E3%83%8A&amp;dchild=1&amp;keywords=Xperia&amp;qid=1598530489&amp;sr=8-333", "Go")</f>
        <v/>
      </c>
    </row>
    <row r="198">
      <c r="A198" s="1" t="n">
        <v>196</v>
      </c>
      <c r="B198" t="inlineStr">
        <is>
          <t>Sony Xperia 1 ケース リング tpu リング付き シリコン 耐衝撃 スタンド機能 マグネット 車載ホルダー 磨り表面 指紋防止 軽量 スリム 薄型 SO-03L SOV40 6.5インチ スマホケース ストラップホール 一体型 人気 携帯カバー</t>
        </is>
      </c>
      <c r="C198" t="inlineStr">
        <is>
          <t>￥1,550</t>
        </is>
      </c>
      <c r="D198" t="inlineStr">
        <is>
          <t>4.2</t>
        </is>
      </c>
      <c r="E198">
        <f>HYPERLINK("https://www.amazon.co.jp/Xperia-%E3%82%B9%E3%82%BF%E3%83%B3%E3%83%89%E6%A9%9F%E8%83%BD-%E8%BB%8A%E8%BC%89%E3%83%9B%E3%83%AB%E3%83%80%E3%83%BC-SO-03L-%E3%82%B9%E3%83%88%E3%83%A9%E3%83%83%E3%83%97%E3%83%9B%E3%83%BC%E3%83%AB/dp/B085W1LXN1/ref=sr_1_338_sspa?__mk_ja_JP=%E3%82%AB%E3%82%BF%E3%82%AB%E3%83%8A&amp;dchild=1&amp;keywords=Xperia&amp;qid=1598530708&amp;sr=8-338-spons&amp;psc=1&amp;spLa=ZW5jcnlwdGVkUXVhbGlmaWVyPUEzMEY0VjVGS0Q4STFKJmVuY3J5cHRlZElkPUEwOTUxMDIyTUZCS0NRMTVRM1EmZW5jcnlwdGVkQWRJZD1BMTJaOEtCSlpUSFE1VyZ3aWRnZXROYW1lPXNwX2F0Zl9uZXh0JmFjdGlvbj1jbGlja1JlZGlyZWN0JmRvTm90TG9nQ2xpY2s9dHJ1ZQ==", "Go")</f>
        <v/>
      </c>
    </row>
    <row r="199">
      <c r="A199" s="1" t="n">
        <v>197</v>
      </c>
      <c r="B199" t="inlineStr">
        <is>
          <t>steady advance 最高級 本革 (牛革) Xperia 1 手帳型 ケース 【 硬度 9H 液晶保護 強化 ３D ガラスフィルム 】 セット エクスペリア １ スマートフォン スマホ カバー マグネット式 SO-03L SOV40 802SO 対応 (Xperia 1, ミラニーズブルー)</t>
        </is>
      </c>
      <c r="C199" t="inlineStr">
        <is>
          <t>￥3,750</t>
        </is>
      </c>
      <c r="D199" t="inlineStr">
        <is>
          <t>4</t>
        </is>
      </c>
      <c r="E199">
        <f>HYPERLINK("https://www.amazon.co.jp/steady-advance-%E3%82%AC%E3%83%A9%E3%82%B9%E3%83%95%E3%82%A3%E3%83%AB%E3%83%A0-%E3%82%B9%E3%83%9E%E3%83%BC%E3%83%88%E3%83%95%E3%82%A9%E3%83%B3-%E3%83%9F%E3%83%A9%E3%83%8B%E3%83%BC%E3%82%BA%E3%83%96%E3%83%AB%E3%83%BC/dp/B07RVC5TGW/ref=sr_1_339_sspa?__mk_ja_JP=%E3%82%AB%E3%82%BF%E3%82%AB%E3%83%8A&amp;dchild=1&amp;keywords=Xperia&amp;qid=1598530708&amp;sr=8-339-spons&amp;psc=1&amp;spLa=ZW5jcnlwdGVkUXVhbGlmaWVyPUEzMEY0VjVGS0Q4STFKJmVuY3J5cHRlZElkPUEwOTUxMDIyTUZCS0NRMTVRM1EmZW5jcnlwdGVkQWRJZD1BMjkwMEtKTExEVEowVSZ3aWRnZXROYW1lPXNwX2F0Zl9uZXh0JmFjdGlvbj1jbGlja1JlZGlyZWN0JmRvTm90TG9nQ2xpY2s9dHJ1ZQ==", "Go")</f>
        <v/>
      </c>
    </row>
    <row r="200">
      <c r="A200" s="1" t="n">
        <v>198</v>
      </c>
      <c r="B200" t="inlineStr">
        <is>
          <t>スマホケース Xperia 1 ケース 透明 クリア tpu シリコン スリム 薄型 [ SO-03L SOV40 ] 対応 Qi充電対応 黄変防止 ケース 軽量 耐衝撃カバー 防塵 耐久 人気 携帯カバー クリスタル・クリア</t>
        </is>
      </c>
      <c r="C200" t="inlineStr">
        <is>
          <t>￥1,080</t>
        </is>
      </c>
      <c r="D200" t="inlineStr">
        <is>
          <t>4.4</t>
        </is>
      </c>
      <c r="E200">
        <f>HYPERLINK("https://www.amazon.co.jp/%E3%82%B9%E3%83%9E%E3%83%9B%E3%82%B1%E3%83%BC%E3%82%B9-Xperia-SO-03L-Qi%E5%85%85%E9%9B%BB%E5%AF%BE%E5%BF%9C-%E3%82%AF%E3%83%AA%E3%82%B9%E3%82%BF%E3%83%AB%E3%83%BB%E3%82%AF%E3%83%AA%E3%82%A2/dp/B083QMFYZX/ref=sr_1_353_sspa?__mk_ja_JP=%E3%82%AB%E3%82%BF%E3%82%AB%E3%83%8A&amp;dchild=1&amp;keywords=Xperia&amp;qid=1598530708&amp;sr=8-353-spons&amp;psc=1&amp;spLa=ZW5jcnlwdGVkUXVhbGlmaWVyPUEzMEY0VjVGS0Q4STFKJmVuY3J5cHRlZElkPUEwOTUxMDIyTUZCS0NRMTVRM1EmZW5jcnlwdGVkQWRJZD1BMjVYOFMxQkdZQ0g0QSZ3aWRnZXROYW1lPXNwX210ZiZhY3Rpb249Y2xpY2tSZWRpcmVjdCZkb05vdExvZ0NsaWNrPXRydWU=", "Go")</f>
        <v/>
      </c>
    </row>
    <row r="201">
      <c r="A201" s="1" t="n">
        <v>199</v>
      </c>
      <c r="B201" t="inlineStr">
        <is>
          <t>SONY Xperia XZ3 801SO グリーン SoftBank</t>
        </is>
      </c>
      <c r="C201" t="inlineStr">
        <is>
          <t>￥47,900</t>
        </is>
      </c>
      <c r="D201" t="inlineStr">
        <is>
          <t>4</t>
        </is>
      </c>
      <c r="E201">
        <f>HYPERLINK("https://www.amazon.co.jp/SONY-Xperia-801SO-%E3%82%B0%E3%83%AA%E3%83%BC%E3%83%B3-SoftBank/dp/B084LF2N2Y/ref=sr_1_367?__mk_ja_JP=%E3%82%AB%E3%82%BF%E3%82%AB%E3%83%8A&amp;dchild=1&amp;keywords=Xperia&amp;qid=1598530708&amp;sr=8-367", "Go")</f>
        <v/>
      </c>
    </row>
    <row r="202">
      <c r="A202" s="1" t="n">
        <v>200</v>
      </c>
      <c r="B202" t="inlineStr">
        <is>
          <t>SONY(ソニー) Xperia XZs 32GB シトラス 602SO SoftBank</t>
        </is>
      </c>
      <c r="C202" t="inlineStr">
        <is>
          <t>￥27,800</t>
        </is>
      </c>
      <c r="D202" t="inlineStr">
        <is>
          <t>4</t>
        </is>
      </c>
      <c r="E202">
        <f>HYPERLINK("https://www.amazon.co.jp/Softbank-Xperia-XZS-602so-Citrus/dp/B0772H9VW9/ref=sr_1_369?__mk_ja_JP=%E3%82%AB%E3%82%BF%E3%82%AB%E3%83%8A&amp;dchild=1&amp;keywords=Xperia&amp;qid=1598530708&amp;sr=8-369", "Go")</f>
        <v/>
      </c>
    </row>
    <row r="203">
      <c r="A203" s="1" t="n">
        <v>201</v>
      </c>
      <c r="B203" t="inlineStr">
        <is>
          <t>●SO-04E Xperia A ホワイト●</t>
        </is>
      </c>
      <c r="C203" t="inlineStr">
        <is>
          <t>￥3,800</t>
        </is>
      </c>
      <c r="D203" t="inlineStr">
        <is>
          <t>4</t>
        </is>
      </c>
      <c r="E203">
        <f>HYPERLINK("https://www.amazon.co.jp/docomo-SO-04E-%E2%97%8FSO-04E-Xperia-%E3%83%9B%E3%83%AF%E3%82%A4%E3%83%88%E2%97%8F/dp/B00XJFFE8Q/ref=sr_1_371?__mk_ja_JP=%E3%82%AB%E3%82%BF%E3%82%AB%E3%83%8A&amp;dchild=1&amp;keywords=Xperia&amp;qid=1598530708&amp;sr=8-371", "Go")</f>
        <v/>
      </c>
    </row>
    <row r="204">
      <c r="A204" s="1" t="n">
        <v>202</v>
      </c>
      <c r="B204" t="inlineStr">
        <is>
          <t>Xperia(TM) XZ/XZs SO-03J/SOV35/SoftBank 「FLAT FIT」 フラットフィット ブラック LP-MXPXZSLRVBK</t>
        </is>
      </c>
      <c r="C204" t="inlineStr">
        <is>
          <t>￥1,613</t>
        </is>
      </c>
      <c r="D204" t="inlineStr">
        <is>
          <t>4</t>
        </is>
      </c>
      <c r="E204">
        <f>HYPERLINK("https://www.amazon.co.jp/Xperia-SO-03J-SoftBank-%E3%83%95%E3%83%A9%E3%83%83%E3%83%88%E3%83%95%E3%82%A3%E3%83%83%E3%83%88-LP-MXPXZSLRVBK/dp/B077QCJ42B/ref=sr_1_372?__mk_ja_JP=%E3%82%AB%E3%82%BF%E3%82%AB%E3%83%8A&amp;dchild=1&amp;keywords=Xperia&amp;qid=1598530708&amp;sr=8-372", "Go")</f>
        <v/>
      </c>
    </row>
    <row r="205">
      <c r="A205" s="1" t="n">
        <v>203</v>
      </c>
      <c r="B205" t="inlineStr">
        <is>
          <t>SONY 【SIMロック解除済】SoftBank Xperia XZs 602SO Citrus</t>
        </is>
      </c>
      <c r="C205" t="inlineStr">
        <is>
          <t>￥22,800</t>
        </is>
      </c>
      <c r="D205" t="inlineStr">
        <is>
          <t>4</t>
        </is>
      </c>
      <c r="E205">
        <f>HYPERLINK("https://www.amazon.co.jp/SONY-%E3%80%90SIM%E3%83%AD%E3%83%83%E3%82%AF%E8%A7%A3%E9%99%A4%E6%B8%88%E3%80%91SoftBank-Xperia-602SO-Citrus/dp/B07C2LVJN2/ref=sr_1_374?__mk_ja_JP=%E3%82%AB%E3%82%BF%E3%82%AB%E3%83%8A&amp;dchild=1&amp;keywords=Xperia&amp;qid=1598530708&amp;sr=8-374", "Go")</f>
        <v/>
      </c>
    </row>
    <row r="206">
      <c r="A206" s="1" t="n">
        <v>204</v>
      </c>
      <c r="B206" t="inlineStr">
        <is>
          <t>steady advance 最高級 本革 (牛革) Xperia 5 手帳型 ケース 【 硬度 9H 液晶保護 強化 ３D ガラスフィルム 】 セット エクスペリア ５ スマートフォン スマホ カバー マグネット式 SO-01M SOV41 対応 (Xperia 5, スマルトブルー)</t>
        </is>
      </c>
      <c r="C206" t="inlineStr">
        <is>
          <t>￥3,750</t>
        </is>
      </c>
      <c r="D206" t="inlineStr">
        <is>
          <t>4.3</t>
        </is>
      </c>
      <c r="E206">
        <f>HYPERLINK("https://www.amazon.co.jp/steady-advance-%E3%82%AC%E3%83%A9%E3%82%B9%E3%83%95%E3%82%A3%E3%83%AB%E3%83%A0-%E3%82%B9%E3%83%9E%E3%83%BC%E3%83%88%E3%83%95%E3%82%A9%E3%83%B3-%E3%82%B9%E3%83%9E%E3%83%AB%E3%83%88%E3%83%96%E3%83%AB%E3%83%BC/dp/B07Z2KYC7H/ref=sr_1_387_sspa?__mk_ja_JP=%E3%82%AB%E3%82%BF%E3%82%AB%E3%83%8A&amp;dchild=1&amp;keywords=Xperia&amp;qid=1598530926&amp;sr=8-387-spons&amp;psc=1&amp;spLa=ZW5jcnlwdGVkUXVhbGlmaWVyPUE4VDBBQkJXNjVDMjEmZW5jcnlwdGVkSWQ9QTA3OTU3MjgzRlo1TjdTWk5YSkNRJmVuY3J5cHRlZEFkSWQ9QTFLR1RTMFkyWlJXQ00md2lkZ2V0TmFtZT1zcF9hdGZfbmV4dCZhY3Rpb249Y2xpY2tSZWRpcmVjdCZkb05vdExvZ0NsaWNrPXRydWU=", "Go")</f>
        <v/>
      </c>
    </row>
    <row r="207">
      <c r="A207" s="1" t="n">
        <v>205</v>
      </c>
      <c r="B207" t="inlineStr">
        <is>
          <t>steady advance 最高級 本革 (牛革) Xperia 1 手帳型 ケース 【 硬度 9H 液晶保護 強化 ３D ガラスフィルム 】 セット エクスペリア １ スマートフォン スマホ カバー マグネット式 SO-03L SOV40 802SO 対応 (Xperia 1, オリーブグリーン)</t>
        </is>
      </c>
      <c r="C207" t="inlineStr">
        <is>
          <t>￥3,750</t>
        </is>
      </c>
      <c r="D207" t="inlineStr">
        <is>
          <t>4</t>
        </is>
      </c>
      <c r="E207">
        <f>HYPERLINK("https://www.amazon.co.jp/steady-advance-%E3%82%AC%E3%83%A9%E3%82%B9%E3%83%95%E3%82%A3%E3%83%AB%E3%83%A0-%E3%82%B9%E3%83%9E%E3%83%BC%E3%83%88%E3%83%95%E3%82%A9%E3%83%B3-%E3%82%AA%E3%83%AA%E3%83%BC%E3%83%96%E3%82%B0%E3%83%AA%E3%83%BC%E3%83%B3/dp/B07TQJ8M3G/ref=sr_1_388_sspa?__mk_ja_JP=%E3%82%AB%E3%82%BF%E3%82%AB%E3%83%8A&amp;dchild=1&amp;keywords=Xperia&amp;qid=1598530926&amp;sr=8-388-spons&amp;psc=1&amp;spLa=ZW5jcnlwdGVkUXVhbGlmaWVyPUE4VDBBQkJXNjVDMjEmZW5jcnlwdGVkSWQ9QTA3OTU3MjgzRlo1TjdTWk5YSkNRJmVuY3J5cHRlZEFkSWQ9QUg0T1NUMVFWMEFGMyZ3aWRnZXROYW1lPXNwX2F0Zl9uZXh0JmFjdGlvbj1jbGlja1JlZGlyZWN0JmRvTm90TG9nQ2xpY2s9dHJ1ZQ==", "Go")</f>
        <v/>
      </c>
    </row>
    <row r="208">
      <c r="A208" s="1" t="n">
        <v>206</v>
      </c>
      <c r="B208" t="inlineStr">
        <is>
          <t>HUAWEI P30 Lite ピーコックブルー &amp; HUAWEI Mini Speaker エメラルドグリーン 【スピーカー1個セット】</t>
        </is>
      </c>
      <c r="C208" t="inlineStr">
        <is>
          <t>￥29,297</t>
        </is>
      </c>
      <c r="D208" t="inlineStr">
        <is>
          <t>4.5</t>
        </is>
      </c>
      <c r="E208">
        <f>HYPERLINK("https://www.amazon.co.jp/HUAWEI-%E3%83%94%E3%83%BC%E3%82%B3%E3%83%83%E3%82%AF%E3%83%96%E3%83%AB%E3%83%BC-Speaker-%E3%82%A8%E3%83%A1%E3%83%A9%E3%83%AB%E3%83%89%E3%82%B0%E3%83%AA%E3%83%BC%E3%83%B3-%E3%80%90%E3%82%B9%E3%83%94%E3%83%BC%E3%82%AB%E3%83%BC1%E5%80%8B%E3%82%BB%E3%83%83%E3%83%88%E3%80%91/dp/B07WFSV6PK/ref=sr_1_433?__mk_ja_JP=%E3%82%AB%E3%82%BF%E3%82%AB%E3%83%8A&amp;dchild=1&amp;keywords=Xperia&amp;qid=1598530926&amp;sr=8-433", "Go")</f>
        <v/>
      </c>
    </row>
    <row r="209">
      <c r="A209" s="1" t="n">
        <v>207</v>
      </c>
      <c r="B209" t="inlineStr">
        <is>
          <t>Sony Xperia 1 ケース薄型 PC 耐衝撃 指紋防止 超薄型 超耐磨 軽量 レンズ保護 衝撃吸収 Sony Xperia 1[ SO-03L SOV40 ] スマートフォンケース (Xperia 1ケースレッド)</t>
        </is>
      </c>
      <c r="C209" t="inlineStr">
        <is>
          <t>￥1,180</t>
        </is>
      </c>
      <c r="D209" t="inlineStr">
        <is>
          <t>4</t>
        </is>
      </c>
      <c r="E209">
        <f>HYPERLINK("https://www.amazon.co.jp/Xperia-%E3%82%B1%E3%83%BC%E3%82%B9%E8%96%84%E5%9E%8B-SO-03L-%E3%82%B9%E3%83%9E%E3%83%BC%E3%83%88%E3%83%95%E3%82%A9%E3%83%B3%E3%82%B1%E3%83%BC%E3%82%B9-1%E3%82%B1%E3%83%BC%E3%82%B9%E3%83%AC%E3%83%83%E3%83%89/dp/B07V6FBSVZ/ref=sr_1_433_sspa?__mk_ja_JP=%E3%82%AB%E3%82%BF%E3%82%AB%E3%83%8A&amp;dchild=1&amp;keywords=Xperia&amp;qid=1598531282&amp;sr=8-433-spons&amp;psc=1&amp;spLa=ZW5jcnlwdGVkUXVhbGlmaWVyPUEyT1NDTkdZNVlaUU41JmVuY3J5cHRlZElkPUEwMjMxMDQ1M1ZGNjUyQUFKU1o1ViZlbmNyeXB0ZWRBZElkPUE5VlFXWUwwQTAyQ00md2lkZ2V0TmFtZT1zcF9hdGZfbmV4dCZhY3Rpb249Y2xpY2tSZWRpcmVjdCZkb05vdExvZ0NsaWNrPXRydWU=", "Go")</f>
        <v/>
      </c>
    </row>
    <row r="210">
      <c r="A210" s="1" t="n">
        <v>208</v>
      </c>
      <c r="B210" t="inlineStr">
        <is>
          <t>steady advance 最高級 本革 (牛革) Xperia エクスペリア XZ XZs 用 スマホ ケース 手帳型 &lt; 硬度 9H 強化 ガラスフィルム &gt; セット マグネット式 (Xperia XZ XZs, コーラルピンク)</t>
        </is>
      </c>
      <c r="C210" t="inlineStr">
        <is>
          <t>￥3,750</t>
        </is>
      </c>
      <c r="D210" t="inlineStr">
        <is>
          <t>4.2</t>
        </is>
      </c>
      <c r="E210">
        <f>HYPERLINK("https://www.amazon.co.jp/steady-advance-Xperia-%E3%82%AC%E3%83%A9%E3%82%B9%E3%83%95%E3%82%A3%E3%83%AB%E3%83%A0-%E3%82%B3%E3%83%BC%E3%83%A9%E3%83%AB%E3%83%94%E3%83%B3%E3%82%AF/dp/B01NAREXUX/ref=sr_1_434_sspa?__mk_ja_JP=%E3%82%AB%E3%82%BF%E3%82%AB%E3%83%8A&amp;dchild=1&amp;keywords=Xperia&amp;qid=1598531282&amp;sr=8-434-spons&amp;psc=1&amp;spLa=ZW5jcnlwdGVkUXVhbGlmaWVyPUEyT1NDTkdZNVlaUU41JmVuY3J5cHRlZElkPUEwMjMxMDQ1M1ZGNjUyQUFKU1o1ViZlbmNyeXB0ZWRBZElkPUEzRlFUNlMyQVFUU0s5JndpZGdldE5hbWU9c3BfYXRmX25leHQmYWN0aW9uPWNsaWNrUmVkaXJlY3QmZG9Ob3RMb2dDbGljaz10cnVl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2020-08-27T19:25:54Z</dcterms:created>
  <dcterms:modified xsi:type="dcterms:W3CDTF">2020-08-27T19:25:54Z</dcterms:modified>
</cp:coreProperties>
</file>