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04"/>
  <sheetViews>
    <sheetView workbookViewId="0">
      <selection activeCell="A1" sqref="A1"/>
    </sheetView>
  </sheetViews>
  <sheetFormatPr baseColWidth="8" defaultRowHeight="15"/>
  <sheetData>
    <row r="1">
      <c r="B1" s="1" t="inlineStr">
        <is>
          <t>商品タイトル</t>
        </is>
      </c>
      <c r="C1" s="1" t="inlineStr">
        <is>
          <t>金額</t>
        </is>
      </c>
      <c r="D1" s="1" t="inlineStr">
        <is>
          <t>レビュー点数</t>
        </is>
      </c>
      <c r="E1" s="1" t="inlineStr">
        <is>
          <t>リンク</t>
        </is>
      </c>
    </row>
    <row r="2">
      <c r="A2" s="1" t="n">
        <v>0</v>
      </c>
      <c r="B2" t="inlineStr">
        <is>
          <t>電話充電器 MFi認定ケーブル 6本パック (3/3/6/6/10フィート) ナイロン織 対応機種 11/Pro/Xs Max/X/8/7/Plus</t>
        </is>
      </c>
      <c r="C2" t="inlineStr">
        <is>
          <t>￥3,902</t>
        </is>
      </c>
      <c r="D2" t="inlineStr">
        <is>
          <t>5</t>
        </is>
      </c>
      <c r="E2">
        <f>HYPERLINK("https://www.amazon.co.jp/736724852105/dp/B08CHGFWP4/ref=sr_1_1?__mk_ja_JP=%E3%82%AB%E3%82%BF%E3%82%AB%E3%83%8A&amp;dchild=1&amp;keywords=iphone+x&amp;qid=1598523957&amp;sr=8-1", "Go")</f>
        <v/>
      </c>
    </row>
    <row r="3">
      <c r="A3" s="1" t="n">
        <v>1</v>
      </c>
      <c r="B3" t="inlineStr">
        <is>
          <t>【最新版 4本セット 1M*2/1.8M*2/3M】USB Type C ケーブル 高速データ伝送 ナイロン編み 急速充電 USB同期＆充電 安全性 技術のアップグレード　高耐久　延長　断線防止 Sony Xperia Samsung Galaxy Macbook Pro Nexus 5X/6P GoPro Hero 5/6対応 TypeC全機種対応 ブラック</t>
        </is>
      </c>
      <c r="C3" t="inlineStr">
        <is>
          <t>￥1,079</t>
        </is>
      </c>
      <c r="D3" t="inlineStr">
        <is>
          <t>5</t>
        </is>
      </c>
      <c r="E3">
        <f>HYPERLINK("https://www.amazon.co.jp/dp/B087CF6Q2Y/ref=sr_1_2?__mk_ja_JP=%E3%82%AB%E3%82%BF%E3%82%AB%E3%83%8A&amp;dchild=1&amp;keywords=iphone+x&amp;qid=1598523957&amp;sr=8-2", "Go")</f>
        <v/>
      </c>
    </row>
    <row r="4">
      <c r="A4" s="1" t="n">
        <v>2</v>
      </c>
      <c r="B4" t="inlineStr">
        <is>
          <t>【4本セット 0.25m+1m+1m+2m】USB Type C ケーブル タイプc ケーブル 急速充電 高速データ転送 高耐久 ナイロン編み アンドロイド 充電ケーブル HUAWEI、Galaxy、ASUS、AQUOS、Xperia、Nexus、Moto、Kindle、PS4、Xbox、Echo Dot Android microusb 各種対応(ピンク)</t>
        </is>
      </c>
      <c r="C4" t="inlineStr">
        <is>
          <t>￥989</t>
        </is>
      </c>
      <c r="D4" t="inlineStr">
        <is>
          <t>5</t>
        </is>
      </c>
      <c r="E4">
        <f>HYPERLINK("https://www.amazon.co.jp/%E3%80%904%E6%9C%AC%E3%82%BB%E3%83%83%E3%83%88-%E9%AB%98%E9%80%9F%E3%83%87%E3%83%BC%E3%82%BF%E8%BB%A2%E9%80%81-HUAWEI%E3%80%81Galaxy%E3%80%81ASUS%E3%80%81AQUOS%E3%80%81Xperia%E3%80%81Nexus%E3%80%81Moto%E3%80%81Kindle%E3%80%81PS4%E3%80%81Xbox%E3%80%81Echo-Android-microusb/dp/B087D1HKKZ/ref=sr_1_3?__mk_ja_JP=%E3%82%AB%E3%82%BF%E3%82%AB%E3%83%8A&amp;dchild=1&amp;keywords=iphone+x&amp;qid=1598523957&amp;sr=8-3", "Go")</f>
        <v/>
      </c>
    </row>
    <row r="5">
      <c r="A5" s="1" t="n">
        <v>3</v>
      </c>
      <c r="B5" t="inlineStr">
        <is>
          <t>SHINEZONE iphone11 ガラスフイルム 2020 保護 強化 3D タッチ ガラス フィルム 飛散防止 指紋防止 気泡防止 撥水撥油 旭硝子 強靭9H 高透明率(青)</t>
        </is>
      </c>
      <c r="C5" t="inlineStr">
        <is>
          <t>￥4,299</t>
        </is>
      </c>
      <c r="D5" t="inlineStr">
        <is>
          <t>5</t>
        </is>
      </c>
      <c r="E5">
        <f>HYPERLINK("https://www.amazon.co.jp/SHINEZONE-iphone11-%E3%82%AC%E3%83%A9%E3%82%B9%E3%83%95%E3%82%A4%E3%83%AB%E3%83%A0-2020-%E3%83%95%E3%82%A3%E3%83%AB%E3%83%A0/dp/B08DY3GKZ6/ref=sr_1_4?__mk_ja_JP=%E3%82%AB%E3%82%BF%E3%82%AB%E3%83%8A&amp;dchild=1&amp;keywords=iphone+x&amp;qid=1598523957&amp;sr=8-4", "Go")</f>
        <v/>
      </c>
    </row>
    <row r="6">
      <c r="A6" s="1" t="n">
        <v>4</v>
      </c>
      <c r="B6" t="inlineStr">
        <is>
          <t>U-miss タッチペン スタイラスペン USB 磁気充電 5分間自動オフ iPad iPhone Android スマートフォン タブレット対応 1.45 mm銅製極細ペン先 高感度 10時間連続使用 30日待機</t>
        </is>
      </c>
      <c r="C6" t="inlineStr">
        <is>
          <t>￥2,880</t>
        </is>
      </c>
      <c r="D6" t="inlineStr">
        <is>
          <t>5</t>
        </is>
      </c>
      <c r="E6">
        <f>HYPERLINK("https://www.amazon.co.jp/U-miss-%E3%82%B9%E3%82%BF%E3%82%A4%E3%83%A9%E3%82%B9%E3%83%9A%E3%83%B3-5%E5%88%86%E9%96%93%E8%87%AA%E5%8B%95%E3%82%AA%E3%83%95-mm%E9%8A%85%E8%A3%BD%E6%A5%B5%E7%B4%B0%E3%83%9A%E3%83%B3%E5%85%88-10%E6%99%82%E9%96%93%E9%80%A3%E7%B6%9A%E4%BD%BF%E7%94%A8/dp/B08CZ8YMYS/ref=sr_1_5?__mk_ja_JP=%E3%82%AB%E3%82%BF%E3%82%AB%E3%83%8A&amp;dchild=1&amp;keywords=iphone+x&amp;qid=1598523957&amp;sr=8-5", "Go")</f>
        <v/>
      </c>
    </row>
    <row r="7">
      <c r="A7" s="1" t="n">
        <v>5</v>
      </c>
      <c r="B7" t="inlineStr">
        <is>
          <t>スマホ スタンド ホルダー 角度調整可能, 携帯電話卓上スタンド : 卓上 充電スタンド スマホ スタンド ホルダー 角度調整可能, 横, 縦, 携帯電話卓上スタンド : 卓上 充電スタンド, スマフォスタンド, アイフォンデスク置き台, aluminium, Nintendo Switch 対応, アイフォン, アンドロイド, iPhone 11, 11 Pro , 11 Pro Max, 11 プロ マックス XS XS Max XR X 8 plus 7 7plus 6 6s 6plus 5 5s se se2 第二世代, Xiaomi Redmi Note 8 9 10 pro mi, huawei p20 p30 lite, Sony Xperia, Nexus, android対応 (黒)</t>
        </is>
      </c>
      <c r="C7" t="inlineStr">
        <is>
          <t>￥1,299</t>
        </is>
      </c>
      <c r="D7" t="inlineStr">
        <is>
          <t>5</t>
        </is>
      </c>
      <c r="E7">
        <f>HYPERLINK("https://www.amazon.co.jp/%E3%82%B9%E3%83%9E%E3%83%9B-%E3%82%B9%E3%82%BF%E3%83%B3%E3%83%89-%E3%83%9B%E3%83%AB%E3%83%80%E3%83%BC-%E8%A7%92%E5%BA%A6%E8%AA%BF%E6%95%B4%E5%8F%AF%E8%83%BD-%E6%90%BA%E5%B8%AF%E9%9B%BB%E8%A9%B1%E5%8D%93%E4%B8%8A%E3%82%B9%E3%82%BF%E3%83%B3%E3%83%89/dp/B089QD4JMP/ref=sr_1_6?__mk_ja_JP=%E3%82%AB%E3%82%BF%E3%82%AB%E3%83%8A&amp;dchild=1&amp;keywords=iphone+x&amp;qid=1598523957&amp;sr=8-6", "Go")</f>
        <v/>
      </c>
    </row>
    <row r="8">
      <c r="A8" s="1" t="n">
        <v>6</v>
      </c>
      <c r="B8" t="inlineStr">
        <is>
          <t>Xiaomi Redmi Note 9s ケース 手帳型 KuGi Redmi Note 9 Pro/Note 9 Pro Max カバー 手帳 スタンド機能 カード収納付き 軽量 薄型 PUレザー 折り畳み式 全面保護カバー Redmi Note 9s マグネット式 ブラック</t>
        </is>
      </c>
      <c r="C8" t="inlineStr">
        <is>
          <t>￥1,150</t>
        </is>
      </c>
      <c r="D8" t="inlineStr">
        <is>
          <t>5</t>
        </is>
      </c>
      <c r="E8">
        <f>HYPERLINK("https://www.amazon.co.jp/Xiaomi-%E3%82%B9%E3%82%BF%E3%83%B3%E3%83%89%E6%A9%9F%E8%83%BD-%E3%82%AB%E3%83%BC%E3%83%89%E5%8F%8E%E7%B4%8D%E4%BB%98%E3%81%8D-%E5%85%A8%E9%9D%A2%E4%BF%9D%E8%AD%B7%E3%82%AB%E3%83%90%E3%83%BC-%E3%83%9E%E3%82%B0%E3%83%8D%E3%83%83%E3%83%88%E5%BC%8F/dp/B08C79P2PW/ref=sr_1_7?__mk_ja_JP=%E3%82%AB%E3%82%BF%E3%82%AB%E3%83%8A&amp;dchild=1&amp;keywords=iphone+x&amp;qid=1598523957&amp;sr=8-7", "Go")</f>
        <v/>
      </c>
    </row>
    <row r="9">
      <c r="A9" s="1" t="n">
        <v>7</v>
      </c>
      <c r="B9" t="inlineStr">
        <is>
          <t>【2枚セット】iPhone 11Pro/iphonex/xs ガラスフィルム 日本旭硝子製 全面保護 iPhone 11Pro 強化ガラスフィルム 硬度9H 99%高透過率 防指紋 自動吸着 気泡ゼロ 飛散防止処理 アイフォン 11Pro 液晶保護フィルム</t>
        </is>
      </c>
      <c r="C9" t="inlineStr">
        <is>
          <t>￥599</t>
        </is>
      </c>
      <c r="D9" t="inlineStr">
        <is>
          <t>4.9</t>
        </is>
      </c>
      <c r="E9">
        <f>HYPERLINK("https://www.amazon.co.jp/%E3%80%902%E6%9E%9A%E3%82%BB%E3%83%83%E3%83%88%E3%80%91iPhone-11Pro-iphonex-%E5%BC%B7%E5%8C%96%E3%82%AC%E3%83%A9%E3%82%B9%E3%83%95%E3%82%A3%E3%83%AB%E3%83%A0-%E6%B6%B2%E6%99%B6%E4%BF%9D%E8%AD%B7%E3%83%95%E3%82%A3%E3%83%AB%E3%83%A0/dp/B08D6BD3F7/ref=sr_1_9?__mk_ja_JP=%E3%82%AB%E3%82%BF%E3%82%AB%E3%83%8A&amp;dchild=1&amp;keywords=iphone+x&amp;qid=1598523957&amp;sr=8-9", "Go")</f>
        <v/>
      </c>
    </row>
    <row r="10">
      <c r="A10" s="1" t="n">
        <v>8</v>
      </c>
      <c r="B10" t="inlineStr">
        <is>
          <t>iPhone充電器 10フィート ライトニングケーブル [2本パック] Apple MFi認証 - ライトニングケーブル iPhone SE/11/11 Pro/11 Pro Max/XS/XS Max/XR/X/8/8 Plus/7/7 Plus/6/6 Plus/5c/5s/5/iPadなどに対応</t>
        </is>
      </c>
      <c r="C10" t="inlineStr">
        <is>
          <t>￥8,011</t>
        </is>
      </c>
      <c r="D10" t="inlineStr">
        <is>
          <t>5</t>
        </is>
      </c>
      <c r="E10">
        <f>HYPERLINK("https://www.amazon.co.jp/iPhone%E5%85%85%E9%9B%BB%E5%99%A8-10%E3%83%95%E3%82%A3%E3%83%BC%E3%83%88-%E3%83%A9%E3%82%A4%E3%83%88%E3%83%8B%E3%83%B3%E3%82%B0%E3%82%B1%E3%83%BC%E3%83%96%E3%83%AB-2%E6%9C%AC%E3%83%91%E3%83%83%E3%82%AF-Apple/dp/B08C9SL82G/ref=sr_1_10?__mk_ja_JP=%E3%82%AB%E3%82%BF%E3%82%AB%E3%83%8A&amp;dchild=1&amp;keywords=iphone+x&amp;qid=1598523957&amp;sr=8-10", "Go")</f>
        <v/>
      </c>
    </row>
    <row r="11">
      <c r="A11" s="1" t="n">
        <v>9</v>
      </c>
      <c r="B11" t="inlineStr">
        <is>
          <t>iPhone 11 Pro ガラスフィルム【覗き見防止】/硬度9H/日本製素材旭硝子製/iPhone XS/iPhone X プライバシー 保護 フィルム/気泡防止/スクラッチ防止/飛散防止処理/防指紋/自動吸着/iPhone 11 Pro/iPhone X 覗き見防止フィルム</t>
        </is>
      </c>
      <c r="C11" t="inlineStr">
        <is>
          <t>￥799</t>
        </is>
      </c>
      <c r="D11" t="inlineStr">
        <is>
          <t>4.9</t>
        </is>
      </c>
      <c r="E11">
        <f>HYPERLINK("https://www.amazon.co.jp/iPhone-%E3%82%AC%E3%83%A9%E3%82%B9%E3%83%95%E3%82%A3%E3%83%AB%E3%83%A0%E3%80%90%E8%A6%97%E3%81%8D%E8%A6%8B%E9%98%B2%E6%AD%A2%E3%80%91-%E6%97%A5%E6%9C%AC%E8%A3%BD%E7%B4%A0%E6%9D%90%E6%97%AD%E7%A1%9D%E5%AD%90%E8%A3%BD-%E3%82%B9%E3%82%AF%E3%83%A9%E3%83%83%E3%83%81%E9%98%B2%E6%AD%A2-%E8%A6%97%E3%81%8D%E8%A6%8B%E9%98%B2%E6%AD%A2%E3%83%95%E3%82%A3%E3%83%AB%E3%83%A0/dp/B08DNNVLRR/ref=sr_1_11?__mk_ja_JP=%E3%82%AB%E3%82%BF%E3%82%AB%E3%83%8A&amp;dchild=1&amp;keywords=iphone+x&amp;qid=1598523957&amp;sr=8-11", "Go")</f>
        <v/>
      </c>
    </row>
    <row r="12">
      <c r="A12" s="1" t="n">
        <v>10</v>
      </c>
      <c r="B12" t="inlineStr">
        <is>
          <t>【目の疲れを軽減】 iPhone 11 Pro/iPhone XS/iPhone X ガラスフィルム 強化ガラス iPhone 11Pro/XS/X 強化ガラスフィルム 液晶保護フィルム 日本旭硝子素材 業界最高の硬度9H 99%高透過率 指紋防止 飛散防止 3Dタッチ 気泡ゼロ 自動吸着</t>
        </is>
      </c>
      <c r="C12" t="inlineStr">
        <is>
          <t>￥899</t>
        </is>
      </c>
      <c r="D12" t="inlineStr">
        <is>
          <t>4.9</t>
        </is>
      </c>
      <c r="E12">
        <f>HYPERLINK("https://www.amazon.co.jp/%E3%80%90%E7%9B%AE%E3%81%AE%E7%96%B2%E3%82%8C%E3%82%92%E8%BB%BD%E6%B8%9B%E3%80%91-%E3%82%AC%E3%83%A9%E3%82%B9%E3%83%95%E3%82%A3%E3%83%AB%E3%83%A0-%E5%BC%B7%E5%8C%96%E3%82%AC%E3%83%A9%E3%82%B9%E3%83%95%E3%82%A3%E3%83%AB%E3%83%A0-%E6%B6%B2%E6%99%B6%E4%BF%9D%E8%AD%B7%E3%83%95%E3%82%A3%E3%83%AB%E3%83%A0-%E6%A5%AD%E7%95%8C%E6%9C%80%E9%AB%98%E3%81%AE%E7%A1%AC%E5%BA%A69H/dp/B08D9TBCZC/ref=sr_1_12?__mk_ja_JP=%E3%82%AB%E3%82%BF%E3%82%AB%E3%83%8A&amp;dchild=1&amp;keywords=iphone+x&amp;qid=1598523957&amp;sr=8-12", "Go")</f>
        <v/>
      </c>
    </row>
    <row r="13">
      <c r="A13" s="1" t="n">
        <v>11</v>
      </c>
      <c r="B13" t="inlineStr">
        <is>
          <t>【2枚セット】 iPhone11Pro / iPhoneX/Xs ガラスフィルム 強化ガラス 日本製素材旭硝子製/硬度9H/高透過率/飛散防止処理/耐衝撃 iPhone 11 Pro 強化ガラスフィルム 防指紋/自動吸着/スクラッチ防止/気泡ゼロ 全面保護 フィルム アイフォン 11 Pro/X/Xs 液晶保護フィルム（5.8インチ 用）</t>
        </is>
      </c>
      <c r="C13" t="inlineStr">
        <is>
          <t>￥599</t>
        </is>
      </c>
      <c r="D13" t="inlineStr">
        <is>
          <t>4.9</t>
        </is>
      </c>
      <c r="E13">
        <f>HYPERLINK("https://www.amazon.co.jp/Transmittance-Shatterproof-Fingerprint-Proof-Adsorption-Prevention/dp/B08D5XGYHX/ref=sr_1_13?__mk_ja_JP=%E3%82%AB%E3%82%BF%E3%82%AB%E3%83%8A&amp;dchild=1&amp;keywords=iphone+x&amp;qid=1598523957&amp;sr=8-13", "Go")</f>
        <v/>
      </c>
    </row>
    <row r="14">
      <c r="A14" s="1" t="n">
        <v>12</v>
      </c>
      <c r="B14" t="inlineStr">
        <is>
          <t>USB Type C ケーブル【4本セット 0.25m+1m+1m+2m】タイプc ケーブル 急速充電 高速データ転送 高耐久 ナイロン編み アンドロイド 充電ケーブル HUAWEI、Galaxy、ASUS、AQUOS、Xperia、Nexus、Moto、Kindle、PS4、Xbox、Echo Dot Android microusb 各種対応(シルバー)</t>
        </is>
      </c>
      <c r="C14" t="inlineStr">
        <is>
          <t>￥1,079</t>
        </is>
      </c>
      <c r="D14" t="inlineStr">
        <is>
          <t>4.9</t>
        </is>
      </c>
      <c r="E14">
        <f>HYPERLINK("https://www.amazon.co.jp/%E3%82%B1%E3%83%BC%E3%83%96%E3%83%AB%E3%80%904%E6%9C%AC%E3%82%BB%E3%83%83%E3%83%88-2m%E3%80%91%E3%82%BF%E3%82%A4%E3%83%97c-%E9%AB%98%E9%80%9F%E3%83%87%E3%83%BC%E3%82%BF%E8%BB%A2%E9%80%81-HUAWEI%E3%80%81Galaxy%E3%80%81ASUS%E3%80%81AQUOS%E3%80%81Xperia%E3%80%81Nexus%E3%80%81Moto%E3%80%81Kindle%E3%80%81PS4%E3%80%81Xbox%E3%80%81Echo-microusb/dp/B08BZ2Z7LN/ref=sr_1_14?__mk_ja_JP=%E3%82%AB%E3%82%BF%E3%82%AB%E3%83%8A&amp;dchild=1&amp;keywords=iphone+x&amp;qid=1598523957&amp;sr=8-14", "Go")</f>
        <v/>
      </c>
    </row>
    <row r="15">
      <c r="A15" s="1" t="n">
        <v>13</v>
      </c>
      <c r="B15" t="inlineStr">
        <is>
          <t>iPhone 11 Pro Max ガラスフィルム iPhone XS Max ブルーライトカット 強化ガラスフィルム日本製素材旭硝子製 目の疲れ軽減 / 硬度9H / 99%高透過率/防指紋/自動吸着/スクラッチ防止/気泡ゼロ/飛散防止処理 iPhone 11 Pro Max/XS Max 液晶保護フィルム</t>
        </is>
      </c>
      <c r="C15" t="inlineStr">
        <is>
          <t>￥999</t>
        </is>
      </c>
      <c r="D15" t="inlineStr">
        <is>
          <t>4.9</t>
        </is>
      </c>
      <c r="E15">
        <f>HYPERLINK("https://www.amazon.co.jp/%E3%82%AC%E3%83%A9%E3%82%B9%E3%83%95%E3%82%A3%E3%83%AB%E3%83%A0-%E3%83%96%E3%83%AB%E3%83%BC%E3%83%A9%E3%82%A4%E3%83%88%E3%82%AB%E3%83%83%E3%83%88-%E5%BC%B7%E5%8C%96%E3%82%AC%E3%83%A9%E3%82%B9%E3%83%95%E3%82%A3%E3%83%AB%E3%83%A0%E6%97%A5%E6%9C%AC%E8%A3%BD%E7%B4%A0%E6%9D%90%E6%97%AD%E7%A1%9D%E5%AD%90%E8%A3%BD-99-%E9%AB%98%E9%80%8F%E9%81%8E%E7%8E%87-%E6%B6%B2%E6%99%B6%E4%BF%9D%E8%AD%B7%E3%83%95%E3%82%A3%E3%83%AB%E3%83%A0/dp/B085T958FL/ref=sr_1_15?__mk_ja_JP=%E3%82%AB%E3%82%BF%E3%82%AB%E3%83%8A&amp;dchild=1&amp;keywords=iphone+x&amp;qid=1598523957&amp;sr=8-15", "Go")</f>
        <v/>
      </c>
    </row>
    <row r="16">
      <c r="A16" s="1" t="n">
        <v>14</v>
      </c>
      <c r="B16" t="inlineStr">
        <is>
          <t>iPhone 11 Pro ガラスフィルム /硬度9H/ 【覗き見防止】 iPhone XS/iPhone X プライバシー 保護 フィルム/日本製素材旭硝子製/気泡防止/スクラッチ防止/飛散防止処理/防指紋/自動吸着/iPhone 11 Pro/iPhone X 覗き見防止フィルム</t>
        </is>
      </c>
      <c r="C16" t="inlineStr">
        <is>
          <t>￥499</t>
        </is>
      </c>
      <c r="D16" t="inlineStr">
        <is>
          <t>4.9</t>
        </is>
      </c>
      <c r="E16">
        <f>HYPERLINK("https://www.amazon.co.jp/dp/B08DQYJLDG/ref=sr_1_16?__mk_ja_JP=%E3%82%AB%E3%82%BF%E3%82%AB%E3%83%8A&amp;dchild=1&amp;keywords=iphone+x&amp;qid=1598523957&amp;sr=8-16", "Go")</f>
        <v/>
      </c>
    </row>
    <row r="17">
      <c r="A17" s="1" t="n">
        <v>15</v>
      </c>
      <c r="B17" t="inlineStr">
        <is>
          <t>【2枚セット】ガラスフィルム 強化フィルム 液晶強化ガラスフィルム 全面保護フィルム iPhoneフィルム iPhoneガラスフィルム iPhone7 8ガラスフィルム アイフォン7 8ガラスフィルム 飛散防止 指紋防止加工 ブルーライトカット加工</t>
        </is>
      </c>
      <c r="C17" t="inlineStr">
        <is>
          <t>￥989</t>
        </is>
      </c>
      <c r="D17" t="inlineStr">
        <is>
          <t>4.9</t>
        </is>
      </c>
      <c r="E17">
        <f>HYPERLINK("https://www.amazon.co.jp/%E3%80%902%E6%9E%9A%E3%82%BB%E3%83%83%E3%83%88%E3%80%91%E3%82%AC%E3%83%A9%E3%82%B9%E3%83%95%E3%82%A3%E3%83%AB%E3%83%A0-%E6%B6%B2%E6%99%B6%E5%BC%B7%E5%8C%96%E3%82%AC%E3%83%A9%E3%82%B9%E3%83%95%E3%82%A3%E3%83%AB%E3%83%A0-iPhone%E3%83%95%E3%82%A3%E3%83%AB%E3%83%A0-iPhone%E3%82%AC%E3%83%A9%E3%82%B9%E3%83%95%E3%82%A3%E3%83%AB%E3%83%A0-%E3%83%96%E3%83%AB%E3%83%BC%E3%83%A9%E3%82%A4%E3%83%88%E3%82%AB%E3%83%83%E3%83%88%E5%8A%A0%E5%B7%A5/dp/B084C8G7HB/ref=sr_1_17?__mk_ja_JP=%E3%82%AB%E3%82%BF%E3%82%AB%E3%83%8A&amp;dchild=1&amp;keywords=iphone+x&amp;qid=1598523957&amp;sr=8-17", "Go")</f>
        <v/>
      </c>
    </row>
    <row r="18">
      <c r="A18" s="1" t="n">
        <v>16</v>
      </c>
      <c r="B18" t="inlineStr">
        <is>
          <t>強化ガラスフィルム 液晶保護フィルム GRDDS684SDFKHUJKSD6</t>
        </is>
      </c>
      <c r="C18" t="inlineStr">
        <is>
          <t>￥9,577</t>
        </is>
      </c>
      <c r="D18" t="inlineStr">
        <is>
          <t>5</t>
        </is>
      </c>
      <c r="E18">
        <f>HYPERLINK("https://www.amazon.co.jp/Disskeword-%E5%BC%B7%E5%8C%96%E3%82%AC%E3%83%A9%E3%82%B9%E3%83%95%E3%82%A3%E3%83%AB%E3%83%A0-%E6%B6%B2%E6%99%B6%E4%BF%9D%E8%AD%B7%E3%83%95%E3%82%A3%E3%83%AB%E3%83%A0-GRDDS684SDFKHUJKSD6/dp/B07WPRX3DX/ref=sr_1_18?__mk_ja_JP=%E3%82%AB%E3%82%BF%E3%82%AB%E3%83%8A&amp;dchild=1&amp;keywords=iphone+x&amp;qid=1598523957&amp;sr=8-18", "Go")</f>
        <v/>
      </c>
    </row>
    <row r="19">
      <c r="A19" s="1" t="n">
        <v>17</v>
      </c>
      <c r="B19" t="inlineStr">
        <is>
          <t>WEWSTOUN 【覗き見防止】iPhone 11Pro/ iPhone X 覗き見防止ガラスフィルム 全面保護 専用 品質強化ガラス 全面保護フィルム 日本製素材旭硝子製 硬度9H/高い光透過率/防爆裂/指紋防止/硬度9H/気泡防止/スクラッチ防止 iPhone Xs 液晶保護フィルム</t>
        </is>
      </c>
      <c r="C19" t="inlineStr">
        <is>
          <t>￥899</t>
        </is>
      </c>
      <c r="D19" t="inlineStr">
        <is>
          <t>4.9</t>
        </is>
      </c>
      <c r="E19">
        <f>HYPERLINK("https://www.amazon.co.jp/dp/B08DNPVCWR/ref=sr_1_19?__mk_ja_JP=%E3%82%AB%E3%82%BF%E3%82%AB%E3%83%8A&amp;dchild=1&amp;keywords=iphone+x&amp;qid=1598523957&amp;sr=8-19", "Go")</f>
        <v/>
      </c>
    </row>
    <row r="20">
      <c r="A20" s="1" t="n">
        <v>18</v>
      </c>
      <c r="B20" t="inlineStr">
        <is>
          <t>SIATOES ワイヤレス充電器 急速 Qi 認証 10W 7.5W 5W ワイヤレス充電器 スマートフォンスタンド付き、Samsung Galaxy S20 / Note 10 / S10 / S9 Iphone SE 2020/11/11 Pro / 11 Pro Max/XR/XS/X / 8 Huawei Nokia/AirPods/AirPods Pro に対応</t>
        </is>
      </c>
      <c r="C20" t="inlineStr">
        <is>
          <t>￥2,780</t>
        </is>
      </c>
      <c r="D20" t="inlineStr">
        <is>
          <t>4.9</t>
        </is>
      </c>
      <c r="E20">
        <f>HYPERLINK("https://www.amazon.co.jp/SIATOES-%E3%83%AF%E3%82%A4%E3%83%A4%E3%83%AC%E3%82%B9%E5%85%85%E9%9B%BB%E5%99%A8-%E3%82%B9%E3%83%9E%E3%83%BC%E3%83%88%E3%83%95%E3%82%A9%E3%83%B3%E3%82%B9%E3%82%BF%E3%83%B3%E3%83%89%E4%BB%98%E3%81%8D%E3%80%81Samsung-Galaxy-AirPods/dp/B088RD5M11/ref=sr_1_20?__mk_ja_JP=%E3%82%AB%E3%82%BF%E3%82%AB%E3%83%8A&amp;dchild=1&amp;keywords=iphone+x&amp;qid=1598523957&amp;sr=8-20", "Go")</f>
        <v/>
      </c>
    </row>
    <row r="21">
      <c r="A21" s="1" t="n">
        <v>19</v>
      </c>
      <c r="B21" t="inlineStr">
        <is>
          <t>iPhone 11 Pro/iPhone XS/iPhone X ガラスフィルム【3枚セット】日本製素材旭硝子製 硬度9H / 99%高透過率/防指紋/自動吸着/スクラッチ防止/気泡ゼロ/飛散防止処理 iPhone 11 Pro 液晶保護フィルム iPhone XS/X 強化ガラスフィルム</t>
        </is>
      </c>
      <c r="C21" t="inlineStr">
        <is>
          <t>￥999</t>
        </is>
      </c>
      <c r="D21" t="inlineStr">
        <is>
          <t>4.9</t>
        </is>
      </c>
      <c r="E21">
        <f>HYPERLINK("https://www.amazon.co.jp/Transmittance-Anti-Fingerprint-Adsorption-Scratch-Proof-Shatterproof/dp/B085T4KKPH/ref=sr_1_21?__mk_ja_JP=%E3%82%AB%E3%82%BF%E3%82%AB%E3%83%8A&amp;dchild=1&amp;keywords=iphone+x&amp;qid=1598523957&amp;sr=8-21", "Go")</f>
        <v/>
      </c>
    </row>
    <row r="22">
      <c r="A22" s="1" t="n">
        <v>20</v>
      </c>
      <c r="B22" t="inlineStr">
        <is>
          <t>iPhone充電器 MFi認証 ライトニングケーブル 6本パック (3/6/6/6/10フィート) ナイロン織 メタルコネクター付き iPhone 11/Pro/Xs Max/X/8/7/Plus/6S/6/SE/5S iPad対応 シルバー&amp;ホワイト</t>
        </is>
      </c>
      <c r="C22" t="inlineStr">
        <is>
          <t>￥7,709</t>
        </is>
      </c>
      <c r="D22" t="inlineStr">
        <is>
          <t>4.9</t>
        </is>
      </c>
      <c r="E22">
        <f>HYPERLINK("https://www.amazon.co.jp/iPhone%E5%85%85%E9%9B%BB%E5%99%A8-%E3%83%A9%E3%82%A4%E3%83%88%E3%83%8B%E3%83%B3%E3%82%B0%E3%82%B1%E3%83%BC%E3%83%96%E3%83%AB-10%E3%83%95%E3%82%A3%E3%83%BC%E3%83%88-%E3%83%A1%E3%82%BF%E3%83%AB%E3%82%B3%E3%83%8D%E3%82%AF%E3%82%BF%E3%83%BC%E4%BB%98%E3%81%8D-iPhone/dp/B08B4SPVPW/ref=sr_1_22?__mk_ja_JP=%E3%82%AB%E3%82%BF%E3%82%AB%E3%83%8A&amp;dchild=1&amp;keywords=iphone+x&amp;qid=1598523957&amp;sr=8-22", "Go")</f>
        <v/>
      </c>
    </row>
    <row r="23">
      <c r="A23" s="1" t="n">
        <v>21</v>
      </c>
      <c r="B23" t="inlineStr">
        <is>
          <t>【2枚セット】iPhone 11 Pro/iPhone XS ガラスフィルム【全面保護/硬度9H】iPhone X 強化ガラス 日本「旭硝子」高透過率/飛散防止処理/耐衝撃 防指紋/自動吸着/気泡ゼロ iPhone 11 Pro/XS/X 液晶保護フィルム</t>
        </is>
      </c>
      <c r="C23" t="inlineStr">
        <is>
          <t>￥699</t>
        </is>
      </c>
      <c r="D23" t="inlineStr">
        <is>
          <t>5</t>
        </is>
      </c>
      <c r="E23">
        <f>HYPERLINK("https://www.amazon.co.jp/%E3%80%902%E6%9E%9A%E3%82%BB%E3%83%83%E3%83%88%E3%80%91iPhone-%E3%82%AC%E3%83%A9%E3%82%B9%E3%83%95%E3%82%A3%E3%83%AB%E3%83%A0%E3%80%90%E5%85%A8%E9%9D%A2%E4%BF%9D%E8%AD%B7-%E7%A1%AC%E5%BA%A69H%E3%80%91iPhone-%E6%97%A5%E6%9C%AC%E3%80%8C%E6%97%AD%E7%A1%9D%E5%AD%90%E3%80%8D%E9%AB%98%E9%80%8F%E9%81%8E%E7%8E%87-%E6%B6%B2%E6%99%B6%E4%BF%9D%E8%AD%B7%E3%83%95%E3%82%A3%E3%83%AB%E3%83%A0/dp/B08FRNV2R2/ref=sr_1_23?__mk_ja_JP=%E3%82%AB%E3%82%BF%E3%82%AB%E3%83%8A&amp;dchild=1&amp;keywords=iphone+x&amp;qid=1598523957&amp;sr=8-23", "Go")</f>
        <v/>
      </c>
    </row>
    <row r="24">
      <c r="A24" s="1" t="n">
        <v>22</v>
      </c>
      <c r="B24" t="inlineStr">
        <is>
          <t>The Pill Bag, 100 Count Ziplock Bag Size 3" X 2" 3 Mil (2) by Building Better Solutions Group [並行輸入品]</t>
        </is>
      </c>
      <c r="C24" t="inlineStr">
        <is>
          <t>￥1,150</t>
        </is>
      </c>
      <c r="D24" t="inlineStr">
        <is>
          <t>4.9</t>
        </is>
      </c>
      <c r="E24">
        <f>HYPERLINK("https://www.amazon.co.jp/Count-Ziplock-Building-Better-Solutions/dp/B00LZWVO52/ref=sr_1_24?__mk_ja_JP=%E3%82%AB%E3%82%BF%E3%82%AB%E3%83%8A&amp;dchild=1&amp;keywords=iphone+x&amp;qid=1598523957&amp;sr=8-24", "Go")</f>
        <v/>
      </c>
    </row>
    <row r="25">
      <c r="A25" s="1" t="n">
        <v>23</v>
      </c>
      <c r="B25" t="inlineStr">
        <is>
          <t>IMDEN ワイヤレス充電器 10W/7.5W/5W 【Qi認証】 【PSE認証済み】 LEDカラ フルなライト付き置くだけ充電 表面は布生地 microUSB接続 AirPods2/AirPods Pro/iPhone SE2/iPhone 11/ iPhone 11 Pro/iPhone 11 Pro Max/ iPhone Xs Max/ iPhoneXs/Galaxy S8/S8 plus/S7/S7 Edge/Nexus/LG G6/Xperia他のQi対応 の機種 対応 日本語説明書付き</t>
        </is>
      </c>
      <c r="C25" t="inlineStr">
        <is>
          <t>￥1,000</t>
        </is>
      </c>
      <c r="D25" t="inlineStr">
        <is>
          <t>5</t>
        </is>
      </c>
      <c r="E25">
        <f>HYPERLINK("https://www.amazon.co.jp/IMDEN-%E3%80%90PSE%E8%AA%8D%E8%A8%BC%E6%B8%88%E3%81%BF%E3%80%91-%E3%83%95%E3%83%AB%E3%81%AA%E3%83%A9%E3%82%A4%E3%83%88%E4%BB%98%E3%81%8D%E7%BD%AE%E3%81%8F%E3%81%A0%E3%81%91%E5%85%85%E9%9B%BB-microUSB%E6%8E%A5%E7%B6%9A-Xperia%E4%BB%96%E3%81%AEQi%E5%AF%BE%E5%BF%9C/dp/B08DJ914DV/ref=sr_1_25?__mk_ja_JP=%E3%82%AB%E3%82%BF%E3%82%AB%E3%83%8A&amp;dchild=1&amp;keywords=iphone+x&amp;qid=1598523957&amp;sr=8-25", "Go")</f>
        <v/>
      </c>
    </row>
    <row r="26">
      <c r="A26" s="1" t="n">
        <v>24</v>
      </c>
      <c r="B26" t="inlineStr">
        <is>
          <t>iPhone充電器 MFi認定ライトニングケーブル 5パック (2/2/2/2/2フィート) ナイロン製 メタルコネクター付き iPhone 11/Pro/Xs Max/X/8/7/Plus/6S/6/SE/5S iPad - ブラック&amp;レッド</t>
        </is>
      </c>
      <c r="C26" t="inlineStr">
        <is>
          <t>￥7,386</t>
        </is>
      </c>
      <c r="D26" t="inlineStr">
        <is>
          <t>4.9</t>
        </is>
      </c>
      <c r="E26">
        <f>HYPERLINK("https://www.amazon.co.jp/iPhone%E5%85%85%E9%9B%BB%E5%99%A8-MFi%E8%AA%8D%E5%AE%9A%E3%83%A9%E3%82%A4%E3%83%88%E3%83%8B%E3%83%B3%E3%82%B0%E3%82%B1%E3%83%BC%E3%83%96%E3%83%AB-2%E3%83%95%E3%82%A3%E3%83%BC%E3%83%88-%E3%83%A1%E3%82%BF%E3%83%AB%E3%82%B3%E3%83%8D%E3%82%AF%E3%82%BF%E3%83%BC%E4%BB%98%E3%81%8D-iPhone/dp/B08B4VX3RD/ref=sr_1_26?__mk_ja_JP=%E3%82%AB%E3%82%BF%E3%82%AB%E3%83%8A&amp;dchild=1&amp;keywords=iphone+x&amp;qid=1598523957&amp;sr=8-26", "Go")</f>
        <v/>
      </c>
    </row>
    <row r="27">
      <c r="A27" s="1" t="n">
        <v>25</v>
      </c>
      <c r="B27" t="inlineStr">
        <is>
          <t>WSCSR【5本セット 1/1/2/2/3M】 iPhone 充電ケーブル USB急速充電＆同期 ライトニングケーブル 高耐久 断線防止 アイフォン充電ケーブル iPhone/iPad/iPod各種対応 (ホワイト）</t>
        </is>
      </c>
      <c r="C27" t="inlineStr">
        <is>
          <t>￥1,299</t>
        </is>
      </c>
      <c r="D27" t="inlineStr">
        <is>
          <t>4.9</t>
        </is>
      </c>
      <c r="E27">
        <f>HYPERLINK("https://www.amazon.co.jp/dp/B088KMG1PV/ref=sr_1_27?__mk_ja_JP=%E3%82%AB%E3%82%BF%E3%82%AB%E3%83%8A&amp;dchild=1&amp;keywords=iphone+x&amp;qid=1598523957&amp;sr=8-27", "Go")</f>
        <v/>
      </c>
    </row>
    <row r="28">
      <c r="A28" s="1" t="n">
        <v>26</v>
      </c>
      <c r="B28" t="inlineStr">
        <is>
          <t>Sandisk SDSQXAO-128G-GNCZN memory card 128 GB MicroSDXC</t>
        </is>
      </c>
      <c r="C28" t="inlineStr">
        <is>
          <t>￥2,989</t>
        </is>
      </c>
      <c r="D28" t="inlineStr">
        <is>
          <t>4.8</t>
        </is>
      </c>
      <c r="E28">
        <f>HYPERLINK("https://www.amazon.co.jp/Sandisk-SDSQXAO-128G-GNCZN-memory-card-MicroSDXC/dp/B07KXQX3S3/ref=sr_1_28?__mk_ja_JP=%E3%82%AB%E3%82%BF%E3%82%AB%E3%83%8A&amp;dchild=1&amp;keywords=iphone+x&amp;qid=1598523957&amp;sr=8-28", "Go")</f>
        <v/>
      </c>
    </row>
    <row r="29">
      <c r="A29" s="1" t="n">
        <v>27</v>
      </c>
      <c r="B29" t="inlineStr">
        <is>
          <t>iPhone11 ケース クリア 6.1インチ 対応 全面 米軍MIL規格取得 耐衝撃 カメラ保護 衝撃吸収 Qi充電 ワイヤレス充電</t>
        </is>
      </c>
      <c r="C29" t="inlineStr">
        <is>
          <t>￥5,002</t>
        </is>
      </c>
      <c r="D29" t="inlineStr">
        <is>
          <t>4.8</t>
        </is>
      </c>
      <c r="E29">
        <f>HYPERLINK("https://www.amazon.co.jp/iPhone11-6-1%E3%82%A4%E3%83%B3%E3%83%81-%E7%B1%B3%E8%BB%8DMIL%E8%A6%8F%E6%A0%BC%E5%8F%96%E5%BE%97-%E3%82%AB%E3%83%A1%E3%83%A9%E4%BF%9D%E8%AD%B7-%E3%83%AF%E3%82%A4%E3%83%A4%E3%83%AC%E3%82%B9%E5%85%85%E9%9B%BB/dp/B07W4FMQ5Y/ref=sr_1_29?__mk_ja_JP=%E3%82%AB%E3%82%BF%E3%82%AB%E3%83%8A&amp;dchild=1&amp;keywords=iphone+x&amp;qid=1598523957&amp;sr=8-29", "Go")</f>
        <v/>
      </c>
    </row>
    <row r="30">
      <c r="A30" s="1" t="n">
        <v>28</v>
      </c>
      <c r="B30" t="inlineStr">
        <is>
          <t>CANSHN iPhone XRケース ソフトTPUバンパー[スリム薄い] iPhone XR 6.1インチ用ケース（2018） - 結晶クリアで透明な保護ヘビーデューティケース iPhone XR クリスタルクリア</t>
        </is>
      </c>
      <c r="C30" t="inlineStr">
        <is>
          <t>￥4,217</t>
        </is>
      </c>
      <c r="D30" t="inlineStr">
        <is>
          <t>4.8</t>
        </is>
      </c>
      <c r="E30">
        <f>HYPERLINK("https://www.amazon.co.jp/CANSHN-iPhone-%E3%82%BD%E3%83%95%E3%83%88TPU%E3%83%90%E3%83%B3%E3%83%91%E3%83%BC-6-1%E3%82%A4%E3%83%B3%E3%83%81%E7%94%A8%E3%82%B1%E3%83%BC%E3%82%B9%EF%BC%882018%EF%BC%89-%E7%B5%90%E6%99%B6%E3%82%AF%E3%83%AA%E3%82%A2%E3%81%A7%E9%80%8F%E6%98%8E%E3%81%AA%E4%BF%9D%E8%AD%B7%E3%83%98%E3%83%93%E3%83%BC%E3%83%87%E3%83%A5%E3%83%BC%E3%83%86%E3%82%A3%E3%82%B1%E3%83%BC%E3%82%B9/dp/B07JFNKMK5/ref=sr_1_30?__mk_ja_JP=%E3%82%AB%E3%82%BF%E3%82%AB%E3%83%8A&amp;dchild=1&amp;keywords=iphone+x&amp;qid=1598523957&amp;sr=8-30", "Go")</f>
        <v/>
      </c>
    </row>
    <row r="31">
      <c r="A31" s="1" t="n">
        <v>29</v>
      </c>
      <c r="B31" t="inlineStr">
        <is>
          <t>OMOTONスマホ スタンドデスクトップ携帯電話スタンド[アップデートされたソリッドバージョン]、スイッチ、携帯電話、iPhone 11 Pro Xs Max Xr用の高度な4mm厚アルミニウムスタンドホルダー、 銀</t>
        </is>
      </c>
      <c r="C31" t="inlineStr">
        <is>
          <t>￥1,299</t>
        </is>
      </c>
      <c r="D31" t="inlineStr">
        <is>
          <t>4.8</t>
        </is>
      </c>
      <c r="E31">
        <f>HYPERLINK("https://www.amazon.co.jp/OMOTON-FBA_4326950253-%E6%9B%B4%E6%96%B0%E3%81%95%E3%82%8C%E3%81%9F%E3%82%BD%E3%83%AA%E3%83%83%E3%83%89%E3%83%90%E3%83%BC%E3%82%B8%E3%83%A7%E3%83%B3-1%E3%82%A4%E3%83%B3%E3%83%81%EF%BC%89%E3%80%81%E3%82%B7%E3%83%AB%E3%83%90%E3%83%BC/dp/B01E8B4V38/ref=sr_1_31?__mk_ja_JP=%E3%82%AB%E3%82%BF%E3%82%AB%E3%83%8A&amp;dchild=1&amp;keywords=iphone+x&amp;qid=1598523957&amp;sr=8-31", "Go")</f>
        <v/>
      </c>
    </row>
    <row r="32">
      <c r="A32" s="1" t="n">
        <v>30</v>
      </c>
      <c r="B32" t="inlineStr">
        <is>
          <t>Lamicall Desktop Cell Phone Stand : Cradle, Dock For all Android Smartphone, iPhone 6 6s 7 Plus 5 5s 5c charging, Accessories Desk - Silver by Lamicall</t>
        </is>
      </c>
      <c r="C32" t="inlineStr">
        <is>
          <t>￥6,282</t>
        </is>
      </c>
      <c r="D32" t="inlineStr">
        <is>
          <t>4.8</t>
        </is>
      </c>
      <c r="E32">
        <f>HYPERLINK("https://www.amazon.co.jp/Lamicall-Desktop-Cell-Phone-Stand/dp/B014INJCT4/ref=sr_1_32?__mk_ja_JP=%E3%82%AB%E3%82%BF%E3%82%AB%E3%83%8A&amp;dchild=1&amp;keywords=iphone+x&amp;qid=1598523957&amp;sr=8-32", "Go")</f>
        <v/>
      </c>
    </row>
    <row r="33">
      <c r="A33" s="1" t="n">
        <v>31</v>
      </c>
      <c r="B33" t="inlineStr">
        <is>
          <t>Mkeke iPhone 11 Pro Max ケース クリア iPhone 11 Pro Max カバー 衝撃吸収 携帯電話ケース 6.5インチ iPhone 11 Pro Max Case</t>
        </is>
      </c>
      <c r="C33" t="inlineStr">
        <is>
          <t>￥5,616</t>
        </is>
      </c>
      <c r="D33" t="inlineStr">
        <is>
          <t>4.8</t>
        </is>
      </c>
      <c r="E33">
        <f>HYPERLINK("https://www.amazon.co.jp/Mkeke-iPhone-%E8%A1%9D%E6%92%83%E5%90%B8%E5%8F%8E-%E6%90%BA%E5%B8%AF%E9%9B%BB%E8%A9%B1%E3%82%B1%E3%83%BC%E3%82%B9-6-5%E3%82%A4%E3%83%B3%E3%83%81/dp/B07WBV9J5W/ref=sr_1_33?__mk_ja_JP=%E3%82%AB%E3%82%BF%E3%82%AB%E3%83%8A&amp;dchild=1&amp;keywords=iphone+x&amp;qid=1598523957&amp;sr=8-33", "Go")</f>
        <v/>
      </c>
    </row>
    <row r="34">
      <c r="A34" s="1" t="n">
        <v>32</v>
      </c>
      <c r="B34" t="inlineStr">
        <is>
          <t>6.5電話TPU+PCケース2019クリア</t>
        </is>
      </c>
      <c r="C34" t="inlineStr">
        <is>
          <t>￥4,005</t>
        </is>
      </c>
      <c r="D34" t="inlineStr">
        <is>
          <t>4.8</t>
        </is>
      </c>
      <c r="E34">
        <f>HYPERLINK("https://www.amazon.co.jp/OULUOQI-6-5%E9%9B%BB%E8%A9%B1TPU-PC%E3%82%B1%E3%83%BC%E3%82%B92019%E3%82%AF%E3%83%AA%E3%82%A2/dp/B07WR4J1GN/ref=sr_1_34?__mk_ja_JP=%E3%82%AB%E3%82%BF%E3%82%AB%E3%83%8A&amp;dchild=1&amp;keywords=iphone+x&amp;qid=1598523957&amp;sr=8-34", "Go")</f>
        <v/>
      </c>
    </row>
    <row r="35">
      <c r="A35" s="1" t="n">
        <v>33</v>
      </c>
      <c r="B35" t="inlineStr">
        <is>
          <t>iPhone 充電ケーブル MoYaGoa Lightning ケーブル 2本セット（1M+1M）USBケーブル 高速データ伝送 急速充電 断線防止 超高耐久 柔軟性 標準仕様 ライトニング iPhone 11/XS/XS Max/XR/X/8/8Plus/7/7 Plus/6s/6s Plus/6/6 Plus/5s/5/iPad/iPod/SE2020各種対応</t>
        </is>
      </c>
      <c r="C35" t="inlineStr">
        <is>
          <t>￥1,099</t>
        </is>
      </c>
      <c r="D35" t="inlineStr">
        <is>
          <t>4.8</t>
        </is>
      </c>
      <c r="E35">
        <f>HYPERLINK("https://www.amazon.co.jp/MoYaGoa-Lightning-2%E6%9C%AC%E3%82%BB%E3%83%83%E3%83%88%EF%BC%881M-1M%EF%BC%89USB%E3%82%B1%E3%83%BC%E3%83%96%E3%83%AB-SE2020%E5%90%84%E7%A8%AE%E5%AF%BE%E5%BF%9C/dp/B08F2691YX/ref=sr_1_35?__mk_ja_JP=%E3%82%AB%E3%82%BF%E3%82%AB%E3%83%8A&amp;dchild=1&amp;keywords=iphone+x&amp;qid=1598523957&amp;sr=8-35", "Go")</f>
        <v/>
      </c>
    </row>
    <row r="36">
      <c r="A36" s="1" t="n">
        <v>34</v>
      </c>
      <c r="B36" t="inlineStr">
        <is>
          <t>iPhone 11ケース [ミリタリーグレード] 15フィート。 落下テスト済み保護ケース | キックスタンド | Apple iPhone 11 6.1インチ対応 - ブラック</t>
        </is>
      </c>
      <c r="C36" t="inlineStr">
        <is>
          <t>￥6,398</t>
        </is>
      </c>
      <c r="D36" t="inlineStr">
        <is>
          <t>4.8</t>
        </is>
      </c>
      <c r="E36">
        <f>HYPERLINK("https://www.amazon.co.jp/askhc-002/dp/B07Y88PCKL/ref=sr_1_36?__mk_ja_JP=%E3%82%AB%E3%82%BF%E3%82%AB%E3%83%8A&amp;dchild=1&amp;keywords=iphone+x&amp;qid=1598523957&amp;sr=8-36", "Go")</f>
        <v/>
      </c>
    </row>
    <row r="37">
      <c r="A37" s="1" t="n">
        <v>35</v>
      </c>
      <c r="B37" t="inlineStr">
        <is>
          <t>Mkeke iPhone 8 ケース iPhone 7 ケース クリア 衝撃吸収ケース iPhone 8 と iPhone 7 カバー</t>
        </is>
      </c>
      <c r="C37" t="inlineStr">
        <is>
          <t>￥4,940</t>
        </is>
      </c>
      <c r="D37" t="inlineStr">
        <is>
          <t>4.8</t>
        </is>
      </c>
      <c r="E37">
        <f>HYPERLINK("https://www.amazon.co.jp/iphone-SE/dp/B07V59RL8L/ref=sr_1_37?__mk_ja_JP=%E3%82%AB%E3%82%BF%E3%82%AB%E3%83%8A&amp;dchild=1&amp;keywords=iphone+x&amp;qid=1598523957&amp;sr=8-37", "Go")</f>
        <v/>
      </c>
    </row>
    <row r="38">
      <c r="A38" s="1" t="n">
        <v>36</v>
      </c>
      <c r="B38" t="inlineStr">
        <is>
          <t>Oculus Quest (オキュラス クエスト) 128GB [並行輸入品]</t>
        </is>
      </c>
      <c r="C38" t="inlineStr">
        <is>
          <t>￥79,800</t>
        </is>
      </c>
      <c r="D38" t="inlineStr">
        <is>
          <t>4.8</t>
        </is>
      </c>
      <c r="E38">
        <f>HYPERLINK("https://www.amazon.co.jp/Oculus-Quest-%E3%82%AA%E3%82%AD%E3%83%A5%E3%83%A9%E3%82%B9-128GB-%E4%B8%A6%E8%A1%8C%E8%BC%B8%E5%85%A5%E5%93%81/dp/B07PRDGYTW/ref=sr_1_38?__mk_ja_JP=%E3%82%AB%E3%82%BF%E3%82%AB%E3%83%8A&amp;dchild=1&amp;keywords=iphone+x&amp;qid=1598523957&amp;sr=8-38", "Go")</f>
        <v/>
      </c>
    </row>
    <row r="39">
      <c r="A39" s="1" t="n">
        <v>37</v>
      </c>
      <c r="B39" t="inlineStr">
        <is>
          <t>調整可能な携帯電話スタンド、Lamicall電話スタンド：[更新バージョン]クレードル、ドック、ホルダーiPhone対応Xs XR 8 x 7 6 6 s Plus SE 5 5 s充電、アクセサリデスク、Androidスマートフォン - シルバー</t>
        </is>
      </c>
      <c r="C39" t="inlineStr">
        <is>
          <t>￥11,956</t>
        </is>
      </c>
      <c r="D39" t="inlineStr">
        <is>
          <t>4.8</t>
        </is>
      </c>
      <c r="E39">
        <f>HYPERLINK("https://www.amazon.co.jp/%E8%AA%BF%E6%95%B4%E5%8F%AF%E8%83%BD%E3%81%AA%E6%90%BA%E5%B8%AF%E9%9B%BB%E8%A9%B1%E3%82%B9%E3%82%BF%E3%83%B3%E3%83%89%E3%80%81Lamicall%E9%9B%BB%E8%A9%B1%E3%82%B9%E3%82%BF%E3%83%B3%E3%83%89%EF%BC%9A-%E6%9B%B4%E6%96%B0%E3%83%90%E3%83%BC%E3%82%B8%E3%83%A7%E3%83%B3-%E3%82%AF%E3%83%AC%E3%83%BC%E3%83%89%E3%83%AB%E3%80%81%E3%83%89%E3%83%83%E3%82%AF%E3%80%81%E3%83%9B%E3%83%AB%E3%83%80%E3%83%BCiPhone%E5%AF%BE%E5%BF%9CXs-Plus-s%E5%85%85%E9%9B%BB%E3%80%81%E3%82%A2%E3%82%AF%E3%82%BB%E3%82%B5%E3%83%AA%E3%83%87%E3%82%B9%E3%82%AF%E3%80%81Android%E3%82%B9%E3%83%9E%E3%83%BC%E3%83%88%E3%83%95%E3%82%A9%E3%83%B3/dp/B01M4NOUMB/ref=sr_1_39?__mk_ja_JP=%E3%82%AB%E3%82%BF%E3%82%AB%E3%83%8A&amp;dchild=1&amp;keywords=iphone+x&amp;qid=1598523957&amp;sr=8-39", "Go")</f>
        <v/>
      </c>
    </row>
    <row r="40">
      <c r="A40" s="1" t="n">
        <v>38</v>
      </c>
      <c r="B40" t="inlineStr">
        <is>
          <t>Meifigno New Magic Series EPhone XRケース 6.1インチ</t>
        </is>
      </c>
      <c r="C40" t="inlineStr">
        <is>
          <t>￥8,031</t>
        </is>
      </c>
      <c r="D40" t="inlineStr">
        <is>
          <t>4.8</t>
        </is>
      </c>
      <c r="E40">
        <f>HYPERLINK("https://www.amazon.co.jp/Meifigno-Magic-EPhone-XR%E3%82%B1%E3%83%BC%E3%82%B9-6-1%E3%82%A4%E3%83%B3%E3%83%81/dp/B07WS93W75/ref=sr_1_40?__mk_ja_JP=%E3%82%AB%E3%82%BF%E3%82%AB%E3%83%8A&amp;dchild=1&amp;keywords=iphone+x&amp;qid=1598523957&amp;sr=8-40", "Go")</f>
        <v/>
      </c>
    </row>
    <row r="41">
      <c r="A41" s="1" t="n">
        <v>39</v>
      </c>
      <c r="B41" t="inlineStr">
        <is>
          <t>【2枚セット】iPhone 11 Pro/iPhone 11 Pro Max カメラフィルム 日本製素材旭硝子製 硬度9H/全面保護 強化ガラス 全面保護レンズ/高透過率/飛散防止/耐衝撃 防指紋/貼り付け簡単/自動吸着/優れた密着性/気泡ゼロ アイフォン11 Pro/ 11 Pro Max 超薄型レンズ保護フィルム</t>
        </is>
      </c>
      <c r="C41" t="inlineStr">
        <is>
          <t>￥1,299</t>
        </is>
      </c>
      <c r="D41" t="inlineStr">
        <is>
          <t>4.9</t>
        </is>
      </c>
      <c r="E41">
        <f>HYPERLINK("https://www.amazon.co.jp/%E3%80%902%E6%9E%9A%E3%82%BB%E3%83%83%E3%83%88%E3%80%91iPhone-%E3%82%AB%E3%83%A1%E3%83%A9%E3%83%95%E3%82%A3%E3%83%AB%E3%83%A0-%E6%97%A5%E6%9C%AC%E8%A3%BD%E7%B4%A0%E6%9D%90%E6%97%AD%E7%A1%9D%E5%AD%90%E8%A3%BD-%E5%85%A8%E9%9D%A2%E4%BF%9D%E8%AD%B7%E3%83%AC%E3%83%B3%E3%82%BA-%E8%B6%85%E8%96%84%E5%9E%8B%E3%83%AC%E3%83%B3%E3%82%BA%E4%BF%9D%E8%AD%B7%E3%83%95%E3%82%A3%E3%83%AB%E3%83%A0/dp/B08DW5F6JF/ref=sr_1_41?__mk_ja_JP=%E3%82%AB%E3%82%BF%E3%82%AB%E3%83%8A&amp;dchild=1&amp;keywords=iphone+x&amp;qid=1598523957&amp;sr=8-41", "Go")</f>
        <v/>
      </c>
    </row>
    <row r="42">
      <c r="A42" s="1" t="n">
        <v>40</v>
      </c>
      <c r="B42" t="inlineStr">
        <is>
          <t>PELICAN ハードケース 1200 ブラック 1200-000-110</t>
        </is>
      </c>
      <c r="C42" t="inlineStr">
        <is>
          <t>￥9,599</t>
        </is>
      </c>
      <c r="D42" t="inlineStr">
        <is>
          <t>4.8</t>
        </is>
      </c>
      <c r="E42">
        <f>HYPERLINK("https://www.amazon.co.jp/PELICAN-%E3%83%8F%E3%83%BC%E3%83%89%E3%82%B1%E3%83%BC%E3%82%B9-1200-%E3%83%96%E3%83%A9%E3%83%83%E3%82%AF-1200-000-110/dp/B0002INQT2/ref=sr_1_42?__mk_ja_JP=%E3%82%AB%E3%82%BF%E3%82%AB%E3%83%8A&amp;dchild=1&amp;keywords=iphone+x&amp;qid=1598523957&amp;sr=8-42", "Go")</f>
        <v/>
      </c>
    </row>
    <row r="43">
      <c r="A43" s="1" t="n">
        <v>41</v>
      </c>
      <c r="B43" t="inlineStr">
        <is>
          <t>Mkeke iPhone 8 Plus用ケース iPhone 7 Plus用ケース 透明 傷防止 衝撃吸収カバーケース iPhone 8 Plus/7 Plus用</t>
        </is>
      </c>
      <c r="C43" t="inlineStr">
        <is>
          <t>￥7,449</t>
        </is>
      </c>
      <c r="D43" t="inlineStr">
        <is>
          <t>4.8</t>
        </is>
      </c>
      <c r="E43">
        <f>HYPERLINK("https://www.amazon.co.jp/Mkeke-iPhone-Plus%E3%82%B1%E3%83%BC%E3%82%B9-%E3%82%AF%E3%83%AA%E3%82%A2%E8%A1%9D%E6%92%83%E5%90%B8%E5%8F%8E%E3%82%B1%E3%83%BC%E3%82%B9-Plus%E3%82%AB%E3%83%90%E3%83%BC%E7%94%A8/dp/B07V6D1X19/ref=sr_1_43?__mk_ja_JP=%E3%82%AB%E3%82%BF%E3%82%AB%E3%83%8A&amp;dchild=1&amp;keywords=iphone+x&amp;qid=1598523957&amp;sr=8-43", "Go")</f>
        <v/>
      </c>
    </row>
    <row r="44">
      <c r="A44" s="1" t="n">
        <v>42</v>
      </c>
      <c r="B44" t="inlineStr">
        <is>
          <t>2020 純正 iPhone充電ケーブル 急速充電 ライトニング USBケーブル データ伝送 Lightning ケーブル iPhone 11Pro MAX/11Pro/11/XS MAX/XS/XR/X/8/7/6/6s/5/SE/5s/iPad/iPod に適用 1M</t>
        </is>
      </c>
      <c r="C44" t="inlineStr">
        <is>
          <t>￥799</t>
        </is>
      </c>
      <c r="D44" t="inlineStr">
        <is>
          <t>4.8</t>
        </is>
      </c>
      <c r="E44">
        <f>HYPERLINK("https://www.amazon.co.jp/iPhone%E5%85%85%E9%9B%BB%E3%82%B1%E3%83%BC%E3%83%96%E3%83%AB-%E3%83%A9%E3%82%A4%E3%83%88%E3%83%8B%E3%83%B3%E3%82%B0-USB%E3%82%B1%E3%83%BC%E3%83%96%E3%83%AB-Lightning-iPhone/dp/B08FMJ39NN/ref=sr_1_44?__mk_ja_JP=%E3%82%AB%E3%82%BF%E3%82%AB%E3%83%8A&amp;dchild=1&amp;keywords=iphone+x&amp;qid=1598523957&amp;sr=8-44", "Go")</f>
        <v/>
      </c>
    </row>
    <row r="45">
      <c r="A45" s="1" t="n">
        <v>43</v>
      </c>
      <c r="B45" t="inlineStr">
        <is>
          <t>PopGrip The Child Cup POPSOCKETS（ポップソケッツ） スマホリング スマホスタンド スマホグリップ スマホアクセサリー iPhone Android</t>
        </is>
      </c>
      <c r="C45" t="inlineStr">
        <is>
          <t>￥2,420</t>
        </is>
      </c>
      <c r="D45" t="inlineStr">
        <is>
          <t>4.8</t>
        </is>
      </c>
      <c r="E45">
        <f>HYPERLINK("https://www.amazon.co.jp/PopGrip-POPSOCKETS%EF%BC%88%E3%83%9D%E3%83%83%E3%83%97%E3%82%BD%E3%82%B1%E3%83%83%E3%83%84%EF%BC%89-%E3%82%B9%E3%83%9E%E3%83%9B%E3%82%B9%E3%82%BF%E3%83%B3%E3%83%89-%E3%82%B9%E3%83%9E%E3%83%9B%E3%82%B0%E3%83%AA%E3%83%83%E3%83%97-%E3%82%B9%E3%83%9E%E3%83%9B%E3%82%A2%E3%82%AF%E3%82%BB%E3%82%B5%E3%83%AA%E3%83%BC/dp/B082PJW2YQ/ref=sr_1_45?__mk_ja_JP=%E3%82%AB%E3%82%BF%E3%82%AB%E3%83%8A&amp;dchild=1&amp;keywords=iphone+x&amp;qid=1598523957&amp;sr=8-45", "Go")</f>
        <v/>
      </c>
    </row>
    <row r="46">
      <c r="A46" s="1" t="n">
        <v>44</v>
      </c>
      <c r="B46" t="inlineStr">
        <is>
          <t>GVIEWIN 大理石 iPhone 11 Pro Max ケース スリム 薄型 光沢 ソフト TPU ラバー ジェル 電話ケース カバー iPhone 11 Pro Max 6.5インチ対応 2019年発売 GW-XFS</t>
        </is>
      </c>
      <c r="C46" t="inlineStr">
        <is>
          <t>￥6,983</t>
        </is>
      </c>
      <c r="D46" t="inlineStr">
        <is>
          <t>4.8</t>
        </is>
      </c>
      <c r="E46">
        <f>HYPERLINK("https://www.amazon.co.jp/GVIEWIN-iPhone-%E9%9B%BB%E8%A9%B1%E3%82%B1%E3%83%BC%E3%82%B9-6-5%E3%82%A4%E3%83%B3%E3%83%81%E5%AF%BE%E5%BF%9C-2019%E5%B9%B4%E7%99%BA%E5%A3%B2/dp/B07VNLN3RN/ref=sr_1_46?__mk_ja_JP=%E3%82%AB%E3%82%BF%E3%82%AB%E3%83%8A&amp;dchild=1&amp;keywords=iphone+x&amp;qid=1598523957&amp;sr=8-46", "Go")</f>
        <v/>
      </c>
    </row>
    <row r="47">
      <c r="A47" s="1" t="n">
        <v>45</v>
      </c>
      <c r="B47" t="inlineStr">
        <is>
          <t>Ntjsmc iPhone7/8 ケース 超薄型 全面保護 耐衝撃 指紋防止 黄変防止 高透明感 スマホ TPUシリコン クリア カバー</t>
        </is>
      </c>
      <c r="C47" t="inlineStr">
        <is>
          <t>￥1,299</t>
        </is>
      </c>
      <c r="D47" t="inlineStr">
        <is>
          <t>4.8</t>
        </is>
      </c>
      <c r="E47">
        <f>HYPERLINK("https://www.amazon.co.jp/Ntjsmc-iPhone7-%E3%82%B1%E3%83%BC%E3%82%B9-%E5%85%A8%E9%9D%A2%E4%BF%9D%E8%AD%B7-TPU%E3%82%B7%E3%83%AA%E3%82%B3%E3%83%B3/dp/B0865TR9JC/ref=sr_1_47?__mk_ja_JP=%E3%82%AB%E3%82%BF%E3%82%AB%E3%83%8A&amp;dchild=1&amp;keywords=iphone+x&amp;qid=1598523957&amp;sr=8-47", "Go")</f>
        <v/>
      </c>
    </row>
    <row r="48">
      <c r="A48" s="1" t="n">
        <v>46</v>
      </c>
      <c r="B48" t="inlineStr">
        <is>
          <t>GVIEWIN iPhone 11 Pro Maxケース クリアフラワーデザイン ソフト＆柔軟 TPU 超薄型 耐衝撃 透明 バンパー 保護フローラルカバーケース iPhone 11 Pro Max 6.5インチ2019用</t>
        </is>
      </c>
      <c r="C48" t="inlineStr">
        <is>
          <t>￥7,056</t>
        </is>
      </c>
      <c r="D48" t="inlineStr">
        <is>
          <t>4.8</t>
        </is>
      </c>
      <c r="E48">
        <f>HYPERLINK("https://www.amazon.co.jp/GVIEWIN-iPhone-%E3%82%AF%E3%83%AA%E3%82%A2%E3%83%95%E3%83%A9%E3%83%AF%E3%83%BC%E3%83%87%E3%82%B6%E3%82%A4%E3%83%B3-%E4%BF%9D%E8%AD%B7%E3%83%95%E3%83%AD%E3%83%BC%E3%83%A9%E3%83%AB%E3%82%AB%E3%83%90%E3%83%BC%E3%82%B1%E3%83%BC%E3%82%B9-6-5%E3%82%A4%E3%83%B3%E3%83%812019%E7%94%A8/dp/B07VT11QK2/ref=sr_1_48?__mk_ja_JP=%E3%82%AB%E3%82%BF%E3%82%AB%E3%83%8A&amp;dchild=1&amp;keywords=iphone+x&amp;qid=1598523957&amp;sr=8-48", "Go")</f>
        <v/>
      </c>
    </row>
    <row r="49">
      <c r="A49" s="1" t="n">
        <v>47</v>
      </c>
      <c r="B49" t="inlineStr">
        <is>
          <t>TORRAS iPhone Xs ケース iPhone X ケース 半透明 耐衝撃 米軍MIL規格マット感【2020年新型】ストラップホール付き SGS認証 黄変防止 Qi充電対応 アイフォン X/Xs用カバー(ブラック)</t>
        </is>
      </c>
      <c r="C49" t="inlineStr">
        <is>
          <t>￥1,930</t>
        </is>
      </c>
      <c r="D49" t="inlineStr">
        <is>
          <t>4.4</t>
        </is>
      </c>
      <c r="E49">
        <f>HYPERLINK("https://www.amazon.co.jp/dp/B0855CLXPR/ref=sr_1_49_sspa?__mk_ja_JP=%E3%82%AB%E3%82%BF%E3%82%AB%E3%83%8A&amp;dchild=1&amp;keywords=iphone+x&amp;qid=1598523957&amp;sr=8-49-spons&amp;psc=1&amp;spLa=ZW5jcnlwdGVkUXVhbGlmaWVyPUFHOFVXUlpOMkxVVE0mZW5jcnlwdGVkSWQ9QTA0NTg1NzYyV1FGUlhZOFRRUzRLJmVuY3J5cHRlZEFkSWQ9QTNQQUVJSzNCTFMzOVQmd2lkZ2V0TmFtZT1zcF9idGYmYWN0aW9uPWNsaWNrUmVkaXJlY3QmZG9Ob3RMb2dDbGljaz10cnVl", "Go")</f>
        <v/>
      </c>
    </row>
    <row r="50">
      <c r="A50" s="1" t="n">
        <v>48</v>
      </c>
      <c r="B50" t="inlineStr">
        <is>
          <t>【Humixx】iPhone Xs ケース iPhone X ケース 高透明感 日本旭硝子製 強化ガラス カバー 超クリア TPUバンパー 全面保護 衝撃吸収 ワイヤレス充電対応 ハイブリッドケース ［Crystal Series](5.8")</t>
        </is>
      </c>
      <c r="C50" t="inlineStr">
        <is>
          <t>￥1,999</t>
        </is>
      </c>
      <c r="D50" t="inlineStr">
        <is>
          <t>4.3</t>
        </is>
      </c>
      <c r="E50">
        <f>HYPERLINK("https://www.amazon.co.jp/%E3%80%90Humixx%E3%80%91iPhone-iPhone-%E8%83%8C%E9%9D%A2%E3%82%AC%E3%83%A9%E3%82%B9%E3%82%B1%E3%83%BC%E3%82%B9-%E3%82%B9%E3%83%88%E3%83%A9%E3%83%83%E3%83%97%E3%83%9B%E3%83%BC%E3%83%AB%E4%BB%98%E3%81%8D-%E6%BB%91%E3%82%8A%E6%AD%A2%E3%82%81%EF%BC%BBCrystal/dp/B077TPC1LP/ref=sr_1_50_sspa?__mk_ja_JP=%E3%82%AB%E3%82%BF%E3%82%AB%E3%83%8A&amp;dchild=1&amp;keywords=iphone+x&amp;qid=1598523957&amp;sr=8-50-spons&amp;psc=1&amp;spLa=ZW5jcnlwdGVkUXVhbGlmaWVyPUFHOFVXUlpOMkxVVE0mZW5jcnlwdGVkSWQ9QTA0NTg1NzYyV1FGUlhZOFRRUzRLJmVuY3J5cHRlZEFkSWQ9QTJYT0FQVkpXRFBHVzQmd2lkZ2V0TmFtZT1zcF9idGYmYWN0aW9uPWNsaWNrUmVkaXJlY3QmZG9Ob3RMb2dDbGljaz10cnVl", "Go")</f>
        <v/>
      </c>
    </row>
    <row r="51">
      <c r="A51" s="1" t="n">
        <v>49</v>
      </c>
      <c r="B51" t="inlineStr">
        <is>
          <t>TORRAS iPhone Xs用 ケース/iPhone X用 ケース 9H強化ガラス背面+TPUバンパー 薄型 透明 日本旭硝子製 四隅滑り止め 黄変防止 ストラップホール付き ネイキッド アイフォンX/Xs用カバー (クリア)[Fancy Series]</t>
        </is>
      </c>
      <c r="C51" t="inlineStr">
        <is>
          <t>￥1,649</t>
        </is>
      </c>
      <c r="D51" t="inlineStr">
        <is>
          <t>4.3</t>
        </is>
      </c>
      <c r="E51">
        <f>HYPERLINK("https://www.amazon.co.jp/TORRAS-iPhone-%E8%83%8C%E9%9D%A2%E5%BC%B7%E5%8C%96%E3%82%AC%E3%83%A9%E3%82%B9xTPU%E3%83%8F%E3%82%A4%E3%83%96%E3%83%AA%E3%83%83%E3%83%89%E3%82%AB%E3%83%90%E3%83%BC-%E3%82%AC%E3%83%A9%E3%82%B9%E3%83%95%E3%82%A3%E3%83%AB%E3%83%A0%E4%BB%98%E5%B1%9E-%E3%82%AF%E3%83%AA%E3%82%A2%EF%BC%892017/dp/B07D36P8NX/ref=sr_1_51_sspa?__mk_ja_JP=%E3%82%AB%E3%82%BF%E3%82%AB%E3%83%8A&amp;dchild=1&amp;keywords=iphone+x&amp;qid=1598523957&amp;sr=8-51-spons&amp;psc=1&amp;spLa=ZW5jcnlwdGVkUXVhbGlmaWVyPUFHOFVXUlpOMkxVVE0mZW5jcnlwdGVkSWQ9QTA0NTg1NzYyV1FGUlhZOFRRUzRLJmVuY3J5cHRlZEFkSWQ9QTFZRlVKMkkzNTAxMDgmd2lkZ2V0TmFtZT1zcF9idGYmYWN0aW9uPWNsaWNrUmVkaXJlY3QmZG9Ob3RMb2dDbGljaz10cnVl", "Go")</f>
        <v/>
      </c>
    </row>
    <row r="52">
      <c r="A52" s="1" t="n">
        <v>50</v>
      </c>
      <c r="B52" t="inlineStr">
        <is>
          <t>iphone xs ガラスフィルム ブルーライト iphone11pro ガラスフィルム 全面 iphonexs ガラス保護フィルム 11pro ガラス （2枚セット/5.8インチ） アイフォン11Pro/Xs/X 用 ブルーライトカット フィルム 旭硝子/気泡ゼロ/割れない</t>
        </is>
      </c>
      <c r="C52" t="inlineStr">
        <is>
          <t>￥988</t>
        </is>
      </c>
      <c r="D52" t="inlineStr">
        <is>
          <t>4.2</t>
        </is>
      </c>
      <c r="E52">
        <f>HYPERLINK("https://www.amazon.co.jp/iphone11pro-iphonexs-%E3%82%AC%E3%83%A9%E3%82%B9%E4%BF%9D%E8%AD%B7%E3%83%95%E3%82%A3%E3%83%AB%E3%83%A0-11pro-%E3%82%A2%E3%82%A4%E3%83%95%E3%82%A9%E3%83%B311Pro/dp/B085464V34/ref=sr_1_52_sspa?__mk_ja_JP=%E3%82%AB%E3%82%BF%E3%82%AB%E3%83%8A&amp;dchild=1&amp;keywords=iphone+x&amp;qid=1598523957&amp;sr=8-52-spons&amp;psc=1&amp;spLa=ZW5jcnlwdGVkUXVhbGlmaWVyPUFHOFVXUlpOMkxVVE0mZW5jcnlwdGVkSWQ9QTA0NTg1NzYyV1FGUlhZOFRRUzRLJmVuY3J5cHRlZEFkSWQ9QTE5VllDMkE3RlFYSzYmd2lkZ2V0TmFtZT1zcF9idGYmYWN0aW9uPWNsaWNrUmVkaXJlY3QmZG9Ob3RMb2dDbGljaz10cnVl", "Go")</f>
        <v/>
      </c>
    </row>
    <row r="53">
      <c r="A53" s="1" t="n">
        <v>51</v>
      </c>
      <c r="B53" t="inlineStr">
        <is>
          <t>BONAVENTURA ボナベンチュラ ダイアリーケース [iPhone Xs/X, グレージュ×コーラル] BODTX-GGCP</t>
        </is>
      </c>
      <c r="C53" t="inlineStr">
        <is>
          <t>￥15,400</t>
        </is>
      </c>
      <c r="D53" t="inlineStr">
        <is>
          <t>4.3</t>
        </is>
      </c>
      <c r="E53">
        <f>HYPERLINK("https://www.amazon.co.jp/BONAVENTURA-%E3%83%9C%E3%83%8A%E3%83%99%E3%83%B3%E3%83%81%E3%83%A5%E3%83%A9-iPhone-%E3%83%80%E3%82%A4%E3%82%A2%E3%83%AA%E3%83%BC-%E3%82%B0%E3%83%AC%E3%83%BC%E3%82%B8%E3%83%A5%C3%97%E3%82%B3%E3%83%BC%E3%83%A9%E3%83%AB/dp/B07CZ1QDNC/ref=sr_1_49_sspa?__mk_ja_JP=%E3%82%AB%E3%82%BF%E3%82%AB%E3%83%8A&amp;dchild=1&amp;keywords=iphone+x&amp;qid=1598524223&amp;sr=8-49-spons&amp;psc=1&amp;spLa=ZW5jcnlwdGVkUXVhbGlmaWVyPUEyUUcyUVZJVTA4QkZIJmVuY3J5cHRlZElkPUEwMjM4NjY0M0sxNUtUOVJZNDhRViZlbmNyeXB0ZWRBZElkPUExUjhNWVYxOFlQNDBNJndpZGdldE5hbWU9c3BfYXRmX25leHQmYWN0aW9uPWNsaWNrUmVkaXJlY3QmZG9Ob3RMb2dDbGljaz10cnVl", "Go")</f>
        <v/>
      </c>
    </row>
    <row r="54">
      <c r="A54" s="1" t="n">
        <v>52</v>
      </c>
      <c r="B54" t="inlineStr">
        <is>
          <t>【ONES】 iPhone Xs/X ケース 高級感 米軍MIL規格 〔DIYバンパー ×2（黒+赤）、エアバッグ、耐衝撃〕〔指紋や汗防止、滑り止め、Qi充電〕 DIYシリーズ カバー 贅沢·半透明シルキーマット</t>
        </is>
      </c>
      <c r="C54" t="inlineStr">
        <is>
          <t>￥1,699</t>
        </is>
      </c>
      <c r="D54" t="inlineStr">
        <is>
          <t>4.1</t>
        </is>
      </c>
      <c r="E54">
        <f>HYPERLINK("https://www.amazon.co.jp/ONES-DIY-iPhone-Xs-%E9%BB%92%C2%B7%E8%B5%A4/dp/B087C28GJ7/ref=sr_1_50_sspa?__mk_ja_JP=%E3%82%AB%E3%82%BF%E3%82%AB%E3%83%8A&amp;dchild=1&amp;keywords=iphone+x&amp;qid=1598524223&amp;sr=8-50-spons&amp;psc=1&amp;spLa=ZW5jcnlwdGVkUXVhbGlmaWVyPUEyUUcyUVZJVTA4QkZIJmVuY3J5cHRlZElkPUEwMjM4NjY0M0sxNUtUOVJZNDhRViZlbmNyeXB0ZWRBZElkPUEzQVo3MVc2OU9CT0gyJndpZGdldE5hbWU9c3BfYXRmX25leHQmYWN0aW9uPWNsaWNrUmVkaXJlY3QmZG9Ob3RMb2dDbGljaz10cnVl", "Go")</f>
        <v/>
      </c>
    </row>
    <row r="55">
      <c r="A55" s="1" t="n">
        <v>53</v>
      </c>
      <c r="B55" t="inlineStr">
        <is>
          <t>【視力を保護】 iPhone11 Pro/iPhoneXS/iPhoneX ガラスフィルム ブルーライトカット 液晶保護フィルム 【エッジの割れを防ぐ/耐衝撃/炭素繊維】 アイホン 11 Pro/XS/X 強化ガラス 目の疲れ軽減 超薄型 全面保護 高透過率 硬度9H 気泡ゼロ 貼り付け簡単 【2枚入り】</t>
        </is>
      </c>
      <c r="C55" t="inlineStr">
        <is>
          <t>￥1,397</t>
        </is>
      </c>
      <c r="D55" t="inlineStr">
        <is>
          <t>4</t>
        </is>
      </c>
      <c r="E55">
        <f>HYPERLINK("https://www.amazon.co.jp/%E3%82%AC%E3%83%A9%E3%82%B9%E3%83%95%E3%82%A3%E3%83%AB%E3%83%A0-%E3%83%96%E3%83%AB%E3%83%BC%E3%83%A9%E3%82%A4%E3%83%88%E3%82%AB%E3%83%83%E3%83%88-%E6%B6%B2%E6%99%B6%E4%BF%9D%E8%AD%B7%E3%83%95%E3%82%A3%E3%83%AB%E3%83%A0-%E3%82%A8%E3%83%83%E3%82%B8%E3%81%AE%E5%89%B2%E3%82%8C%E3%82%92%E9%98%B2%E3%81%90%E3%80%91-0-25mm%E8%B6%85%E8%96%84%E5%9E%8B/dp/B07PZRZ27W/ref=sr_1_52_sspa?__mk_ja_JP=%E3%82%AB%E3%82%BF%E3%82%AB%E3%83%8A&amp;dchild=1&amp;keywords=iphone+x&amp;qid=1598524223&amp;sr=8-52-spons&amp;psc=1&amp;spLa=ZW5jcnlwdGVkUXVhbGlmaWVyPUEyUUcyUVZJVTA4QkZIJmVuY3J5cHRlZElkPUEwMjM4NjY0M0sxNUtUOVJZNDhRViZlbmNyeXB0ZWRBZElkPUFIVkU1VlZNSUtNRUMmd2lkZ2V0TmFtZT1zcF9hdGZfbmV4dCZhY3Rpb249Y2xpY2tSZWRpcmVjdCZkb05vdExvZ0NsaWNrPXRydWU=", "Go")</f>
        <v/>
      </c>
    </row>
    <row r="56">
      <c r="A56" s="1" t="n">
        <v>54</v>
      </c>
      <c r="B56" t="inlineStr">
        <is>
          <t>OtterBox iPhone XS Max Symmetry ケース(Black)</t>
        </is>
      </c>
      <c r="C56" t="inlineStr">
        <is>
          <t>￥4,235</t>
        </is>
      </c>
      <c r="D56" t="inlineStr">
        <is>
          <t>4.8</t>
        </is>
      </c>
      <c r="E56">
        <f>HYPERLINK("https://www.amazon.co.jp/OtterBox-iPhone-Max-Symmetry-Black/dp/B07GBM7R1F/ref=sr_1_53?__mk_ja_JP=%E3%82%AB%E3%82%BF%E3%82%AB%E3%83%8A&amp;dchild=1&amp;keywords=iphone+x&amp;qid=1598524223&amp;sr=8-53", "Go")</f>
        <v/>
      </c>
    </row>
    <row r="57">
      <c r="A57" s="1" t="n">
        <v>55</v>
      </c>
      <c r="B57" t="inlineStr">
        <is>
          <t>iPhone充電ケーブル 急速充電 ライトニング USBケーブル データ伝送 Lightning ケーブル iPhone 11Pro MAX/11Pro/11/XS MAX/XS/XR/X/8/7/6/6s/5/SE/5s/iPad/iPod に適用 2M… (白（2本）)</t>
        </is>
      </c>
      <c r="C57" t="inlineStr">
        <is>
          <t>￥1,599</t>
        </is>
      </c>
      <c r="D57" t="inlineStr">
        <is>
          <t>4.8</t>
        </is>
      </c>
      <c r="E57">
        <f>HYPERLINK("https://www.amazon.co.jp/dp/B08D9BQH14/ref=sr_1_54?__mk_ja_JP=%E3%82%AB%E3%82%BF%E3%82%AB%E3%83%8A&amp;dchild=1&amp;keywords=iphone+x&amp;qid=1598524223&amp;sr=8-54", "Go")</f>
        <v/>
      </c>
    </row>
    <row r="58">
      <c r="A58" s="1" t="n">
        <v>56</v>
      </c>
      <c r="B58" t="inlineStr">
        <is>
          <t>断線防止 Lightning ケーブル アイフォン充電ケーブル</t>
        </is>
      </c>
      <c r="C58" t="inlineStr">
        <is>
          <t>￥21,675</t>
        </is>
      </c>
      <c r="D58" t="inlineStr">
        <is>
          <t>4.8</t>
        </is>
      </c>
      <c r="E58">
        <f>HYPERLINK("https://www.amazon.co.jp/DG5543/dp/B001P30BO6/ref=sr_1_55?__mk_ja_JP=%E3%82%AB%E3%82%BF%E3%82%AB%E3%83%8A&amp;dchild=1&amp;keywords=iphone+x&amp;qid=1598524223&amp;sr=8-55", "Go")</f>
        <v/>
      </c>
    </row>
    <row r="59">
      <c r="A59" s="1" t="n">
        <v>57</v>
      </c>
      <c r="B59" t="inlineStr">
        <is>
          <t>OtterBox iPhone XR Defender ケース【Screenless Edition】(Big Sur)</t>
        </is>
      </c>
      <c r="C59" t="inlineStr">
        <is>
          <t>￥5,445</t>
        </is>
      </c>
      <c r="D59" t="inlineStr">
        <is>
          <t>4.8</t>
        </is>
      </c>
      <c r="E59">
        <f>HYPERLINK("https://www.amazon.co.jp/OtterBox-iPhone-Defender-%E3%82%B1%E3%83%BC%E3%82%B9%E3%80%90Screenless-Big/dp/B07GBRG823/ref=sr_1_56?__mk_ja_JP=%E3%82%AB%E3%82%BF%E3%82%AB%E3%83%8A&amp;dchild=1&amp;keywords=iphone+x&amp;qid=1598524223&amp;sr=8-56", "Go")</f>
        <v/>
      </c>
    </row>
    <row r="60">
      <c r="A60" s="1" t="n">
        <v>58</v>
      </c>
      <c r="B60" t="inlineStr">
        <is>
          <t>【2020 最新版】iPhone イヤホン 変換 アダプタ iPhone イヤホン 充電 3.5mm変換アダプタ 2in1 ライトニング 変換ケーブル 音楽再生 + 急速充電接続ケーブル 充電 車の充電アダプター イヤホン iPhone11/11 pro/11 pro max/Xs/Xs max/Xr/X/8/8plus/7/7plus(iOS11、12、13対応)</t>
        </is>
      </c>
      <c r="C60" t="inlineStr">
        <is>
          <t>￥999</t>
        </is>
      </c>
      <c r="D60" t="inlineStr">
        <is>
          <t>4.8</t>
        </is>
      </c>
      <c r="E60">
        <f>HYPERLINK("https://www.amazon.co.jp/dp/B08FCNGG6Z/ref=sr_1_57?__mk_ja_JP=%E3%82%AB%E3%82%BF%E3%82%AB%E3%83%8A&amp;dchild=1&amp;keywords=iphone+x&amp;qid=1598524223&amp;sr=8-57", "Go")</f>
        <v/>
      </c>
    </row>
    <row r="61">
      <c r="A61" s="1" t="n">
        <v>59</v>
      </c>
      <c r="B61" t="inlineStr">
        <is>
          <t>Sonix Pearl Tort Case for iPhone 11 Pro Max [Military Drop Test Certified] Protective Iridescent Marble Tortoise Case for Apple iPhone XS Max, iPhone 11 Pro Max</t>
        </is>
      </c>
      <c r="C61" t="inlineStr">
        <is>
          <t>￥4,150</t>
        </is>
      </c>
      <c r="D61" t="inlineStr">
        <is>
          <t>4.8</t>
        </is>
      </c>
      <c r="E61">
        <f>HYPERLINK("https://www.amazon.co.jp/Sonix-Military-Certified-Protective-Iridescent/dp/B07V7ZW3LH/ref=sr_1_58?__mk_ja_JP=%E3%82%AB%E3%82%BF%E3%82%AB%E3%83%8A&amp;dchild=1&amp;keywords=iphone+x&amp;qid=1598524223&amp;sr=8-58", "Go")</f>
        <v/>
      </c>
    </row>
    <row r="62">
      <c r="A62" s="1" t="n">
        <v>60</v>
      </c>
      <c r="B62" t="inlineStr">
        <is>
          <t>Woohoto メタル携帯電話三脚マウント コールドシュー付き 360回転 iPhone 11 Pro三脚マウント Osmo ポケットホルダー サムスン スマートフォンホルダー アダプター 携帯電話クランプ ビデオリグマウント</t>
        </is>
      </c>
      <c r="C62" t="inlineStr">
        <is>
          <t>￥6,221</t>
        </is>
      </c>
      <c r="D62" t="inlineStr">
        <is>
          <t>4.8</t>
        </is>
      </c>
      <c r="E62">
        <f>HYPERLINK("https://www.amazon.co.jp/Woohot-%E6%90%BA%E5%B8%AF%E9%9B%BB%E8%A9%B1%E7%94%A8%E4%B8%89%E8%84%9A%E3%83%9E%E3%82%A6%E3%83%B3%E3%83%88-%E3%82%B3%E3%83%BC%E3%83%AB%E3%83%89%E3%82%B7%E3%83%A5%E3%83%BC%E4%BB%98%E3%81%8D-%E3%83%9E%E3%82%A6%E3%83%B3%E3%83%88%E3%83%97%E3%83%AD%E3%82%B9%E3%83%9E%E3%83%BC%E3%83%88%E3%83%95%E3%82%A9%E3%83%B3%E3%83%9B%E3%83%AB%E3%83%80%E3%83%BC-%E4%B8%89%E8%84%9A%E3%83%9E%E3%82%A6%E3%83%B3%E3%83%88%E3%82%A2%E3%83%80%E3%83%97%E3%82%BF%E3%83%BC/dp/B07DGG1VWT/ref=sr_1_59?__mk_ja_JP=%E3%82%AB%E3%82%BF%E3%82%AB%E3%83%8A&amp;dchild=1&amp;keywords=iphone+x&amp;qid=1598524223&amp;sr=8-59", "Go")</f>
        <v/>
      </c>
    </row>
    <row r="63">
      <c r="A63" s="1" t="n">
        <v>61</v>
      </c>
      <c r="B63" t="inlineStr">
        <is>
          <t>スマホ スタンド ホルダー、 角度調整 可能、卓上 スタンド ホルダー、アイフォンデスク置き台、スマートフォン 携帯 置き 台 卓上、iphone、ipad、android 対応 (ピンク)</t>
        </is>
      </c>
      <c r="C63" t="inlineStr">
        <is>
          <t>￥1,088</t>
        </is>
      </c>
      <c r="D63" t="inlineStr">
        <is>
          <t>4.8</t>
        </is>
      </c>
      <c r="E63">
        <f>HYPERLINK("https://www.amazon.co.jp/Bright-Stone-%E3%83%87%E3%82%B9%E3%82%AF%E7%94%A8%E9%9B%BB%E8%A9%B1%E3%82%B9%E3%82%BF%E3%83%B3%E3%83%89-%E6%90%BA%E5%B8%AF%E9%9B%BB%E8%A9%B1%E3%82%B9%E3%82%BF%E3%83%B3%E3%83%89%E8%AA%BF%E7%AF%80%E5%8F%AF%E8%83%BD%E3%81%AA%E3%83%87%E3%82%B9%E3%82%AF%E3%83%95%E3%82%A9%E3%83%B3%E3%83%9B%E3%83%AB%E3%83%80%E3%83%BC%E3%82%BF%E3%83%96%E3%83%AC%E3%83%83%E3%83%88%E3%83%9B%E3%83%AB%E3%83%80%E3%83%BC%E9%9B%BB%E8%A9%B1%E3%83%89%E3%83%83%E3%82%AF-%E3%83%94%E3%83%B3%E3%82%AF/dp/B07XHFRP4C/ref=sr_1_60?__mk_ja_JP=%E3%82%AB%E3%82%BF%E3%82%AB%E3%83%8A&amp;dchild=1&amp;keywords=iphone+x&amp;qid=1598524223&amp;sr=8-60", "Go")</f>
        <v/>
      </c>
    </row>
    <row r="64">
      <c r="A64" s="1" t="n">
        <v>62</v>
      </c>
      <c r="B64" t="inlineStr">
        <is>
          <t>【18W急速充電/ワイヤレス充電/QC3.0対応】 モバイルバッテリー 大容量 13800mAh 無線と有線両用 携帯バッテリー iphone 軽量 ワイヤレス充電器 LCD残量表示 LEDライト付き Qi 充電器 高速充電 PD3.0 持ち運び 薄型 3台同時充電 置くだけ充電 iPad / iPhone / Android / docomo / softbank / au 各種他QI対応 出張 旅行 地震防災 アウトドア活動 PSE認証済 黒</t>
        </is>
      </c>
      <c r="C64" t="inlineStr">
        <is>
          <t>￥2,920</t>
        </is>
      </c>
      <c r="D64" t="inlineStr">
        <is>
          <t>4.8</t>
        </is>
      </c>
      <c r="E64">
        <f>HYPERLINK("https://www.amazon.co.jp/%E3%80%9018W%E6%80%A5%E9%80%9F%E5%85%85%E9%9B%BB-QC3-0%E5%AF%BE%E5%BF%9C%E3%80%91-%E3%83%A2%E3%83%90%E3%82%A4%E3%83%AB%E3%83%90%E3%83%83%E3%83%86%E3%83%AA%E3%83%BC-13800mAh-%E3%83%AF%E3%82%A4%E3%83%A4%E3%83%AC%E3%82%B9%E5%85%85%E9%9B%BB%E5%99%A8/dp/B082PGS78L/ref=sr_1_61?__mk_ja_JP=%E3%82%AB%E3%82%BF%E3%82%AB%E3%83%8A&amp;dchild=1&amp;keywords=iphone+x&amp;qid=1598524223&amp;sr=8-61", "Go")</f>
        <v/>
      </c>
    </row>
    <row r="65">
      <c r="A65" s="1" t="n">
        <v>63</v>
      </c>
      <c r="B65" t="inlineStr">
        <is>
          <t>OtterBox iPhone XR Symmetry ケース(Fine Port)</t>
        </is>
      </c>
      <c r="C65" t="inlineStr">
        <is>
          <t>￥4,235</t>
        </is>
      </c>
      <c r="D65" t="inlineStr">
        <is>
          <t>4.7</t>
        </is>
      </c>
      <c r="E65">
        <f>HYPERLINK("https://www.amazon.co.jp/OtterBox-iPhone-Symmetry-Fine-Port/dp/B07GBJQXSH/ref=sr_1_62?__mk_ja_JP=%E3%82%AB%E3%82%BF%E3%82%AB%E3%83%8A&amp;dchild=1&amp;keywords=iphone+x&amp;qid=1598524223&amp;sr=8-62", "Go")</f>
        <v/>
      </c>
    </row>
    <row r="66">
      <c r="A66" s="1" t="n">
        <v>64</v>
      </c>
      <c r="B66" t="inlineStr">
        <is>
          <t>OtterBox iPhone 11 Defender ケース【Screenless Edition】(Purple Nebula)</t>
        </is>
      </c>
      <c r="C66" t="inlineStr">
        <is>
          <t>￥6,974</t>
        </is>
      </c>
      <c r="D66" t="inlineStr">
        <is>
          <t>4.8</t>
        </is>
      </c>
      <c r="E66">
        <f>HYPERLINK("https://www.amazon.co.jp/OtterBox-iPhone-Defender-%E3%82%B1%E3%83%BC%E3%82%B9%E3%80%90Screenless-Purple/dp/B07W69HPQ3/ref=sr_1_63?__mk_ja_JP=%E3%82%AB%E3%82%BF%E3%82%AB%E3%83%8A&amp;dchild=1&amp;keywords=iphone+x&amp;qid=1598524223&amp;sr=8-63", "Go")</f>
        <v/>
      </c>
    </row>
    <row r="67">
      <c r="A67" s="1" t="n">
        <v>65</v>
      </c>
      <c r="B67" t="inlineStr">
        <is>
          <t>GVIEWIN iPhone 11ケース クリアフラワーデザイン ソフト&amp;フレキシブル TPU 超薄型 耐衝撃 透明 バンパー 保護 フローラル カバー ケース iPhone 11 6.1インチ 2019用</t>
        </is>
      </c>
      <c r="C67" t="inlineStr">
        <is>
          <t>￥8,677</t>
        </is>
      </c>
      <c r="D67" t="inlineStr">
        <is>
          <t>4.8</t>
        </is>
      </c>
      <c r="E67">
        <f>HYPERLINK("https://www.amazon.co.jp/GVIEWIN-iPhone-%E3%82%AF%E3%83%AA%E3%82%A2%E3%83%95%E3%83%A9%E3%83%AF%E3%83%BC%E3%83%87%E3%82%B6%E3%82%A4%E3%83%B3-%E3%83%95%E3%83%AC%E3%82%AD%E3%82%B7%E3%83%96%E3%83%AB-6-1%E3%82%A4%E3%83%B3%E3%83%81/dp/B07Z65TJ2R/ref=sr_1_64?__mk_ja_JP=%E3%82%AB%E3%82%BF%E3%82%AB%E3%83%8A&amp;dchild=1&amp;keywords=iphone+x&amp;qid=1598524223&amp;sr=8-64", "Go")</f>
        <v/>
      </c>
    </row>
    <row r="68">
      <c r="A68" s="1" t="n">
        <v>66</v>
      </c>
      <c r="B68" t="inlineStr">
        <is>
          <t>iPhone 11/XR 用 ガラスフイルム 6.1インチ【二枚セット】【ガイド枠・気泡除去用ヘラ付き】 最新強化版 SGS認証/日本製9H強化ガラス/高透過率/全面保護/指紋/気泡防止/耐衝撃（アイフォン11/XR用）</t>
        </is>
      </c>
      <c r="C68" t="inlineStr">
        <is>
          <t>￥999</t>
        </is>
      </c>
      <c r="D68" t="inlineStr">
        <is>
          <t>4.8</t>
        </is>
      </c>
      <c r="E68">
        <f>HYPERLINK("https://www.amazon.co.jp/iPhone-%E3%82%AC%E3%83%A9%E3%82%B9%E3%83%95%E3%82%A4%E3%83%AB%E3%83%A0-6-1%E3%82%A4%E3%83%B3%E3%83%81%E3%80%90%E4%BA%8C%E6%9E%9A%E3%82%BB%E3%83%83%E3%83%88%E3%80%91%E3%80%90%E3%82%AC%E3%82%A4%E3%83%89%E6%9E%A0%E3%83%BB%E6%B0%97%E6%B3%A1%E9%99%A4%E5%8E%BB%E7%94%A8%E3%83%98%E3%83%A9%E4%BB%98%E3%81%8D%E3%80%91-%E6%97%A5%E6%9C%AC%E8%A3%BD9H%E5%BC%B7%E5%8C%96%E3%82%AC%E3%83%A9%E3%82%B9-%E8%80%90%E8%A1%9D%E6%92%83%EF%BC%88%E3%82%A2%E3%82%A4%E3%83%95%E3%82%A9%E3%83%B311/dp/B08F2PKGZJ/ref=sr_1_65?__mk_ja_JP=%E3%82%AB%E3%82%BF%E3%82%AB%E3%83%8A&amp;dchild=1&amp;keywords=iphone+x&amp;qid=1598524223&amp;sr=8-65", "Go")</f>
        <v/>
      </c>
    </row>
    <row r="69">
      <c r="A69" s="1" t="n">
        <v>67</v>
      </c>
      <c r="B69" t="inlineStr">
        <is>
          <t>Anker PowerLine III USB-C &amp; ライトニング ケーブル 【Apple MFi認証取得/PD対応】iPhone iPad iPod AirPods 各種対応 (0.3m ホワイト)</t>
        </is>
      </c>
      <c r="C69" t="inlineStr">
        <is>
          <t>￥1,699</t>
        </is>
      </c>
      <c r="D69" t="inlineStr">
        <is>
          <t>4.9</t>
        </is>
      </c>
      <c r="E69">
        <f>HYPERLINK("https://www.amazon.co.jp/Anker-iPhone-PowerLine-MFi%E8%AA%8D%E8%A8%BC%E5%8F%96%E5%BE%97-AirPods/dp/B07XYX27KK/ref=sr_1_66?__mk_ja_JP=%E3%82%AB%E3%82%BF%E3%82%AB%E3%83%8A&amp;dchild=1&amp;keywords=iphone+x&amp;qid=1598524223&amp;sr=8-66", "Go")</f>
        <v/>
      </c>
    </row>
    <row r="70">
      <c r="A70" s="1" t="n">
        <v>68</v>
      </c>
      <c r="B70" t="inlineStr">
        <is>
          <t>【3枚セット】iPhone 11 ガラスフィルム/硬度9H/99%高透過率/iPhone XR 強化ガラスフィルム 液晶保護 フィルム/日本製「旭硝子」素材制/防指紋/自動吸着/スクラッチ防止/気泡ゼロ/飛散防止処理 iPhone 11/iPhone XR 強化ガラスフィルム -透明</t>
        </is>
      </c>
      <c r="C70" t="inlineStr">
        <is>
          <t>￥398</t>
        </is>
      </c>
      <c r="D70" t="inlineStr">
        <is>
          <t>4.8</t>
        </is>
      </c>
      <c r="E70">
        <f>HYPERLINK("https://www.amazon.co.jp/%E3%80%903%E6%9E%9A%E3%82%BB%E3%83%83%E3%83%88%E3%80%91iPhone-%E3%82%AC%E3%83%A9%E3%82%B9%E3%83%95%E3%82%A3%E3%83%AB%E3%83%A0-99-%E9%AB%98%E9%80%8F%E9%81%8E%E7%8E%87-%E5%BC%B7%E5%8C%96%E3%82%AC%E3%83%A9%E3%82%B9%E3%83%95%E3%82%A3%E3%83%AB%E3%83%A0-%E6%97%A5%E6%9C%AC%E8%A3%BD%E3%80%8C%E6%97%AD%E7%A1%9D%E5%AD%90%E3%80%8D%E7%B4%A0%E6%9D%90%E5%88%B6/dp/B0895PMH63/ref=sr_1_67?__mk_ja_JP=%E3%82%AB%E3%82%BF%E3%82%AB%E3%83%8A&amp;dchild=1&amp;keywords=iphone+x&amp;qid=1598524223&amp;sr=8-67", "Go")</f>
        <v/>
      </c>
    </row>
    <row r="71">
      <c r="A71" s="1" t="n">
        <v>69</v>
      </c>
      <c r="B71" t="inlineStr">
        <is>
          <t>Oculus Questケース JSVER キャリングケース Oculus Quest VR ゲーミングヘッドセット コントローラー用 アクセサリー ポータブル ハードシェル保護ストレージケース Oculus Quest トラベルケース ショルダーストラップ付き ブラック JSVER-VC0311</t>
        </is>
      </c>
      <c r="C71" t="inlineStr">
        <is>
          <t>￥13,417</t>
        </is>
      </c>
      <c r="D71" t="inlineStr">
        <is>
          <t>4.8</t>
        </is>
      </c>
      <c r="E71">
        <f>HYPERLINK("https://www.amazon.co.jp/Oculus-VR%E3%82%B2%E3%83%BC%E3%83%A0%E3%83%98%E3%83%83%E3%83%89%E3%82%BB%E3%83%83%E3%83%88%E3%81%A8%E3%82%B3%E3%83%B3%E3%83%88%E3%83%AD%E3%83%BC%E3%83%A9%E3%83%BC%E7%94%A8JSVER-%E3%82%AD%E3%83%A3%E3%83%AA%E3%83%BC%E3%82%B1%E3%83%BC%E3%82%B9-%E3%83%9D%E3%83%BC%E3%82%BF%E3%83%96%E3%83%AB%E3%83%8F%E3%83%BC%E3%83%89%E3%82%B7%E3%82%A7%E3%83%AB%E4%BF%9D%E8%AD%B7%E3%82%B9%E3%83%88%E3%83%AC%E3%83%BC%E3%82%B8%E3%82%B1%E3%83%BC%E3%82%B9-%E3%82%B7%E3%83%A7%E3%83%AB%E3%83%80%E3%83%BC%E3%82%B9%E3%83%88%E3%83%A9%E3%83%83%E3%83%97%E4%BB%98%E3%81%8D/dp/B07THTLDWB/ref=sr_1_68?__mk_ja_JP=%E3%82%AB%E3%82%BF%E3%82%AB%E3%83%8A&amp;dchild=1&amp;keywords=iphone+x&amp;qid=1598524223&amp;sr=8-68", "Go")</f>
        <v/>
      </c>
    </row>
    <row r="72">
      <c r="A72" s="1" t="n">
        <v>70</v>
      </c>
      <c r="B72" t="inlineStr">
        <is>
          <t>iPhone 11 Pro/iPhone XS/iPhone X 強化ガラス 全面保護【目の疲れ軽減】9H硬度/透過率99%/耐衝撃/高感度/全面保護/飛散防止処理/指紋防止/貼り付け簡単/気泡無し iphone11proガラスフィルム ブルーライト</t>
        </is>
      </c>
      <c r="C72" t="inlineStr">
        <is>
          <t>￥768</t>
        </is>
      </c>
      <c r="D72" t="inlineStr">
        <is>
          <t>4.8</t>
        </is>
      </c>
      <c r="E72">
        <f>HYPERLINK("https://www.amazon.co.jp/iPhone-%E5%85%A8%E9%9D%A2%E4%BF%9D%E8%AD%B7%E3%80%90%E7%9B%AE%E3%81%AE%E7%96%B2%E3%82%8C%E8%BB%BD%E6%B8%9B%E3%80%919H%E7%A1%AC%E5%BA%A6-%E9%80%8F%E9%81%8E%E7%8E%8799-%E9%A3%9B%E6%95%A3%E9%98%B2%E6%AD%A2%E5%87%A6%E7%90%86-iphone11pro%E3%82%AC%E3%83%A9%E3%82%B9%E3%83%95%E3%82%A3%E3%83%AB%E3%83%A0/dp/B08B5XWGPZ/ref=sr_1_69?__mk_ja_JP=%E3%82%AB%E3%82%BF%E3%82%AB%E3%83%8A&amp;dchild=1&amp;keywords=iphone+x&amp;qid=1598524223&amp;sr=8-69", "Go")</f>
        <v/>
      </c>
    </row>
    <row r="73">
      <c r="A73" s="1" t="n">
        <v>71</v>
      </c>
      <c r="B73" t="inlineStr">
        <is>
          <t>SONIX iPhone 11 Pro 5.8インチ Clear Coat Pearl Tort 290-0240-0011</t>
        </is>
      </c>
      <c r="C73" t="inlineStr">
        <is>
          <t>￥4,150</t>
        </is>
      </c>
      <c r="D73" t="inlineStr">
        <is>
          <t>4.8</t>
        </is>
      </c>
      <c r="E73">
        <f>HYPERLINK("https://www.amazon.co.jp/Sonix-Military-Certified-Protective-Iridescent/dp/B07V8349M7/ref=sr_1_70?__mk_ja_JP=%E3%82%AB%E3%82%BF%E3%82%AB%E3%83%8A&amp;dchild=1&amp;keywords=iphone+x&amp;qid=1598524223&amp;sr=8-70", "Go")</f>
        <v/>
      </c>
    </row>
    <row r="74">
      <c r="A74" s="1" t="n">
        <v>72</v>
      </c>
      <c r="B74" t="inlineStr">
        <is>
          <t>【目の疲れを軽減】 iPhone 11 PRO/iPhone XS/iPhone X ガラスフィルム 全面保護 強化ガラス iPhone 11 PRO/iPhone XS/iPhone X 強化ガラスフィルム 液晶保護フィルム 日本旭硝子製 業界最高の硬度9H 99%高透過率 指紋防止 飛散防止 3Dタッチ 気泡ゼロ 自動吸着</t>
        </is>
      </c>
      <c r="C74" t="inlineStr">
        <is>
          <t>￥399</t>
        </is>
      </c>
      <c r="D74" t="inlineStr">
        <is>
          <t>4.8</t>
        </is>
      </c>
      <c r="E74">
        <f>HYPERLINK("https://www.amazon.co.jp/%E3%80%90%E7%9B%AE%E3%81%AE%E7%96%B2%E3%82%8C%E3%82%92%E8%BB%BD%E6%B8%9B%E3%80%91-%E3%82%AC%E3%83%A9%E3%82%B9%E3%83%95%E3%82%A3%E3%83%AB%E3%83%A0-%E5%BC%B7%E5%8C%96%E3%82%AC%E3%83%A9%E3%82%B9%E3%83%95%E3%82%A3%E3%83%AB%E3%83%A0-%E6%B6%B2%E6%99%B6%E4%BF%9D%E8%AD%B7%E3%83%95%E3%82%A3%E3%83%AB%E3%83%A0-%E6%A5%AD%E7%95%8C%E6%9C%80%E9%AB%98%E3%81%AE%E7%A1%AC%E5%BA%A69H/dp/B0894MN7YB/ref=sr_1_71?__mk_ja_JP=%E3%82%AB%E3%82%BF%E3%82%AB%E3%83%8A&amp;dchild=1&amp;keywords=iphone+x&amp;qid=1598524223&amp;sr=8-71", "Go")</f>
        <v/>
      </c>
    </row>
    <row r="75">
      <c r="A75" s="1" t="n">
        <v>73</v>
      </c>
      <c r="B75" t="inlineStr">
        <is>
          <t>【覗き見防止】 iPhone 11 PRO/iPhone XS/iPhone X ガラスフィルム 全面保護 強化ガラス iPhone 11 PRO/XS/X 強化ガラスフィルム 液晶保護フィルム 3Dタッチ 日本旭硝子製 業界最高の硬度9H 99%高透過率 指紋防止 飛散防止 気泡ゼロ 自動吸着</t>
        </is>
      </c>
      <c r="C75" t="inlineStr">
        <is>
          <t>￥799</t>
        </is>
      </c>
      <c r="D75" t="inlineStr">
        <is>
          <t>4.8</t>
        </is>
      </c>
      <c r="E75">
        <f>HYPERLINK("https://www.amazon.co.jp/%E3%80%90%E8%A6%97%E3%81%8D%E8%A6%8B%E9%98%B2%E6%AD%A2%E3%80%91-%E3%82%AC%E3%83%A9%E3%82%B9%E3%83%95%E3%82%A3%E3%83%AB%E3%83%A0-%E5%BC%B7%E5%8C%96%E3%82%AC%E3%83%A9%E3%82%B9%E3%83%95%E3%82%A3%E3%83%AB%E3%83%A0-%E6%B6%B2%E6%99%B6%E4%BF%9D%E8%AD%B7%E3%83%95%E3%82%A3%E3%83%AB%E3%83%A0-%E6%A5%AD%E7%95%8C%E6%9C%80%E9%AB%98%E3%81%AE%E7%A1%AC%E5%BA%A69H/dp/B08D9PZ7W5/ref=sr_1_72?__mk_ja_JP=%E3%82%AB%E3%82%BF%E3%82%AB%E3%83%8A&amp;dchild=1&amp;keywords=iphone+x&amp;qid=1598524223&amp;sr=8-72", "Go")</f>
        <v/>
      </c>
    </row>
    <row r="76">
      <c r="A76" s="1" t="n">
        <v>74</v>
      </c>
      <c r="B76" t="inlineStr">
        <is>
          <t>【2枚セット】 iPhone 11 Pro ガラスフィルム/全面保護/硬度9H/99%高透過率/iPhone XS/iPhone X 強化ガラスフィルム/防指紋/自動吸着/スクラッチ防止/気泡ゼロ/飛散防止処理 iPhone 11 Pro/iPhone XS/X 液晶保護 フィルム</t>
        </is>
      </c>
      <c r="C76" t="inlineStr">
        <is>
          <t>￥799</t>
        </is>
      </c>
      <c r="D76" t="inlineStr">
        <is>
          <t>4.8</t>
        </is>
      </c>
      <c r="E76">
        <f>HYPERLINK("https://www.amazon.co.jp/dp/B08F9RKM8C/ref=sr_1_73?__mk_ja_JP=%E3%82%AB%E3%82%BF%E3%82%AB%E3%83%8A&amp;dchild=1&amp;keywords=iphone+x&amp;qid=1598524223&amp;sr=8-73", "Go")</f>
        <v/>
      </c>
    </row>
    <row r="77">
      <c r="A77" s="1" t="n">
        <v>75</v>
      </c>
      <c r="B77" t="inlineStr">
        <is>
          <t>OtterBox iPhone 11 Pro Max Defender ケース【Screenless Edition】(Gone Fishin Blue)</t>
        </is>
      </c>
      <c r="C77" t="inlineStr">
        <is>
          <t>￥6,974</t>
        </is>
      </c>
      <c r="D77" t="inlineStr">
        <is>
          <t>4.8</t>
        </is>
      </c>
      <c r="E77">
        <f>HYPERLINK("https://www.amazon.co.jp/OtterBox-iPhone-Defender-%E3%82%B1%E3%83%BC%E3%82%B9%E3%80%90Screenless-Fishin/dp/B07W59LFC8/ref=sr_1_74?__mk_ja_JP=%E3%82%AB%E3%82%BF%E3%82%AB%E3%83%8A&amp;dchild=1&amp;keywords=iphone+x&amp;qid=1598524223&amp;sr=8-74", "Go")</f>
        <v/>
      </c>
    </row>
    <row r="78">
      <c r="A78" s="1" t="n">
        <v>76</v>
      </c>
      <c r="B78" t="inlineStr">
        <is>
          <t>【目の疲れを軽減】 iPhone 11 PRO/iPhone XS/iPhone X ガラスフィルム 全面保護 強化ガラス iPhone 11 PRO/iPhone XS/iPhone X 強化ガラスフィルム 液晶保護フィルム 3Dタッチ 日本旭硝子製 業界最高の硬度9H 99%高透過率 指紋防止 飛散防止 気泡ゼロ 自動吸着</t>
        </is>
      </c>
      <c r="C78" t="inlineStr">
        <is>
          <t>￥399</t>
        </is>
      </c>
      <c r="D78" t="inlineStr">
        <is>
          <t>4.8</t>
        </is>
      </c>
      <c r="E78">
        <f>HYPERLINK("https://www.amazon.co.jp/%E3%80%90%E7%9B%AE%E3%81%AE%E7%96%B2%E3%82%8C%E3%82%92%E8%BB%BD%E6%B8%9B%E3%80%91-%E3%82%AC%E3%83%A9%E3%82%B9%E3%83%95%E3%82%A3%E3%83%AB%E3%83%A0-%E5%BC%B7%E5%8C%96%E3%82%AC%E3%83%A9%E3%82%B9%E3%83%95%E3%82%A3%E3%83%AB%E3%83%A0-%E6%B6%B2%E6%99%B6%E4%BF%9D%E8%AD%B7%E3%83%95%E3%82%A3%E3%83%AB%E3%83%A0-%E6%A5%AD%E7%95%8C%E6%9C%80%E9%AB%98%E3%81%AE%E7%A1%AC%E5%BA%A69H/dp/B08D9QWZHR/ref=sr_1_75?__mk_ja_JP=%E3%82%AB%E3%82%BF%E3%82%AB%E3%83%8A&amp;dchild=1&amp;keywords=iphone+x&amp;qid=1598524223&amp;sr=8-75", "Go")</f>
        <v/>
      </c>
    </row>
    <row r="79">
      <c r="A79" s="1" t="n">
        <v>77</v>
      </c>
      <c r="B79" t="inlineStr">
        <is>
          <t>iPhone 11 Pro/iPhone X/iPhone XS ガラスフィルム のぞき見防止フルカバー保護 【日本製素材旭硝子製】·最高硬度9H·プライバシー保護·高い光透過率·3D Touch対応·指紋防止·気泡防止·飛散防止 iPhone 11 Pro/iPhone X/iPhone XS液晶強化ガラス【覗き見防止】</t>
        </is>
      </c>
      <c r="C79" t="inlineStr">
        <is>
          <t>￥999</t>
        </is>
      </c>
      <c r="D79" t="inlineStr">
        <is>
          <t>4.8</t>
        </is>
      </c>
      <c r="E79">
        <f>HYPERLINK("https://www.amazon.co.jp/%E3%82%AC%E3%83%A9%E3%82%B9%E3%83%95%E3%82%A3%E3%83%AB%E3%83%A0-%E3%81%AE%E3%81%9E%E3%81%8D%E8%A6%8B%E9%98%B2%E6%AD%A2%E3%83%95%E3%83%AB%E3%82%AB%E3%83%90%E3%83%BC%E4%BF%9D%E8%AD%B7-%E3%80%90%E6%97%A5%E6%9C%AC%E8%A3%BD%E7%B4%A0%E6%9D%90%E6%97%AD%E7%A1%9D%E5%AD%90%E8%A3%BD%E3%80%91%C2%B7%E6%9C%80%E9%AB%98%E7%A1%AC%E5%BA%A69H%C2%B7%E3%83%97%E3%83%A9%E3%82%A4%E3%83%90%E3%82%B7%E3%83%BC%E4%BF%9D%E8%AD%B7%C2%B7%E9%AB%98%E3%81%84%E5%85%89%E9%80%8F%E9%81%8E%E7%8E%87%C2%B73D-Touch%E5%AF%BE%E5%BF%9C%C2%B7%E6%8C%87%E7%B4%8B%E9%98%B2%E6%AD%A2%C2%B7%E6%B0%97%E6%B3%A1%E9%98%B2%E6%AD%A2%C2%B7%E9%A3%9B%E6%95%A3%E9%98%B2%E6%AD%A2-XS%E6%B6%B2%E6%99%B6%E5%BC%B7%E5%8C%96%E3%82%AC%E3%83%A9%E3%82%B9%E3%80%90%E8%A6%97%E3%81%8D%E8%A6%8B%E9%98%B2%E6%AD%A2%E3%80%91/dp/B08CR7P89R/ref=sr_1_76?__mk_ja_JP=%E3%82%AB%E3%82%BF%E3%82%AB%E3%83%8A&amp;dchild=1&amp;keywords=iphone+x&amp;qid=1598524223&amp;sr=8-76", "Go")</f>
        <v/>
      </c>
    </row>
    <row r="80">
      <c r="A80" s="1" t="n">
        <v>78</v>
      </c>
      <c r="B80" t="inlineStr">
        <is>
          <t>ケイト・スペード ニューヨーク 電話ケース | Apple iPhone XR KSIPH-108-HHCCS</t>
        </is>
      </c>
      <c r="C80" t="inlineStr">
        <is>
          <t>￥35,762</t>
        </is>
      </c>
      <c r="D80" t="inlineStr">
        <is>
          <t>4.8</t>
        </is>
      </c>
      <c r="E80">
        <f>HYPERLINK("https://www.amazon.co.jp/%E3%82%B1%E3%82%A4%E3%83%88%E3%83%BB%E3%82%B9%E3%83%9A%E3%83%BC%E3%83%89-%E3%83%8B%E3%83%A5%E3%83%BC%E3%83%A8%E3%83%BC%E3%82%AF-%E9%9B%BB%E8%A9%B1%E3%82%B1%E3%83%BC%E3%82%B9-iPhone-KSIPH-108-HHCCS/dp/B07DFSZRLV/ref=sr_1_77?__mk_ja_JP=%E3%82%AB%E3%82%BF%E3%82%AB%E3%83%8A&amp;dchild=1&amp;keywords=iphone+x&amp;qid=1598524223&amp;sr=8-77", "Go")</f>
        <v/>
      </c>
    </row>
    <row r="81">
      <c r="A81" s="1" t="n">
        <v>79</v>
      </c>
      <c r="B81" t="inlineStr">
        <is>
          <t>iPhone 11 Pro/iPhone X/iPhone XS ガラスフィルム ブルーライトカット液晶保護フィルム 業界最高の硬度9H、目の疲れ軽減、防油汚れ、指紋防止、気泡防止、自動吸着、飛散防止 iPhone 11 Pro/X/XS 強化ガラスフィルム</t>
        </is>
      </c>
      <c r="C81" t="inlineStr">
        <is>
          <t>￥699</t>
        </is>
      </c>
      <c r="D81" t="inlineStr">
        <is>
          <t>4.8</t>
        </is>
      </c>
      <c r="E81">
        <f>HYPERLINK("https://www.amazon.co.jp/iPhone-%E3%82%AC%E3%83%A9%E3%82%B9%E3%83%95%E3%82%A3%E3%83%AB%E3%83%A0-%E3%83%96%E3%83%AB%E3%83%BC%E3%83%A9%E3%82%A4%E3%83%88%E3%82%AB%E3%83%83%E3%83%88%E6%B6%B2%E6%99%B6%E4%BF%9D%E8%AD%B7%E3%83%95%E3%82%A3%E3%83%AB%E3%83%A0-%E6%A5%AD%E7%95%8C%E6%9C%80%E9%AB%98%E3%81%AE%E7%A1%AC%E5%BA%A69H%E3%80%81%E7%9B%AE%E3%81%AE%E7%96%B2%E3%82%8C%E8%BB%BD%E6%B8%9B%E3%80%81%E9%98%B2%E6%B2%B9%E6%B1%9A%E3%82%8C%E3%80%81%E6%8C%87%E7%B4%8B%E9%98%B2%E6%AD%A2%E3%80%81%E6%B0%97%E6%B3%A1%E9%98%B2%E6%AD%A2%E3%80%81%E8%87%AA%E5%8B%95%E5%90%B8%E7%9D%80%E3%80%81%E9%A3%9B%E6%95%A3%E9%98%B2%E6%AD%A2-%E5%BC%B7%E5%8C%96%E3%82%AC%E3%83%A9%E3%82%B9%E3%83%95%E3%82%A3%E3%83%AB%E3%83%A0/dp/B08D9JWCCM/ref=sr_1_78?__mk_ja_JP=%E3%82%AB%E3%82%BF%E3%82%AB%E3%83%8A&amp;dchild=1&amp;keywords=iphone+x&amp;qid=1598524223&amp;sr=8-78", "Go")</f>
        <v/>
      </c>
    </row>
    <row r="82">
      <c r="A82" s="1" t="n">
        <v>80</v>
      </c>
      <c r="B82" t="inlineStr">
        <is>
          <t>【視力を保護】iPhone 11 / iPhone XR ガラスフィルム アイフォン11 / XR 強化ガラス液晶保護フィルム【ブルーライト/硬度9H/全面保護/目の疲れ軽減ぐ/旭硝子/気泡ゼロ/指紋防止/貼り付け簡単】 6.1 インチ iphone11/XR 用 フィルム</t>
        </is>
      </c>
      <c r="C82" t="inlineStr">
        <is>
          <t>￥799</t>
        </is>
      </c>
      <c r="D82" t="inlineStr">
        <is>
          <t>4.8</t>
        </is>
      </c>
      <c r="E82">
        <f>HYPERLINK("https://www.amazon.co.jp/%E3%80%90%E8%A6%96%E5%8A%9B%E3%82%92%E4%BF%9D%E8%AD%B7%E3%80%91iPhone-%E3%82%AC%E3%83%A9%E3%82%B9%E3%83%95%E3%82%A3%E3%83%AB%E3%83%A0-%E3%82%A2%E3%82%A4%E3%83%95%E3%82%A9%E3%83%B311-%E5%BC%B7%E5%8C%96%E3%82%AC%E3%83%A9%E3%82%B9%E6%B6%B2%E6%99%B6%E4%BF%9D%E8%AD%B7%E3%83%95%E3%82%A3%E3%83%AB%E3%83%A0%E3%80%90%E3%83%96%E3%83%AB%E3%83%BC%E3%83%A9%E3%82%A4%E3%83%88-iphone11/dp/B08CZL2K31/ref=sr_1_79?__mk_ja_JP=%E3%82%AB%E3%82%BF%E3%82%AB%E3%83%8A&amp;dchild=1&amp;keywords=iphone+x&amp;qid=1598524223&amp;sr=8-79", "Go")</f>
        <v/>
      </c>
    </row>
    <row r="83">
      <c r="A83" s="1" t="n">
        <v>81</v>
      </c>
      <c r="B83" t="inlineStr">
        <is>
          <t>OMOTON [2個パック] デスク用携帯電話スタンド 卓上携帯電話スタンド すべてのiPhoneとAndroidスマートフォンに対応, omoton-phone stand-2 pack</t>
        </is>
      </c>
      <c r="C83" t="inlineStr">
        <is>
          <t>￥5,498</t>
        </is>
      </c>
      <c r="D83" t="inlineStr">
        <is>
          <t>4.8</t>
        </is>
      </c>
      <c r="E83">
        <f>HYPERLINK("https://www.amazon.co.jp/%E3%82%BB%E3%83%AB%E9%9B%BB%E8%A9%B1%E3%82%B9%E3%82%BF%E3%83%B3%E3%83%89%E3%80%81-2%E3%83%91%E3%83%83%E3%82%AF-OMOTON%E3%83%87%E3%82%B9%E3%82%AF%E3%83%88%E3%83%83%E3%83%97%E6%90%BA%E5%B8%AF%E9%9B%BB%E8%A9%B1%E3%82%B9%E3%82%BF%E3%83%B3%E3%83%89%E3%82%BF%E3%83%96%E3%83%AC%E3%83%83%E3%83%88%E3%82%B9%E3%82%BF%E3%83%B3%E3%83%89%E3%80%81%E9%AB%98%E5%BA%A6%E3%81%AA4-mm%E5%8E%9A%E3%81%95%E3%81%AE%E3%82%A2%E3%83%AB%E3%83%9F%E3%83%8B%E3%82%A6%E3%83%A0%E3%82%B9%E3%82%BF%E3%83%B3%E3%83%89%E3%83%9B%E3%83%AB%E3%83%80%E3%83%BC%E6%90%BA%E5%B8%AF%E9%9B%BB%E8%A9%B1%E3%81%99%E3%81%B9%E3%81%A6%E3%81%AE%E3%82%B5%E3%82%A4%E3%82%BA-%E3%81%A8%E3%82%BF%E3%83%96%E3%83%AC%E3%83%83%E3%83%88-10-1%E3%82%A4%E3%83%B3%E3%83%81%E3%81%BE%E3%81%A7%E3%80%81%E3%82%B7%E3%83%AB%E3%83%90%E3%83%BC/dp/B07438NMTX/ref=sr_1_80?__mk_ja_JP=%E3%82%AB%E3%82%BF%E3%82%AB%E3%83%8A&amp;dchild=1&amp;keywords=iphone+x&amp;qid=1598524223&amp;sr=8-80", "Go")</f>
        <v/>
      </c>
    </row>
    <row r="84">
      <c r="A84" s="1" t="n">
        <v>82</v>
      </c>
      <c r="B84" t="inlineStr">
        <is>
          <t>【2枚セット】 iPhone 11/iPhone XR ガラスフィルム 全面保護 日本製素材旭硝子製 9H硬度/99%透過率/自動吸着/スクラッチ防止/気泡ゼロ/防指紋/飛散防止処理 iPhone11 液晶保護フィルム 強化ガラス （6.1 インチ アイフォン 11 / XR 用）</t>
        </is>
      </c>
      <c r="C84" t="inlineStr">
        <is>
          <t>￥899</t>
        </is>
      </c>
      <c r="D84" t="inlineStr">
        <is>
          <t>4.8</t>
        </is>
      </c>
      <c r="E84">
        <f>HYPERLINK("https://www.amazon.co.jp/dp/B08FB7TSNH/ref=sr_1_81?__mk_ja_JP=%E3%82%AB%E3%82%BF%E3%82%AB%E3%83%8A&amp;dchild=1&amp;keywords=iphone+x&amp;qid=1598524223&amp;sr=8-81", "Go")</f>
        <v/>
      </c>
    </row>
    <row r="85">
      <c r="A85" s="1" t="n">
        <v>83</v>
      </c>
      <c r="B85" t="inlineStr">
        <is>
          <t>「2枚セット」iPhone 11 Pro/iPhone XS/iPhone X ガラスフィルム 全面保護/指紋防止 アイフォン11 Pro/XS/X 強化ガラス 日本製素材旭硝子製/硬度9H/高透過率/飛散防止/撥油性/簡単貼り付け/自己吸着/キズ防止/衝撃吸収/スクラッチ防止/気泡ゼロ iPhone 11 Pro/XS/X 液晶保護フィルム</t>
        </is>
      </c>
      <c r="C85" t="inlineStr">
        <is>
          <t>￥799</t>
        </is>
      </c>
      <c r="D85" t="inlineStr">
        <is>
          <t>4.9</t>
        </is>
      </c>
      <c r="E85">
        <f>HYPERLINK("https://www.amazon.co.jp/%E3%80%8C2%E6%9E%9A%E3%82%BB%E3%83%83%E3%83%88%E3%80%8DiPhone-%E3%82%AC%E3%83%A9%E3%82%B9%E3%83%95%E3%82%A3%E3%83%AB%E3%83%A0-%E3%82%A2%E3%82%A4%E3%83%95%E3%82%A9%E3%83%B311-%E6%97%A5%E6%9C%AC%E8%A3%BD%E7%B4%A0%E6%9D%90%E6%97%AD%E7%A1%9D%E5%AD%90%E8%A3%BD-%E6%B6%B2%E6%99%B6%E4%BF%9D%E8%AD%B7%E3%83%95%E3%82%A3%E3%83%AB%E3%83%A0/dp/B08FDZM35L/ref=sr_1_82?__mk_ja_JP=%E3%82%AB%E3%82%BF%E3%82%AB%E3%83%8A&amp;dchild=1&amp;keywords=iphone+x&amp;qid=1598524223&amp;sr=8-82", "Go")</f>
        <v/>
      </c>
    </row>
    <row r="86">
      <c r="A86" s="1" t="n">
        <v>84</v>
      </c>
      <c r="B86" t="inlineStr">
        <is>
          <t>【最新改良】 iPhone SE 2020 第2世代 フィルム 覗き見防止 ガラスフィルム プライバシー防止 180°のぞき見防止 日本旭硝子素材 硬度9H 気泡ゼロ 指紋防止 飛散防止 2.5D ラウンドエッジ加工 アイフォン SE 二世代 強化ガラス液晶保護フィルム （4.7インチ通用 ブラック）</t>
        </is>
      </c>
      <c r="C86" t="inlineStr">
        <is>
          <t>￥799</t>
        </is>
      </c>
      <c r="D86" t="inlineStr">
        <is>
          <t>4.8</t>
        </is>
      </c>
      <c r="E86">
        <f>HYPERLINK("https://www.amazon.co.jp/%E3%83%97%E3%83%A9%E3%82%A4%E3%83%90%E3%82%B7%E3%83%BC%E9%98%B2%E6%AD%A2-180%C2%B0%E3%81%AE%E3%81%9E%E3%81%8D%E8%A6%8B%E9%98%B2%E6%AD%A2-%E3%83%A9%E3%82%A6%E3%83%B3%E3%83%89%E3%82%A8%E3%83%83%E3%82%B8%E5%8A%A0%E5%B7%A5-%E5%BC%B7%E5%8C%96%E3%82%AC%E3%83%A9%E3%82%B9%E6%B6%B2%E6%99%B6%E4%BF%9D%E8%AD%B7%E3%83%95%E3%82%A3%E3%83%AB%E3%83%A0-%EF%BC%884-7%E3%82%A4%E3%83%B3%E3%83%81%E9%80%9A%E7%94%A8/dp/B08DKHH27B/ref=sr_1_83?__mk_ja_JP=%E3%82%AB%E3%82%BF%E3%82%AB%E3%83%8A&amp;dchild=1&amp;keywords=iphone+x&amp;qid=1598524223&amp;sr=8-83", "Go")</f>
        <v/>
      </c>
    </row>
    <row r="87">
      <c r="A87" s="1" t="n">
        <v>85</v>
      </c>
      <c r="B87" t="inlineStr">
        <is>
          <t>【3枚セット】 iPhone 11 ガラスフィルムiPhone XR ガラスフィルム 6.1インチ用 日本旭硝子製 アイフォン11 強化ガラス アイフォンXR液晶保護フィルム 3D Touch対応/スクラッチ防止/防油汚れ/指紋防止/透過率99%/ 気泡ゼロ/飛散防止処理/貼付け簡単 iPhone フィルム</t>
        </is>
      </c>
      <c r="C87" t="inlineStr">
        <is>
          <t>￥399</t>
        </is>
      </c>
      <c r="D87" t="inlineStr">
        <is>
          <t>4.7</t>
        </is>
      </c>
      <c r="E87">
        <f>HYPERLINK("https://www.amazon.co.jp/%E3%80%903%E6%9E%9A%E3%82%BB%E3%83%83%E3%83%88%E3%80%91-11-%E3%82%AC%E3%83%A9%E3%82%B9%E3%83%95%E3%82%A3%E3%83%AB%E3%83%A0iPhone-%E3%82%AC%E3%83%A9%E3%82%B9%E3%83%95%E3%82%A3%E3%83%AB%E3%83%A0-%E3%82%A2%E3%82%A4%E3%83%95%E3%82%A9%E3%83%B3XR%E6%B6%B2%E6%99%B6%E4%BF%9D%E8%AD%B7%E3%83%95%E3%82%A3%E3%83%AB%E3%83%A0/dp/B088W7Z38W/ref=sr_1_84?__mk_ja_JP=%E3%82%AB%E3%82%BF%E3%82%AB%E3%83%8A&amp;dchild=1&amp;keywords=iphone+x&amp;qid=1598524223&amp;sr=8-84", "Go")</f>
        <v/>
      </c>
    </row>
    <row r="88">
      <c r="A88" s="1" t="n">
        <v>86</v>
      </c>
      <c r="B88" t="inlineStr">
        <is>
          <t>iPhone 11 Pro/iPhone X/iPhone XS ガラスフィルム のぞき見防止フルカバー保護 業界最高の硬度9H、プライバシー保護、防油汚れ、指紋防止、飛散防止、気泡防止、自動吸着 iPhone 11 Pro/X/XS 液晶保護フィルム【覗き見防止】</t>
        </is>
      </c>
      <c r="C88" t="inlineStr">
        <is>
          <t>￥899</t>
        </is>
      </c>
      <c r="D88" t="inlineStr">
        <is>
          <t>4.8</t>
        </is>
      </c>
      <c r="E88">
        <f>HYPERLINK("https://www.amazon.co.jp/iPhone-%E3%82%AC%E3%83%A9%E3%82%B9%E3%83%95%E3%82%A3%E3%83%AB%E3%83%A0-%E3%81%AE%E3%81%9E%E3%81%8D%E8%A6%8B%E9%98%B2%E6%AD%A2%E3%83%95%E3%83%AB%E3%82%AB%E3%83%90%E3%83%BC%E4%BF%9D%E8%AD%B7-%E6%A5%AD%E7%95%8C%E6%9C%80%E9%AB%98%E3%81%AE%E7%A1%AC%E5%BA%A69H%E3%80%81%E3%83%97%E3%83%A9%E3%82%A4%E3%83%90%E3%82%B7%E3%83%BC%E4%BF%9D%E8%AD%B7%E3%80%81%E9%98%B2%E6%B2%B9%E6%B1%9A%E3%82%8C%E3%80%81%E6%8C%87%E7%B4%8B%E9%98%B2%E6%AD%A2%E3%80%81%E9%A3%9B%E6%95%A3%E9%98%B2%E6%AD%A2%E3%80%81%E6%B0%97%E6%B3%A1%E9%98%B2%E6%AD%A2%E3%80%81%E8%87%AA%E5%8B%95%E5%90%B8%E7%9D%80-%E6%B6%B2%E6%99%B6%E4%BF%9D%E8%AD%B7%E3%83%95%E3%82%A3%E3%83%AB%E3%83%A0%E3%80%90%E8%A6%97%E3%81%8D%E8%A6%8B%E9%98%B2%E6%AD%A2%E3%80%91/dp/B08D9K1RBJ/ref=sr_1_85?__mk_ja_JP=%E3%82%AB%E3%82%BF%E3%82%AB%E3%83%8A&amp;dchild=1&amp;keywords=iphone+x&amp;qid=1598524223&amp;sr=8-85", "Go")</f>
        <v/>
      </c>
    </row>
    <row r="89">
      <c r="A89" s="1" t="n">
        <v>87</v>
      </c>
      <c r="B89" t="inlineStr">
        <is>
          <t>WUYA iPhone充電器 MFi認定ライトニングケーブル 6パック – 3/3/6/6/10/10フィート ナイロン織り 高速充電 高速データ同期コード iPhone 11 Pro XS MAX XR XS X 8 7 Plus 6S 6 SE対応 - カラー</t>
        </is>
      </c>
      <c r="C89" t="inlineStr">
        <is>
          <t>￥8,005</t>
        </is>
      </c>
      <c r="D89" t="inlineStr">
        <is>
          <t>4.8</t>
        </is>
      </c>
      <c r="E89">
        <f>HYPERLINK("https://www.amazon.co.jp/dp/B089R89672/ref=sr_1_86?__mk_ja_JP=%E3%82%AB%E3%82%BF%E3%82%AB%E3%83%8A&amp;dchild=1&amp;keywords=iphone+x&amp;qid=1598524223&amp;sr=8-86", "Go")</f>
        <v/>
      </c>
    </row>
    <row r="90">
      <c r="A90" s="1" t="n">
        <v>88</v>
      </c>
      <c r="B90" t="inlineStr">
        <is>
          <t>【覗き見防止】iPhone11/XRガラスフィルム （6.1インチ）/強化ガラスフィルム（約3倍の強度）/優れたタッチ感度/99％の光透過率/日本旭硝子製硬度9H /指紋防止/飛散防止/3D Touch対応/液晶保護フィルム/角割れ防ぎ/スクラッチ防止//貼付け簡単</t>
        </is>
      </c>
      <c r="C90" t="inlineStr">
        <is>
          <t>￥1,098</t>
        </is>
      </c>
      <c r="D90" t="inlineStr">
        <is>
          <t>4.8</t>
        </is>
      </c>
      <c r="E90">
        <f>HYPERLINK("https://www.amazon.co.jp/Anti-Peeping-Approximately-Sensitivity-Transmittance-Fingerprint/dp/B08DJ9DPDK/ref=sr_1_87?__mk_ja_JP=%E3%82%AB%E3%82%BF%E3%82%AB%E3%83%8A&amp;dchild=1&amp;keywords=iphone+x&amp;qid=1598524223&amp;sr=8-87", "Go")</f>
        <v/>
      </c>
    </row>
    <row r="91">
      <c r="A91" s="1" t="n">
        <v>89</v>
      </c>
      <c r="B91" t="inlineStr">
        <is>
          <t>【2枚セット】iPhone 11 Pro/iPhone X/iPhone XS ガラスフィルム 液晶保護フィルム 業界最高の硬度9H、高い光透過率、防油汚れ、指紋防止、飛散防止、気泡防止、自動吸着 iPhone 11 Pro/X/XS 強化ガラスフィルム</t>
        </is>
      </c>
      <c r="C91" t="inlineStr">
        <is>
          <t>￥599</t>
        </is>
      </c>
      <c r="D91" t="inlineStr">
        <is>
          <t>4.8</t>
        </is>
      </c>
      <c r="E91">
        <f>HYPERLINK("https://www.amazon.co.jp/%E3%80%902%E6%9E%9A%E3%82%BB%E3%83%83%E3%83%88%E3%80%91iPhone-%E3%82%AC%E3%83%A9%E3%82%B9%E3%83%95%E3%82%A3%E3%83%AB%E3%83%A0-%E6%B6%B2%E6%99%B6%E4%BF%9D%E8%AD%B7%E3%83%95%E3%82%A3%E3%83%AB%E3%83%A0-%E6%A5%AD%E7%95%8C%E6%9C%80%E9%AB%98%E3%81%AE%E7%A1%AC%E5%BA%A69H%E3%80%81%E9%AB%98%E3%81%84%E5%85%89%E9%80%8F%E9%81%8E%E7%8E%87%E3%80%81%E9%98%B2%E6%B2%B9%E6%B1%9A%E3%82%8C%E3%80%81%E6%8C%87%E7%B4%8B%E9%98%B2%E6%AD%A2%E3%80%81%E9%A3%9B%E6%95%A3%E9%98%B2%E6%AD%A2%E3%80%81%E6%B0%97%E6%B3%A1%E9%98%B2%E6%AD%A2%E3%80%81%E8%87%AA%E5%8B%95%E5%90%B8%E7%9D%80-%E5%BC%B7%E5%8C%96%E3%82%AC%E3%83%A9%E3%82%B9%E3%83%95%E3%82%A3%E3%83%AB%E3%83%A0/dp/B0878STBNV/ref=sr_1_88?__mk_ja_JP=%E3%82%AB%E3%82%BF%E3%82%AB%E3%83%8A&amp;dchild=1&amp;keywords=iphone+x&amp;qid=1598524223&amp;sr=8-88", "Go")</f>
        <v/>
      </c>
    </row>
    <row r="92">
      <c r="A92" s="1" t="n">
        <v>90</v>
      </c>
      <c r="B92" t="inlineStr">
        <is>
          <t>WEWSTOUN Sony Xperia XZ3 ガラスフィルム【日本旭硝子製】 XZ3 (SO-01L / SOV39 対応) 液晶保護フィルム sov39 保護フィルム 最高の硬度9H、高い光透過率、指紋防止、防油汚れ、飛散防止、気泡防止 Xperia XZ3 強化ガラス（ブラック）</t>
        </is>
      </c>
      <c r="C92" t="inlineStr">
        <is>
          <t>￥899</t>
        </is>
      </c>
      <c r="D92" t="inlineStr">
        <is>
          <t>4.8</t>
        </is>
      </c>
      <c r="E92">
        <f>HYPERLINK("https://www.amazon.co.jp/Compatible-Protective-Transmittance-Fingerprint-Shatterproof/dp/B08DNRH5YJ/ref=sr_1_89?__mk_ja_JP=%E3%82%AB%E3%82%BF%E3%82%AB%E3%83%8A&amp;dchild=1&amp;keywords=iphone+x&amp;qid=1598524223&amp;sr=8-89", "Go")</f>
        <v/>
      </c>
    </row>
    <row r="93">
      <c r="A93" s="1" t="n">
        <v>91</v>
      </c>
      <c r="B93" t="inlineStr">
        <is>
          <t>【視力を保護】 iPhone11 Pro/iPhoneXS/iPhoneX ガラスフィルム ブルーライトカット 液晶保護フィルム 【エッジの割れを防ぐ/耐衝撃/炭素繊維】 アイホン 11 Pro/XS/X 強化ガラス 目の疲れ軽減 全面保護 高透過率 硬度9H 気泡ゼロ 貼り付け簡単 （5.8インチ ）</t>
        </is>
      </c>
      <c r="C93" t="inlineStr">
        <is>
          <t>￥899</t>
        </is>
      </c>
      <c r="D93" t="inlineStr">
        <is>
          <t>4.8</t>
        </is>
      </c>
      <c r="E93">
        <f>HYPERLINK("https://www.amazon.co.jp/iPhone11-iPhoneXS-%E3%83%96%E3%83%AB%E3%83%BC%E3%83%A9%E3%82%A4%E3%83%88%E3%82%AB%E3%83%83%E3%83%88-%E6%B6%B2%E6%99%B6%E4%BF%9D%E8%AD%B7%E3%83%95%E3%82%A3%E3%83%AB%E3%83%A0-%E3%80%90%E3%82%A8%E3%83%83%E3%82%B8%E3%81%AE%E5%89%B2%E3%82%8C%E3%82%92%E9%98%B2%E3%81%90/dp/B08FQQ6CJJ/ref=sr_1_90?__mk_ja_JP=%E3%82%AB%E3%82%BF%E3%82%AB%E3%83%8A&amp;dchild=1&amp;keywords=iphone+x&amp;qid=1598524223&amp;sr=8-90", "Go")</f>
        <v/>
      </c>
    </row>
    <row r="94">
      <c r="A94" s="1" t="n">
        <v>92</v>
      </c>
      <c r="B94" t="inlineStr">
        <is>
          <t>【2枚セット】iPhone11 Pro/X/XS ガラスフィルム /日本旭硝子製硬度9H /炭素繊維/3D全面/透過率99.9% /気泡ゼロ/飛散防止/防指紋/防油汚/自動吸着/3D Touch対応/液晶保護フィルム 角割れ防ぎ/スクラッチ防止//貼付け簡単</t>
        </is>
      </c>
      <c r="C94" t="inlineStr">
        <is>
          <t>￥598</t>
        </is>
      </c>
      <c r="D94" t="inlineStr">
        <is>
          <t>4.8</t>
        </is>
      </c>
      <c r="E94">
        <f>HYPERLINK("https://www.amazon.co.jp/%E3%80%902%E6%9E%9A%E3%82%BB%E3%83%83%E3%83%88%E3%80%91iPhone11-%E3%82%AC%E3%83%A9%E3%82%B9%E3%83%95%E3%82%A3%E3%83%AB%E3%83%A0-%E6%97%A5%E6%9C%AC%E6%97%AD%E7%A1%9D%E5%AD%90%E8%A3%BD%E7%A1%AC%E5%BA%A69H-%E9%80%8F%E9%81%8E%E7%8E%8799-9-%E6%B6%B2%E6%99%B6%E4%BF%9D%E8%AD%B7%E3%83%95%E3%82%A3%E3%83%AB%E3%83%A0/dp/B08DJ8P8GN/ref=sr_1_91?__mk_ja_JP=%E3%82%AB%E3%82%BF%E3%82%AB%E3%83%8A&amp;dchild=1&amp;keywords=iphone+x&amp;qid=1598524223&amp;sr=8-91", "Go")</f>
        <v/>
      </c>
    </row>
    <row r="95">
      <c r="A95" s="1" t="n">
        <v>93</v>
      </c>
      <c r="B95" t="inlineStr">
        <is>
          <t>【2枚セット】 iPhone 11 Pro/iPhone X/Xs用 ガラスフィルム [硬度9H /3D Touch対応/飛散防止/指紋防止/透過率99%/ 気泡ゼロ/貼付け簡単] iPhone11Pro用 ガラスフィルム 強化ガラス 液晶保護フィルム (全面保護)</t>
        </is>
      </c>
      <c r="C95" t="inlineStr">
        <is>
          <t>￥1,099</t>
        </is>
      </c>
      <c r="D95" t="inlineStr">
        <is>
          <t>4.8</t>
        </is>
      </c>
      <c r="E95">
        <f>HYPERLINK("https://www.amazon.co.jp/%E3%80%902%E6%9E%9A%E3%82%BB%E3%83%83%E3%83%88%E3%80%91-%E3%82%AC%E3%83%A9%E3%82%B9%E3%83%95%E3%82%A3%E3%83%AB%E3%83%A0-Touch%E5%AF%BE%E5%BF%9C-iPhone11Pro%E7%94%A8-%E6%B6%B2%E6%99%B6%E4%BF%9D%E8%AD%B7%E3%83%95%E3%82%A3%E3%83%AB%E3%83%A0/dp/B08FB12RD2/ref=sr_1_92?__mk_ja_JP=%E3%82%AB%E3%82%BF%E3%82%AB%E3%83%8A&amp;dchild=1&amp;keywords=iphone+x&amp;qid=1598524223&amp;sr=8-92", "Go")</f>
        <v/>
      </c>
    </row>
    <row r="96">
      <c r="A96" s="1" t="n">
        <v>94</v>
      </c>
      <c r="B96" t="inlineStr">
        <is>
          <t>覗き見防止フィルム iPhone11Pro / iPhoneX/Xs ガラスフィルム 覗き見防止 360° プライバシー保護フィルム 3d touch対応/硬度9h/気泡無し/指紋防止/スクラッチ防止/飛散防止処理 iPhone11Pro 覗き見防止ガラスフィルム 全面保護 液晶保護フィルム 強化ガラス (アイフォン 11 Pro/X/Xs)</t>
        </is>
      </c>
      <c r="C96" t="inlineStr">
        <is>
          <t>￥1,099</t>
        </is>
      </c>
      <c r="D96" t="inlineStr">
        <is>
          <t>4.8</t>
        </is>
      </c>
      <c r="E96">
        <f>HYPERLINK("https://www.amazon.co.jp/%E8%A6%97%E3%81%8D%E8%A6%8B%E9%98%B2%E6%AD%A2%E3%83%95%E3%82%A3%E3%83%AB%E3%83%A0-iPhone11Pro-%E3%83%97%E3%83%A9%E3%82%A4%E3%83%90%E3%82%B7%E3%83%BC%E4%BF%9D%E8%AD%B7%E3%83%95%E3%82%A3%E3%83%AB%E3%83%A0-%E8%A6%97%E3%81%8D%E8%A6%8B%E9%98%B2%E6%AD%A2%E3%82%AC%E3%83%A9%E3%82%B9%E3%83%95%E3%82%A3%E3%83%AB%E3%83%A0-%E6%B6%B2%E6%99%B6%E4%BF%9D%E8%AD%B7%E3%83%95%E3%82%A3%E3%83%AB%E3%83%A0/dp/B08F9Z4RM4/ref=sr_1_93?__mk_ja_JP=%E3%82%AB%E3%82%BF%E3%82%AB%E3%83%8A&amp;dchild=1&amp;keywords=iphone+x&amp;qid=1598524223&amp;sr=8-93", "Go")</f>
        <v/>
      </c>
    </row>
    <row r="97">
      <c r="A97" s="1" t="n">
        <v>95</v>
      </c>
      <c r="B97" t="inlineStr">
        <is>
          <t>【視力を保護】iPhone 11 / iPhone XR ガラスフィルム アイフォン11 / XR 強化ガラス液晶保護フィルム【ブルーライト/硬度9H/全面保護/目の疲れ軽減ぐ/旭硝子/気泡ゼロ/指紋防止/貼り付け簡単】 6.1 インチ iphone11/XR 用 フィルム</t>
        </is>
      </c>
      <c r="C97" t="inlineStr">
        <is>
          <t>￥899</t>
        </is>
      </c>
      <c r="D97" t="inlineStr">
        <is>
          <t>4.8</t>
        </is>
      </c>
      <c r="E97">
        <f>HYPERLINK("https://www.amazon.co.jp/%E3%80%90%E8%A6%96%E5%8A%9B%E3%82%92%E4%BF%9D%E8%AD%B7%E3%80%91iPhone-%E3%82%AC%E3%83%A9%E3%82%B9%E3%83%95%E3%82%A3%E3%83%AB%E3%83%A0-%E3%82%A2%E3%82%A4%E3%83%95%E3%82%A9%E3%83%B311-%E5%BC%B7%E5%8C%96%E3%82%AC%E3%83%A9%E3%82%B9%E6%B6%B2%E6%99%B6%E4%BF%9D%E8%AD%B7%E3%83%95%E3%82%A3%E3%83%AB%E3%83%A0%E3%80%90%E3%83%96%E3%83%AB%E3%83%BC%E3%83%A9%E3%82%A4%E3%83%88-iphone11/dp/B08CZL845M/ref=sr_1_94?__mk_ja_JP=%E3%82%AB%E3%82%BF%E3%82%AB%E3%83%8A&amp;dchild=1&amp;keywords=iphone+x&amp;qid=1598524223&amp;sr=8-94", "Go")</f>
        <v/>
      </c>
    </row>
    <row r="98">
      <c r="A98" s="1" t="n">
        <v>96</v>
      </c>
      <c r="B98" t="inlineStr">
        <is>
          <t>USB Type C 充電ケーブル ライトニングケーブル USB2.0 急速充電 高速データ転送同期 高耐久性 柔軟性あり Sony Xperia Samsung Galaxy Macbook Pro Nexus 5X/6P GoPro Hero 5/6対応 TypeC全機種対応 ブラック 【4本セット 0.25m+1m+1m+2m 】</t>
        </is>
      </c>
      <c r="C98" t="inlineStr">
        <is>
          <t>￥989</t>
        </is>
      </c>
      <c r="D98" t="inlineStr">
        <is>
          <t>4.8</t>
        </is>
      </c>
      <c r="E98">
        <f>HYPERLINK("https://www.amazon.co.jp/dp/B086MHNYWV/ref=sr_1_95?__mk_ja_JP=%E3%82%AB%E3%82%BF%E3%82%AB%E3%83%8A&amp;dchild=1&amp;keywords=iphone+x&amp;qid=1598524223&amp;sr=8-95", "Go")</f>
        <v/>
      </c>
    </row>
    <row r="99">
      <c r="A99" s="1" t="n">
        <v>97</v>
      </c>
      <c r="B99" t="inlineStr">
        <is>
          <t>iPhone 11 Pro/iPhone XS/iPhone Xガラスフィルム 覗き見防止 プライバシーフィルム 強化ガラス 液晶保護フィルム 9H硬度 指紋防止 飛散防止 浮きなし 耐衝撃 貼り付け簡単 5.8インチ 【2枚セット】(アイフォン11 Pro/XS/X用)</t>
        </is>
      </c>
      <c r="C99" t="inlineStr">
        <is>
          <t>￥1,399</t>
        </is>
      </c>
      <c r="D99" t="inlineStr">
        <is>
          <t>4.8</t>
        </is>
      </c>
      <c r="E99">
        <f>HYPERLINK("https://www.amazon.co.jp/X%E3%82%AC%E3%83%A9%E3%82%B9%E3%83%95%E3%82%A3%E3%83%AB%E3%83%A0-%E3%83%97%E3%83%A9%E3%82%A4%E3%83%90%E3%82%B7%E3%83%BC%E3%83%95%E3%82%A3%E3%83%AB%E3%83%A0-%E6%B6%B2%E6%99%B6%E4%BF%9D%E8%AD%B7%E3%83%95%E3%82%A3%E3%83%AB%E3%83%A0-%E3%80%902%E6%9E%9A%E3%82%BB%E3%83%83%E3%83%88%E3%80%91-%E3%82%A2%E3%82%A4%E3%83%95%E3%82%A9%E3%83%B311/dp/B0888DPB33/ref=sr_1_96?__mk_ja_JP=%E3%82%AB%E3%82%BF%E3%82%AB%E3%83%8A&amp;dchild=1&amp;keywords=iphone+x&amp;qid=1598524223&amp;sr=8-96", "Go")</f>
        <v/>
      </c>
    </row>
    <row r="100">
      <c r="A100" s="1" t="n">
        <v>98</v>
      </c>
      <c r="B100" t="inlineStr">
        <is>
          <t>【覗き見防止】iPhone 8/iPhone 7用 プライバシー防止系列 全面保護フィルム 国産旭硝子製 硬度9H 飛散防止 99%高透過率 指紋防止 気泡ゼロ 貼り付け簡単 3Dラウンドエッジ 全面フルカバー（覗き見防止強化ガラス液晶面１枚） (Iphone 8/Iphone 7, ブラック)</t>
        </is>
      </c>
      <c r="C100" t="inlineStr">
        <is>
          <t>￥899</t>
        </is>
      </c>
      <c r="D100" t="inlineStr">
        <is>
          <t>4.8</t>
        </is>
      </c>
      <c r="E100">
        <f>HYPERLINK("https://www.amazon.co.jp/%E3%80%90%E8%A6%97%E3%81%8D%E8%A6%8B%E9%98%B2%E6%AD%A2%E3%80%91iPhone-%E3%83%97%E3%83%A9%E3%82%A4%E3%83%90%E3%82%B7%E3%83%BC%E9%98%B2%E6%AD%A2%E7%B3%BB%E5%88%97-%E5%85%A8%E9%9D%A2%E4%BF%9D%E8%AD%B7%E3%83%95%E3%82%A3%E3%83%AB%E3%83%A0-3D%E3%83%A9%E3%82%A6%E3%83%B3%E3%83%89%E3%82%A8%E3%83%83%E3%82%B8-%E5%85%A8%E9%9D%A2%E3%83%95%E3%83%AB%E3%82%AB%E3%83%90%E3%83%BC%EF%BC%88%E8%A6%97%E3%81%8D%E8%A6%8B%E9%98%B2%E6%AD%A2%E5%BC%B7%E5%8C%96%E3%82%AC%E3%83%A9%E3%82%B9%E6%B6%B2%E6%99%B6%E9%9D%A2%EF%BC%91%E6%9E%9A%EF%BC%89/dp/B08CZ7V67C/ref=sr_1_97?__mk_ja_JP=%E3%82%AB%E3%82%BF%E3%82%AB%E3%83%8A&amp;dchild=1&amp;keywords=iphone+x&amp;qid=1598524223&amp;sr=8-97", "Go")</f>
        <v/>
      </c>
    </row>
    <row r="101">
      <c r="A101" s="1" t="n">
        <v>99</v>
      </c>
      <c r="B101" t="inlineStr">
        <is>
          <t>iPhone 11 Pro/iPhone X/iPhone XS ガラスフィルム ブルーライトカット 全面保護 【目の疲れ軽減】 液晶保護フィルム 日本製素材旭硝子製 [硬度9H/スクラッチ防止/飛散防止/指紋防止/透過率99%/気泡ゼロ/貼付け簡単] iPhone 11 Pro/X/XS 強化ガラスフィルム</t>
        </is>
      </c>
      <c r="C101" t="inlineStr">
        <is>
          <t>￥399</t>
        </is>
      </c>
      <c r="D101" t="inlineStr">
        <is>
          <t>4.8</t>
        </is>
      </c>
      <c r="E101">
        <f>HYPERLINK("https://www.amazon.co.jp/%E3%83%96%E3%83%AB%E3%83%BC%E3%83%A9%E3%82%A4%E3%83%88%E3%82%AB%E3%83%83%E3%83%88-%E3%80%90%E7%9B%AE%E3%81%AE%E7%96%B2%E3%82%8C%E8%BB%BD%E6%B8%9B%E3%80%91-%E6%B6%B2%E6%99%B6%E4%BF%9D%E8%AD%B7%E3%83%95%E3%82%A3%E3%83%AB%E3%83%A0-%E6%97%A5%E6%9C%AC%E8%A3%BD%E7%B4%A0%E6%9D%90%E6%97%AD%E7%A1%9D%E5%AD%90%E8%A3%BD-%E5%BC%B7%E5%8C%96%E3%82%AC%E3%83%A9%E3%82%B9%E3%83%95%E3%82%A3%E3%83%AB%E3%83%A0/dp/B088W8YV2Z/ref=sr_1_98?__mk_ja_JP=%E3%82%AB%E3%82%BF%E3%82%AB%E3%83%8A&amp;dchild=1&amp;keywords=iphone+x&amp;qid=1598524223&amp;sr=8-98", "Go")</f>
        <v/>
      </c>
    </row>
    <row r="102">
      <c r="A102" s="1" t="n">
        <v>100</v>
      </c>
      <c r="B102" t="inlineStr">
        <is>
          <t>【2020最新版】iPhone 11 Pro/iPhone X/XS グリーン ガラスフィルム ブルーライトカット強化ガラス フルカバー 0.25mm 超薄型 強化ガラス 液晶保護 日本旭硝子製 3D Touch対応 飛散防止 指紋防止 最强硬度9H 目の疲れ軽減 気泡ゼロ 貼付け簡単 ケースと干渉せず (5.8インチ)</t>
        </is>
      </c>
      <c r="C102" t="inlineStr">
        <is>
          <t>￥999</t>
        </is>
      </c>
      <c r="D102" t="inlineStr">
        <is>
          <t>4.8</t>
        </is>
      </c>
      <c r="E102">
        <f>HYPERLINK("https://www.amazon.co.jp/%E3%80%902020%E6%9C%80%E6%96%B0%E7%89%88%E3%80%91iPhone-%E3%82%AC%E3%83%A9%E3%82%B9%E3%83%95%E3%82%A3%E3%83%AB%E3%83%A0-%E3%83%96%E3%83%AB%E3%83%BC%E3%83%A9%E3%82%A4%E3%83%88%E3%82%AB%E3%83%83%E3%83%88%E5%BC%B7%E5%8C%96%E3%82%AC%E3%83%A9%E3%82%B9-Touch%E5%AF%BE%E5%BF%9C-%E3%82%B1%E3%83%BC%E3%82%B9%E3%81%A8%E5%B9%B2%E6%B8%89%E3%81%9B%E3%81%9A/dp/B086PNVLPB/ref=sr_1_99?__mk_ja_JP=%E3%82%AB%E3%82%BF%E3%82%AB%E3%83%8A&amp;dchild=1&amp;keywords=iphone+x&amp;qid=1598524223&amp;sr=8-99", "Go")</f>
        <v/>
      </c>
    </row>
    <row r="103">
      <c r="A103" s="1" t="n">
        <v>101</v>
      </c>
      <c r="B103" t="inlineStr">
        <is>
          <t>【2枚セット】【2020最新版ガイド枠付き】iPhone11 Pro/iPhoneX/Xs（5.8インチ）用 液晶保護ガラスフィルム アイフォン11 Pro/X/Xs用</t>
        </is>
      </c>
      <c r="C103" t="inlineStr">
        <is>
          <t>￥797</t>
        </is>
      </c>
      <c r="D103" t="inlineStr">
        <is>
          <t>4.9</t>
        </is>
      </c>
      <c r="E103">
        <f>HYPERLINK("https://www.amazon.co.jp/%E3%80%902%E6%9E%9A%E3%82%BB%E3%83%83%E3%83%88%E3%80%91%E3%80%902020%E6%9C%80%E6%96%B0%E7%89%88%E3%82%AC%E3%82%A4%E3%83%89%E6%9E%A0%E4%BB%98%E3%81%8D%E3%80%91iPhone11-iPhoneX-Xs%EF%BC%885-8%E3%82%A4%E3%83%B3%E3%83%81%EF%BC%89%E7%94%A8-%E6%B6%B2%E6%99%B6%E4%BF%9D%E8%AD%B7%E3%82%AC%E3%83%A9%E3%82%B9%E3%83%95%E3%82%A3%E3%83%AB%E3%83%A0-%E3%82%A2%E3%82%A4%E3%83%95%E3%82%A9%E3%83%B311/dp/B08CRJ82NZ/ref=sr_1_100?__mk_ja_JP=%E3%82%AB%E3%82%BF%E3%82%AB%E3%83%8A&amp;dchild=1&amp;keywords=iphone+x&amp;qid=1598524223&amp;sr=8-100", "Go")</f>
        <v/>
      </c>
    </row>
    <row r="104">
      <c r="A104" s="1" t="n">
        <v>102</v>
      </c>
      <c r="B104" t="inlineStr">
        <is>
          <t>【ブルーライトカット】iPhone X/iPhone XS ガラスフィルム【2枚セット】アイフォン X/XS 強化ガラス液晶保護フィルム【ブルーライト/全面保護/目の疲れ軽減ぐ/旭硝子/高透過率/気泡ゼロ/指紋防止/貼り付け簡単】</t>
        </is>
      </c>
      <c r="C104" t="inlineStr">
        <is>
          <t>￥1,568</t>
        </is>
      </c>
      <c r="D104" t="inlineStr">
        <is>
          <t>4</t>
        </is>
      </c>
      <c r="E104">
        <f>HYPERLINK("https://www.amazon.co.jp/%E3%80%90%E3%83%96%E3%83%AB%E3%83%BC%E3%83%A9%E3%82%A4%E3%83%88%E3%82%AB%E3%83%83%E3%83%88%E3%80%91iPhone-XS-%E3%82%AC%E3%83%A9%E3%82%B9%E3%83%95%E3%82%A3%E3%83%AB%E3%83%A0%E3%80%902%E6%9E%9A%E3%82%BB%E3%83%83%E3%83%88%E3%80%91%E3%82%A2%E3%82%A4%E3%83%95%E3%82%A9%E3%83%B3-%E5%BC%B7%E5%8C%96%E3%82%AC%E3%83%A9%E3%82%B9%E6%B6%B2%E6%99%B6%E4%BF%9D%E8%AD%B7%E3%83%95%E3%82%A3%E3%83%AB%E3%83%A0%E3%80%90%E3%83%96%E3%83%AB%E3%83%BC%E3%83%A9%E3%82%A4%E3%83%88-%E7%9B%AE%E3%81%AE%E7%96%B2%E3%82%8C%E8%BB%BD%E6%B8%9B%E3%81%90/dp/B07TGTDL4R/ref=sr_1_101_sspa?__mk_ja_JP=%E3%82%AB%E3%82%BF%E3%82%AB%E3%83%8A&amp;dchild=1&amp;keywords=iphone+x&amp;qid=1598524223&amp;sr=8-101-spons&amp;psc=1&amp;spLa=ZW5jcnlwdGVkUXVhbGlmaWVyPUEyUUcyUVZJVTA4QkZIJmVuY3J5cHRlZElkPUEwMjM4NjY0M0sxNUtUOVJZNDhRViZlbmNyeXB0ZWRBZElkPUE0TzBCNVFNU0tPWEomd2lkZ2V0TmFtZT1zcF9idGYmYWN0aW9uPWNsaWNrUmVkaXJlY3QmZG9Ob3RMb2dDbGljaz10cnVl", "Go")</f>
        <v/>
      </c>
    </row>
    <row r="105">
      <c r="A105" s="1" t="n">
        <v>103</v>
      </c>
      <c r="B105" t="inlineStr">
        <is>
          <t>HUAWEI MediaPad T5 10 タブレット 10.1インチ Wi-Fiモデル RAM3GB/ROM32GB ブラック 【日本正規代理店品】</t>
        </is>
      </c>
      <c r="C105" t="inlineStr">
        <is>
          <t>￥20,592</t>
        </is>
      </c>
      <c r="D105" t="inlineStr">
        <is>
          <t>4.2</t>
        </is>
      </c>
      <c r="E105">
        <f>HYPERLINK("https://www.amazon.co.jp/HUAWEI-T5-10-10-1%E3%82%A4%E3%83%B3%E3%83%81%E3%82%BF%E3%83%96%E3%83%AC%E3%83%83%E3%83%88Wi-Fi%E3%83%A2%E3%83%87%E3%83%AB-%E3%80%90%E6%97%A5%E6%9C%AC%E6%AD%A3%E8%A6%8F%E4%BB%A3%E7%90%86%E5%BA%97%E5%93%81%E3%80%91/dp/B07WFSLVJP/ref=sr_1_97_sspa?__mk_ja_JP=%E3%82%AB%E3%82%BF%E3%82%AB%E3%83%8A&amp;dchild=1&amp;keywords=iphone+x&amp;qid=1598524451&amp;sr=8-97-spons&amp;psc=1&amp;spLa=ZW5jcnlwdGVkUXVhbGlmaWVyPUEyNkRXOTZSQVVLM1RHJmVuY3J5cHRlZElkPUEwMjcyNTE0Mkg0WDdCTlRNV0NKUSZlbmNyeXB0ZWRBZElkPUEzNldVRDlJSVdWSFlRJndpZGdldE5hbWU9c3BfYXRmX25leHQmYWN0aW9uPWNsaWNrUmVkaXJlY3QmZG9Ob3RMb2dDbGljaz10cnVl", "Go")</f>
        <v/>
      </c>
    </row>
    <row r="106">
      <c r="A106" s="1" t="n">
        <v>104</v>
      </c>
      <c r="B106" t="inlineStr">
        <is>
          <t>カンピーノ campino スマホケース iPhone XS ケース iPhone X ケース 対応 ミラー OLE stand スタンド機能 耐衝撃 スリム 薄型 動画 Qi ワイヤレス充電対応 シルバー 銀</t>
        </is>
      </c>
      <c r="C106" t="inlineStr">
        <is>
          <t>￥1,980</t>
        </is>
      </c>
      <c r="D106" t="inlineStr">
        <is>
          <t>4</t>
        </is>
      </c>
      <c r="E106">
        <f>HYPERLINK("https://www.amazon.co.jp/%E3%80%90Campino%E3%80%91%EF%BC%88Mirror%EF%BC%89-iPhone-%E3%82%B9%E3%82%BF%E3%83%B3%E3%83%89%E6%A9%9F%E8%83%BD-%E3%80%90%E5%9B%BD%E5%86%85%E6%AD%A3%E8%A6%8F%E4%BB%A3%E7%90%86%E5%BA%97%E3%80%91-Silver/dp/B07H4KVSZ2/ref=sr_1_99_sspa?__mk_ja_JP=%E3%82%AB%E3%82%BF%E3%82%AB%E3%83%8A&amp;dchild=1&amp;keywords=iphone+x&amp;qid=1598524451&amp;sr=8-99-spons&amp;psc=1&amp;spLa=ZW5jcnlwdGVkUXVhbGlmaWVyPUEyNkRXOTZSQVVLM1RHJmVuY3J5cHRlZElkPUEwMjcyNTE0Mkg0WDdCTlRNV0NKUSZlbmNyeXB0ZWRBZElkPUExTTY0WEdEWVJXMFBPJndpZGdldE5hbWU9c3BfYXRmX25leHQmYWN0aW9uPWNsaWNrUmVkaXJlY3QmZG9Ob3RMb2dDbGljaz10cnVl", "Go")</f>
        <v/>
      </c>
    </row>
    <row r="107">
      <c r="A107" s="1" t="n">
        <v>105</v>
      </c>
      <c r="B107" t="inlineStr">
        <is>
          <t>Meifigno iPhone Xs ケース iPhone X ケース ブラック [強化ガラスフィルム付き] [軍事レベル認証] マット 半透明 ソフトなTPUエッジ+かたいPC裏側 耐久性 耐衝撃 指紋防止 ワイヤレス対応 アイフォンX カバー 5.8インチ (ブラック)</t>
        </is>
      </c>
      <c r="C107" t="inlineStr">
        <is>
          <t>￥1,680</t>
        </is>
      </c>
      <c r="D107" t="inlineStr">
        <is>
          <t>4.8</t>
        </is>
      </c>
      <c r="E107">
        <f>HYPERLINK("https://www.amazon.co.jp/Meifigno-iPhone-Xs-%E3%82%B1%E3%83%BC%E3%82%B9-%E5%BC%B7%E5%8C%96%E3%82%AC%E3%83%A9%E3%82%B9%E3%83%95%E3%82%A3%E3%83%AB%E3%83%A0%E4%BB%98%E3%81%8D/dp/B0876YCTGF/ref=sr_1_100_sspa?__mk_ja_JP=%E3%82%AB%E3%82%BF%E3%82%AB%E3%83%8A&amp;dchild=1&amp;keywords=iphone+x&amp;qid=1598524451&amp;sr=8-100-spons&amp;psc=1&amp;spLa=ZW5jcnlwdGVkUXVhbGlmaWVyPUEyNkRXOTZSQVVLM1RHJmVuY3J5cHRlZElkPUEwMjcyNTE0Mkg0WDdCTlRNV0NKUSZlbmNyeXB0ZWRBZElkPUExMFE4V1dUUTgxRUg2JndpZGdldE5hbWU9c3BfYXRmX25leHQmYWN0aW9uPWNsaWNrUmVkaXJlY3QmZG9Ob3RMb2dDbGljaz10cnVl", "Go")</f>
        <v/>
      </c>
    </row>
    <row r="108">
      <c r="A108" s="1" t="n">
        <v>106</v>
      </c>
      <c r="B108" t="inlineStr">
        <is>
          <t>【2枚セット】iPhone 11 pro/Xs/X 用ガラスフィルム 5.8インチ2020年進化版 SGS認証 全面保護 日本旭硝子製9H強化ガラス保護フィルム 高透過率 耐衝撃（アイフォンX/Xs/11pro用）</t>
        </is>
      </c>
      <c r="C108" t="inlineStr">
        <is>
          <t>￥899</t>
        </is>
      </c>
      <c r="D108" t="inlineStr">
        <is>
          <t>4.8</t>
        </is>
      </c>
      <c r="E108">
        <f>HYPERLINK("https://www.amazon.co.jp/Certified-Protection-Protective-Transmittance-Shockproof/dp/B08DRB1DD3/ref=sr_1_101?__mk_ja_JP=%E3%82%AB%E3%82%BF%E3%82%AB%E3%83%8A&amp;dchild=1&amp;keywords=iphone+x&amp;qid=1598524451&amp;sr=8-101", "Go")</f>
        <v/>
      </c>
    </row>
    <row r="109">
      <c r="A109" s="1" t="n">
        <v>107</v>
      </c>
      <c r="B109" t="inlineStr">
        <is>
          <t>MAGPUL Bump Case for iPhoneXs / iPhoneX マグプル バンプケース (フラットダークアース) [並行輸入品]</t>
        </is>
      </c>
      <c r="C109" t="inlineStr">
        <is>
          <t>￥3,980</t>
        </is>
      </c>
      <c r="D109" t="inlineStr">
        <is>
          <t>4.8</t>
        </is>
      </c>
      <c r="E109">
        <f>HYPERLINK("https://www.amazon.co.jp/MAGPUL-iPhoneXs-iPhoneX-%E3%83%90%E3%83%B3%E3%83%97%E3%82%B1%E3%83%BC%E3%82%B9-%E3%83%95%E3%83%A9%E3%83%83%E3%83%88%E3%83%80%E3%83%BC%E3%82%AF%E3%82%A2%E3%83%BC%E3%82%B9/dp/B081FWQBKY/ref=sr_1_102?__mk_ja_JP=%E3%82%AB%E3%82%BF%E3%82%AB%E3%83%8A&amp;dchild=1&amp;keywords=iphone+x&amp;qid=1598524451&amp;sr=8-102", "Go")</f>
        <v/>
      </c>
    </row>
    <row r="110">
      <c r="A110" s="1" t="n">
        <v>108</v>
      </c>
      <c r="B110" t="inlineStr">
        <is>
          <t>OtterBox iPhone XS Max Symmetry ケース(Ivy Meadow)</t>
        </is>
      </c>
      <c r="C110" t="inlineStr">
        <is>
          <t>￥4,235</t>
        </is>
      </c>
      <c r="D110" t="inlineStr">
        <is>
          <t>4.8</t>
        </is>
      </c>
      <c r="E110">
        <f>HYPERLINK("https://www.amazon.co.jp/OtterBox-iPhone-Max-Symmetry-Meadow/dp/B07GBVYYHK/ref=sr_1_103?__mk_ja_JP=%E3%82%AB%E3%82%BF%E3%82%AB%E3%83%8A&amp;dchild=1&amp;keywords=iphone+x&amp;qid=1598524451&amp;sr=8-103", "Go")</f>
        <v/>
      </c>
    </row>
    <row r="111">
      <c r="A111" s="1" t="n">
        <v>109</v>
      </c>
      <c r="B111" t="inlineStr">
        <is>
          <t>【2020最新】iPhone HDMI 変換 アダプタ ライトニング avアダプタ 設定不要 接続ケーブル HDMI スマホ 操作不要 高解像度 ゲーム TV視聴 11/11 Pro/11 Pro Max iPhoneX/XR/XS/XS/8/8plus (IOS13対応) … (白)</t>
        </is>
      </c>
      <c r="C111" t="inlineStr">
        <is>
          <t>￥2,000</t>
        </is>
      </c>
      <c r="D111" t="inlineStr">
        <is>
          <t>5</t>
        </is>
      </c>
      <c r="E111">
        <f>HYPERLINK("https://www.amazon.co.jp/%E3%80%902020%E6%9C%80%E6%96%B0%E3%80%91iPhone-%E3%83%A9%E3%82%A4%E3%83%88%E3%83%8B%E3%83%B3%E3%82%B0-av%E3%82%A2%E3%83%80%E3%83%97%E3%82%BF-iPhoneX-IOS13%E5%AF%BE%E5%BF%9C/dp/B08F2MW62J/ref=sr_1_104?__mk_ja_JP=%E3%82%AB%E3%82%BF%E3%82%AB%E3%83%8A&amp;dchild=1&amp;keywords=iphone+x&amp;qid=1598524451&amp;sr=8-104", "Go")</f>
        <v/>
      </c>
    </row>
    <row r="112">
      <c r="A112" s="1" t="n">
        <v>110</v>
      </c>
      <c r="B112" t="inlineStr">
        <is>
          <t>【2枚セット】 iPhone 11 Pro ガラスフィルム/硬度9H/99% 高透過率/3D Touch/ラウンドエッジ加工/iPhone XS/iPhone X 強化ガラスフィルム/気泡ゼロ 全面保護/指紋防止/飛散防止処理/自動吸着/iPhone 11 Pro/iPhone XS/X 液晶保護 フィルム</t>
        </is>
      </c>
      <c r="C112" t="inlineStr">
        <is>
          <t>￥699</t>
        </is>
      </c>
      <c r="D112" t="inlineStr">
        <is>
          <t>4.8</t>
        </is>
      </c>
      <c r="E112">
        <f>HYPERLINK("https://www.amazon.co.jp/dp/B08F9MB1M8/ref=sr_1_105?__mk_ja_JP=%E3%82%AB%E3%82%BF%E3%82%AB%E3%83%8A&amp;dchild=1&amp;keywords=iphone+x&amp;qid=1598524451&amp;sr=8-105", "Go")</f>
        <v/>
      </c>
    </row>
    <row r="113">
      <c r="A113" s="1" t="n">
        <v>111</v>
      </c>
      <c r="B113" t="inlineStr">
        <is>
          <t>GESMA 【２個セット】スマホスタンド 携帯スタンド 卓上スタンド 在宅勤務 折りたたみ式 角度調整可能 持ち運びやすい 滑り止め付き アルミ製 軽量 収納便利 iPhone/iPad/Android/Nintendo Switch/Kindleスマホ タブレットに適用 スマホホルダー</t>
        </is>
      </c>
      <c r="C113" t="inlineStr">
        <is>
          <t>￥1,299</t>
        </is>
      </c>
      <c r="D113" t="inlineStr">
        <is>
          <t>4.9</t>
        </is>
      </c>
      <c r="E113">
        <f>HYPERLINK("https://www.amazon.co.jp/GESMA-%E3%80%90%EF%BC%92%E5%80%8B%E3%82%BB%E3%83%83%E3%83%88%E3%80%91%E3%82%B9%E3%83%9E%E3%83%9B%E3%82%B9%E3%82%BF%E3%83%B3%E3%83%89-Nintendo-Kindle%E3%82%B9%E3%83%9E%E3%83%9B-%E3%82%BF%E3%83%96%E3%83%AC%E3%83%83%E3%83%88%E3%81%AB%E9%81%A9%E7%94%A8/dp/B0886F73LQ/ref=sr_1_106?__mk_ja_JP=%E3%82%AB%E3%82%BF%E3%82%AB%E3%83%8A&amp;dchild=1&amp;keywords=iphone+x&amp;qid=1598524451&amp;sr=8-106", "Go")</f>
        <v/>
      </c>
    </row>
    <row r="114">
      <c r="A114" s="1" t="n">
        <v>112</v>
      </c>
      <c r="B114" t="inlineStr">
        <is>
          <t>ZENLO スマホスタンド スマホホルダー 携帯スタンド スマホスタンド 卓上 タブレット スタンド アルミ製 折りたたみ式 滑り止め 角度調節可能 スマホ充電サポート 収納袋付き 4～11インチ対応 ipad/iPhone/Android多機種対応 (シルバー)</t>
        </is>
      </c>
      <c r="C114" t="inlineStr">
        <is>
          <t>￥1,680</t>
        </is>
      </c>
      <c r="D114" t="inlineStr">
        <is>
          <t>4.8</t>
        </is>
      </c>
      <c r="E114">
        <f>HYPERLINK("https://www.amazon.co.jp/ZENLO-%E3%82%B9%E3%83%9E%E3%83%9B%E3%82%B9%E3%82%BF%E3%83%B3%E3%83%89-%E3%82%B9%E3%83%9E%E3%83%9B%E5%85%85%E9%9B%BB%E3%82%B5%E3%83%9D%E3%83%BC%E3%83%88-4%EF%BD%9E11%E3%82%A4%E3%83%B3%E3%83%81%E5%AF%BE%E5%BF%9C-Android%E5%A4%9A%E6%A9%9F%E7%A8%AE%E5%AF%BE%E5%BF%9C/dp/B0899Q1BCQ/ref=sr_1_107?__mk_ja_JP=%E3%82%AB%E3%82%BF%E3%82%AB%E3%83%8A&amp;dchild=1&amp;keywords=iphone+x&amp;qid=1598524451&amp;sr=8-107", "Go")</f>
        <v/>
      </c>
    </row>
    <row r="115">
      <c r="A115" s="1" t="n">
        <v>113</v>
      </c>
      <c r="B115" t="inlineStr">
        <is>
          <t>E EGOWAY USB C - Lightningケーブル (Apple MFi認証済み - 3フィート) パワーライン iPhone 7 8 X XS Max XR iPad その他のApple iOSデバイス用 電力供給対応</t>
        </is>
      </c>
      <c r="C115" t="inlineStr">
        <is>
          <t>￥8,210</t>
        </is>
      </c>
      <c r="D115" t="inlineStr">
        <is>
          <t>4.9</t>
        </is>
      </c>
      <c r="E115">
        <f>HYPERLINK("https://www.amazon.co.jp/EGOWAY-USB-Lightning%E3%82%B1%E3%83%BC%E3%83%96%E3%83%AB-%E3%81%9D%E3%81%AE%E4%BB%96%E3%81%AEApple-iOS%E3%83%87%E3%83%90%E3%82%A4%E3%82%B9%E7%94%A8/dp/B07S1N6TGS/ref=sr_1_108?__mk_ja_JP=%E3%82%AB%E3%82%BF%E3%82%AB%E3%83%8A&amp;dchild=1&amp;keywords=iphone+x&amp;qid=1598524451&amp;sr=8-108", "Go")</f>
        <v/>
      </c>
    </row>
    <row r="116">
      <c r="A116" s="1" t="n">
        <v>114</v>
      </c>
      <c r="B116" t="inlineStr">
        <is>
          <t>【最新版】スマホスタンド 卓上 折りたたみ式 角度と高さ調整可能 3階段高さ調節 タブレットスタンド 携帯スタンド スマホホルダー シリコン滑り止め 収納便利 iPhone/iPad/NintendoSwitch/Kindle/Sony/Nexus/iPad/PCタブレットなど（4-13インチ）各種対応 (ピンク)</t>
        </is>
      </c>
      <c r="C116" t="inlineStr">
        <is>
          <t>￥1,399</t>
        </is>
      </c>
      <c r="D116" t="inlineStr">
        <is>
          <t>4.9</t>
        </is>
      </c>
      <c r="E116">
        <f>HYPERLINK("https://www.amazon.co.jp/%E3%80%90%E6%9C%80%E6%96%B0%E7%89%88%E3%80%91%E3%82%B9%E3%83%9E%E3%83%9B%E3%82%B9%E3%82%BF%E3%83%B3%E3%83%89-%E8%A7%92%E5%BA%A6%E3%81%A8%E9%AB%98%E3%81%95%E8%AA%BF%E6%95%B4%E5%8F%AF%E8%83%BD-%E3%82%BF%E3%83%96%E3%83%AC%E3%83%83%E3%83%88%E3%82%B9%E3%82%BF%E3%83%B3%E3%83%89-NintendoSwitch-PC%E3%82%BF%E3%83%96%E3%83%AC%E3%83%83%E3%83%88%E3%81%AA%E3%81%A9%EF%BC%884-13%E3%82%A4%E3%83%B3%E3%83%81%EF%BC%89%E5%90%84%E7%A8%AE%E5%AF%BE%E5%BF%9C/dp/B088D33ZC8/ref=sr_1_109?__mk_ja_JP=%E3%82%AB%E3%82%BF%E3%82%AB%E3%83%8A&amp;dchild=1&amp;keywords=iphone+x&amp;qid=1598524451&amp;sr=8-109", "Go")</f>
        <v/>
      </c>
    </row>
    <row r="117">
      <c r="A117" s="1" t="n">
        <v>115</v>
      </c>
      <c r="B117" t="inlineStr">
        <is>
          <t>クアッドロック(QUAD LOCK) TPU ポリカーボネイト製ケース iPhone 11 Pro Max用 QLC-IP11MAX black</t>
        </is>
      </c>
      <c r="C117" t="inlineStr">
        <is>
          <t>￥3,740</t>
        </is>
      </c>
      <c r="D117" t="inlineStr">
        <is>
          <t>4.8</t>
        </is>
      </c>
      <c r="E117">
        <f>HYPERLINK("https://www.amazon.co.jp/%E3%82%AF%E3%82%A2%E3%83%83%E3%83%89%E3%83%AD%E3%83%83%E3%82%AF-QUAD-LOCK-%E3%83%9D%E3%83%AA%E3%82%AB%E3%83%BC%E3%83%9C%E3%83%8D%E3%82%A4%E3%83%88%E8%A3%BD%E3%82%B1%E3%83%BC%E3%82%B9-QLC-IP11MAX/dp/B081J687P5/ref=sr_1_110?__mk_ja_JP=%E3%82%AB%E3%82%BF%E3%82%AB%E3%83%8A&amp;dchild=1&amp;keywords=iphone+x&amp;qid=1598524451&amp;sr=8-110", "Go")</f>
        <v/>
      </c>
    </row>
    <row r="118">
      <c r="A118" s="1" t="n">
        <v>116</v>
      </c>
      <c r="B118" t="inlineStr">
        <is>
          <t>THE DREAMY LIFT iphone X/XS ケース カバー アニメ 漫画 16個模様 ドレス 五等分の花嫁 綺麗 萌え ゲーム グッズ スマホ アイフォンケース シェル ストラップ おしゃれ かわいい フィギュア ソフト 耐衝撃 レンズ保護 脱着簡単 スリム 軽量 傷防止 (iphone X/XS, 三玖8)</t>
        </is>
      </c>
      <c r="C118" t="inlineStr">
        <is>
          <t>￥2,300</t>
        </is>
      </c>
      <c r="D118" t="inlineStr">
        <is>
          <t>4.8</t>
        </is>
      </c>
      <c r="E118">
        <f>HYPERLINK("https://www.amazon.co.jp/Rusiya-%E3%81%86%E3%81%A1%E3%81%AE%E3%82%B1%E3%83%BC%E3%82%B9%E3%81%AF%E5%85%A8%E9%83%A8-%E3%81%A4%E3%81%8D%E3%81%8C%E8%B2%A9%E5%A3%B2%E3%81%97%E3%80%81Amazon-co-jp-%E3%81%9D%E3%82%8C%E4%BB%A5%E5%A4%96%E3%81%AF%E5%81%BD%E7%89%A9%E3%81%A7%E3%81%99%E3%80%82-%E3%82%A2%E3%82%A4%E3%83%95%E3%82%A9%E3%83%B3%E3%82%B1%E3%83%BC%E3%82%B9/dp/B07XRHGV1X/ref=sr_1_111?__mk_ja_JP=%E3%82%AB%E3%82%BF%E3%82%AB%E3%83%8A&amp;dchild=1&amp;keywords=iphone+x&amp;qid=1598524451&amp;sr=8-111", "Go")</f>
        <v/>
      </c>
    </row>
    <row r="119">
      <c r="A119" s="1" t="n">
        <v>117</v>
      </c>
      <c r="B119" t="inlineStr">
        <is>
          <t>THE DREAMY LIFT iphone X/XS ケース カバー アニメ 漫画 20個模様 二頭身 FGO Fate/Grand Order 綺麗 萌え ゲーム グッズ スマホ アイフォンケース シェル ストラップ おしゃれ IMD高品質TPU かわいい フィギュア ソフト 耐衝撃 レンズ保護 脱着簡単 指紋防止 スリム 軽量 傷防止 (iphone X/XS, オルタ)</t>
        </is>
      </c>
      <c r="C119" t="inlineStr">
        <is>
          <t>￥2,300</t>
        </is>
      </c>
      <c r="D119" t="inlineStr">
        <is>
          <t>4.8</t>
        </is>
      </c>
      <c r="E119">
        <f>HYPERLINK("https://www.amazon.co.jp/Rusiya-iphone-%E3%82%A2%E3%83%B4%E3%82%A7%E3%83%B3%E3%82%B8%E3%83%A3%E3%83%BC-%E3%82%A2%E3%82%A4%E3%83%95%E3%82%A9%E3%83%B3%E3%82%B1%E3%83%BC%E3%82%B9-IMD%E9%AB%98%E5%93%81%E8%B3%AATPU/dp/B07P2LS66Z/ref=sr_1_112?__mk_ja_JP=%E3%82%AB%E3%82%BF%E3%82%AB%E3%83%8A&amp;dchild=1&amp;keywords=iphone+x&amp;qid=1598524451&amp;sr=8-112", "Go")</f>
        <v/>
      </c>
    </row>
    <row r="120">
      <c r="A120" s="1" t="n">
        <v>118</v>
      </c>
      <c r="B120" t="inlineStr">
        <is>
          <t>2020年最新版 スマホ スタンド ホルダー 折り畳み 角度調整可能 卓上スタンド 4～10インチ対応 充電可能 持ち運びやすい 滑り止め付き(ブラック)</t>
        </is>
      </c>
      <c r="C120" t="inlineStr">
        <is>
          <t>￥1,380</t>
        </is>
      </c>
      <c r="D120" t="inlineStr">
        <is>
          <t>4.8</t>
        </is>
      </c>
      <c r="E120">
        <f>HYPERLINK("https://www.amazon.co.jp/2020%E5%B9%B4%E6%9C%80%E6%96%B0%E7%89%88-%E8%A7%92%E5%BA%A6%E8%AA%BF%E6%95%B4%E5%8F%AF%E8%83%BD-%E5%8D%93%E4%B8%8A%E3%82%B9%E3%82%BF%E3%83%B3%E3%83%89-4%EF%BD%9E10%E3%82%A4%E3%83%B3%E3%83%81%E5%AF%BE%E5%BF%9C-%E5%85%85%E9%9B%BB%E5%8F%AF%E8%83%BD-%E6%8C%81%E3%81%A1%E9%81%8B%E3%81%B3%E3%82%84%E3%81%99%E3%81%84/dp/B089KN8XX7/ref=sr_1_113?__mk_ja_JP=%E3%82%AB%E3%82%BF%E3%82%AB%E3%83%8A&amp;dchild=1&amp;keywords=iphone+x&amp;qid=1598524451&amp;sr=8-113", "Go")</f>
        <v/>
      </c>
    </row>
    <row r="121">
      <c r="A121" s="1" t="n">
        <v>119</v>
      </c>
      <c r="B121" t="inlineStr">
        <is>
          <t>KINPS Lightning - USBケーブル 充電コード 10ft/3m</t>
        </is>
      </c>
      <c r="C121" t="inlineStr">
        <is>
          <t>￥7,260</t>
        </is>
      </c>
      <c r="D121" t="inlineStr">
        <is>
          <t>4.7</t>
        </is>
      </c>
      <c r="E121">
        <f>HYPERLINK("https://www.amazon.co.jp/KINPS-Lightning-USB%E3%82%B1%E3%83%BC%E3%83%96%E3%83%AB-%E5%85%85%E9%9B%BB%E3%82%B3%E3%83%BC%E3%83%89-10ft/dp/B081G99954/ref=sr_1_114?__mk_ja_JP=%E3%82%AB%E3%82%BF%E3%82%AB%E3%83%8A&amp;dchild=1&amp;keywords=iphone+x&amp;qid=1598524451&amp;sr=8-114", "Go")</f>
        <v/>
      </c>
    </row>
    <row r="122">
      <c r="A122" s="1" t="n">
        <v>120</v>
      </c>
      <c r="B122" t="inlineStr">
        <is>
          <t>THE DREAMY LIFT iphone X/XS ケース カバー アニメ 漫画 2個模様 このすば 猫 かわいい 綺麗 萌え ゲーム グッズ スマホ アイフォンケース シェル ストラップ おしゃれ かわいい フィギュア ソフト 耐衝撃 レンズ保護 脱着簡単 スリム 軽量 傷防止 (iphone X/XS, ちょむすけ)</t>
        </is>
      </c>
      <c r="C122" t="inlineStr">
        <is>
          <t>￥2,300</t>
        </is>
      </c>
      <c r="D122" t="inlineStr">
        <is>
          <t>4.9</t>
        </is>
      </c>
      <c r="E122">
        <f>HYPERLINK("https://www.amazon.co.jp/DREAMY-LIFT-iphone-%E3%82%A2%E3%82%A4%E3%83%95%E3%82%A9%E3%83%B3%E3%82%B1%E3%83%BC%E3%82%B9-%E3%82%B9%E3%83%88%E3%83%A9%E3%83%83%E3%83%97/dp/B07ZWC6BMP/ref=sr_1_115?__mk_ja_JP=%E3%82%AB%E3%82%BF%E3%82%AB%E3%83%8A&amp;dchild=1&amp;keywords=iphone+x&amp;qid=1598524451&amp;sr=8-115", "Go")</f>
        <v/>
      </c>
    </row>
    <row r="123">
      <c r="A123" s="1" t="n">
        <v>121</v>
      </c>
      <c r="B123" t="inlineStr">
        <is>
          <t>ヘッドフォンジャックアダプタ iOS11/12/13に対応 ライトニング イヤホン 変換 iPhone SE 2/11Pro Max/11Pro/11/XS MAX/XS/XR/X/8/7適用 iPhone イヤホンジャック 2年保証</t>
        </is>
      </c>
      <c r="C123" t="inlineStr">
        <is>
          <t>￥1,199</t>
        </is>
      </c>
      <c r="D123" t="inlineStr">
        <is>
          <t>4.9</t>
        </is>
      </c>
      <c r="E123">
        <f>HYPERLINK("https://www.amazon.co.jp/%E3%83%98%E3%83%83%E3%83%89%E3%83%95%E3%82%A9%E3%83%B3%E3%82%B8%E3%83%A3%E3%83%83%E3%82%AF%E3%82%A2%E3%83%80%E3%83%97%E3%82%BF-iOS11-%E3%83%A9%E3%82%A4%E3%83%88%E3%83%8B%E3%83%B3%E3%82%B0-iPhone-%E3%82%A4%E3%83%A4%E3%83%9B%E3%83%B3%E3%82%B8%E3%83%A3%E3%83%83%E3%82%AF/dp/B08CDLPW67/ref=sr_1_116?__mk_ja_JP=%E3%82%AB%E3%82%BF%E3%82%AB%E3%83%8A&amp;dchild=1&amp;keywords=iphone+x&amp;qid=1598524451&amp;sr=8-116", "Go")</f>
        <v/>
      </c>
    </row>
    <row r="124">
      <c r="A124" s="1" t="n">
        <v>122</v>
      </c>
      <c r="B124" t="inlineStr">
        <is>
          <t>Olycism iPhone iPad イヤホン 変換ケーブル 3.5mm 変換アダプター ライトニング 充電/音楽再生同時 2in1 iPhone 高耐久 iPhone11/11 Pro/11 Pro max/Xs/Xs max/Xr/8/8plus/7/7plus(IOS11、12、13などに対応) ホワイト</t>
        </is>
      </c>
      <c r="C124" t="inlineStr">
        <is>
          <t>￥980</t>
        </is>
      </c>
      <c r="D124" t="inlineStr">
        <is>
          <t>4.8</t>
        </is>
      </c>
      <c r="E124">
        <f>HYPERLINK("https://www.amazon.co.jp/Olycism-iPhone-%E5%A4%89%E6%8F%9B%E3%82%A2%E3%83%80%E3%83%97%E3%82%BF%E3%83%BC-iPhone11-IOS11%E3%80%8112%E3%80%8113%E3%81%AA%E3%81%A9%E3%81%AB%E5%AF%BE%E5%BF%9C/dp/B088WQW15G/ref=sr_1_117?__mk_ja_JP=%E3%82%AB%E3%82%BF%E3%82%AB%E3%83%8A&amp;dchild=1&amp;keywords=iphone+x&amp;qid=1598524451&amp;sr=8-117", "Go")</f>
        <v/>
      </c>
    </row>
    <row r="125">
      <c r="A125" s="1" t="n">
        <v>123</v>
      </c>
      <c r="B125" t="inlineStr">
        <is>
          <t>Cambond 防水携帯電話ポーチ 壊れにくいストラップ IPX8 透明TPU製 iPhone X/8/8P/7/7P Samsung Galaxy S9/S8/S8P/Note 8 Google Pixel/HTC/LG 最大6.5インチ クルーズシップカヤックアクセサリー 4個パック</t>
        </is>
      </c>
      <c r="C125" t="inlineStr">
        <is>
          <t>￥1,878</t>
        </is>
      </c>
      <c r="D125" t="inlineStr">
        <is>
          <t>4.8</t>
        </is>
      </c>
      <c r="E125">
        <f>HYPERLINK("https://www.amazon.co.jp/Cambond-%E9%98%B2%E6%B0%B4%E6%90%BA%E5%B8%AF%E9%9B%BB%E8%A9%B1%E3%83%9D%E3%83%BC%E3%83%81-%E5%A3%8A%E3%82%8C%E3%81%AB%E3%81%8F%E3%81%84%E3%82%B9%E3%83%88%E3%83%A9%E3%83%83%E3%83%97-%E6%9C%80%E5%A4%A76-5%E3%82%A4%E3%83%B3%E3%83%81-%E3%82%AF%E3%83%AB%E3%83%BC%E3%82%BA%E3%82%B7%E3%83%83%E3%83%97%E3%82%AB%E3%83%A4%E3%83%83%E3%82%AF%E3%82%A2%E3%82%AF%E3%82%BB%E3%82%B5%E3%83%AA%E3%83%BC/dp/B07NRJXB6D/ref=sr_1_118?__mk_ja_JP=%E3%82%AB%E3%82%BF%E3%82%AB%E3%83%8A&amp;dchild=1&amp;keywords=iphone+x&amp;qid=1598524451&amp;sr=8-118", "Go")</f>
        <v/>
      </c>
    </row>
    <row r="126">
      <c r="A126" s="1" t="n">
        <v>124</v>
      </c>
      <c r="B126" t="inlineStr">
        <is>
          <t>Shamo's iPhone 11 Pro ケース クリア 薄型 指紋防止対策 耐衝撃 透明カバー 衝撃吸収 四隅滑り止め ワイヤレス充電対応 アイフォン 11 PRO ケース 5.8インチ PC背面+TPUバンパー ハイブリッド</t>
        </is>
      </c>
      <c r="C126" t="inlineStr">
        <is>
          <t>￥599</t>
        </is>
      </c>
      <c r="D126" t="inlineStr">
        <is>
          <t>4.8</t>
        </is>
      </c>
      <c r="E126">
        <f>HYPERLINK("https://www.amazon.co.jp/Shamos-iPhone-%E6%8C%87%E7%B4%8B%E9%98%B2%E6%AD%A2%E5%AF%BE%E7%AD%96-%E3%83%AF%E3%82%A4%E3%83%A4%E3%83%AC%E3%82%B9%E5%85%85%E9%9B%BB%E5%AF%BE%E5%BF%9C-TPU%E3%83%90%E3%83%B3%E3%83%91%E3%83%BC/dp/B07VS2HHXD/ref=sr_1_119?__mk_ja_JP=%E3%82%AB%E3%82%BF%E3%82%AB%E3%83%8A&amp;dchild=1&amp;keywords=iphone+x&amp;qid=1598524451&amp;sr=8-119", "Go")</f>
        <v/>
      </c>
    </row>
    <row r="127">
      <c r="A127" s="1" t="n">
        <v>125</v>
      </c>
      <c r="B127" t="inlineStr">
        <is>
          <t>【最新版&amp;2in1】 USB急速充電器 モバイルバッテリー 6700mAh 大容量 ACアダプター 折りたたみ式プラグ搭載 携帯スマホ急速充電 軽量 2USB出力ポート 最大5V/2.4A 軽量 USB コンセント PSE認証済 多重保護システム iPhone/iPad/Android各種対応（ホワイト）</t>
        </is>
      </c>
      <c r="C127" t="inlineStr">
        <is>
          <t>￥2,780</t>
        </is>
      </c>
      <c r="D127" t="inlineStr">
        <is>
          <t>4.8</t>
        </is>
      </c>
      <c r="E127">
        <f>HYPERLINK("https://www.amazon.co.jp/%E3%83%A2%E3%83%90%E3%82%A4%E3%83%AB%E3%83%90%E3%83%83%E3%83%86%E3%83%AA%E3%83%BC-%E6%8A%98%E3%82%8A%E3%81%9F%E3%81%9F%E3%81%BF%E5%BC%8F%E3%83%97%E3%83%A9%E3%82%B0%E6%90%AD%E8%BC%89-%E6%90%BA%E5%B8%AF%E3%82%B9%E3%83%9E%E3%83%9B%E6%80%A5%E9%80%9F%E5%85%85%E9%9B%BB-2USB%E5%87%BA%E5%8A%9B%E3%83%9D%E3%83%BC%E3%83%88-Android%E5%90%84%E7%A8%AE%E5%AF%BE%E5%BF%9C%EF%BC%88%E3%83%9B%E3%83%AF%E3%82%A4%E3%83%88%EF%BC%89/dp/B08B3TFC7T/ref=sr_1_120?__mk_ja_JP=%E3%82%AB%E3%82%BF%E3%82%AB%E3%83%8A&amp;dchild=1&amp;keywords=iphone+x&amp;qid=1598524451&amp;sr=8-120", "Go")</f>
        <v/>
      </c>
    </row>
    <row r="128">
      <c r="A128" s="1" t="n">
        <v>126</v>
      </c>
      <c r="B128" t="inlineStr">
        <is>
          <t>UGREEN スマホスタンド 卓上 角度調整 アルミ製 スマホ用 iPhone スタンド ホルダー 折りたたみ式 持ち運びに便利 充電可能 4.7～7.9インチのiPhone Android 携帯 switchに適用</t>
        </is>
      </c>
      <c r="C128" t="inlineStr">
        <is>
          <t>￥1,199</t>
        </is>
      </c>
      <c r="D128" t="inlineStr">
        <is>
          <t>5</t>
        </is>
      </c>
      <c r="E128">
        <f>HYPERLINK("https://www.amazon.co.jp/Smartphone-Adjustment-Smartphones-Chargable-Compatible/dp/B083J4TNLW/ref=sr_1_121?__mk_ja_JP=%E3%82%AB%E3%82%BF%E3%82%AB%E3%83%8A&amp;dchild=1&amp;keywords=iphone+x&amp;qid=1598524451&amp;sr=8-121", "Go")</f>
        <v/>
      </c>
    </row>
    <row r="129">
      <c r="A129" s="1" t="n">
        <v>127</v>
      </c>
      <c r="B129" t="inlineStr">
        <is>
          <t>【2020進化版】 Syncwire ライトニングケーブル 【Apple C89 MFi認証】 iPhone 充電ケーブル 1M（アルミコネクタ/超高耐久/iPhone SE2/11/ 11 Pro/11 Pro Max/XS/XR/8/8Plus iPad Mini/Air/Proなど 対応） 急速充電 データ同期(ホワイト)</t>
        </is>
      </c>
      <c r="C129" t="inlineStr">
        <is>
          <t>￥1,299</t>
        </is>
      </c>
      <c r="D129" t="inlineStr">
        <is>
          <t>4.9</t>
        </is>
      </c>
      <c r="E129">
        <f>HYPERLINK("https://www.amazon.co.jp/Syncwire-Lightning-Certified-Charging-Connector/dp/B07XP8JB8Z/ref=sr_1_122?__mk_ja_JP=%E3%82%AB%E3%82%BF%E3%82%AB%E3%83%8A&amp;dchild=1&amp;keywords=iphone+x&amp;qid=1598524451&amp;sr=8-122", "Go")</f>
        <v/>
      </c>
    </row>
    <row r="130">
      <c r="A130" s="1" t="n">
        <v>128</v>
      </c>
      <c r="B130" t="inlineStr">
        <is>
          <t>microSDXC 128GB SanDisk アプリ最適化 A1対応 サンディスク UHS-1 超高速U1 専用 SDアダプター付 [並行輸入品]</t>
        </is>
      </c>
      <c r="C130" t="inlineStr">
        <is>
          <t>￥2,550</t>
        </is>
      </c>
      <c r="D130" t="inlineStr">
        <is>
          <t>4.7</t>
        </is>
      </c>
      <c r="E130">
        <f>HYPERLINK("https://www.amazon.co.jp/microSDXC-SanDisk-%E3%82%A2%E3%83%97%E3%83%AA%E6%9C%80%E9%81%A9%E5%8C%96-%E3%82%B5%E3%83%B3%E3%83%87%E3%82%A3%E3%82%B9%E3%82%AF-SD%E3%82%A2%E3%83%80%E3%83%97%E3%82%BF%E3%83%BC%E4%BB%98/dp/B073JYC4XM/ref=sr_1_123?__mk_ja_JP=%E3%82%AB%E3%82%BF%E3%82%AB%E3%83%8A&amp;dchild=1&amp;keywords=iphone+x&amp;qid=1598524451&amp;sr=8-123", "Go")</f>
        <v/>
      </c>
    </row>
    <row r="131">
      <c r="A131" s="1" t="n">
        <v>129</v>
      </c>
      <c r="B131" t="inlineStr">
        <is>
          <t>自撮り棒 セルフィースティック 軽量 コンパクト 三脚/一脚兼用 360度回転 七段階伸縮 19cm-100cmまで伸びる 雲台付き リモコン付き 折りたたみ 持ち運びに便利 Vlog作り 自撮り用 iPhone/Android スマホ/カメラ等対応 セルカ棒 (ブラック)</t>
        </is>
      </c>
      <c r="C131" t="inlineStr">
        <is>
          <t>￥1,499</t>
        </is>
      </c>
      <c r="D131" t="inlineStr">
        <is>
          <t>4.8</t>
        </is>
      </c>
      <c r="E131">
        <f>HYPERLINK("https://www.amazon.co.jp/%E3%82%BB%E3%83%AB%E3%83%95%E3%82%A3%E3%83%BC%E3%82%B9%E3%83%86%E3%82%A3%E3%83%83%E3%82%AF-360%E5%BA%A6%E5%9B%9E%E8%BB%A2-19cm-100cm%E3%81%BE%E3%81%A7%E4%BC%B8%E3%81%B3%E3%82%8B-%E6%8C%81%E3%81%A1%E9%81%8B%E3%81%B3%E3%81%AB%E4%BE%BF%E5%88%A9-Android/dp/B08BHPZDXP/ref=sr_1_124_mod_primary_lightning_deal?__mk_ja_JP=%E3%82%AB%E3%82%BF%E3%82%AB%E3%83%8A&amp;dchild=1&amp;keywords=iphone+x&amp;qid=1598524451&amp;smid=A2MFI52R2YZ0MP&amp;sr=8-124", "Go")</f>
        <v/>
      </c>
    </row>
    <row r="132">
      <c r="A132" s="1" t="n">
        <v>130</v>
      </c>
      <c r="B132" t="inlineStr">
        <is>
          <t>L K【3枚セット】iPhone 11 6.1" / iPhone XR 用 強化ガラス液晶保護フィルム 6.1インチ対応【業界最高硬度9H/高透過率/飛散防止/気泡防止/3Dタッチ対応】アイフォン11 アイフォン XR ガラスフィルム 2019先端技術【ガイド枠付き】</t>
        </is>
      </c>
      <c r="C132" t="inlineStr">
        <is>
          <t>￥1,099</t>
        </is>
      </c>
      <c r="D132" t="inlineStr">
        <is>
          <t>4.7</t>
        </is>
      </c>
      <c r="E132">
        <f>HYPERLINK("https://www.amazon.co.jp/6-1-iPhone-6-1%E3%82%A4%E3%83%B3%E3%83%81%E5%AF%BE%E5%BF%9C%E3%80%90%E6%A5%AD%E7%95%8C%E6%9C%80%E9%AB%98%E7%A1%AC%E5%BA%A69H-3D%E3%82%BF%E3%83%83%E3%83%81%E5%AF%BE%E5%BF%9C%E3%80%91%E3%82%A2%E3%82%A4%E3%83%95%E3%82%A9%E3%83%B311-2019%E5%85%88%E7%AB%AF%E6%8A%80%E8%A1%93%E3%80%90%E3%82%AC%E3%82%A4%E3%83%89%E6%9E%A0%E4%BB%98%E3%81%8D%E3%80%91/dp/B07G36QHZS/ref=sr_1_125?__mk_ja_JP=%E3%82%AB%E3%82%BF%E3%82%AB%E3%83%8A&amp;dchild=1&amp;keywords=iphone+x&amp;qid=1598524451&amp;sr=8-125", "Go")</f>
        <v/>
      </c>
    </row>
    <row r="133">
      <c r="A133" s="1" t="n">
        <v>131</v>
      </c>
      <c r="B133" t="inlineStr">
        <is>
          <t>amFilm Nintendo Switch 用 液晶画面保護ガラスフィルム 画面フルカバー 強化ガラス Nintendo Switch 用 (2枚セット)</t>
        </is>
      </c>
      <c r="C133" t="inlineStr">
        <is>
          <t>￥999</t>
        </is>
      </c>
      <c r="D133" t="inlineStr">
        <is>
          <t>4.7</t>
        </is>
      </c>
      <c r="E133">
        <f>HYPERLINK("https://www.amazon.co.jp/amFilm%E4%BB%BB%E5%A4%A9%E5%A0%82%E3%82%B9%E3%82%A4%E3%83%83%E3%83%81-2017-%E3%81%AE%E5%BC%B7%E5%8C%96%E3%82%AC%E3%83%A9%E3%82%B9-%E3%82%B9%E3%82%AF%E3%83%AA%E3%83%BC%E3%83%B3-%E3%83%97%E3%83%AD%E3%83%86%E3%82%AF%E3%82%BF%E3%83%BC/dp/B01N3ASPNV/ref=sr_1_126?__mk_ja_JP=%E3%82%AB%E3%82%BF%E3%82%AB%E3%83%8A&amp;dchild=1&amp;keywords=iphone+x&amp;qid=1598524451&amp;sr=8-126", "Go")</f>
        <v/>
      </c>
    </row>
    <row r="134">
      <c r="A134" s="1" t="n">
        <v>132</v>
      </c>
      <c r="B134" t="inlineStr">
        <is>
          <t>XDesign ガラススクリーンプロテクター iPhone 11 / iPhone XR (3個パック) 6.1インチ強化ガラス タッチ 正確/衝撃吸収 + 簡単な取り付けトレイ [ほとんどのケースにフィット] - 3パック</t>
        </is>
      </c>
      <c r="C134" t="inlineStr">
        <is>
          <t>￥3,303</t>
        </is>
      </c>
      <c r="D134" t="inlineStr">
        <is>
          <t>4.7</t>
        </is>
      </c>
      <c r="E134">
        <f>HYPERLINK("https://www.amazon.co.jp/XDesign-%E3%82%AC%E3%83%A9%E3%82%B9%E3%82%B9%E3%82%AF%E3%83%AA%E3%83%BC%E3%83%B3%E3%83%97%E3%83%AD%E3%83%86%E3%82%AF%E3%82%BF%E3%83%BC-%E3%82%BF%E3%83%83%E3%83%81%E7%B2%BE%E5%BA%A6%E3%81%A8%E8%A1%9D%E6%92%83%E5%90%B8%E5%8F%8E%E6%80%A7-%E7%B0%A1%E5%8D%98%E5%8F%96%E3%82%8A%E4%BB%98%E3%81%91%E3%83%88%E3%83%AC%E3%82%A4-%E3%81%BB%E3%81%A8%E3%82%93%E3%81%A9%E3%81%AE%E3%82%B1%E3%83%BC%E3%82%B9%E3%81%AB%E3%83%95%E3%82%A3%E3%83%83%E3%83%88/dp/B07FR1LQNZ/ref=sr_1_127?__mk_ja_JP=%E3%82%AB%E3%82%BF%E3%82%AB%E3%83%8A&amp;dchild=1&amp;keywords=iphone+x&amp;qid=1598524451&amp;sr=8-127", "Go")</f>
        <v/>
      </c>
    </row>
    <row r="135">
      <c r="A135" s="1" t="n">
        <v>133</v>
      </c>
      <c r="B135" t="inlineStr">
        <is>
          <t>Purity スクリーンプロテクター Apple iPhone 11 Pro/iPhone Xs/iPhone X - 3パック (取り付けフレーム付き) 強化ガラススクリーンプロテクターiPhone XS/X/11Pro (3パック) [ほとんどのケースにフィット]</t>
        </is>
      </c>
      <c r="C135" t="inlineStr">
        <is>
          <t>￥5,049</t>
        </is>
      </c>
      <c r="D135" t="inlineStr">
        <is>
          <t>4.7</t>
        </is>
      </c>
      <c r="E135">
        <f>HYPERLINK("https://www.amazon.co.jp/Apple-iPhone-X%E7%94%A8%E3%83%94%E3%83%A5%E3%83%AA%E3%83%86%E3%82%A3%E3%83%BC%E3%82%B9%E3%82%AF%E3%83%AA%E3%83%BC%E3%83%B3%E3%83%97%E3%83%AD%E3%83%86%E3%82%AF%E3%82%BF%E3%83%BC-%E5%BC%B7%E5%8C%96%E3%82%AC%E3%83%A9%E3%82%B9%E3%82%B9%E3%82%AF%E3%83%AA%E3%83%BC%E3%83%B3%E3%83%97%E3%83%AD%E3%83%86%E3%82%AF%E3%82%BF%E3%83%BC-%E3%81%BB%E3%81%A8%E3%82%93%E3%81%A9%E3%81%AE%E3%82%B1%E3%83%BC%E3%82%B9%E3%81%AB%E3%83%95%E3%82%A3%E3%83%83%E3%83%88/dp/B07QMZPV8M/ref=sr_1_128?__mk_ja_JP=%E3%82%AB%E3%82%BF%E3%82%AB%E3%83%8A&amp;dchild=1&amp;keywords=iphone+x&amp;qid=1598524451&amp;sr=8-128", "Go")</f>
        <v/>
      </c>
    </row>
    <row r="136">
      <c r="A136" s="1" t="n">
        <v>134</v>
      </c>
      <c r="B136" t="inlineStr">
        <is>
          <t>iPhone xr ケース-Mkeke 5962852762</t>
        </is>
      </c>
      <c r="C136" t="inlineStr">
        <is>
          <t>￥4,425</t>
        </is>
      </c>
      <c r="D136" t="inlineStr">
        <is>
          <t>4.7</t>
        </is>
      </c>
      <c r="E136">
        <f>HYPERLINK("https://www.amazon.co.jp/Mkeke-iPhone-xr-case-5962852762/dp/B07HRJL27Z/ref=sr_1_129?__mk_ja_JP=%E3%82%AB%E3%82%BF%E3%82%AB%E3%83%8A&amp;dchild=1&amp;keywords=iphone+x&amp;qid=1598524451&amp;sr=8-129", "Go")</f>
        <v/>
      </c>
    </row>
    <row r="137">
      <c r="A137" s="1" t="n">
        <v>135</v>
      </c>
      <c r="B137" t="inlineStr">
        <is>
          <t>TETHYS ガラス スクリーン プロテクター iPhone 11 / iPhone XR (6.1インチ) [端から端までカバー] 完全保護 耐久性強化ガラス iPhone XR/11 [ガイダンスフレーム含む] - 3個パック</t>
        </is>
      </c>
      <c r="C137" t="inlineStr">
        <is>
          <t>￥6,380</t>
        </is>
      </c>
      <c r="D137" t="inlineStr">
        <is>
          <t>4.7</t>
        </is>
      </c>
      <c r="E137">
        <f>HYPERLINK("https://www.amazon.co.jp/TETHYS-%E3%83%97%E3%83%AD%E3%83%86%E3%82%AF%E3%82%BF%E3%83%BC-%E7%AB%AF%E3%81%8B%E3%82%89%E7%AB%AF%E3%81%BE%E3%81%A7%E3%82%AB%E3%83%90%E3%83%BC-%E8%80%90%E4%B9%85%E6%80%A7%E5%BC%B7%E5%8C%96%E3%82%AC%E3%83%A9%E3%82%B9-%E3%82%AC%E3%82%A4%E3%83%80%E3%83%B3%E3%82%B9%E3%83%95%E3%83%AC%E3%83%BC%E3%83%A0%E4%BB%98%E3%81%8D/dp/B07FQZ8Y1V/ref=sr_1_130?__mk_ja_JP=%E3%82%AB%E3%82%BF%E3%82%AB%E3%83%8A&amp;dchild=1&amp;keywords=iphone+x&amp;qid=1598524451&amp;sr=8-130", "Go")</f>
        <v/>
      </c>
    </row>
    <row r="138">
      <c r="A138" s="1" t="n">
        <v>136</v>
      </c>
      <c r="B138" t="inlineStr">
        <is>
          <t>SanDisk Ultra microSDXC 256GB アダプター付き SDSQUAR-256G-GN6MA</t>
        </is>
      </c>
      <c r="C138" t="inlineStr">
        <is>
          <t>￥4,580</t>
        </is>
      </c>
      <c r="D138" t="inlineStr">
        <is>
          <t>4.7</t>
        </is>
      </c>
      <c r="E138">
        <f>HYPERLINK("https://www.amazon.co.jp/%E3%82%B5%E3%83%B3%E3%83%87%E3%82%A3%E3%82%B9%E3%82%AF-SANDISK-microSDXC-%EF%BC%BB%E6%B5%B7%E5%A4%96%E3%83%91%E3%83%83%E3%82%B1%E3%83%BC%E3%82%B8%EF%BC%BD-SDSQUAR-256G-GN6MA/dp/B0758NHWS8/ref=sr_1_131?__mk_ja_JP=%E3%82%AB%E3%82%BF%E3%82%AB%E3%83%8A&amp;dchild=1&amp;keywords=iphone+x&amp;qid=1598524451&amp;sr=8-131", "Go")</f>
        <v/>
      </c>
    </row>
    <row r="139">
      <c r="A139" s="1" t="n">
        <v>137</v>
      </c>
      <c r="B139" t="inlineStr">
        <is>
          <t>JEDirect iPhoneXR ケース (6.1インチ専用) 衝撃吸収 バンパーカバー 傷つけ防止 クリアバック (クリア)</t>
        </is>
      </c>
      <c r="C139" t="inlineStr">
        <is>
          <t>￥697</t>
        </is>
      </c>
      <c r="D139" t="inlineStr">
        <is>
          <t>4.7</t>
        </is>
      </c>
      <c r="E139">
        <f>HYPERLINK("https://www.amazon.co.jp/JEDirect-iPhone-6-1%E3%82%A4%E3%83%B3%E3%83%81%E5%AF%BE%E5%BF%9C-%E3%83%90%E3%83%B3%E3%83%91%E3%83%BC-%E5%82%B7%E3%81%A4%E3%81%91%E9%98%B2%E6%AD%A2/dp/B07GXNFLCW/ref=sr_1_132?__mk_ja_JP=%E3%82%AB%E3%82%BF%E3%82%AB%E3%83%8A&amp;dchild=1&amp;keywords=iphone+x&amp;qid=1598524451&amp;sr=8-132", "Go")</f>
        <v/>
      </c>
    </row>
    <row r="140">
      <c r="A140" s="1" t="n">
        <v>138</v>
      </c>
      <c r="B140" t="inlineStr">
        <is>
          <t>Sandisk Ultra Microsdxc, Squar 400gb, A1, C10, U1, Uhs-1, 100mb/S R, 4x6, Sd Adaptor, 10y</t>
        </is>
      </c>
      <c r="C140" t="inlineStr">
        <is>
          <t>￥7,888</t>
        </is>
      </c>
      <c r="D140" t="inlineStr">
        <is>
          <t>4.7</t>
        </is>
      </c>
      <c r="E140">
        <f>HYPERLINK("https://www.amazon.co.jp/Sandisk-Ultra-Microsdxc-Squar-Adaptor/dp/B074RNRM2B/ref=sr_1_133?__mk_ja_JP=%E3%82%AB%E3%82%BF%E3%82%AB%E3%83%8A&amp;dchild=1&amp;keywords=iphone+x&amp;qid=1598524451&amp;sr=8-133", "Go")</f>
        <v/>
      </c>
    </row>
    <row r="141">
      <c r="A141" s="1" t="n">
        <v>139</v>
      </c>
      <c r="B141" t="inlineStr">
        <is>
          <t>3個パック Apple Watchバンド38mm 40mm 42mm 44mm 交換用ソフトシリコンバンド Apple iWatchシリーズ4、シリーズ3、シリーズ2、シリーズ1用</t>
        </is>
      </c>
      <c r="C141" t="inlineStr">
        <is>
          <t>￥23,880から1個のオプション</t>
        </is>
      </c>
      <c r="D141" t="inlineStr">
        <is>
          <t>4.7</t>
        </is>
      </c>
      <c r="E141">
        <f>HYPERLINK("https://www.amazon.co.jp/3%E5%80%8B%E3%83%91%E3%83%83%E3%82%AF-Watch%E3%83%90%E3%83%B3%E3%83%8938mm-%E4%BA%A4%E6%8F%9B%E7%94%A8%E3%82%BD%E3%83%95%E3%83%88%E3%82%B7%E3%83%AA%E3%82%B3%E3%83%B3%E3%83%90%E3%83%B3%E3%83%89-iWatch%E3%82%B7%E3%83%AA%E3%83%BC%E3%82%BA4%E3%80%81%E3%82%B7%E3%83%AA%E3%83%BC%E3%82%BA3%E3%80%81%E3%82%B7%E3%83%AA%E3%83%BC%E3%82%BA2%E3%80%81%E3%82%B7%E3%83%AA%E3%83%BC%E3%82%BA1%E7%94%A8-40mm-S/dp/B07VBM8P92/ref=sr_1_134?__mk_ja_JP=%E3%82%AB%E3%82%BF%E3%82%AB%E3%83%8A&amp;dchild=1&amp;keywords=iphone+x&amp;qid=1598524451&amp;sr=8-134", "Go")</f>
        <v/>
      </c>
    </row>
    <row r="142">
      <c r="A142" s="1" t="n">
        <v>140</v>
      </c>
      <c r="B142" t="inlineStr">
        <is>
          <t>CyvenSmart USB Cケーブル 3本パック (3フィート 6フィート 10フィート) USB A - USB-C 高速充電 ナイロン編組充電コード サムスン Galaxy Note 9 S9 S8 Plus Note 8 LG V30 G6 G5 Pixel Nintendo Switchに対応, ナチュラル, CM-TYPEC-TH3M22.0</t>
        </is>
      </c>
      <c r="C142" t="inlineStr">
        <is>
          <t>￥999</t>
        </is>
      </c>
      <c r="D142" t="inlineStr">
        <is>
          <t>4.7</t>
        </is>
      </c>
      <c r="E142">
        <f>HYPERLINK("https://www.amazon.co.jp/dp/B07PGRR6QN/ref=sr_1_135?__mk_ja_JP=%E3%82%AB%E3%82%BF%E3%82%AB%E3%83%8A&amp;dchild=1&amp;keywords=iphone+x&amp;qid=1598524451&amp;sr=8-135", "Go")</f>
        <v/>
      </c>
    </row>
    <row r="143">
      <c r="A143" s="1" t="n">
        <v>141</v>
      </c>
      <c r="B143" t="inlineStr">
        <is>
          <t>JEDirect iPhone11 ケース (2019 モデル、6.1インチ専用) 衝撃吸収 バンパーカバー 傷つけ防止 クリアバック (HD クリア)</t>
        </is>
      </c>
      <c r="C143" t="inlineStr">
        <is>
          <t>￥697</t>
        </is>
      </c>
      <c r="D143" t="inlineStr">
        <is>
          <t>4.7</t>
        </is>
      </c>
      <c r="E143">
        <f>HYPERLINK("https://www.amazon.co.jp/JEDirect-iPhone-6-1%E3%82%A4%E3%83%B3%E3%83%81%E5%B0%82%E7%94%A8-%E3%83%90%E3%83%B3%E3%83%91%E3%83%BC%E3%82%AB%E3%83%90%E3%83%BC-%E3%82%AF%E3%83%AA%E3%82%A2%E3%83%90%E3%83%83%E3%82%AF/dp/B07QQZD49D/ref=sr_1_136?__mk_ja_JP=%E3%82%AB%E3%82%BF%E3%82%AB%E3%83%8A&amp;dchild=1&amp;keywords=iphone+x&amp;qid=1598524451&amp;sr=8-136", "Go")</f>
        <v/>
      </c>
    </row>
    <row r="144">
      <c r="A144" s="1" t="n">
        <v>142</v>
      </c>
      <c r="B144" t="inlineStr">
        <is>
          <t>iPhone 7 Plus ケース | iPhone 8 Plus ケース [ミリタリーグレード] 15フィート 落下テスト済み保護ケース | キックスタンド | Apple iPhone 8Plus / iPhone 7 Plus用ケース Insect Control askhc-002</t>
        </is>
      </c>
      <c r="C144" t="inlineStr">
        <is>
          <t>￥1,200</t>
        </is>
      </c>
      <c r="D144" t="inlineStr">
        <is>
          <t>4.7</t>
        </is>
      </c>
      <c r="E144">
        <f>HYPERLINK("https://www.amazon.co.jp/iPhone-Plus-%E3%83%9F%E3%83%AA%E3%82%BF%E3%83%AA%E3%83%BC%E3%82%B0%E3%83%AC%E3%83%BC%E3%83%89-%E8%90%BD%E4%B8%8B%E3%83%86%E3%82%B9%E3%83%88%E6%B8%88%E3%81%BF%E4%BF%9D%E8%AD%B7%E3%82%B1%E3%83%BC%E3%82%B9-askhc-002/dp/B07TXFRZ1P/ref=sr_1_137?__mk_ja_JP=%E3%82%AB%E3%82%BF%E3%82%AB%E3%83%8A&amp;dchild=1&amp;keywords=iphone+x&amp;qid=1598524451&amp;sr=8-137", "Go")</f>
        <v/>
      </c>
    </row>
    <row r="145">
      <c r="A145" s="1" t="n">
        <v>143</v>
      </c>
      <c r="B145" t="inlineStr">
        <is>
          <t>Whew 6/6s clear case (A-1)</t>
        </is>
      </c>
      <c r="C145" t="inlineStr">
        <is>
          <t>￥16,983</t>
        </is>
      </c>
      <c r="D145" t="inlineStr">
        <is>
          <t>4.7</t>
        </is>
      </c>
      <c r="E145">
        <f>HYPERLINK("https://www.amazon.co.jp/%E6%93%A6%E3%82%8A%E5%82%B7%E9%98%B2%E6%AD%A2-%E5%85%A8%E9%9D%A2%E4%BF%9D%E8%AD%B7-%E3%82%B7%E3%83%AA%E3%82%B3%E3%83%B3-%E3%82%A2%E3%82%A4%E3%83%95%E3%82%A9%E3%83%B38-%EF%BC%88%E3%82%AF%E3%83%AA%E3%82%A2%EF%BC%89/dp/B01K6PAZ1M/ref=sr_1_138?__mk_ja_JP=%E3%82%AB%E3%82%BF%E3%82%AB%E3%83%8A&amp;dchild=1&amp;keywords=iphone+x&amp;qid=1598524451&amp;sr=8-138", "Go")</f>
        <v/>
      </c>
    </row>
    <row r="146">
      <c r="A146" s="1" t="n">
        <v>144</v>
      </c>
      <c r="B146" t="inlineStr">
        <is>
          <t>Mkeke iPhone 11 Pro Max スクリーンプロテクター、iPhone Xs Maxスクリーンプロテクター、強化ガラススクリーンプロテクター、iPhone 11 Pro Max＆XS Max用</t>
        </is>
      </c>
      <c r="C146" t="inlineStr">
        <is>
          <t>￥10,751</t>
        </is>
      </c>
      <c r="D146" t="inlineStr">
        <is>
          <t>4.7</t>
        </is>
      </c>
      <c r="E146">
        <f>HYPERLINK("https://www.amazon.co.jp/Mkeke-iPhone-%E3%82%B9%E3%82%AF%E3%83%AA%E3%83%BC%E3%83%B3%E3%83%97%E3%83%AD%E3%83%86%E3%82%AF%E3%82%BF%E3%83%BC%E3%80%81iPhone-Max%E3%82%B9%E3%82%AF%E3%83%AA%E3%83%BC%E3%83%B3%E3%83%97%E3%83%AD%E3%83%86%E3%82%AF%E3%82%BF%E3%83%BC%E3%80%81%E5%BC%B7%E5%8C%96%E3%82%AC%E3%83%A9%E3%82%B9%E3%82%B9%E3%82%AF%E3%83%AA%E3%83%BC%E3%83%B3%E3%83%97%E3%83%AD%E3%83%86%E3%82%AF%E3%82%BF%E3%83%BC%E3%80%81iPhone-Max%EF%BC%86XS/dp/B07YFYKVMZ/ref=sr_1_139?__mk_ja_JP=%E3%82%AB%E3%82%BF%E3%82%AB%E3%83%8A&amp;dchild=1&amp;keywords=iphone+x&amp;qid=1598524451&amp;sr=8-139", "Go")</f>
        <v/>
      </c>
    </row>
    <row r="147">
      <c r="A147" s="1" t="n">
        <v>145</v>
      </c>
      <c r="B147" t="inlineStr">
        <is>
          <t>Mkeke iPhone 11 Pro用ケース、クリア耐傷耐衝撃ケースカバー iPhone 11 Pro 5.8インチ用 クリア iPhone11 Pro</t>
        </is>
      </c>
      <c r="C147" t="inlineStr">
        <is>
          <t>￥4,698</t>
        </is>
      </c>
      <c r="D147" t="inlineStr">
        <is>
          <t>4.7</t>
        </is>
      </c>
      <c r="E147">
        <f>HYPERLINK("https://www.amazon.co.jp/Mkeke-iPhone-Pro%E7%94%A8%E3%82%B1%E3%83%BC%E3%82%B9%E3%80%81%E3%82%AF%E3%83%AA%E3%82%A2%E8%80%90%E5%82%B7%E8%80%90%E8%A1%9D%E6%92%83%E3%82%B1%E3%83%BC%E3%82%B9%E3%82%AB%E3%83%90%E3%83%BC-5-8%E3%82%A4%E3%83%B3%E3%83%81%E7%94%A8-iPhone11/dp/B07W4HQ1L2/ref=sr_1_140?__mk_ja_JP=%E3%82%AB%E3%82%BF%E3%82%AB%E3%83%8A&amp;dchild=1&amp;keywords=iphone+x&amp;qid=1598524451&amp;sr=8-140", "Go")</f>
        <v/>
      </c>
    </row>
    <row r="148">
      <c r="A148" s="1" t="n">
        <v>146</v>
      </c>
      <c r="B148" t="inlineStr">
        <is>
          <t>【2020認証版】MoYaGoa iPhone イヤホン 変換ケーブル 2in1 イヤホン 変換アダプタ ライトニング アダプター 急速充電 3.5mm イヤホン 同時音楽再生 iPhone7/7Plus/8/8Plus/X/XS/XSMax/XR/11/11Pro/11Pro Max【 iOS11 iOS12 iOS13】に対応,銀</t>
        </is>
      </c>
      <c r="C148" t="inlineStr">
        <is>
          <t>￥1,099</t>
        </is>
      </c>
      <c r="D148" t="inlineStr">
        <is>
          <t>4.7</t>
        </is>
      </c>
      <c r="E148">
        <f>HYPERLINK("https://www.amazon.co.jp/%E3%80%902020%E8%AA%8D%E8%A8%BC%E7%89%88%E3%80%91MoYaGoa-iPhone-%E5%A4%89%E6%8F%9B%E3%82%B1%E3%83%BC%E3%83%96%E3%83%AB-iPhone7-iOS13%E3%80%91%E3%81%AB%E5%AF%BE%E5%BF%9C/dp/B08FBX1T6Z/ref=sr_1_141?__mk_ja_JP=%E3%82%AB%E3%82%BF%E3%82%AB%E3%83%8A&amp;dchild=1&amp;keywords=iphone+x&amp;qid=1598524451&amp;sr=8-141", "Go")</f>
        <v/>
      </c>
    </row>
    <row r="149">
      <c r="A149" s="1" t="n">
        <v>147</v>
      </c>
      <c r="B149" t="inlineStr">
        <is>
          <t>【Spigen】 iPhone 11 ケース 6.1インチ 対応 超耐衝撃 新モデル スタンド機能 米軍MIL規格取得 カメラ保護 傷防止 衝撃 吸収 Qi充電 ワイヤレス充電 タフ・アーマー XP 076CS27439 (ブラック)</t>
        </is>
      </c>
      <c r="C149" t="inlineStr">
        <is>
          <t>￥2,190</t>
        </is>
      </c>
      <c r="D149" t="inlineStr">
        <is>
          <t>4.7</t>
        </is>
      </c>
      <c r="E149">
        <f>HYPERLINK("https://www.amazon.co.jp/%E3%80%90Spigen%E3%80%91-%E7%B1%B3%E8%BB%8DMIL%E8%A6%8F%E6%A0%BC%E5%8F%96%E5%BE%97-%E3%83%AF%E3%82%A4%E3%83%A4%E3%83%AC%E3%82%B9%E5%85%85%E9%9B%BB-%E3%82%BF%E3%83%95%E3%83%BB%E3%82%A2%E3%83%BC%E3%83%9E%E3%83%BC-076CS27439/dp/B07T1MYV8R/ref=sr_1_142?__mk_ja_JP=%E3%82%AB%E3%82%BF%E3%82%AB%E3%83%8A&amp;dchild=1&amp;keywords=iphone+x&amp;qid=1598524451&amp;sr=8-142", "Go")</f>
        <v/>
      </c>
    </row>
    <row r="150">
      <c r="A150" s="1" t="n">
        <v>148</v>
      </c>
      <c r="B150" t="inlineStr">
        <is>
          <t>JEDirect iPhoneXs Max ケース (6.5インチ専用) 衝撃吸収 バンパーカバー 傷つけ防止 クリアバック(クリア)</t>
        </is>
      </c>
      <c r="C150" t="inlineStr">
        <is>
          <t>￥697</t>
        </is>
      </c>
      <c r="D150" t="inlineStr">
        <is>
          <t>4.7</t>
        </is>
      </c>
      <c r="E150">
        <f>HYPERLINK("https://www.amazon.co.jp/JEDirect-iPhone-6-5%E3%82%A4%E3%83%B3%E3%83%81%E5%AF%BE%E5%BF%9C-%E3%83%90%E3%83%B3%E3%83%91%E3%83%BC-%E5%82%B7%E3%81%A4%E3%81%91%E9%98%B2%E6%AD%A2/dp/B07GXRPCLF/ref=sr_1_143?__mk_ja_JP=%E3%82%AB%E3%82%BF%E3%82%AB%E3%83%8A&amp;dchild=1&amp;keywords=iphone+x&amp;qid=1598524451&amp;sr=8-143", "Go")</f>
        <v/>
      </c>
    </row>
    <row r="151">
      <c r="A151" s="1" t="n">
        <v>149</v>
      </c>
      <c r="B151" t="inlineStr">
        <is>
          <t>[2 *強化ガラスフィルム]付きJoyguard iPhone SE ケース 第2世代 TPU iPhone 7 ケース クリア iPhone 8 ケースクリア TPU レンズ保護 滑り止め【エアクッション技術 】柔軟性抜群 アイフォンSE 2020ケース 透明(4.7インチ)</t>
        </is>
      </c>
      <c r="C151" t="inlineStr">
        <is>
          <t>￥1,299</t>
        </is>
      </c>
      <c r="D151" t="inlineStr">
        <is>
          <t>4.7</t>
        </is>
      </c>
      <c r="E151">
        <f>HYPERLINK("https://www.amazon.co.jp/Generation-Protection-Technology-Flexibility-Transparent/dp/B07V37FN1S/ref=sr_1_144?__mk_ja_JP=%E3%82%AB%E3%82%BF%E3%82%AB%E3%83%8A&amp;dchild=1&amp;keywords=iphone+x&amp;qid=1598524451&amp;sr=8-144", "Go")</f>
        <v/>
      </c>
    </row>
    <row r="152">
      <c r="A152" s="1" t="n">
        <v>150</v>
      </c>
      <c r="B152" t="inlineStr">
        <is>
          <t>Power Theory iPhone XR ガラス スクリーン プロテクター [2パック] 簡単取り付けキット [プレミアム強化ガラス]</t>
        </is>
      </c>
      <c r="C152" t="inlineStr">
        <is>
          <t>￥6,699</t>
        </is>
      </c>
      <c r="D152" t="inlineStr">
        <is>
          <t>4.7</t>
        </is>
      </c>
      <c r="E152">
        <f>HYPERLINK("https://www.amazon.co.jp/Power-Theory-iPhone-XR-%E3%83%97%E3%83%AC%E3%83%9F%E3%82%A2%E3%83%A0%E5%BC%B7%E5%8C%96%E3%82%AC%E3%83%A9%E3%82%B9/dp/B07KWB4V75/ref=sr_1_145?__mk_ja_JP=%E3%82%AB%E3%82%BF%E3%82%AB%E3%83%8A&amp;dchild=1&amp;keywords=iphone+x&amp;qid=1598524451&amp;sr=8-145", "Go")</f>
        <v/>
      </c>
    </row>
    <row r="153">
      <c r="A153" s="1" t="n">
        <v>151</v>
      </c>
      <c r="B153" t="inlineStr">
        <is>
          <t>【Spigen】 iPhone 11 Pro Max ケース 6.5インチ 対応 超耐衝撃 新モデル スタンド機能 米軍MIL規格取得 カメラ保護 傷防止 衝撃 吸収 Qi充電 ワイヤレス充電 タフ・アーマー XP 075CS27429 (ブラック)</t>
        </is>
      </c>
      <c r="C153" t="inlineStr">
        <is>
          <t>￥2,290</t>
        </is>
      </c>
      <c r="D153" t="inlineStr">
        <is>
          <t>4.7</t>
        </is>
      </c>
      <c r="E153">
        <f>HYPERLINK("https://www.amazon.co.jp/%E3%80%90Spigen%E3%80%91-%E7%B1%B3%E8%BB%8DMIL%E8%A6%8F%E6%A0%BC%E5%8F%96%E5%BE%97-%E3%83%AF%E3%82%A4%E3%83%A4%E3%83%AC%E3%82%B9%E5%85%85%E9%9B%BB-%E3%82%BF%E3%83%95%E3%83%BB%E3%82%A2%E3%83%BC%E3%83%9E%E3%83%BC-075CS27429/dp/B07T5XR85M/ref=sr_1_146?__mk_ja_JP=%E3%82%AB%E3%82%BF%E3%82%AB%E3%83%8A&amp;dchild=1&amp;keywords=iphone+x&amp;qid=1598524451&amp;sr=8-146", "Go")</f>
        <v/>
      </c>
    </row>
    <row r="154">
      <c r="A154" s="1" t="n">
        <v>152</v>
      </c>
      <c r="B154" t="inlineStr">
        <is>
          <t>iPhone 6.1用ケース。 ホワイト</t>
        </is>
      </c>
      <c r="C154" t="inlineStr">
        <is>
          <t>￥1,292</t>
        </is>
      </c>
      <c r="D154" t="inlineStr">
        <is>
          <t>4.7</t>
        </is>
      </c>
      <c r="E154">
        <f>HYPERLINK("https://www.amazon.co.jp/Cutebe-iPhone-6-1%E7%94%A8%E3%82%B1%E3%83%BC%E3%82%B9%E3%80%82-%E3%83%9B%E3%83%AF%E3%82%A4%E3%83%88/dp/B07WR2P6B6/ref=sr_1_147?__mk_ja_JP=%E3%82%AB%E3%82%BF%E3%82%AB%E3%83%8A&amp;dchild=1&amp;keywords=iphone+x&amp;qid=1598524451&amp;sr=8-147", "Go")</f>
        <v/>
      </c>
    </row>
    <row r="155">
      <c r="A155" s="1" t="n">
        <v>153</v>
      </c>
      <c r="B155" t="inlineStr">
        <is>
          <t>Ailun 三脚 携帯電話マウントホルダー ヘッド標準ねじアダプター 回転可能 デジタルカメラブラケット 自撮りレンズ 一脚 調節可能なリングライト カムコーダー iPhone X XR Xs Max Galaxy s20 s20+ S20Ultra</t>
        </is>
      </c>
      <c r="C155" t="inlineStr">
        <is>
          <t>￥20,331</t>
        </is>
      </c>
      <c r="D155" t="inlineStr">
        <is>
          <t>4.7</t>
        </is>
      </c>
      <c r="E155">
        <f>HYPERLINK("https://www.amazon.co.jp/%E9%9B%BB%E8%A9%B1%E3%83%9B%E3%83%AB%E3%83%80%E3%83%BC%E3%80%81-Ailun%E3%80%81%E9%9B%BB%E8%A9%B1%E4%B8%89%E8%84%9A%E3%83%9E%E3%82%A6%E3%83%B3%E3%83%88%E3%82%A2%E3%83%80%E3%83%97%E3%82%BF%E3%80%81%E5%9B%9E%E8%BB%A2%E5%8F%AF%E8%83%BD%E3%81%AA%E3%83%96%E3%83%A9%E3%82%B1%E3%83%83%E3%83%88%E3%80%81%E8%87%AA%E6%92%AE%E3%82%8A%E4%B8%80%E8%84%9A%E3%80%81%E8%AA%BF%E7%AF%80%E5%8F%AF%E8%83%BD%E3%81%AA%E3%82%AF%E3%83%A9%E3%83%B3%E3%83%97%E3%80%81-iPhone-Plus%E3%80%81SAMSUNG-GALAXY/dp/B072KNBV21/ref=sr_1_148?__mk_ja_JP=%E3%82%AB%E3%82%BF%E3%82%AB%E3%83%8A&amp;dchild=1&amp;keywords=iphone+x&amp;qid=1598524451&amp;sr=8-148", "Go")</f>
        <v/>
      </c>
    </row>
    <row r="156">
      <c r="A156" s="1" t="n">
        <v>154</v>
      </c>
      <c r="B156" t="inlineStr">
        <is>
          <t>TORRAS iPhone Xs ケース iPhone X ケース 5.8インチ 対応 薄型 PC [ ガラスフィルム付属] 米軍MIL規格取得 指紋防止 黄ばみなし 擦り傷防止 全面保護 耐衝撃カバー（ブラック）[ Wisdom Series]</t>
        </is>
      </c>
      <c r="C156" t="inlineStr">
        <is>
          <t>￥1,580</t>
        </is>
      </c>
      <c r="D156" t="inlineStr">
        <is>
          <t>4.4</t>
        </is>
      </c>
      <c r="E156">
        <f>HYPERLINK("https://www.amazon.co.jp/TORRAS-iPhone-%E8%80%90%E8%A1%9D%E6%92%83%E3%82%AB%E3%83%90%E3%83%BC-%E3%82%AC%E3%83%A9%E3%82%B9%E3%83%95%E3%82%A3%E3%83%AB%E3%83%A0%E4%BB%98%E5%B1%9E%EF%BC%88%E3%83%96%E3%83%A9%E3%83%83%E3%82%AF%EF%BC%89-Wisdom/dp/B075D79V7D/ref=sr_1_149_sspa?__mk_ja_JP=%E3%82%AB%E3%82%BF%E3%82%AB%E3%83%8A&amp;dchild=1&amp;keywords=iphone+x&amp;qid=1598524451&amp;sr=8-149-spons&amp;psc=1&amp;spLa=ZW5jcnlwdGVkUXVhbGlmaWVyPUEyNkRXOTZSQVVLM1RHJmVuY3J5cHRlZElkPUEwMjcyNTE0Mkg0WDdCTlRNV0NKUSZlbmNyeXB0ZWRBZElkPUEyOEpSWkc1UjhOQjRSJndpZGdldE5hbWU9c3BfYnRmJmFjdGlvbj1jbGlja1JlZGlyZWN0JmRvTm90TG9nQ2xpY2s9dHJ1ZQ==", "Go")</f>
        <v/>
      </c>
    </row>
    <row r="157">
      <c r="A157" s="1" t="n">
        <v>155</v>
      </c>
      <c r="B157" t="inlineStr">
        <is>
          <t>【2020最新版】iPhone 11 Pro/iPhone XS/X ガラスフィルム ブルーライトカット Leaisan 強化液晶保護フィルム 目の疲れ軽減【日本製素材旭硝子製】 【フルカバー】 超薄型 0.25mm 硬度9H 飛散防止 3D Touch対応 指紋防止 気泡防止/スクラッチ防止 貼り付け簡単 防爆裂目 アイフォン11Pro/XS/X</t>
        </is>
      </c>
      <c r="C157" t="inlineStr">
        <is>
          <t>￥1,299</t>
        </is>
      </c>
      <c r="D157" t="inlineStr">
        <is>
          <t>4.2</t>
        </is>
      </c>
      <c r="E157">
        <f>HYPERLINK("https://www.amazon.co.jp/%E3%80%902020%E6%9C%80%E6%96%B0%E7%89%88%E3%80%91iPhone-11-Pro-iPhone-%E7%9B%AE%E3%81%AE%E7%96%B2%E3%82%8C%E8%BB%BD%E6%B8%9B%E3%80%90%E6%97%A5%E6%9C%AC%E8%A3%BD%E7%B4%A0%E6%9D%90%E6%97%AD%E7%A1%9D%E5%AD%90%E8%A3%BD%E3%80%91/dp/B087BGPG4M/ref=sr_1_150_sspa?__mk_ja_JP=%E3%82%AB%E3%82%BF%E3%82%AB%E3%83%8A&amp;dchild=1&amp;keywords=iphone+x&amp;qid=1598524451&amp;sr=8-150-spons&amp;psc=1&amp;spLa=ZW5jcnlwdGVkUXVhbGlmaWVyPUEyNkRXOTZSQVVLM1RHJmVuY3J5cHRlZElkPUEwMjcyNTE0Mkg0WDdCTlRNV0NKUSZlbmNyeXB0ZWRBZElkPUEySEdTRTREMUJHMzBGJndpZGdldE5hbWU9c3BfYnRmJmFjdGlvbj1jbGlja1JlZGlyZWN0JmRvTm90TG9nQ2xpY2s9dHJ1ZQ==", "Go")</f>
        <v/>
      </c>
    </row>
    <row r="158">
      <c r="A158" s="1" t="n">
        <v>156</v>
      </c>
      <c r="B158" t="inlineStr">
        <is>
          <t>HUAWEI MediaPad T5 10 タブレット 10.1インチ Wi-Fiモデル RAM3GB/ROM32GB ミストブルー 【日本正規代理店品】</t>
        </is>
      </c>
      <c r="C158" t="inlineStr">
        <is>
          <t>￥20,592</t>
        </is>
      </c>
      <c r="D158" t="inlineStr">
        <is>
          <t>4.2</t>
        </is>
      </c>
      <c r="E158">
        <f>HYPERLINK("https://www.amazon.co.jp/HUAWEI-T5-10-10-1%E3%82%A4%E3%83%B3%E3%83%81%E3%82%BF%E3%83%96%E3%83%AC%E3%83%83%E3%83%88Wi-Fi%E3%83%A2%E3%83%87%E3%83%AB-%E3%80%90%E6%97%A5%E6%9C%AC%E6%AD%A3%E8%A6%8F%E4%BB%A3%E7%90%86%E5%BA%97%E5%93%81%E3%80%91/dp/B07WDNHXH4/ref=sr_1_145_sspa?__mk_ja_JP=%E3%82%AB%E3%82%BF%E3%82%AB%E3%83%8A&amp;dchild=1&amp;keywords=iphone+x&amp;qid=1598524675&amp;sr=8-145-spons&amp;psc=1&amp;spLa=ZW5jcnlwdGVkUXVhbGlmaWVyPUEzOTU0UERJQk00SDA4JmVuY3J5cHRlZElkPUEwODM5NjI0M1cwOTVEVVIwNEVROSZlbmNyeXB0ZWRBZElkPUE1UU01SzZPWjYzQ0smd2lkZ2V0TmFtZT1zcF9hdGZfbmV4dCZhY3Rpb249Y2xpY2tSZWRpcmVjdCZkb05vdExvZ0NsaWNrPXRydWU=", "Go")</f>
        <v/>
      </c>
    </row>
    <row r="159">
      <c r="A159" s="1" t="n">
        <v>157</v>
      </c>
      <c r="B159" t="inlineStr">
        <is>
          <t>佐藤ショップ SATOSP Xs/X フィルム アンチグレア 日本製旭硝子 硬度9H 反射/指紋防止 Xs/Xに適用 …</t>
        </is>
      </c>
      <c r="C159" t="inlineStr">
        <is>
          <t>￥1,699</t>
        </is>
      </c>
      <c r="D159" t="inlineStr">
        <is>
          <t>4.4</t>
        </is>
      </c>
      <c r="E159">
        <f>HYPERLINK("https://www.amazon.co.jp/%E3%80%90%E3%82%B5%E3%83%A9%E3%82%B5%E3%83%A9%E6%84%9F%E3%83%BB%E3%82%B2%E3%83%BC%E3%83%9E%E3%83%BC%E3%81%AB%E6%9C%80%E9%81%A9%E3%80%91-%E3%80%8C%E6%97%A5%E6%9C%AC%E8%A3%BD%E6%97%AD%E7%A1%9D%E5%AD%90%E3%80%8DiPhone-%E6%9C%80%E9%80%9F%E3%83%95%E3%83%AA%E3%83%83%E3%82%AF-%E3%80%8C%E5%8F%8D%E5%B0%84%E3%83%BB%E6%8C%87%E7%B4%8B%E9%98%B2%E6%AD%A2%E3%80%8D%E4%BD%90%E8%97%A4%E3%82%B7%E3%83%A7%E3%83%83%E3%83%97-%E8%B2%BC%E3%82%8A%E4%BB%98%E3%81%91%E7%B0%A1%E5%8D%98-%E6%A5%AD%E7%95%8C%E6%9C%80%E9%AB%98%E7%A1%AC%E5%BA%A69H-%E3%80%8C%E3%82%B9%E3%83%A0%E3%83%BC%E3%82%B9%E3%82%BF%E3%83%83%E3%83%81%E3%80%8D/dp/B081PPLBG2/ref=sr_1_146_sspa?__mk_ja_JP=%E3%82%AB%E3%82%BF%E3%82%AB%E3%83%8A&amp;dchild=1&amp;keywords=iphone+x&amp;qid=1598524675&amp;sr=8-146-spons&amp;psc=1&amp;spLa=ZW5jcnlwdGVkUXVhbGlmaWVyPUEzOTU0UERJQk00SDA4JmVuY3J5cHRlZElkPUEwODM5NjI0M1cwOTVEVVIwNEVROSZlbmNyeXB0ZWRBZElkPUEzQklVSlBVWU5VUlU3JndpZGdldE5hbWU9c3BfYXRmX25leHQmYWN0aW9uPWNsaWNrUmVkaXJlY3QmZG9Ob3RMb2dDbGljaz10cnVl", "Go")</f>
        <v/>
      </c>
    </row>
    <row r="160">
      <c r="A160" s="1" t="n">
        <v>158</v>
      </c>
      <c r="B160" t="inlineStr">
        <is>
          <t>iFace First Class Sense iPhone XS/X ケース 耐衝撃 米軍MIL規格準拠 [グレー]</t>
        </is>
      </c>
      <c r="C160" t="inlineStr">
        <is>
          <t>￥3,069</t>
        </is>
      </c>
      <c r="D160" t="inlineStr">
        <is>
          <t>4.4</t>
        </is>
      </c>
      <c r="E160">
        <f>HYPERLINK("https://www.amazon.co.jp/iFace-First-Class-Sense-iPhone/dp/B07535HP21/ref=sr_1_148_sspa?__mk_ja_JP=%E3%82%AB%E3%82%BF%E3%82%AB%E3%83%8A&amp;dchild=1&amp;keywords=iphone+x&amp;qid=1598524675&amp;sr=8-148-spons&amp;psc=1&amp;spLa=ZW5jcnlwdGVkUXVhbGlmaWVyPUEzOTU0UERJQk00SDA4JmVuY3J5cHRlZElkPUEwODM5NjI0M1cwOTVEVVIwNEVROSZlbmNyeXB0ZWRBZElkPUExQ1gzSTJMTDZPOFdPJndpZGdldE5hbWU9c3BfYXRmX25leHQmYWN0aW9uPWNsaWNrUmVkaXJlY3QmZG9Ob3RMb2dDbGljaz10cnVl", "Go")</f>
        <v/>
      </c>
    </row>
    <row r="161">
      <c r="A161" s="1" t="n">
        <v>159</v>
      </c>
      <c r="B161" t="inlineStr">
        <is>
          <t>ESR iPhone 11 Pro Max ケース クリアケース TPUバンパー 背面PC材質 【米軍MIL規格取得】 全透明 全面保護 耐衝撃 カメラ保護 衝撃吸収 ワイヤレス充電対応 6.5インチ iPhone 11 Pro Maxスマホケース（クリア）</t>
        </is>
      </c>
      <c r="C161" t="inlineStr">
        <is>
          <t>￥1,499</t>
        </is>
      </c>
      <c r="D161" t="inlineStr">
        <is>
          <t>4.7</t>
        </is>
      </c>
      <c r="E161">
        <f>HYPERLINK("https://www.amazon.co.jp/ESR-iPhone-Pro-Max-Max%E3%82%B9%E3%83%9E%E3%83%9B%E3%82%B1%E3%83%BC%E3%82%B9%EF%BC%88%E3%82%AF%E3%83%AA%E3%82%A2%EF%BC%89/dp/B07VHJ4K1S/ref=sr_1_149?__mk_ja_JP=%E3%82%AB%E3%82%BF%E3%82%AB%E3%83%8A&amp;dchild=1&amp;keywords=iphone+x&amp;qid=1598524675&amp;sr=8-149", "Go")</f>
        <v/>
      </c>
    </row>
    <row r="162">
      <c r="A162" s="1" t="n">
        <v>160</v>
      </c>
      <c r="B162" t="inlineStr">
        <is>
          <t>OtterBox iPhone 11 Symmetry ケース(Risk Tiger Red)</t>
        </is>
      </c>
      <c r="C162" t="inlineStr">
        <is>
          <t>￥5,060</t>
        </is>
      </c>
      <c r="D162" t="inlineStr">
        <is>
          <t>4.7</t>
        </is>
      </c>
      <c r="E162">
        <f>HYPERLINK("https://www.amazon.co.jp/dp/B07W59LDF7/ref=sr_1_150?__mk_ja_JP=%E3%82%AB%E3%82%BF%E3%82%AB%E3%83%8A&amp;dchild=1&amp;keywords=iphone+x&amp;qid=1598524675&amp;sr=8-150", "Go")</f>
        <v/>
      </c>
    </row>
    <row r="163">
      <c r="A163" s="1" t="n">
        <v>161</v>
      </c>
      <c r="B163" t="inlineStr">
        <is>
          <t>FITFORT iPhone XR ケース フルボディ 頑丈なケース タッチセンシティブ 傷防止 スクリーンプロテクター内蔵 超薄型 クリア 耐衝撃 耐衝撃 耐衝撃 超耐久性 保護カバー</t>
        </is>
      </c>
      <c r="C163" t="inlineStr">
        <is>
          <t>￥5,190</t>
        </is>
      </c>
      <c r="D163" t="inlineStr">
        <is>
          <t>4.7</t>
        </is>
      </c>
      <c r="E163">
        <f>HYPERLINK("https://www.amazon.co.jp/FITFORT-iPhone-%E9%A0%91%E4%B8%88%E3%81%AA%E3%82%B1%E3%83%BC%E3%82%B9-%E3%82%BF%E3%83%83%E3%83%81%E3%82%BB%E3%83%B3%E3%82%B7%E3%83%86%E3%82%A3%E3%83%96-%E3%82%B9%E3%82%AF%E3%83%AA%E3%83%BC%E3%83%B3%E3%83%97%E3%83%AD%E3%83%86%E3%82%AF%E3%82%BF%E3%83%BC%E5%86%85%E8%94%B5/dp/B07TS8BHR9/ref=sr_1_151?__mk_ja_JP=%E3%82%AB%E3%82%BF%E3%82%AB%E3%83%8A&amp;dchild=1&amp;keywords=iphone+x&amp;qid=1598524675&amp;sr=8-151", "Go")</f>
        <v/>
      </c>
    </row>
    <row r="164">
      <c r="A164" s="1" t="n">
        <v>162</v>
      </c>
      <c r="B164" t="inlineStr">
        <is>
          <t>ボルポート1.38円両面テープ折りたたみ式グリップスタンドバック用3M粘着交換部品 3M製 携帯電話用マグネット式携帯電話用取り付けホルダー2個</t>
        </is>
      </c>
      <c r="C164" t="inlineStr">
        <is>
          <t>￥6,212</t>
        </is>
      </c>
      <c r="D164" t="inlineStr">
        <is>
          <t>4.7</t>
        </is>
      </c>
      <c r="E164">
        <f>HYPERLINK("https://www.amazon.co.jp/3M%E7%B2%98%E7%9D%80%E6%80%A7%E4%BA%A4%E6%8F%9B%E7%94%A8%E9%83%A8%E5%93%81-%E3%83%9D%E3%83%83%E3%83%97%E3%82%BD%E3%82%B1%E3%83%83%E3%83%88%E5%AF%BE%E5%BF%9C-VHB%E3%82%B9%E3%83%86%E3%83%83%E3%82%AB%E3%83%BC%E3%83%91%E3%83%83%E3%83%89-%E6%8A%98%E3%82%8A%E3%81%9F%E3%81%9F%E3%81%BF%E5%BC%8F%E3%82%B0%E3%83%AA%E3%83%83%E3%83%97%E3%83%9B%E3%83%AB%E3%83%80%E3%83%BC-%E5%9B%9E%E8%BB%A2%E3%82%AB%E3%83%BC%E3%83%95%E3%82%A9%E3%83%B3%E3%83%9E%E3%82%A6%E3%83%B3%E3%83%88/dp/B07JBBMZNJ/ref=sr_1_152?__mk_ja_JP=%E3%82%AB%E3%82%BF%E3%82%AB%E3%83%8A&amp;dchild=1&amp;keywords=iphone+x&amp;qid=1598524675&amp;sr=8-152", "Go")</f>
        <v/>
      </c>
    </row>
    <row r="165">
      <c r="A165" s="1" t="n">
        <v>163</v>
      </c>
      <c r="B165" t="inlineStr">
        <is>
          <t>SanDisk ( サンディスク ) 256GB Extreme microSDXC A2 SDSQXA1-256G ［ 海外パッケージ ］</t>
        </is>
      </c>
      <c r="C165" t="inlineStr">
        <is>
          <t>￥5,590</t>
        </is>
      </c>
      <c r="D165" t="inlineStr">
        <is>
          <t>4.7</t>
        </is>
      </c>
      <c r="E165">
        <f>HYPERLINK("https://www.amazon.co.jp/%E3%82%B5%E3%83%B3%E3%83%87%E3%82%A3%E3%82%B9%E3%82%AF-Extreme-microSDXC-SDSQXA1-256G-%E6%B5%B7%E5%A4%96%E3%83%91%E3%83%83%E3%82%B1%E3%83%BC%E3%82%B8%E5%93%81/dp/B07FCR3316/ref=sr_1_153?__mk_ja_JP=%E3%82%AB%E3%82%BF%E3%82%AB%E3%83%8A&amp;dchild=1&amp;keywords=iphone+x&amp;qid=1598524675&amp;sr=8-153", "Go")</f>
        <v/>
      </c>
    </row>
    <row r="166">
      <c r="A166" s="1" t="n">
        <v>164</v>
      </c>
      <c r="B166" t="inlineStr">
        <is>
          <t>kwmobile 対応: Huawei P30 Lite ウッド ケース - 木製 x TPUシリコン製 スマホカバー ファーウェイ P30 ライト</t>
        </is>
      </c>
      <c r="C166" t="inlineStr">
        <is>
          <t>￥1,060</t>
        </is>
      </c>
      <c r="D166" t="inlineStr">
        <is>
          <t>4.8</t>
        </is>
      </c>
      <c r="E166">
        <f>HYPERLINK("https://www.amazon.co.jp/kwmobile-Huawei-P30-Lite-%E3%82%A6%E3%83%83%E3%83%89/dp/B07V6FXGPV/ref=sr_1_154?__mk_ja_JP=%E3%82%AB%E3%82%BF%E3%82%AB%E3%83%8A&amp;dchild=1&amp;keywords=iphone+x&amp;qid=1598524675&amp;sr=8-154", "Go")</f>
        <v/>
      </c>
    </row>
    <row r="167">
      <c r="A167" s="1" t="n">
        <v>165</v>
      </c>
      <c r="B167" t="inlineStr">
        <is>
          <t>XClear スクリーンプロテクター Apple iPhone 8 Plus 7 Plus 6s Plus 6 Plus ( 5.5インチ）(3パック) 対応強化ガラス + アライメントトレイ [ケースフレンドリー]</t>
        </is>
      </c>
      <c r="C167" t="inlineStr">
        <is>
          <t>￥12,261</t>
        </is>
      </c>
      <c r="D167" t="inlineStr">
        <is>
          <t>4.7</t>
        </is>
      </c>
      <c r="E167">
        <f>HYPERLINK("https://www.amazon.co.jp/XClear-%E3%82%B9%E3%82%AF%E3%83%AA%E3%83%BC%E3%83%B3%E3%83%97%E3%83%AD%E3%83%86%E3%82%AF%E3%82%BF%E3%83%BC-5-5%E3%82%A4%E3%83%B3%E3%83%81%EF%BC%89-%E3%82%A2%E3%83%A9%E3%82%A4%E3%83%A1%E3%83%B3%E3%83%88%E3%83%88%E3%83%AC%E3%82%A4-%E3%82%B1%E3%83%BC%E3%82%B9%E3%83%95%E3%83%AC%E3%83%B3%E3%83%89%E3%83%AA%E3%83%BC/dp/B07QY54F46/ref=sr_1_155?__mk_ja_JP=%E3%82%AB%E3%82%BF%E3%82%AB%E3%83%8A&amp;dchild=1&amp;keywords=iphone+x&amp;qid=1598524675&amp;sr=8-155", "Go")</f>
        <v/>
      </c>
    </row>
    <row r="168">
      <c r="A168" s="1" t="n">
        <v>166</v>
      </c>
      <c r="B168" t="inlineStr">
        <is>
          <t>XDesign ガラススクリーンプロテクター iPhone X &amp; iPhone Xs (2018) 用 (3パック) 強化ガラス タッチの正確さと衝撃吸収性 + 簡単取り付けトレイ [ほとんどのケースにフィット] - 3パック</t>
        </is>
      </c>
      <c r="C168" t="inlineStr">
        <is>
          <t>￥8,203</t>
        </is>
      </c>
      <c r="D168" t="inlineStr">
        <is>
          <t>4.7</t>
        </is>
      </c>
      <c r="E168">
        <f>HYPERLINK("https://www.amazon.co.jp/XD000039/dp/B071GPZN2D/ref=sr_1_156?__mk_ja_JP=%E3%82%AB%E3%82%BF%E3%82%AB%E3%83%8A&amp;dchild=1&amp;keywords=iphone+x&amp;qid=1598524675&amp;sr=8-156", "Go")</f>
        <v/>
      </c>
    </row>
    <row r="169">
      <c r="A169" s="1" t="n">
        <v>167</v>
      </c>
      <c r="B169" t="inlineStr">
        <is>
          <t>iPad 9.7インチ用ケース、Lacdo 耐衝撃タブレットスリーブ 9.7インチiPad|iPad Pro|iPad Air 2 | iPad 4, 3, 2 | サムスン Galaxy Tab A 10.1インチ 保護ケース 10.6 x 7.9 x 0.8 inches B1A47C2</t>
        </is>
      </c>
      <c r="C169" t="inlineStr">
        <is>
          <t>￥13,859</t>
        </is>
      </c>
      <c r="D169" t="inlineStr">
        <is>
          <t>4.7</t>
        </is>
      </c>
      <c r="E169">
        <f>HYPERLINK("https://www.amazon.co.jp/9-7%E3%82%A4%E3%83%B3%E3%83%81%E7%94%A8%E3%82%B1%E3%83%BC%E3%82%B9%E3%80%81Lacdo-%E8%80%90%E8%A1%9D%E6%92%83%E3%82%BF%E3%83%96%E3%83%AC%E3%83%83%E3%83%88%E3%82%B9%E3%83%AA%E3%83%BC%E3%83%96-9-7%E3%82%A4%E3%83%B3%E3%83%81iPad-10-1%E3%82%A4%E3%83%B3%E3%83%81-B1A47C2/dp/B00RK1JTR2/ref=sr_1_157?__mk_ja_JP=%E3%82%AB%E3%82%BF%E3%82%AB%E3%83%8A&amp;dchild=1&amp;keywords=iphone+x&amp;qid=1598524675&amp;sr=8-157", "Go")</f>
        <v/>
      </c>
    </row>
    <row r="170">
      <c r="A170" s="1" t="n">
        <v>168</v>
      </c>
      <c r="B170" t="inlineStr">
        <is>
          <t>【Ringke】Huawei Mate 20 Pro ケース 対応 落下衝撃吸収 ストラップホール TPU PC [米軍MIL規格取得] 二重構造 スマホケース 背面クリア Fusion-X (Black/ブラック) Huawei Mate20 Pro ケース</t>
        </is>
      </c>
      <c r="C170" t="inlineStr">
        <is>
          <t>￥1,099</t>
        </is>
      </c>
      <c r="D170" t="inlineStr">
        <is>
          <t>4.7</t>
        </is>
      </c>
      <c r="E170">
        <f>HYPERLINK("https://www.amazon.co.jp/%E3%80%90Ringke%E3%80%91Huawei-%E8%90%BD%E4%B8%8B%E8%A1%9D%E6%92%83%E5%90%B8%E5%8F%8E-%E3%82%B9%E3%83%88%E3%83%A9%E3%83%83%E3%83%97%E3%83%9B%E3%83%BC%E3%83%AB-%E7%B1%B3%E8%BB%8DMIL%E8%A6%8F%E6%A0%BC%E5%8F%96%E5%BE%97-Fusion-X/dp/B07KCJH92M/ref=sr_1_158?__mk_ja_JP=%E3%82%AB%E3%82%BF%E3%82%AB%E3%83%8A&amp;dchild=1&amp;keywords=iphone+x&amp;qid=1598524675&amp;sr=8-158", "Go")</f>
        <v/>
      </c>
    </row>
    <row r="171">
      <c r="A171" s="1" t="n">
        <v>169</v>
      </c>
      <c r="B171" t="inlineStr">
        <is>
          <t>OtterBox iPhone 11 Commuter ケース(Black)</t>
        </is>
      </c>
      <c r="C171" t="inlineStr">
        <is>
          <t>￥8,971</t>
        </is>
      </c>
      <c r="D171" t="inlineStr">
        <is>
          <t>4.7</t>
        </is>
      </c>
      <c r="E171">
        <f>HYPERLINK("https://www.amazon.co.jp/77-62463/dp/B07W45LYY8/ref=sr_1_159?__mk_ja_JP=%E3%82%AB%E3%82%BF%E3%82%AB%E3%83%8A&amp;dchild=1&amp;keywords=iphone+x&amp;qid=1598524675&amp;sr=8-159", "Go")</f>
        <v/>
      </c>
    </row>
    <row r="172">
      <c r="A172" s="1" t="n">
        <v>170</v>
      </c>
      <c r="B172" t="inlineStr">
        <is>
          <t>OtterBox iPhone XR Symmetry ケース(Black)</t>
        </is>
      </c>
      <c r="C172" t="inlineStr">
        <is>
          <t>￥4,235</t>
        </is>
      </c>
      <c r="D172" t="inlineStr">
        <is>
          <t>4.7</t>
        </is>
      </c>
      <c r="E172">
        <f>HYPERLINK("https://www.amazon.co.jp/OtterBox-iPhone-Symmetry-%E3%82%B1%E3%83%BC%E3%82%B9-Black/dp/B07GBQW9FV/ref=sr_1_160?__mk_ja_JP=%E3%82%AB%E3%82%BF%E3%82%AB%E3%83%8A&amp;dchild=1&amp;keywords=iphone+x&amp;qid=1598524675&amp;sr=8-160", "Go")</f>
        <v/>
      </c>
    </row>
    <row r="173">
      <c r="A173" s="1" t="n">
        <v>171</v>
      </c>
      <c r="B173" t="inlineStr">
        <is>
          <t>ドライバーセット工具XOOL80 in 1 精密ドライバーセットビットツール 修理ツール 多機能ツールキット 磁気スクリュードライバー 携帯電話 スマホ iPhone Android 修理・開腹・分解・修復 ツール メンテナンスツール オックスフォード製の収納袋付き 時計・メガネやモバイル機器修理用</t>
        </is>
      </c>
      <c r="C173" t="inlineStr">
        <is>
          <t>￥9,620</t>
        </is>
      </c>
      <c r="D173" t="inlineStr">
        <is>
          <t>4.7</t>
        </is>
      </c>
      <c r="E173">
        <f>HYPERLINK("https://www.amazon.co.jp/%E3%83%89%E3%83%A9%E3%82%A4%E3%83%90%E3%83%BC%E3%82%BB%E3%83%83%E3%83%88%E5%B7%A5%E5%85%B7XOOL80-%E7%B2%BE%E5%AF%86%E3%83%89%E3%83%A9%E3%82%A4%E3%83%90%E3%83%BC%E3%82%BB%E3%83%83%E3%83%88%E3%83%93%E3%83%83%E3%83%88%E3%83%84%E3%83%BC%E3%83%AB-%E4%BF%AE%E7%90%86%E3%83%BB%E9%96%8B%E8%85%B9%E3%83%BB%E5%88%86%E8%A7%A3%E3%83%BB%E4%BF%AE%E5%BE%A9-%E3%83%84%E3%83%BC%E3%83%AB-%E3%82%AA%E3%83%83%E3%82%AF%E3%82%B9%E3%83%95%E3%82%A9%E3%83%BC%E3%83%89%E8%A3%BD%E3%81%AE%E5%8F%8E%E7%B4%8D%E8%A2%8B%E4%BB%98%E3%81%8D-%E6%99%82%E8%A8%88%E3%83%BB%E3%83%A1%E3%82%AC%E3%83%8D%E3%82%84%E3%83%A2%E3%83%90%E3%82%A4%E3%83%AB%E6%A9%9F%E5%99%A8%E4%BF%AE%E7%90%86%E7%94%A8/dp/B0718ZM6R1/ref=sr_1_161?__mk_ja_JP=%E3%82%AB%E3%82%BF%E3%82%AB%E3%83%8A&amp;dchild=1&amp;keywords=iphone+x&amp;qid=1598524675&amp;sr=8-161", "Go")</f>
        <v/>
      </c>
    </row>
    <row r="174">
      <c r="A174" s="1" t="n">
        <v>172</v>
      </c>
      <c r="B174" t="inlineStr">
        <is>
          <t>LUOLNH スリム 耐衝撃 クリア 花柄 ソフト フレキシブル TPU バックカバーケース iPhone 6 6s対応 6-gel-hua-Zi Rose</t>
        </is>
      </c>
      <c r="C174" t="inlineStr">
        <is>
          <t>￥8,950</t>
        </is>
      </c>
      <c r="D174" t="inlineStr">
        <is>
          <t>4.7</t>
        </is>
      </c>
      <c r="E174">
        <f>HYPERLINK("https://www.amazon.co.jp/LUOLNH-%E3%83%95%E3%83%AD%E3%83%BC%E3%83%A9%E3%83%AB-%E3%83%95%E3%83%AC%E3%82%AD%E3%82%B7%E3%83%96%E3%83%AB-iPhone-4-7%E3%82%A4%E3%83%B3%E3%83%81/dp/B06ZZ14NLT/ref=sr_1_162?__mk_ja_JP=%E3%82%AB%E3%82%BF%E3%82%AB%E3%83%8A&amp;dchild=1&amp;keywords=iphone+x&amp;qid=1598524675&amp;sr=8-162", "Go")</f>
        <v/>
      </c>
    </row>
    <row r="175">
      <c r="A175" s="1" t="n">
        <v>173</v>
      </c>
      <c r="B175" t="inlineStr">
        <is>
          <t>JEDirect iPhone11Pro Max ケース (2019 モデル、6.5インチ専用) 衝撃吸収 バンパーカバー 傷つけ防止 クリアバック (HD クリア)</t>
        </is>
      </c>
      <c r="C175" t="inlineStr">
        <is>
          <t>￥697</t>
        </is>
      </c>
      <c r="D175" t="inlineStr">
        <is>
          <t>4.7</t>
        </is>
      </c>
      <c r="E175">
        <f>HYPERLINK("https://www.amazon.co.jp/JEDirect-iPhone-6-5%E3%82%A4%E3%83%B3%E3%83%81%E5%B0%82%E7%94%A8-%E3%83%90%E3%83%B3%E3%83%91%E3%83%BC%E3%82%AB%E3%83%90%E3%83%BC-%E3%82%AF%E3%83%AA%E3%82%A2%E3%83%90%E3%83%83%E3%82%AF/dp/B07QS4QK57/ref=sr_1_163?__mk_ja_JP=%E3%82%AB%E3%82%BF%E3%82%AB%E3%83%8A&amp;dchild=1&amp;keywords=iphone+x&amp;qid=1598524675&amp;sr=8-163", "Go")</f>
        <v/>
      </c>
    </row>
    <row r="176">
      <c r="A176" s="1" t="n">
        <v>174</v>
      </c>
      <c r="B176" t="inlineStr">
        <is>
          <t>JEDirect iPhone11Pro ケース (2019 モデル、5.8インチ専用) 衝撃吸収 バンパーカバー 傷つけ防止 クリアバック (HD クリア)</t>
        </is>
      </c>
      <c r="C176" t="inlineStr">
        <is>
          <t>￥697</t>
        </is>
      </c>
      <c r="D176" t="inlineStr">
        <is>
          <t>4.7</t>
        </is>
      </c>
      <c r="E176">
        <f>HYPERLINK("https://www.amazon.co.jp/JEDirect-iPhone-5-8%E3%82%A4%E3%83%B3%E3%83%81%E5%B0%82%E7%94%A8-%E3%83%90%E3%83%B3%E3%83%91%E3%83%BC%E3%82%AB%E3%83%90%E3%83%BC-%E3%82%AF%E3%83%AA%E3%82%A2%E3%83%90%E3%83%83%E3%82%AF/dp/B07QS4QG7B/ref=sr_1_164?__mk_ja_JP=%E3%82%AB%E3%82%BF%E3%82%AB%E3%83%8A&amp;dchild=1&amp;keywords=iphone+x&amp;qid=1598524675&amp;sr=8-164", "Go")</f>
        <v/>
      </c>
    </row>
    <row r="177">
      <c r="A177" s="1" t="n">
        <v>175</v>
      </c>
      <c r="B177" t="inlineStr">
        <is>
          <t>【Ringke】Xiaomi Pocophone F1 ケース 対応 コスパ最高 ストラップホール 落下衝撃吸収 [米軍MIL規格取得] TPU PC 2重構造 スマホケース 吸収耐衝撃カバー 背面クリア Qi充電対応 Fusion-X (Black/ブラック) poco f1 ケース poco phone f1 ケース</t>
        </is>
      </c>
      <c r="C177" t="inlineStr">
        <is>
          <t>￥1,299</t>
        </is>
      </c>
      <c r="D177" t="inlineStr">
        <is>
          <t>4.7</t>
        </is>
      </c>
      <c r="E177">
        <f>HYPERLINK("https://www.amazon.co.jp/pocophone-FUSION-%E2%80%93-Absorption-Certified-Smartphone/dp/B07HRNC9C4/ref=sr_1_165?__mk_ja_JP=%E3%82%AB%E3%82%BF%E3%82%AB%E3%83%8A&amp;dchild=1&amp;keywords=iphone+x&amp;qid=1598524675&amp;sr=8-165", "Go")</f>
        <v/>
      </c>
    </row>
    <row r="178">
      <c r="A178" s="1" t="n">
        <v>176</v>
      </c>
      <c r="B178" t="inlineStr">
        <is>
          <t>LK【3枚セット】iPhone 11 Pro Max 6.5" / iPhone XS Max 用 強化ガラス液晶保護フィルム 6.5インチ対応【業界最高硬度9H/高透過率/飛散防止/気泡防止/3Dタッチ対応】アイフォン2019 pro max ガラスフィルム 2019先端技術【ガイド枠付き】</t>
        </is>
      </c>
      <c r="C178" t="inlineStr">
        <is>
          <t>￥999</t>
        </is>
      </c>
      <c r="D178" t="inlineStr">
        <is>
          <t>4.7</t>
        </is>
      </c>
      <c r="E178">
        <f>HYPERLINK("https://www.amazon.co.jp/LK%E3%80%903%E6%9E%9A%E3%82%BB%E3%83%83%E3%83%88%E3%80%91iPhone-iPhone-6-5%E3%82%A4%E3%83%B3%E3%83%81%E5%AF%BE%E5%BF%9C%E3%80%90%E6%A5%AD%E7%95%8C%E6%9C%80%E9%AB%98%E7%A1%AC%E5%BA%A69H-3D%E3%82%BF%E3%83%83%E3%83%81%E5%AF%BE%E5%BF%9C%E3%80%91%E3%82%A2%E3%82%A4%E3%83%95%E3%82%A9%E3%83%B32019-2019%E5%85%88%E7%AB%AF%E6%8A%80%E8%A1%93%E3%80%90%E3%82%AC%E3%82%A4%E3%83%89%E6%9E%A0%E4%BB%98%E3%81%8D%E3%80%91/dp/B07X2WQX7J/ref=sr_1_166?__mk_ja_JP=%E3%82%AB%E3%82%BF%E3%82%AB%E3%83%8A&amp;dchild=1&amp;keywords=iphone+x&amp;qid=1598524675&amp;sr=8-166", "Go")</f>
        <v/>
      </c>
    </row>
    <row r="179">
      <c r="A179" s="1" t="n">
        <v>177</v>
      </c>
      <c r="B179" t="inlineStr">
        <is>
          <t>Silk iPhone X ウォレット ケース - ヴォールト 保護 クレジットカード iPhone 10 グリップ カバー - ウォレット スレイヤー Vol.1 - ブラックオニキス</t>
        </is>
      </c>
      <c r="C179" t="inlineStr">
        <is>
          <t>￥7,077</t>
        </is>
      </c>
      <c r="D179" t="inlineStr">
        <is>
          <t>4.7</t>
        </is>
      </c>
      <c r="E179">
        <f>HYPERLINK("https://www.amazon.co.jp/Silk-iPhone-%E3%82%A6%E3%82%A9%E3%83%AC%E3%83%83%E3%83%88-%E3%82%B1%E3%83%BC%E3%82%B9-%E3%82%AF%E3%83%AC%E3%82%B8%E3%83%83%E3%83%88%E3%82%AB%E3%83%BC%E3%83%89/dp/B073V75W3M/ref=sr_1_167?__mk_ja_JP=%E3%82%AB%E3%82%BF%E3%82%AB%E3%83%8A&amp;dchild=1&amp;keywords=iphone+x&amp;qid=1598524675&amp;sr=8-167", "Go")</f>
        <v/>
      </c>
    </row>
    <row r="180">
      <c r="A180" s="1" t="n">
        <v>178</v>
      </c>
      <c r="B180" t="inlineStr">
        <is>
          <t>Power Theory iPhone SE/5S/5 ガラス スクリーン プロテクター [2パック] 簡単取り付けキット [プレミアム強化ガラス]</t>
        </is>
      </c>
      <c r="C180" t="inlineStr">
        <is>
          <t>￥5,828</t>
        </is>
      </c>
      <c r="D180" t="inlineStr">
        <is>
          <t>4.7</t>
        </is>
      </c>
      <c r="E180">
        <f>HYPERLINK("https://www.amazon.co.jp/Power-Theory-iPhone-5S-%E3%83%97%E3%83%AC%E3%83%9F%E3%82%A2%E3%83%A0%E5%BC%B7%E5%8C%96%E3%82%AC%E3%83%A9%E3%82%B9/dp/B01ARX5A90/ref=sr_1_168?__mk_ja_JP=%E3%82%AB%E3%82%BF%E3%82%AB%E3%83%8A&amp;dchild=1&amp;keywords=iphone+x&amp;qid=1598524675&amp;sr=8-168", "Go")</f>
        <v/>
      </c>
    </row>
    <row r="181">
      <c r="A181" s="1" t="n">
        <v>179</v>
      </c>
      <c r="B181" t="inlineStr">
        <is>
          <t>【Spigen】 iPhone 11 Pro ケース 5.8インチ 対応 超耐衝撃 新モデル スタンド機能 米軍MIL規格取得 カメラ保護 傷防止 衝撃 吸収 Qi充電 ワイヤレス充電 タフ・アーマー XP 077CS27447 (ブラック)</t>
        </is>
      </c>
      <c r="C181" t="inlineStr">
        <is>
          <t>￥2,793</t>
        </is>
      </c>
      <c r="D181" t="inlineStr">
        <is>
          <t>4.7</t>
        </is>
      </c>
      <c r="E181">
        <f>HYPERLINK("https://www.amazon.co.jp/%E3%80%90Spigen%E3%80%91-%E7%B1%B3%E8%BB%8DMIL%E8%A6%8F%E6%A0%BC%E5%8F%96%E5%BE%97-%E3%83%AF%E3%82%A4%E3%83%A4%E3%83%AC%E3%82%B9%E5%85%85%E9%9B%BB-%E3%82%BF%E3%83%95%E3%83%BB%E3%82%A2%E3%83%BC%E3%83%9E%E3%83%BC-077CS27447/dp/B07T1MZ99T/ref=sr_1_169?__mk_ja_JP=%E3%82%AB%E3%82%BF%E3%82%AB%E3%83%8A&amp;dchild=1&amp;keywords=iphone+x&amp;qid=1598524675&amp;sr=8-169", "Go")</f>
        <v/>
      </c>
    </row>
    <row r="182">
      <c r="A182" s="1" t="n">
        <v>180</v>
      </c>
      <c r="B182" t="inlineStr">
        <is>
          <t>OtterBox iPhone XS Max Commuter ケース(Black)</t>
        </is>
      </c>
      <c r="C182" t="inlineStr">
        <is>
          <t>￥3,630</t>
        </is>
      </c>
      <c r="D182" t="inlineStr">
        <is>
          <t>4.7</t>
        </is>
      </c>
      <c r="E182">
        <f>HYPERLINK("https://www.amazon.co.jp/OtterBox-iPhone-Max-Commuter-Black/dp/B07GC24CLQ/ref=sr_1_170?__mk_ja_JP=%E3%82%AB%E3%82%BF%E3%82%AB%E3%83%8A&amp;dchild=1&amp;keywords=iphone+x&amp;qid=1598524675&amp;sr=8-170", "Go")</f>
        <v/>
      </c>
    </row>
    <row r="183">
      <c r="A183" s="1" t="n">
        <v>181</v>
      </c>
      <c r="B183" t="inlineStr">
        <is>
          <t>【Ringke】Galaxy A50 ケース (2019) 対応 コスパ最高 ストラップホール 落下衝撃吸収 スマホケース [米軍MIL規格取得] TPU PC 2重構造 スマホケース 吸収耐衝撃カバー 背面クリア Fusion-X (Black/ブラック) A50 ケース</t>
        </is>
      </c>
      <c r="C183" t="inlineStr">
        <is>
          <t>￥1,399</t>
        </is>
      </c>
      <c r="D183" t="inlineStr">
        <is>
          <t>4.7</t>
        </is>
      </c>
      <c r="E183">
        <f>HYPERLINK("https://www.amazon.co.jp/dp/B07Q38XLLX/ref=sr_1_171?__mk_ja_JP=%E3%82%AB%E3%82%BF%E3%82%AB%E3%83%8A&amp;dchild=1&amp;keywords=iphone+x&amp;qid=1598524675&amp;sr=8-171", "Go")</f>
        <v/>
      </c>
    </row>
    <row r="184">
      <c r="A184" s="1" t="n">
        <v>182</v>
      </c>
      <c r="B184" t="inlineStr">
        <is>
          <t>TORRAS スリムフィット iPhone 11ケース ハードプラスチック PC 超薄型 電話カバーケース マット仕上げ コーティンググリップ iPhone 11（6.1インチ）対応 ブラック TS-IP19-6.1-WM-BK-US</t>
        </is>
      </c>
      <c r="C184" t="inlineStr">
        <is>
          <t>￥4,491</t>
        </is>
      </c>
      <c r="D184" t="inlineStr">
        <is>
          <t>4.7</t>
        </is>
      </c>
      <c r="E184">
        <f>HYPERLINK("https://www.amazon.co.jp/TORRAS-%E3%82%B9%E3%83%AA%E3%83%A0%E3%83%95%E3%82%A3%E3%83%83%E3%83%88%E3%82%B1%E3%83%BC%E3%82%B9-iPhone-6-1%E3%82%A4%E3%83%B3%E3%83%81-TS-IP19-6-1-WM-BK-US/dp/B07VTN19YV/ref=sr_1_172?__mk_ja_JP=%E3%82%AB%E3%82%BF%E3%82%AB%E3%83%8A&amp;dchild=1&amp;keywords=iphone+x&amp;qid=1598524675&amp;sr=8-172", "Go")</f>
        <v/>
      </c>
    </row>
    <row r="185">
      <c r="A185" s="1" t="n">
        <v>183</v>
      </c>
      <c r="B185" t="inlineStr">
        <is>
          <t>Wlife iPhone X ケース iPhone XS ケース クリア ソフト シリコン 薄型 透明 指紋防止 黄変防止 衝撃吸収 全面保護 滑り止め ワイヤレス充電 アイフォンXs アイフォンX カバー (トランスペアレント)</t>
        </is>
      </c>
      <c r="C185" t="inlineStr">
        <is>
          <t>￥899</t>
        </is>
      </c>
      <c r="D185" t="inlineStr">
        <is>
          <t>4.7</t>
        </is>
      </c>
      <c r="E185">
        <f>HYPERLINK("https://www.amazon.co.jp/Wlife-iPhone-%E3%83%AF%E3%82%A4%E3%83%A4%E3%83%AC%E3%82%B9%E5%85%85%E9%9B%BB-%E3%82%A2%E3%82%A4%E3%83%95%E3%82%A9%E3%83%B3Xs-%E3%83%88%E3%83%A9%E3%83%B3%E3%82%B9%E3%83%9A%E3%82%A2%E3%83%AC%E3%83%B3%E3%83%88/dp/B087R484Y6/ref=sr_1_173?__mk_ja_JP=%E3%82%AB%E3%82%BF%E3%82%AB%E3%83%8A&amp;dchild=1&amp;keywords=iphone+x&amp;qid=1598524675&amp;sr=8-173", "Go")</f>
        <v/>
      </c>
    </row>
    <row r="186">
      <c r="A186" s="1" t="n">
        <v>184</v>
      </c>
      <c r="B186" t="inlineStr">
        <is>
          <t>iPhoneイヤホン変換アダプタ 変換ケーブル 4in1充電/通話/音楽/リモコン操作対応 ライトニング イヤホンジャック 急速充電 ライトニング3.5mm端子 音楽再生 音楽調節 iPhone 7 / 7 Plus / 8 / 8 / X/XS/XS Max/XR iOS10/11/12/13 に対応</t>
        </is>
      </c>
      <c r="C186" t="inlineStr">
        <is>
          <t>￥2,399</t>
        </is>
      </c>
      <c r="D186" t="inlineStr">
        <is>
          <t>4.7</t>
        </is>
      </c>
      <c r="E186">
        <f>HYPERLINK("https://www.amazon.co.jp/iPhone%E3%82%A4%E3%83%A4%E3%83%9B%E3%83%B3%E5%A4%89%E6%8F%9B%E3%82%A2%E3%83%80%E3%83%97%E3%82%BF-%E5%A4%89%E6%8F%9B%E3%82%B1%E3%83%BC%E3%83%96%E3%83%AB-%E3%83%AA%E3%83%A2%E3%82%B3%E3%83%B3%E6%93%8D%E4%BD%9C%E5%AF%BE%E5%BF%9C-%E3%82%A4%E3%83%A4%E3%83%9B%E3%83%B3%E3%82%B8%E3%83%A3%E3%83%83%E3%82%AF-%E3%83%A9%E3%82%A4%E3%83%88%E3%83%8B%E3%83%B3%E3%82%B03-5mm%E7%AB%AF%E5%AD%90/dp/B088665C5V/ref=sr_1_174?__mk_ja_JP=%E3%82%AB%E3%82%BF%E3%82%AB%E3%83%8A&amp;dchild=1&amp;keywords=iphone+x&amp;qid=1598524675&amp;sr=8-174", "Go")</f>
        <v/>
      </c>
    </row>
    <row r="187">
      <c r="A187" s="1" t="n">
        <v>185</v>
      </c>
      <c r="B187" t="inlineStr">
        <is>
          <t>OtterBox iPhone 11 Defender ケース【Screenless Edition】(Black)</t>
        </is>
      </c>
      <c r="C187" t="inlineStr">
        <is>
          <t>￥6,974</t>
        </is>
      </c>
      <c r="D187" t="inlineStr">
        <is>
          <t>4.7</t>
        </is>
      </c>
      <c r="E187">
        <f>HYPERLINK("https://www.amazon.co.jp/OtterBox-iPhone-Defender-%E3%82%B1%E3%83%BC%E3%82%B9%E3%80%90Screenless-Black/dp/B07V1PC86V/ref=sr_1_175?__mk_ja_JP=%E3%82%AB%E3%82%BF%E3%82%AB%E3%83%8A&amp;dchild=1&amp;keywords=iphone+x&amp;qid=1598524675&amp;sr=8-175", "Go")</f>
        <v/>
      </c>
    </row>
    <row r="188">
      <c r="A188" s="1" t="n">
        <v>186</v>
      </c>
      <c r="B188" t="inlineStr">
        <is>
          <t>OtterBox iPhone XR Commuter ケース(Bespoke Way)</t>
        </is>
      </c>
      <c r="C188" t="inlineStr">
        <is>
          <t>￥3,630</t>
        </is>
      </c>
      <c r="D188" t="inlineStr">
        <is>
          <t>4.7</t>
        </is>
      </c>
      <c r="E188">
        <f>HYPERLINK("https://www.amazon.co.jp/OtterBox-iPhone-Commuter-%E3%82%B1%E3%83%BC%E3%82%B9-Bespoke/dp/B07GBH6HRR/ref=sr_1_176?__mk_ja_JP=%E3%82%AB%E3%82%BF%E3%82%AB%E3%83%8A&amp;dchild=1&amp;keywords=iphone+x&amp;qid=1598524675&amp;sr=8-176", "Go")</f>
        <v/>
      </c>
    </row>
    <row r="189">
      <c r="A189" s="1" t="n">
        <v>187</v>
      </c>
      <c r="B189" t="inlineStr">
        <is>
          <t>純正品 iPhone 充電ケーブル USB急速充電＆同期 ライトニングケーブル 高速データ転送 Lightning ケーブル iPhone 11Pro MAX/11Pro/11/XS Max/XS/XR/X/8/8Plus/7/7 Plus/6s/6s Plus/5s/5/iPad/iPod各種対応 1m 2本 (黑)</t>
        </is>
      </c>
      <c r="C189" t="inlineStr">
        <is>
          <t>￥10,724</t>
        </is>
      </c>
      <c r="D189" t="inlineStr">
        <is>
          <t>4.7</t>
        </is>
      </c>
      <c r="E189">
        <f>HYPERLINK("https://www.amazon.co.jp/Cable-Lead-Snowkids-Ultra-18Gbps-Compatible1/dp/B07LCGG6Z7/ref=sr_1_177?__mk_ja_JP=%E3%82%AB%E3%82%BF%E3%82%AB%E3%83%8A&amp;dchild=1&amp;keywords=iphone+x&amp;qid=1598524675&amp;sr=8-177", "Go")</f>
        <v/>
      </c>
    </row>
    <row r="190">
      <c r="A190" s="1" t="n">
        <v>188</v>
      </c>
      <c r="B190" t="inlineStr">
        <is>
          <t>Mo Ya Go a ライトニングケーブル 急速充電＆USB同期 高速データ転送 高耐久 超タフ iPhone 充電ケーブル 断線防止 lightning ケーブル iphone 充電コード アイフォン 充電ケーブル延長 iPhone 11/11 Pro/11 Pro Max/XS/XS Max/XR/X/8/8Plus/7/7 Plus/6s/6s Plus/iPad/iPod各種対応 1M 2個入り</t>
        </is>
      </c>
      <c r="C190" t="inlineStr">
        <is>
          <t>￥1,099</t>
        </is>
      </c>
      <c r="D190" t="inlineStr">
        <is>
          <t>4.7</t>
        </is>
      </c>
      <c r="E190">
        <f>HYPERLINK("https://www.amazon.co.jp/dp/B087JNGQF2/ref=sr_1_178?__mk_ja_JP=%E3%82%AB%E3%82%BF%E3%82%AB%E3%83%8A&amp;dchild=1&amp;keywords=iphone+x&amp;qid=1598524675&amp;sr=8-178", "Go")</f>
        <v/>
      </c>
    </row>
    <row r="191">
      <c r="A191" s="1" t="n">
        <v>189</v>
      </c>
      <c r="B191" t="inlineStr">
        <is>
          <t>【Spigen】 Google Pixel 4 XL ケース TPU ソフトケース 軽量 薄型 耐衝撃 米軍MIL規格 指紋防止 衝撃吸収 ワイヤレス充電 ピクセル4XL リキッド・エアー (マット・ブラック)</t>
        </is>
      </c>
      <c r="C191" t="inlineStr">
        <is>
          <t>￥1,390</t>
        </is>
      </c>
      <c r="D191" t="inlineStr">
        <is>
          <t>4.7</t>
        </is>
      </c>
      <c r="E191">
        <f>HYPERLINK("https://www.amazon.co.jp/%E3%80%90Spigen%E3%80%91-%E7%B1%B3%E8%BB%8DMIL%E8%A6%8F%E6%A0%BC-%E3%83%AF%E3%82%A4%E3%83%A4%E3%83%AC%E3%82%B9%E5%85%85%E9%9B%BB-%E3%83%AA%E3%82%AD%E3%83%83%E3%83%89%E3%83%BB%E3%82%A8%E3%82%A2%E3%83%BC-%E3%83%9E%E3%83%83%E3%83%88%E3%83%BB%E3%83%96%E3%83%A9%E3%83%83%E3%82%AF/dp/B07TDSTZXL/ref=sr_1_179?__mk_ja_JP=%E3%82%AB%E3%82%BF%E3%82%AB%E3%83%8A&amp;dchild=1&amp;keywords=iphone+x&amp;qid=1598524675&amp;sr=8-179", "Go")</f>
        <v/>
      </c>
    </row>
    <row r="192">
      <c r="A192" s="1" t="n">
        <v>190</v>
      </c>
      <c r="B192" t="inlineStr">
        <is>
          <t>Apple Watch Series 4 &amp; Series 5用スマイリングケース 強化ガラススクリーンプロテクター内蔵 - 全面ハードポリカーボネート保護ケース 高精細クリア超薄型カバー Apple Watch Series 4/5用 44mm</t>
        </is>
      </c>
      <c r="C192" t="inlineStr">
        <is>
          <t>￥7,260</t>
        </is>
      </c>
      <c r="D192" t="inlineStr">
        <is>
          <t>4.7</t>
        </is>
      </c>
      <c r="E192">
        <f>HYPERLINK("https://www.amazon.co.jp/Apple-Watch-5%E7%94%A8%E3%82%B9%E3%83%9E%E3%82%A4%E3%83%AA%E3%83%B3%E3%82%B0%E3%82%B1%E3%83%BC%E3%82%B9-%E5%BC%B7%E5%8C%96%E3%82%AC%E3%83%A9%E3%82%B9%E3%82%B9%E3%82%AF%E3%83%AA%E3%83%BC%E3%83%B3%E3%83%97%E3%83%AD%E3%83%86%E3%82%AF%E3%82%BF%E3%83%BC%E5%86%85%E8%94%B5-%E5%85%A8%E9%9D%A2%E3%83%8F%E3%83%BC%E3%83%89%E3%83%9D%E3%83%AA%E3%82%AB%E3%83%BC%E3%83%9C%E3%83%8D%E3%83%BC%E3%83%88%E4%BF%9D%E8%AD%B7%E3%82%B1%E3%83%BC%E3%82%B9/dp/B081CV51JG/ref=sr_1_180?__mk_ja_JP=%E3%82%AB%E3%82%BF%E3%82%AB%E3%83%8A&amp;dchild=1&amp;keywords=iphone+x&amp;qid=1598524675&amp;sr=8-180", "Go")</f>
        <v/>
      </c>
    </row>
    <row r="193">
      <c r="A193" s="1" t="n">
        <v>191</v>
      </c>
      <c r="B193" t="inlineStr">
        <is>
          <t>モバイルバッテリー 軽量 小型 13800mAh 大容量 LED ライト付き 急速充電 コンパクト LCD残量表示 【PSE認証済】 充電バッテリー 持ち運び便利 携帯バッテリー スマホ 2USB入力ポート 2USB出力ポート iPhone/Android/docomo/softbank/au 各種対応 出張 旅行 地震防災 アウトドア活動</t>
        </is>
      </c>
      <c r="C193" t="inlineStr">
        <is>
          <t>￥2,310</t>
        </is>
      </c>
      <c r="D193" t="inlineStr">
        <is>
          <t>4.7</t>
        </is>
      </c>
      <c r="E193">
        <f>HYPERLINK("https://www.amazon.co.jp/Lightweight-Smartphone-Compatible-Earthquake-Prevention/dp/B07X64THC5/ref=sr_1_181?__mk_ja_JP=%E3%82%AB%E3%82%BF%E3%82%AB%E3%83%8A&amp;dchild=1&amp;keywords=iphone+x&amp;qid=1598524675&amp;sr=8-181", "Go")</f>
        <v/>
      </c>
    </row>
    <row r="194">
      <c r="A194" s="1" t="n">
        <v>192</v>
      </c>
      <c r="B194" t="inlineStr">
        <is>
          <t>【Ringke】Galaxy A70 ケース SM-A705F/DS ストラップホール アーマー ケース [米軍MIL規格取得] クリア 透明 落下防止 スマホケース カバー Qi ワイヤレス充電対応 Fusion-X (Black ブラック)</t>
        </is>
      </c>
      <c r="C194" t="inlineStr">
        <is>
          <t>￥1,099</t>
        </is>
      </c>
      <c r="D194" t="inlineStr">
        <is>
          <t>4.7</t>
        </is>
      </c>
      <c r="E194">
        <f>HYPERLINK("https://www.amazon.co.jp/%E3%80%90Ringke%E3%80%91Galaxy-%E3%82%B9%E3%83%88%E3%83%A9%E3%83%83%E3%83%97%E3%83%9B%E3%83%BC%E3%83%AB-%E7%B1%B3%E8%BB%8DMIL%E8%A6%8F%E6%A0%BC%E5%8F%96%E5%BE%97-%E5%90%B8%E5%8F%8E%E8%80%90%E8%A1%9D%E6%92%83%E3%82%AB%E3%83%90%E3%83%BC-Fusion-X/dp/B07RYBL4HN/ref=sr_1_182?__mk_ja_JP=%E3%82%AB%E3%82%BF%E3%82%AB%E3%83%8A&amp;dchild=1&amp;keywords=iphone+x&amp;qid=1598524675&amp;sr=8-182", "Go")</f>
        <v/>
      </c>
    </row>
    <row r="195">
      <c r="A195" s="1" t="n">
        <v>193</v>
      </c>
      <c r="B195" t="inlineStr">
        <is>
          <t>2020最新版 iPhone HDMI 変換アダプタ ライトニング 接続ケーブル アダプタ HDMIケーブル 設定不要 操作不要 高解像度 ゲーム av/TV視聴 iphone se(第二世代)/11/11 Pro/11 Pro Max iPhoneX/XR/XS/XS/SE/8/8plus (IOS12 IOS13対応)</t>
        </is>
      </c>
      <c r="C195" t="inlineStr">
        <is>
          <t>￥2,050</t>
        </is>
      </c>
      <c r="D195" t="inlineStr">
        <is>
          <t>4.7</t>
        </is>
      </c>
      <c r="E195">
        <f>HYPERLINK("https://www.amazon.co.jp/2020%E6%9C%80%E6%96%B0%E7%89%88-iPhone-HDMI%E3%82%B1%E3%83%BC%E3%83%96%E3%83%AB-iPhoneX-IOS13%E5%AF%BE%E5%BF%9C/dp/B08DCZ8YSZ/ref=sr_1_183?__mk_ja_JP=%E3%82%AB%E3%82%BF%E3%82%AB%E3%83%8A&amp;dchild=1&amp;keywords=iphone+x&amp;qid=1598524675&amp;sr=8-183", "Go")</f>
        <v/>
      </c>
    </row>
    <row r="196">
      <c r="A196" s="1" t="n">
        <v>194</v>
      </c>
      <c r="B196" t="inlineStr">
        <is>
          <t>【Ringke】Galaxy A50 ケース (2019) 対応 コスパ最高 ストラップホール 落下衝撃吸収 スマホケース [米軍MIL規格取得] TPU PC 2重構造 スマホケース 吸収耐衝撃カバー 背面クリア Fusion-X (Space Blue/スペースブルー) A50 ケース</t>
        </is>
      </c>
      <c r="C196" t="inlineStr">
        <is>
          <t>￥799</t>
        </is>
      </c>
      <c r="D196" t="inlineStr">
        <is>
          <t>4.7</t>
        </is>
      </c>
      <c r="E196">
        <f>HYPERLINK("https://www.amazon.co.jp/%E3%80%90Ringke%E3%80%91Galaxy-%E3%82%B9%E3%83%88%E3%83%A9%E3%83%83%E3%83%97%E3%83%9B%E3%83%BC%E3%83%AB-%E7%B1%B3%E8%BB%8DMIL%E8%A6%8F%E6%A0%BC%E5%8F%96%E5%BE%97-%E5%90%B8%E5%8F%8E%E8%80%90%E8%A1%9D%E6%92%83%E3%82%AB%E3%83%90%E3%83%BC-Fusion-X/dp/B07Q38XZF4/ref=sr_1_184?__mk_ja_JP=%E3%82%AB%E3%82%BF%E3%82%AB%E3%83%8A&amp;dchild=1&amp;keywords=iphone+x&amp;qid=1598524675&amp;sr=8-184", "Go")</f>
        <v/>
      </c>
    </row>
    <row r="197">
      <c r="A197" s="1" t="n">
        <v>195</v>
      </c>
      <c r="B197" t="inlineStr">
        <is>
          <t>Smartish iPhone 11 Pro Max Wallet Case-Wallet Slayer Vol。 1 [スリム+保護]クレジットカードホルダー（シルク）-ブラックタイアフェアー</t>
        </is>
      </c>
      <c r="C197" t="inlineStr">
        <is>
          <t>￥4,971</t>
        </is>
      </c>
      <c r="D197" t="inlineStr">
        <is>
          <t>4.7</t>
        </is>
      </c>
      <c r="E197">
        <f>HYPERLINK("https://www.amazon.co.jp/Smartish-iPhone-Wallet-Case-Wallet-%E3%82%AF%E3%83%AC%E3%82%B8%E3%83%83%E3%83%88%E3%82%AB%E3%83%BC%E3%83%89%E3%83%9B%E3%83%AB%E3%83%80%E3%83%BC%EF%BC%88%E3%82%B7%E3%83%AB%E3%82%AF%EF%BC%89-%E3%83%96%E3%83%A9%E3%83%83%E3%82%AF%E3%82%BF%E3%82%A4%E3%82%A2%E3%83%95%E3%82%A7%E3%82%A2%E3%83%BC/dp/B07T7K9QY6/ref=sr_1_185?__mk_ja_JP=%E3%82%AB%E3%82%BF%E3%82%AB%E3%83%8A&amp;dchild=1&amp;keywords=iphone+x&amp;qid=1598524675&amp;sr=8-185", "Go")</f>
        <v/>
      </c>
    </row>
    <row r="198">
      <c r="A198" s="1" t="n">
        <v>196</v>
      </c>
      <c r="B198" t="inlineStr">
        <is>
          <t>スマホスタンド 卓上 スタンド ホルダー 高度調整可能 スマホ スタンド おりたたみ 滑り止め 携帯 スタンド For iPhone/ipad/Kindle/Nintendo Switchなど</t>
        </is>
      </c>
      <c r="C198" t="inlineStr">
        <is>
          <t>￥1,399</t>
        </is>
      </c>
      <c r="D198" t="inlineStr">
        <is>
          <t>4.7</t>
        </is>
      </c>
      <c r="E198">
        <f>HYPERLINK("https://www.amazon.co.jp/%E3%82%B9%E3%83%9E%E3%83%9B%E3%82%B9%E3%82%BF%E3%83%B3%E3%83%89-%E9%AB%98%E5%BA%A6%E8%AA%BF%E6%95%B4%E5%8F%AF%E8%83%BD-iPhone-Nintendo-Switch%E3%81%AA%E3%81%A9/dp/B0892X68TP/ref=sr_1_186?__mk_ja_JP=%E3%82%AB%E3%82%BF%E3%82%AB%E3%83%8A&amp;dchild=1&amp;keywords=iphone+x&amp;qid=1598524675&amp;sr=8-186", "Go")</f>
        <v/>
      </c>
    </row>
    <row r="199">
      <c r="A199" s="1" t="n">
        <v>197</v>
      </c>
      <c r="B199" t="inlineStr">
        <is>
          <t>Salawat iPhone 7 ケース クリア iPhone 8 ケース かわいい 傷防止 スリム 電話ケース カバー 強化 TPU バンパー ハード PC バック 衝撃吸収 保護ケース iPhone 7/8 4.7インチ用 パープル I8FS02</t>
        </is>
      </c>
      <c r="C199" t="inlineStr">
        <is>
          <t>￥4,641から1個のオプション</t>
        </is>
      </c>
      <c r="D199" t="inlineStr">
        <is>
          <t>4.7</t>
        </is>
      </c>
      <c r="E199">
        <f>HYPERLINK("https://www.amazon.co.jp/Salawat-iPhone-%E9%9B%BB%E8%A9%B1%E3%82%B1%E3%83%BC%E3%82%B9-4-7%E3%82%A4%E3%83%B3%E3%83%81%E7%94%A8-I8FS02/dp/B07PLCFV3K/ref=sr_1_187?__mk_ja_JP=%E3%82%AB%E3%82%BF%E3%82%AB%E3%83%8A&amp;dchild=1&amp;keywords=iphone+x&amp;qid=1598524675&amp;sr=8-187", "Go")</f>
        <v/>
      </c>
    </row>
    <row r="200">
      <c r="A200" s="1" t="n">
        <v>198</v>
      </c>
      <c r="B200" t="inlineStr">
        <is>
          <t>iPhone Lightning 変換アダプタ イヤホンジャック 充電 イヤホン変換 アダプター lightning 変換ケーブル iPhone7/iPhone7Plus/iPhone8/iPhone8Plus/7Plus/iphonex/iphonexr/iphonexs max(iOS10、11、12) 対応 充電線 イヤホンジャック変換アダプタ 4in1 Lightning 充電/音量調節/通話/音楽　Lightning 2in1コネクタ【シルバー】【最新型】</t>
        </is>
      </c>
      <c r="C200" t="inlineStr">
        <is>
          <t>￥1,399</t>
        </is>
      </c>
      <c r="D200" t="inlineStr">
        <is>
          <t>4.7</t>
        </is>
      </c>
      <c r="E200">
        <f>HYPERLINK("https://www.amazon.co.jp/iPhone7Plus-iPhone8Plus-%E3%82%A4%E3%83%A4%E3%83%9B%E3%83%B3%E3%82%B8%E3%83%A3%E3%83%83%E3%82%AF%E5%A4%89%E6%8F%9B%E3%82%A2%E3%83%80%E3%83%97%E3%82%BF-%E9%9F%B3%E6%A5%BD-Lightning-2in1%E3%82%B3%E3%83%8D%E3%82%AF%E3%82%BF%E3%80%90%E3%82%B7%E3%83%AB%E3%83%90%E3%83%BC%E3%80%91%E3%80%90%E6%9C%80%E6%96%B0%E5%9E%8B%E3%80%91/dp/B0886327WF/ref=sr_1_188?__mk_ja_JP=%E3%82%AB%E3%82%BF%E3%82%AB%E3%83%8A&amp;dchild=1&amp;keywords=iphone+x&amp;qid=1598524675&amp;sr=8-188", "Go")</f>
        <v/>
      </c>
    </row>
    <row r="201">
      <c r="A201" s="1" t="n">
        <v>199</v>
      </c>
      <c r="B201" t="inlineStr">
        <is>
          <t>携帯用の窓無しMission Darknessファラデーバッグーー法執行機関や軍（の）、エグゼクチブプライバシー、旅行やデーターセキュリティー、対ハッキングと対ハッキング保証用のデバイスシールド</t>
        </is>
      </c>
      <c r="C201" t="inlineStr">
        <is>
          <t>￥3,044</t>
        </is>
      </c>
      <c r="D201" t="inlineStr">
        <is>
          <t>4.7</t>
        </is>
      </c>
      <c r="E201">
        <f>HYPERLINK("https://www.amazon.co.jp/Portable-Window-Mission-Darkness-Faraday/dp/B01A7MACL2/ref=sr_1_189?__mk_ja_JP=%E3%82%AB%E3%82%BF%E3%82%AB%E3%83%8A&amp;dchild=1&amp;keywords=iphone+x&amp;qid=1598524675&amp;sr=8-189", "Go")</f>
        <v/>
      </c>
    </row>
    <row r="202">
      <c r="A202" s="1" t="n">
        <v>200</v>
      </c>
      <c r="B202" t="inlineStr">
        <is>
          <t>OtterBox iPhone XR Commuter ケース(Ocean Way)</t>
        </is>
      </c>
      <c r="C202" t="inlineStr">
        <is>
          <t>￥3,630</t>
        </is>
      </c>
      <c r="D202" t="inlineStr">
        <is>
          <t>4.7</t>
        </is>
      </c>
      <c r="E202">
        <f>HYPERLINK("https://www.amazon.co.jp/OtterBox-iPhone-Commuter-%E3%82%B1%E3%83%BC%E3%82%B9-Ocean/dp/B07GBMF8D9/ref=sr_1_190?__mk_ja_JP=%E3%82%AB%E3%82%BF%E3%82%AB%E3%83%8A&amp;dchild=1&amp;keywords=iphone+x&amp;qid=1598524675&amp;sr=8-190", "Go")</f>
        <v/>
      </c>
    </row>
    <row r="203">
      <c r="A203" s="1" t="n">
        <v>201</v>
      </c>
      <c r="B203" t="inlineStr">
        <is>
          <t>iPhoneXSケース iPhoneXケース クリアリング TPU 耐衝撃 リング 薄型 指紋防止 ケース シリコン リング付き ストラップホール付きスリム 米軍MIL規格取得 人気 落下防止 携帯カバー</t>
        </is>
      </c>
      <c r="C203" t="inlineStr">
        <is>
          <t>￥1,560</t>
        </is>
      </c>
      <c r="D203" t="inlineStr">
        <is>
          <t>4.7</t>
        </is>
      </c>
      <c r="E203">
        <f>HYPERLINK("https://www.amazon.co.jp/iPhoneXS%E3%82%B1%E3%83%BC%E3%82%B9-iPhoneX%E3%82%B1%E3%83%BC%E3%82%B9-%E3%82%AF%E3%83%AA%E3%82%A2%E3%83%AA%E3%83%B3%E3%82%B0-%E3%82%B9%E3%83%88%E3%83%A9%E3%83%83%E3%83%97%E3%83%9B%E3%83%BC%E3%83%AB%E4%BB%98%E3%81%8D%E3%82%B9%E3%83%AA%E3%83%A0-%E7%B1%B3%E8%BB%8DMIL%E8%A6%8F%E6%A0%BC%E5%8F%96%E5%BE%97/dp/B08BYCHR8Z/ref=sr_1_191?__mk_ja_JP=%E3%82%AB%E3%82%BF%E3%82%AB%E3%83%8A&amp;dchild=1&amp;keywords=iphone+x&amp;qid=1598524675&amp;sr=8-191", "Go")</f>
        <v/>
      </c>
    </row>
    <row r="204">
      <c r="A204" s="1" t="n">
        <v>202</v>
      </c>
      <c r="B204" t="inlineStr">
        <is>
          <t>OtterBox iPhone XR Symmetry ケース(Tonic Violet)</t>
        </is>
      </c>
      <c r="C204" t="inlineStr">
        <is>
          <t>￥4,235</t>
        </is>
      </c>
      <c r="D204" t="inlineStr">
        <is>
          <t>4.7</t>
        </is>
      </c>
      <c r="E204">
        <f>HYPERLINK("https://www.amazon.co.jp/OtterBox-iPhone-Symmetry-Tonic-Violet/dp/B07GBC8Q9L/ref=sr_1_192?__mk_ja_JP=%E3%82%AB%E3%82%BF%E3%82%AB%E3%83%8A&amp;dchild=1&amp;keywords=iphone+x&amp;qid=1598524675&amp;sr=8-192", "Go")</f>
        <v/>
      </c>
    </row>
    <row r="205">
      <c r="A205" s="1" t="n">
        <v>203</v>
      </c>
      <c r="B205" t="inlineStr">
        <is>
          <t>GiiKa iPhone 11ケース スクリーンプロテクター付き クリア 高耐久 保護ケース 花柄 ガールズ レディース 耐衝撃 ハードPCバックケース スリムTPUバンパーカバー 電話ケース iPhone 11用</t>
        </is>
      </c>
      <c r="C205" t="inlineStr">
        <is>
          <t>￥7,768</t>
        </is>
      </c>
      <c r="D205" t="inlineStr">
        <is>
          <t>4.7</t>
        </is>
      </c>
      <c r="E205">
        <f>HYPERLINK("https://www.amazon.co.jp/GiiKa-iPhone-%E3%82%B9%E3%82%AF%E3%83%AA%E3%83%BC%E3%83%B3%E3%83%97%E3%83%AD%E3%83%86%E3%82%AF%E3%82%BF%E3%83%BC%E4%BB%98%E3%81%8D-%E3%83%8F%E3%83%BC%E3%83%89PC%E3%83%90%E3%83%83%E3%82%AF%E3%82%B1%E3%83%BC%E3%82%B9-%E3%82%B9%E3%83%AA%E3%83%A0TPU%E3%83%90%E3%83%B3%E3%83%91%E3%83%BC%E3%82%AB%E3%83%90%E3%83%BC/dp/B07YBXTR6Q/ref=sr_1_193?__mk_ja_JP=%E3%82%AB%E3%82%BF%E3%82%AB%E3%83%8A&amp;dchild=1&amp;keywords=iphone+x&amp;qid=1598524675&amp;sr=8-193", "Go")</f>
        <v/>
      </c>
    </row>
    <row r="206">
      <c r="A206" s="1" t="n">
        <v>204</v>
      </c>
      <c r="B206" t="inlineStr">
        <is>
          <t>AboveTEK Stylish Aluminum Tablet Stand, Cell Phone Stand, Folding 360° Swivel iPad iPhone Desk Mount Holder fits 4-11 Tablets/Smartphones (白)</t>
        </is>
      </c>
      <c r="C206" t="inlineStr">
        <is>
          <t>￥12,102</t>
        </is>
      </c>
      <c r="D206" t="inlineStr">
        <is>
          <t>4.7</t>
        </is>
      </c>
      <c r="E206">
        <f>HYPERLINK("https://www.amazon.co.jp/AboveTEK%E9%A0%91%E4%B8%88%E3%81%AA%E3%83%87%E3%82%B9%E3%82%AF%E3%83%88%E3%83%83%E3%83%97%E3%82%BF%E3%83%96%E3%83%AC%E3%83%83%E3%83%88%E3%82%B9%E3%82%BF%E3%83%B3%E3%83%89%E3%83%9E%E3%82%A6%E3%83%B3%E3%83%88%E3%83%9B%E3%83%AB%E3%83%80%E3%83%BC%E3%80%81%E6%90%BA%E5%B8%AF%E9%9B%BB%E8%A9%B1%E3%82%B9%E3%82%BF%E3%83%B3%E3%83%89%E3%80%81%E3%82%B3%E3%83%B3%E3%83%91%E3%82%AF%E3%83%88360-%C2%B0%E5%9B%9E%E8%BB%A2iPad-iPhone-%E2%80%93-11-%E3%82%B9%E3%83%9E%E3%83%BC%E3%83%88%E3%83%95%E3%82%A9%E3%83%B3%E3%82%92%E3%82%AD%E3%83%83%E3%83%81%E3%83%B3%E3%83%99%E3%83%83%E3%83%89%E3%82%B5%E3%82%A4%E3%83%89%E3%83%86%E3%83%BC%E3%83%96%E3%83%AB%E3%82%AA%E3%83%95%E3%82%A3%E3%82%B9%E3%83%87%E3%82%B9%E3%82%AFPOS%E3%82%AD%E3%82%AA%E3%82%B9%E3%82%AFReception%E3%82%B7%E3%83%A7%E3%83%BC%E3%83%AB%E3%83%BC%E3%83%A0/dp/B06XVFKYL5/ref=sr_1_194?__mk_ja_JP=%E3%82%AB%E3%82%BF%E3%82%AB%E3%83%8A&amp;dchild=1&amp;keywords=iphone+x&amp;qid=1598524675&amp;sr=8-194", "Go")</f>
        <v/>
      </c>
    </row>
    <row r="207">
      <c r="A207" s="1" t="n">
        <v>205</v>
      </c>
      <c r="B207" t="inlineStr">
        <is>
          <t>SURPHY iPhone 11 Pro Max ケース 6.5 カバー ソフト ワイヤレス充電対応 衝撃吸収 シリコン 落下防止 防指紋 超軽量 (ピンク)</t>
        </is>
      </c>
      <c r="C207" t="inlineStr">
        <is>
          <t>￥1,750</t>
        </is>
      </c>
      <c r="D207" t="inlineStr">
        <is>
          <t>4.7</t>
        </is>
      </c>
      <c r="E207">
        <f>HYPERLINK("https://www.amazon.co.jp/SURPHY-%E3%82%B7%E3%83%AA%E3%82%B3%E3%83%B3%E3%82%B1%E3%83%BC%E3%82%B9-%E5%8E%9A%E3%81%BF%E3%81%AE%E3%81%82%E3%82%8B%E6%B6%B2%E4%BD%93%E3%82%B7%E3%83%AA%E3%82%B3%E3%83%B3%E8%80%90%E8%A1%9D%E6%92%83%E4%BF%9D%E8%AD%B7%E3%82%B1%E3%83%BC%E3%82%B9%E3%82%AB%E3%83%90%E3%83%BC-%E3%83%9E%E3%82%A4%E3%82%AF%E3%83%AD%E3%83%95%E3%82%A1%E3%82%A4%E3%83%90%E3%83%BC%E8%A3%8F%E5%9C%B0%E4%BB%98%E3%81%8D%E3%83%95%E3%83%AB%E3%83%9C%E3%83%87%E3%82%A3%E3%82%B1%E3%83%BC%E3%82%B9-6-5%E3%82%A4%E3%83%B3%E3%83%81%E5%AF%BE%E5%BF%9C/dp/B07WHWH81G/ref=sr_1_195?__mk_ja_JP=%E3%82%AB%E3%82%BF%E3%82%AB%E3%83%8A&amp;dchild=1&amp;keywords=iphone+x&amp;qid=1598524675&amp;sr=8-195", "Go")</f>
        <v/>
      </c>
    </row>
    <row r="208">
      <c r="A208" s="1" t="n">
        <v>206</v>
      </c>
      <c r="B208" t="inlineStr">
        <is>
          <t>SPIbelt ベルトランナー、アスリート冒険を実行している無バウンス - アダルトオリジナルポケット：ベルトを実行します</t>
        </is>
      </c>
      <c r="C208" t="inlineStr">
        <is>
          <t>￥4,558 - ￥16,045</t>
        </is>
      </c>
      <c r="D208" t="inlineStr">
        <is>
          <t>4.7</t>
        </is>
      </c>
      <c r="E208">
        <f>HYPERLINK("https://www.amazon.co.jp/Spibelt-Black-Running-Sports-%E3%80%90%E4%B8%A6%E8%A1%8C%E8%BC%B8%E5%85%A5%E5%93%81%E3%80%91/dp/B004QQTDA2/ref=sr_1_196?__mk_ja_JP=%E3%82%AB%E3%82%BF%E3%82%AB%E3%83%8A&amp;dchild=1&amp;keywords=iphone+x&amp;qid=1598524675&amp;sr=8-196", "Go")</f>
        <v/>
      </c>
    </row>
    <row r="209">
      <c r="A209" s="1" t="n">
        <v>207</v>
      </c>
      <c r="B209" t="inlineStr">
        <is>
          <t>【2020最新版】iPhone 11 Pro/iPhone XS/X ガラスフィルム 覗き見防止 Leaisan 強化液晶保護フィルム プライバシー保護【日本製素材旭硝子製】 【フルカバー】 超薄型 0.25mm 硬度9H 飛散防止 3D Touch対応 指紋防止 気泡防止/スクラッチ防止 貼り付け簡単 防爆裂目 アイフォン11Pro/XS/X</t>
        </is>
      </c>
      <c r="C209" t="inlineStr">
        <is>
          <t>￥1,360</t>
        </is>
      </c>
      <c r="D209" t="inlineStr">
        <is>
          <t>4.7</t>
        </is>
      </c>
      <c r="E209">
        <f>HYPERLINK("https://www.amazon.co.jp/%E3%80%902020%E6%9C%80%E6%96%B0%E7%89%88%E3%80%91iPhone-11-Pro-iPhone-%E3%83%97%E3%83%A9%E3%82%A4%E3%83%90%E3%82%B7%E3%83%BC%E4%BF%9D%E8%AD%B7%E3%80%90%E6%97%A5%E6%9C%AC%E8%A3%BD%E7%B4%A0%E6%9D%90%E6%97%AD%E7%A1%9D%E5%AD%90%E8%A3%BD%E3%80%91/dp/B08CHJ1PK1/ref=sr_1_197_sspa?__mk_ja_JP=%E3%82%AB%E3%82%BF%E3%82%AB%E3%83%8A&amp;dchild=1&amp;keywords=iphone+x&amp;qid=1598524675&amp;sr=8-197-spons&amp;psc=1&amp;spLa=ZW5jcnlwdGVkUXVhbGlmaWVyPUEzOTU0UERJQk00SDA4JmVuY3J5cHRlZElkPUEwODM5NjI0M1cwOTVEVVIwNEVROSZlbmNyeXB0ZWRBZElkPUE3N0o0RTNDQzRYQiZ3aWRnZXROYW1lPXNwX2J0ZiZhY3Rpb249Y2xpY2tSZWRpcmVjdCZkb05vdExvZ0NsaWNrPXRydWU=", "Go")</f>
        <v/>
      </c>
    </row>
    <row r="210">
      <c r="A210" s="1" t="n">
        <v>208</v>
      </c>
      <c r="B210" t="inlineStr">
        <is>
          <t>【ONES】 iPhone Xs/X ケース 高透明 米軍MIL規格〔耐衝撃、レンズ保護、滑り止め、軽い、フィット感〕『エアクッション技術、半密閉音室、Qi充電』 クリア カバー Airシリーズ</t>
        </is>
      </c>
      <c r="C210" t="inlineStr">
        <is>
          <t>￥1,326</t>
        </is>
      </c>
      <c r="D210" t="inlineStr">
        <is>
          <t>4.5</t>
        </is>
      </c>
      <c r="E210">
        <f>HYPERLINK("https://www.amazon.co.jp/%E3%80%90ONES%E3%80%91-iPhone-Xs-%E3%82%B1%E3%83%BC%E3%82%B9-%E7%B1%B3%E8%BB%8DMIL%E8%BB%8D%E4%BA%8B%E8%A6%8F%E6%A0%BC%E3%80%94%E8%80%90%E8%A1%9D%E6%92%83%E3%80%81%E3%83%AC%E3%83%B3%E3%82%BA%E4%BF%9D%E8%AD%B7%E3%80%81%E6%BB%91%E3%82%8A%E6%AD%A2%E3%82%81%E3%80%81%E8%BB%BD%E3%81%84%E3%80%81%E9%BB%84%E3%81%B0%E3%81%BF%E3%81%AA%E3%81%97%E3%80%95%E3%80%8E%E3%82%A8%E3%82%A2%E3%82%AF%E3%83%83%E3%82%B7%E3%83%A7%E3%83%B3%E6%8A%80%E8%A1%93%E3%80%81%E5%8D%8A%E5%AF%86%E9%96%89%E9%9F%B3%E5%AE%A4%E3%80%81Qi%E5%85%85%E9%9B%BB%E3%80%8F/dp/B010IV4JUC/ref=sr_1_198_sspa?__mk_ja_JP=%E3%82%AB%E3%82%BF%E3%82%AB%E3%83%8A&amp;dchild=1&amp;keywords=iphone+x&amp;qid=1598524675&amp;sr=8-198-spons&amp;psc=1&amp;spLa=ZW5jcnlwdGVkUXVhbGlmaWVyPUEzOTU0UERJQk00SDA4JmVuY3J5cHRlZElkPUEwODM5NjI0M1cwOTVEVVIwNEVROSZlbmNyeXB0ZWRBZElkPUEzSUhGUVNQTkMyNVZHJndpZGdldE5hbWU9c3BfYnRmJmFjdGlvbj1jbGlja1JlZGlyZWN0JmRvTm90TG9nQ2xpY2s9dHJ1ZQ==", "Go")</f>
        <v/>
      </c>
    </row>
    <row r="211">
      <c r="A211" s="1" t="n">
        <v>209</v>
      </c>
      <c r="B211" t="inlineStr">
        <is>
          <t>iphoneX/iphone XS 対応 ケース 縄掛け iphone XS 背面 財布型 ケース iphoneX 本革 ケース iphone XS 本革カバー iphoneX TPU ケース iphone XS カード収納 カバー Cavor iphone XS 携帯 カバー ベルト機能が付き 片手操作 本革を手作 付きの専属ストラップ同梱なので 指紋防止 落下防止 Qi急速充電対応 Qi ワイヤレス充電対応 薄型軽量 耐久性 取り外し可能 落下保護 【ブルー】</t>
        </is>
      </c>
      <c r="C211" t="inlineStr">
        <is>
          <t>￥1,580</t>
        </is>
      </c>
      <c r="D211" t="inlineStr">
        <is>
          <t>4.2</t>
        </is>
      </c>
      <c r="E211">
        <f>HYPERLINK("https://www.amazon.co.jp/Cavor-%E3%83%99%E3%83%AB%E3%83%88%E6%A9%9F%E8%83%BD%E3%81%8C%E4%BB%98%E3%81%8D-%E4%BB%98%E3%81%8D%E3%81%AE%E5%B0%82%E5%B1%9E%E3%82%B9%E3%83%88%E3%83%A9%E3%83%83%E3%83%97%E5%90%8C%E6%A2%B1%E3%81%AA%E3%81%AE%E3%81%A7-Qi%E6%80%A5%E9%80%9F%E5%85%85%E9%9B%BB%E5%AF%BE%E5%BF%9C-%E3%83%AF%E3%82%A4%E3%83%A4%E3%83%AC%E3%82%B9%E5%85%85%E9%9B%BB%E5%AF%BE%E5%BF%9C/dp/B089PVNKYR/ref=sr_1_193_sspa?__mk_ja_JP=%E3%82%AB%E3%82%BF%E3%82%AB%E3%83%8A&amp;dchild=1&amp;keywords=iphone+x&amp;qid=1598524897&amp;sr=8-193-spons&amp;psc=1&amp;spLa=ZW5jcnlwdGVkUXVhbGlmaWVyPUEyRjNXTlBDUkVIQkg0JmVuY3J5cHRlZElkPUEwODgzNTk0MUlSTTJIUTVIWUozMyZlbmNyeXB0ZWRBZElkPUEyTEZIWTlRTUk0WEhDJndpZGdldE5hbWU9c3BfYXRmX25leHQmYWN0aW9uPWNsaWNrUmVkaXJlY3QmZG9Ob3RMb2dDbGljaz10cnVl", "Go")</f>
        <v/>
      </c>
    </row>
    <row r="212">
      <c r="A212" s="1" t="n">
        <v>210</v>
      </c>
      <c r="B212" t="inlineStr">
        <is>
          <t>カンピーノ campino スマホケース iPhone XS ケース iPhone X ケース 対応 ヘアライン OLE stand スタンド機能 耐衝撃 スリム 薄型 動画 Qi ワイヤレス充電対応 レッド 赤</t>
        </is>
      </c>
      <c r="C212" t="inlineStr">
        <is>
          <t>￥1,980</t>
        </is>
      </c>
      <c r="D212" t="inlineStr">
        <is>
          <t>4</t>
        </is>
      </c>
      <c r="E212">
        <f>HYPERLINK("https://www.amazon.co.jp/%E3%80%90campino%E3%80%91%EF%BC%88Hairline%EF%BC%89-iPhone-stand-%E3%82%B9%E3%82%BF%E3%83%B3%E3%83%89%E6%A9%9F%E8%83%BD-%E3%80%90%E5%9B%BD%E5%86%85%E6%AD%A3%E8%A6%8F%E4%BB%A3%E7%90%86%E5%BA%97%E3%80%91/dp/B07H4JCD56/ref=sr_1_195_sspa?__mk_ja_JP=%E3%82%AB%E3%82%BF%E3%82%AB%E3%83%8A&amp;dchild=1&amp;keywords=iphone+x&amp;qid=1598524897&amp;sr=8-195-spons&amp;psc=1&amp;spLa=ZW5jcnlwdGVkUXVhbGlmaWVyPUEyRjNXTlBDUkVIQkg0JmVuY3J5cHRlZElkPUEwODgzNTk0MUlSTTJIUTVIWUozMyZlbmNyeXB0ZWRBZElkPUFKRTlMSjlOMEpVSVomd2lkZ2V0TmFtZT1zcF9hdGZfbmV4dCZhY3Rpb249Y2xpY2tSZWRpcmVjdCZkb05vdExvZ0NsaWNrPXRydWU=", "Go")</f>
        <v/>
      </c>
    </row>
    <row r="213">
      <c r="A213" s="1" t="n">
        <v>211</v>
      </c>
      <c r="B213" t="inlineStr">
        <is>
          <t>OtterBox iPhone XR Defender ケース【Screenless Edition】(Purple Nebula)</t>
        </is>
      </c>
      <c r="C213" t="inlineStr">
        <is>
          <t>￥5,445</t>
        </is>
      </c>
      <c r="D213" t="inlineStr">
        <is>
          <t>4.7</t>
        </is>
      </c>
      <c r="E213">
        <f>HYPERLINK("https://www.amazon.co.jp/OtterBox-iPhone-Defender-%E3%82%B1%E3%83%BC%E3%82%B9%E3%80%90Screenless-Purple/dp/B07GBM4KWP/ref=sr_1_197?__mk_ja_JP=%E3%82%AB%E3%82%BF%E3%82%AB%E3%83%8A&amp;dchild=1&amp;keywords=iphone+x&amp;qid=1598524897&amp;sr=8-197", "Go")</f>
        <v/>
      </c>
    </row>
    <row r="214">
      <c r="A214" s="1" t="n">
        <v>212</v>
      </c>
      <c r="B214" t="inlineStr">
        <is>
          <t>USB 2.0アクティブな拡張子 3 Feet (3-Pack) 4450853</t>
        </is>
      </c>
      <c r="C214" t="inlineStr">
        <is>
          <t>￥3,652</t>
        </is>
      </c>
      <c r="D214" t="inlineStr">
        <is>
          <t>4.7</t>
        </is>
      </c>
      <c r="E214">
        <f>HYPERLINK("https://www.amazon.co.jp/200002-3x3-USB-2-0-Active-Extension/dp/B00N9HRTFU/ref=sr_1_198?__mk_ja_JP=%E3%82%AB%E3%82%BF%E3%82%AB%E3%83%8A&amp;dchild=1&amp;keywords=iphone+x&amp;qid=1598524897&amp;sr=8-198", "Go")</f>
        <v/>
      </c>
    </row>
    <row r="215">
      <c r="A215" s="1" t="n">
        <v>213</v>
      </c>
      <c r="B215" t="inlineStr">
        <is>
          <t>【GVIEWIN】 スマホケース iPhone XR ケース 耐衝撃 指紋防止 ワイヤレス充電対応 ソフト 擦り傷防止 滑り止め 大理石柄 人気 黄変防止 フィット感 おしゃれ レンズ保護 6.1インチ 高級感 アイフォンXR ケース（緑）</t>
        </is>
      </c>
      <c r="C215" t="inlineStr">
        <is>
          <t>￥1,399</t>
        </is>
      </c>
      <c r="D215" t="inlineStr">
        <is>
          <t>4.7</t>
        </is>
      </c>
      <c r="E215">
        <f>HYPERLINK("https://www.amazon.co.jp/%E3%80%90GVIEWIN%E3%80%91-%E3%82%B9%E3%83%9E%E3%83%9B%E3%82%B1%E3%83%BC%E3%82%B9-%E3%82%B1%E3%83%BC%E3%82%B9-%E8%80%90%E8%A1%9D%E6%92%83-%E3%83%AF%E3%82%A4%E3%83%A4%E3%83%AC%E3%82%B9%E5%85%85%E9%9B%BB%E5%AF%BE%E5%BF%9C-%E4%BA%BA%E6%B0%97%EF%BC%88%E5%BC%B7%E5%8C%96%E3%82%AC%E3%83%A9%E3%82%B9%E4%BB%98%E3%81%8D%EF%BC%89%EF%BC%88%E7%B7%91%EF%BC%89/dp/B07M8QFQ3Q/ref=sr_1_199?__mk_ja_JP=%E3%82%AB%E3%82%BF%E3%82%AB%E3%83%8A&amp;dchild=1&amp;keywords=iphone+x&amp;qid=1598524897&amp;sr=8-199", "Go")</f>
        <v/>
      </c>
    </row>
    <row r="216">
      <c r="A216" s="1" t="n">
        <v>214</v>
      </c>
      <c r="B216" t="inlineStr">
        <is>
          <t>【Qi認証済み】HyperX ChargePlay Base Qi認証済みワイヤレスチャージャー 2年保証 HX-CPBS-A</t>
        </is>
      </c>
      <c r="C216" t="inlineStr">
        <is>
          <t>￥4,572</t>
        </is>
      </c>
      <c r="D216" t="inlineStr">
        <is>
          <t>4.7</t>
        </is>
      </c>
      <c r="E216">
        <f>HYPERLINK("https://www.amazon.co.jp/%E3%80%90Qi%E8%AA%8D%E8%A8%BC%E6%B8%88%E3%81%BF%E3%80%91HyperX-ChargePlay-Base-Qi%E8%AA%8D%E8%A8%BC%E6%B8%88%E3%81%BF%E3%83%AF%E3%82%A4%E3%83%A4%E3%83%AC%E3%82%B9%E3%83%81%E3%83%A3%E3%83%BC%E3%82%B8%E3%83%A3%E3%83%BC-HX-CPBS/dp/B07WKC2N6D/ref=sr_1_200?__mk_ja_JP=%E3%82%AB%E3%82%BF%E3%82%AB%E3%83%8A&amp;dchild=1&amp;keywords=iphone+x&amp;qid=1598524897&amp;sr=8-200", "Go")</f>
        <v/>
      </c>
    </row>
    <row r="217">
      <c r="A217" s="1" t="n">
        <v>215</v>
      </c>
      <c r="B217" t="inlineStr">
        <is>
          <t>【ブルーライトカット】【ガイド枠付き】 CASEKOO iPhone 11 / iPhone XR ガラスフィルム 【2枚セット】日本旭硝子製 全面保護フィルム 強化ガラス 透過率99.9% 気泡ゼロ 飛散防止（ アイフォン11/アイホンXR 用 フィルム 6.1インチ ）</t>
        </is>
      </c>
      <c r="C217" t="inlineStr">
        <is>
          <t>￥1,899</t>
        </is>
      </c>
      <c r="D217" t="inlineStr">
        <is>
          <t>4.8</t>
        </is>
      </c>
      <c r="E217">
        <f>HYPERLINK("https://www.amazon.co.jp/%E3%80%90%E3%83%96%E3%83%AB%E3%83%BC%E3%83%A9%E3%82%A4%E3%83%88%E3%82%AB%E3%83%83%E3%83%88%E3%80%91%E3%80%90%E3%82%AC%E3%82%A4%E3%83%89%E6%9E%A0%E4%BB%98%E3%81%8D%E3%80%91-CASEKOO-%E3%80%902%E6%9E%9A%E3%82%BB%E3%83%83%E3%83%88%E3%80%91%E6%97%A5%E6%9C%AC%E6%97%AD%E7%A1%9D%E5%AD%90%E8%A3%BD-%E5%85%A8%E9%9D%A2%E4%BF%9D%E8%AD%B7%E3%83%95%E3%82%A3%E3%83%AB%E3%83%A0-%E9%80%8F%E9%81%8E%E7%8E%8799-9/dp/B086HMW578/ref=sr_1_201?__mk_ja_JP=%E3%82%AB%E3%82%BF%E3%82%AB%E3%83%8A&amp;dchild=1&amp;keywords=iphone+x&amp;qid=1598524897&amp;sr=8-201", "Go")</f>
        <v/>
      </c>
    </row>
    <row r="218">
      <c r="A218" s="1" t="n">
        <v>216</v>
      </c>
      <c r="B218" t="inlineStr">
        <is>
          <t>OtterBox iPhone 11 Pro Commuter ケース(Black)</t>
        </is>
      </c>
      <c r="C218" t="inlineStr">
        <is>
          <t>￥3,800</t>
        </is>
      </c>
      <c r="D218" t="inlineStr">
        <is>
          <t>4.7</t>
        </is>
      </c>
      <c r="E218">
        <f>HYPERLINK("https://www.amazon.co.jp/77-62525/dp/B07W69H11T/ref=sr_1_202?__mk_ja_JP=%E3%82%AB%E3%82%BF%E3%82%AB%E3%83%8A&amp;dchild=1&amp;keywords=iphone+x&amp;qid=1598524897&amp;sr=8-202", "Go")</f>
        <v/>
      </c>
    </row>
    <row r="219">
      <c r="A219" s="1" t="n">
        <v>217</v>
      </c>
      <c r="B219" t="inlineStr">
        <is>
          <t>PELICAN ハードケース 1050 N 0.7L イエロー 1050-027-100</t>
        </is>
      </c>
      <c r="C219" t="inlineStr">
        <is>
          <t>￥3,874</t>
        </is>
      </c>
      <c r="D219" t="inlineStr">
        <is>
          <t>4.7</t>
        </is>
      </c>
      <c r="E219">
        <f>HYPERLINK("https://www.amazon.co.jp/PELICAN-%E3%83%8F%E3%83%BC%E3%83%89%E3%82%B1%E3%83%BC%E3%82%B9-1050-0-7L-1050-027-100/dp/B000VZQ396/ref=sr_1_203?__mk_ja_JP=%E3%82%AB%E3%82%BF%E3%82%AB%E3%83%8A&amp;dchild=1&amp;keywords=iphone+x&amp;qid=1598524897&amp;sr=8-203", "Go")</f>
        <v/>
      </c>
    </row>
    <row r="220">
      <c r="A220" s="1" t="n">
        <v>218</v>
      </c>
      <c r="B220" t="inlineStr">
        <is>
          <t>BAISRKE シャイニーローズゴールドウェーブ幾何学大理石ケース スリムソフトTPUラバーバンパーシリコン保護電話ケースカバー iPhone Max 6.5インチ(2019)対応 ブラック F-iP11-6.5-PJ-Marble-Glitter-Black</t>
        </is>
      </c>
      <c r="C220" t="inlineStr">
        <is>
          <t>￥7,260</t>
        </is>
      </c>
      <c r="D220" t="inlineStr">
        <is>
          <t>4.7</t>
        </is>
      </c>
      <c r="E220">
        <f>HYPERLINK("https://www.amazon.co.jp/BAISRKE-%E3%82%B7%E3%83%A3%E3%82%A4%E3%83%8B%E3%83%BC%E3%83%AD%E3%83%BC%E3%82%BA%E3%82%B4%E3%83%BC%E3%83%AB%E3%83%89%E3%82%A6%E3%82%A7%E3%83%BC%E3%83%96%E5%B9%BE%E4%BD%95%E5%AD%A6%E5%A4%A7%E7%90%86%E7%9F%B3%E3%82%B1%E3%83%BC%E3%82%B9-%E3%82%B9%E3%83%AA%E3%83%A0%E3%82%BD%E3%83%95%E3%83%88TPU%E3%83%A9%E3%83%90%E3%83%BC%E3%83%90%E3%83%B3%E3%83%91%E3%83%BC%E3%82%B7%E3%83%AA%E3%82%B3%E3%83%B3%E4%BF%9D%E8%AD%B7%E9%9B%BB%E8%A9%B1%E3%82%B1%E3%83%BC%E3%82%B9%E3%82%AB%E3%83%90%E3%83%BC-6-5%E3%82%A4%E3%83%B3%E3%83%81%E5%AF%BE%E5%BF%9C-F-iP11-6-5-PJ-Marble-Glitter-Black/dp/B07WP373P8/ref=sr_1_204?__mk_ja_JP=%E3%82%AB%E3%82%BF%E3%82%AB%E3%83%8A&amp;dchild=1&amp;keywords=iphone+x&amp;qid=1598524897&amp;sr=8-204", "Go")</f>
        <v/>
      </c>
    </row>
    <row r="221">
      <c r="A221" s="1" t="n">
        <v>219</v>
      </c>
      <c r="B221" t="inlineStr">
        <is>
          <t>OtterBox iPhone 11 Symmetry ケース(Black)</t>
        </is>
      </c>
      <c r="C221" t="inlineStr">
        <is>
          <t>￥5,060</t>
        </is>
      </c>
      <c r="D221" t="inlineStr">
        <is>
          <t>4.7</t>
        </is>
      </c>
      <c r="E221">
        <f>HYPERLINK("https://www.amazon.co.jp/OtterBox-iPhone-Symmetry-%E3%82%B1%E3%83%BC%E3%82%B9-Black/dp/B07W69J9HD/ref=sr_1_205?__mk_ja_JP=%E3%82%AB%E3%82%BF%E3%82%AB%E3%83%8A&amp;dchild=1&amp;keywords=iphone+x&amp;qid=1598524897&amp;sr=8-205", "Go")</f>
        <v/>
      </c>
    </row>
    <row r="222">
      <c r="A222" s="1" t="n">
        <v>220</v>
      </c>
      <c r="B222" t="inlineStr">
        <is>
          <t>HOOMIL iPhone XS ケース iPhone X ケース 防水 ケース 耐衝撃ケース 全面保護 米軍MIL規格取得 軽量 ワイヤレス充電対応 ソフト 落下防止 高耐久ケース 保証付き 半透明</t>
        </is>
      </c>
      <c r="C222" t="inlineStr">
        <is>
          <t>￥1,570</t>
        </is>
      </c>
      <c r="D222" t="inlineStr">
        <is>
          <t>4.9</t>
        </is>
      </c>
      <c r="E222">
        <f>HYPERLINK("https://www.amazon.co.jp/HOOMIL-iPhone-%E3%82%B9%E3%83%9E%E3%83%9B%E3%82%B1%E3%83%BC%E3%82%B9-%E3%83%AF%E3%82%A4%E3%83%A4%E3%83%AC%E3%82%B9%E5%85%85%E9%9B%BB%E5%AF%BE%E5%BF%9C-%E5%8D%8A%E9%80%8F%E6%98%8E%EF%BC%88%E3%83%96%E3%83%A9%E3%83%83%E3%82%AF%EF%BC%89/dp/B07SGCBJWK/ref=sr_1_206?__mk_ja_JP=%E3%82%AB%E3%82%BF%E3%82%AB%E3%83%8A&amp;dchild=1&amp;keywords=iphone+x&amp;qid=1598524897&amp;sr=8-206", "Go")</f>
        <v/>
      </c>
    </row>
    <row r="223">
      <c r="A223" s="1" t="n">
        <v>221</v>
      </c>
      <c r="B223" t="inlineStr">
        <is>
          <t>LG G7 / LG G7 ThinQ ケース Ringke [ONYX] TPU構造 耐衝撃 ストラップホール 落下防止 衝撃吸収 米軍MIL規格取得 スクラッチ保護 スマホケース スリム ライト 柔軟 ソフト (Black/ブラック/黒)</t>
        </is>
      </c>
      <c r="C223" t="inlineStr">
        <is>
          <t>￥999</t>
        </is>
      </c>
      <c r="D223" t="inlineStr">
        <is>
          <t>4.7</t>
        </is>
      </c>
      <c r="E223">
        <f>HYPERLINK("https://www.amazon.co.jp/Ringke-%E3%80%90%E7%84%A1%E6%96%99%E3%82%B9%E3%83%88%E3%83%A9%E3%83%83%E3%83%97%E4%BB%98%E3%81%8D%E3%80%91%E3%82%B9%E3%83%88%E3%83%A9%E3%83%83%E3%83%97%E3%83%9B%E3%83%BC%E3%83%AB-%E7%B1%B3%E8%BB%8DMIL%E8%A6%8F%E6%A0%BC%E5%8F%96%E5%BE%97-%E3%82%B9%E3%82%AF%E3%83%A9%E3%83%83%E3%83%81%E4%BF%9D%E8%AD%B7-%E3%82%B9%E3%83%9E%E3%83%9B%E3%82%B1%E3%83%BC%E3%82%B9/dp/B07CG9TV29/ref=sr_1_207?__mk_ja_JP=%E3%82%AB%E3%82%BF%E3%82%AB%E3%83%8A&amp;dchild=1&amp;keywords=iphone+x&amp;qid=1598524897&amp;sr=8-207", "Go")</f>
        <v/>
      </c>
    </row>
    <row r="224">
      <c r="A224" s="1" t="n">
        <v>222</v>
      </c>
      <c r="B224" t="inlineStr">
        <is>
          <t>30000mAh モバイルバッテリー ソーラー 大容量 ソーラーチャージャー 太陽光 携帯充電器 ソーラー充電器 【PSE認証済】 急速充電 LEDライト付き Lightning/Typec/Micro USB 3入力ポート 4USB出力ポート IPX6防水 地震/災害/旅行/出張/アウトドア活動など iPhone/iPad/Android 対応</t>
        </is>
      </c>
      <c r="C224" t="inlineStr">
        <is>
          <t>￥3,340</t>
        </is>
      </c>
      <c r="D224" t="inlineStr">
        <is>
          <t>4.7</t>
        </is>
      </c>
      <c r="E224">
        <f>HYPERLINK("https://www.amazon.co.jp/%E3%83%A2%E3%83%90%E3%82%A4%E3%83%AB%E3%83%90%E3%83%83%E3%83%86%E3%83%AA%E3%83%BC-%E3%82%BD%E3%83%BC%E3%83%A9%E3%83%BC%E3%83%81%E3%83%A3%E3%83%BC%E3%82%B8%E3%83%A3%E3%83%BC-Lightning-4USB%E5%87%BA%E5%8A%9B%E3%83%9D%E3%83%BC%E3%83%88-%E3%82%A2%E3%82%A6%E3%83%88%E3%83%89%E3%82%A2%E6%B4%BB%E5%8B%95%E3%81%AA%E3%81%A9/dp/B07YCR7FR9/ref=sr_1_208?__mk_ja_JP=%E3%82%AB%E3%82%BF%E3%82%AB%E3%83%8A&amp;dchild=1&amp;keywords=iphone+x&amp;qid=1598524897&amp;sr=8-208", "Go")</f>
        <v/>
      </c>
    </row>
    <row r="225">
      <c r="A225" s="1" t="n">
        <v>223</v>
      </c>
      <c r="B225" t="inlineStr">
        <is>
          <t>Vena Apple iPhone 11 Pro Max ケース 手帳型, vCommute (米軍MIL規格取得 耐衝撃) レザー財布ケース カードホルダースロットとスタンド機能 アイフォン11 PRO Max 6.5インチ 専用保護カバー (スペースグレイ)</t>
        </is>
      </c>
      <c r="C225" t="inlineStr">
        <is>
          <t>￥1,999</t>
        </is>
      </c>
      <c r="D225" t="inlineStr">
        <is>
          <t>4.7</t>
        </is>
      </c>
      <c r="E225">
        <f>HYPERLINK("https://www.amazon.co.jp/%E3%82%A6%E3%82%A9%E3%83%AC%E3%83%83%E3%83%88%E3%82%B1%E3%83%BC%E3%82%B9-vCommute-%E3%83%9F%E3%83%AA%E3%82%BF%E3%83%AA%E3%83%BC%E3%82%B0%E3%83%AC%E3%83%BC%E3%83%89-%E3%83%95%E3%83%AA%E3%83%83%E3%83%97%E3%83%AC%E3%82%B6%E3%83%BC%E3%82%AB%E3%83%90%E3%83%BC%E3%82%AB%E3%83%BC%E3%83%89%E3%82%B9%E3%83%AD%E3%83%83%E3%83%88%E3%83%9B%E3%83%AB%E3%83%80%E3%83%BC-VN1883/dp/B07V1W56N4/ref=sr_1_209?__mk_ja_JP=%E3%82%AB%E3%82%BF%E3%82%AB%E3%83%8A&amp;dchild=1&amp;keywords=iphone+x&amp;qid=1598524897&amp;sr=8-209", "Go")</f>
        <v/>
      </c>
    </row>
    <row r="226">
      <c r="A226" s="1" t="n">
        <v>224</v>
      </c>
      <c r="B226" t="inlineStr">
        <is>
          <t>MoKo iPhone XI MAXケース クリスタルクリア 強化コーナー TPUバンパー + 傷防止 黄色 透明ハードパネルカバー Apple iPhone XI MAX 6.5インチ2019に適合</t>
        </is>
      </c>
      <c r="C226" t="inlineStr">
        <is>
          <t>￥5,140</t>
        </is>
      </c>
      <c r="D226" t="inlineStr">
        <is>
          <t>4.7</t>
        </is>
      </c>
      <c r="E226">
        <f>HYPERLINK("https://www.amazon.co.jp/iPhone-%E3%82%AF%E3%83%AA%E3%82%B9%E3%82%BF%E3%83%AB%E3%82%AF%E3%83%AA%E3%82%A2-TPU%E3%83%90%E3%83%B3%E3%83%91%E3%83%BC-%E9%80%8F%E6%98%8E%E3%83%8F%E3%83%BC%E3%83%89%E3%83%91%E3%83%8D%E3%83%AB%E3%82%AB%E3%83%90%E3%83%BC-6-5%E3%82%A4%E3%83%B3%E3%83%812019%E3%81%AB%E9%81%A9%E5%90%88/dp/B07VRYG1PV/ref=sr_1_210?__mk_ja_JP=%E3%82%AB%E3%82%BF%E3%82%AB%E3%83%8A&amp;dchild=1&amp;keywords=iphone+x&amp;qid=1598524897&amp;sr=8-210", "Go")</f>
        <v/>
      </c>
    </row>
    <row r="227">
      <c r="A227" s="1" t="n">
        <v>225</v>
      </c>
      <c r="B227" t="inlineStr">
        <is>
          <t>【Spigen】 iPhone SE ケース [第2世代] 米軍MIL規格取得 耐衝撃 三層構造 スタンド付き スマホスタンド カメラ保護 傷防止 衝撃 吸収 Qi充電 ワイヤレス充電 アイフォンSE (2020モデル) カバー シュピゲン タフ・アーマー ACS01241 (レッド)</t>
        </is>
      </c>
      <c r="C227" t="inlineStr">
        <is>
          <t>￥2,990</t>
        </is>
      </c>
      <c r="D227" t="inlineStr">
        <is>
          <t>4.7</t>
        </is>
      </c>
      <c r="E227">
        <f>HYPERLINK("https://www.amazon.co.jp/%E3%80%90Spigen%E3%80%91-%E7%B1%B3%E8%BB%8DMIL%E8%A6%8F%E6%A0%BC%E5%8F%96%E5%BE%97-%E3%82%B9%E3%83%9E%E3%83%9B%E3%82%B9%E3%82%BF%E3%83%B3%E3%83%89-%E3%83%AF%E3%82%A4%E3%83%A4%E3%83%AC%E3%82%B9%E5%85%85%E9%9B%BB-ACS01241/dp/B086R5LS7L/ref=sr_1_211?__mk_ja_JP=%E3%82%AB%E3%82%BF%E3%82%AB%E3%83%8A&amp;dchild=1&amp;keywords=iphone+x&amp;qid=1598524897&amp;sr=8-211", "Go")</f>
        <v/>
      </c>
    </row>
    <row r="228">
      <c r="A228" s="1" t="n">
        <v>226</v>
      </c>
      <c r="B228" t="inlineStr">
        <is>
          <t>iPhone充電ケーブル [MFi認証] Aoliplus 6フィート LED 流れるライトニングケーブル 高速充電データ転送コード iPhone 11 PRO MAX XS XR X 8 7 Plus 6S 6 iPad対応 6 ft ブルー</t>
        </is>
      </c>
      <c r="C228" t="inlineStr">
        <is>
          <t>￥8,288</t>
        </is>
      </c>
      <c r="D228" t="inlineStr">
        <is>
          <t>4.8</t>
        </is>
      </c>
      <c r="E228">
        <f>HYPERLINK("https://www.amazon.co.jp/iPhone%E5%85%85%E9%9B%BB%E3%82%B1%E3%83%BC%E3%83%96%E3%83%AB-Aoliplus-%E6%B5%81%E3%82%8C%E3%82%8B%E3%83%A9%E3%82%A4%E3%83%88%E3%83%8B%E3%83%B3%E3%82%B0%E3%82%B1%E3%83%BC%E3%83%96%E3%83%AB-%E9%AB%98%E9%80%9F%E5%85%85%E9%9B%BB%E3%83%87%E3%83%BC%E3%82%BF%E8%BB%A2%E9%80%81%E3%82%B3%E3%83%BC%E3%83%89-iPhone/dp/B087X4PFX6/ref=sr_1_212?__mk_ja_JP=%E3%82%AB%E3%82%BF%E3%82%AB%E3%83%8A&amp;dchild=1&amp;keywords=iphone+x&amp;qid=1598524897&amp;sr=8-212", "Go")</f>
        <v/>
      </c>
    </row>
    <row r="229">
      <c r="A229" s="1" t="n">
        <v>227</v>
      </c>
      <c r="B229" t="inlineStr">
        <is>
          <t>OtterBox iPhone XR Defender ケース【Screenless Edition】(Dark Lake)</t>
        </is>
      </c>
      <c r="C229" t="inlineStr">
        <is>
          <t>￥5,445</t>
        </is>
      </c>
      <c r="D229" t="inlineStr">
        <is>
          <t>4.7</t>
        </is>
      </c>
      <c r="E229">
        <f>HYPERLINK("https://www.amazon.co.jp/OtterBox-iPhone-Defender-%E3%82%B1%E3%83%BC%E3%82%B9%E3%80%90Screenless-Dark/dp/B07GBCL4BB/ref=sr_1_213?__mk_ja_JP=%E3%82%AB%E3%82%BF%E3%82%AB%E3%83%8A&amp;dchild=1&amp;keywords=iphone+x&amp;qid=1598524897&amp;sr=8-213", "Go")</f>
        <v/>
      </c>
    </row>
    <row r="230">
      <c r="A230" s="1" t="n">
        <v>228</v>
      </c>
      <c r="B230" t="inlineStr">
        <is>
          <t>AKWOX [4 枚] (ガーミン) Garmin GPSMAP 62 64 64s 64st ガラスフィルム, [ 耐衝撃] 9H硬度の液晶保護フィルム GARMIN GPSMAP 62 62s 62sc 62st 62stc 64 64s 64st 強化ガラス</t>
        </is>
      </c>
      <c r="C230" t="inlineStr">
        <is>
          <t>￥3,750</t>
        </is>
      </c>
      <c r="D230" t="inlineStr">
        <is>
          <t>4.7</t>
        </is>
      </c>
      <c r="E230">
        <f>HYPERLINK("https://www.amazon.co.jp/AKWOX-Garmin-GPSMAP-%E3%82%AC%E3%83%A9%E3%82%B9%E3%83%95%E3%82%A3%E3%83%AB%E3%83%A0-9H%E7%A1%AC%E5%BA%A6%E3%81%AE%E6%B6%B2%E6%99%B6%E4%BF%9D%E8%AD%B7%E3%83%95%E3%82%A3%E3%83%AB%E3%83%A0/dp/B071XVS1YZ/ref=sr_1_214?__mk_ja_JP=%E3%82%AB%E3%82%BF%E3%82%AB%E3%83%8A&amp;dchild=1&amp;keywords=iphone+x&amp;qid=1598524897&amp;sr=8-214", "Go")</f>
        <v/>
      </c>
    </row>
    <row r="231">
      <c r="A231" s="1" t="n">
        <v>229</v>
      </c>
      <c r="B231" t="inlineStr">
        <is>
          <t>マイクロSD 1TB サンディスク Extreme microSDXC A2 SDSQXA1-1T00-GN6MA 海外パッケージ品…</t>
        </is>
      </c>
      <c r="C231" t="inlineStr">
        <is>
          <t>￥32,950</t>
        </is>
      </c>
      <c r="D231" t="inlineStr">
        <is>
          <t>4.7</t>
        </is>
      </c>
      <c r="E231">
        <f>HYPERLINK("https://www.amazon.co.jp/%E3%83%9E%E3%82%A4%E3%82%AF%E3%83%ADSD-Extreme-microSDXC-SDSQXA1-1T00-GN6MA-%E6%B5%B7%E5%A4%96%E3%83%91%E3%83%83%E3%82%B1%E3%83%BC%E3%82%B8%E5%93%81%E2%80%A6/dp/B07P9W5HJV/ref=sr_1_215?__mk_ja_JP=%E3%82%AB%E3%82%BF%E3%82%AB%E3%83%8A&amp;dchild=1&amp;keywords=iphone+x&amp;qid=1598524897&amp;sr=8-215", "Go")</f>
        <v/>
      </c>
    </row>
    <row r="232">
      <c r="A232" s="1" t="n">
        <v>230</v>
      </c>
      <c r="B232" t="inlineStr">
        <is>
          <t>Wildflower iPhoneケース iPhone XR 対応 限定デザイン チェリー (ブラック)</t>
        </is>
      </c>
      <c r="C232" t="inlineStr">
        <is>
          <t>￥4,200</t>
        </is>
      </c>
      <c r="D232" t="inlineStr">
        <is>
          <t>4.7</t>
        </is>
      </c>
      <c r="E232">
        <f>HYPERLINK("https://www.amazon.co.jp/Wildflower-iPhone-XR%E3%81%AE%E9%99%90%E5%AE%9A%E7%89%88iPhone%E3%82%B1%E3%83%BC%E3%82%B9-%E3%83%81%E3%82%A7%E3%83%AA%E3%83%BC%EF%BC%88iPhone-XR%EF%BC%89/dp/B07K4TLJGX/ref=sr_1_216?__mk_ja_JP=%E3%82%AB%E3%82%BF%E3%82%AB%E3%83%8A&amp;dchild=1&amp;keywords=iphone+x&amp;qid=1598524897&amp;sr=8-216", "Go")</f>
        <v/>
      </c>
    </row>
    <row r="233">
      <c r="A233" s="1" t="n">
        <v>231</v>
      </c>
      <c r="B233" t="inlineStr">
        <is>
          <t>OtterBox iPhone 11 Commuter ケース(Mint Way)</t>
        </is>
      </c>
      <c r="C233" t="inlineStr">
        <is>
          <t>￥3,800</t>
        </is>
      </c>
      <c r="D233" t="inlineStr">
        <is>
          <t>4.7</t>
        </is>
      </c>
      <c r="E233">
        <f>HYPERLINK("https://www.amazon.co.jp/OtterBox-iPhone-Commuter-%E3%82%B1%E3%83%BC%E3%82%B9-Mint/dp/B07W3Q2HLX/ref=sr_1_217?__mk_ja_JP=%E3%82%AB%E3%82%BF%E3%82%AB%E3%83%8A&amp;dchild=1&amp;keywords=iphone+x&amp;qid=1598524897&amp;sr=8-217", "Go")</f>
        <v/>
      </c>
    </row>
    <row r="234">
      <c r="A234" s="1" t="n">
        <v>232</v>
      </c>
      <c r="B234" t="inlineStr">
        <is>
          <t>FosPower (1 パック) 6.35mm (1/4")オス - 3.5mm (1/8")メス (3極TRS AUX) ステレオオーディオヘッドホンジャック (ミニプラグ → 標準プラグ) 延長変換アダプター [24k金メッキプラグ]</t>
        </is>
      </c>
      <c r="C234" t="inlineStr">
        <is>
          <t>￥649</t>
        </is>
      </c>
      <c r="D234" t="inlineStr">
        <is>
          <t>4.7</t>
        </is>
      </c>
      <c r="E234">
        <f>HYPERLINK("https://www.amazon.co.jp/FosPower-%E3%83%91%E3%83%83%E3%82%AF-6-35mm-%E3%82%B9%E3%83%86%E3%83%AC%E3%82%AA%E3%82%AA%E3%83%BC%E3%83%87%E3%82%A3%E3%82%AA%E3%83%98%E3%83%83%E3%83%89%E3%83%9B%E3%83%B3%E3%82%B8%E3%83%A3%E3%83%83%E3%82%AF-24k%E9%87%91%E3%83%A1%E3%83%83%E3%82%AD%E3%83%97%E3%83%A9%E3%82%B0/dp/B01GVSD3US/ref=sr_1_218?__mk_ja_JP=%E3%82%AB%E3%82%BF%E3%82%AB%E3%83%8A&amp;dchild=1&amp;keywords=iphone+x&amp;qid=1598524897&amp;sr=8-218", "Go")</f>
        <v/>
      </c>
    </row>
    <row r="235">
      <c r="A235" s="1" t="n">
        <v>233</v>
      </c>
      <c r="B235" t="inlineStr">
        <is>
          <t>[2020高音質版]iPhone 変換アダプタiPhone イヤホン 変換アダプタ Lightning 変換3.5 mmイヤホンジャック 音楽再生機能 iPhone 11Pro Max / 11 Pro / 11 / Xs max/Xs/Xr/X / 8plus / 8 / 7plus / 7に適用</t>
        </is>
      </c>
      <c r="C235" t="inlineStr">
        <is>
          <t>￥899</t>
        </is>
      </c>
      <c r="D235" t="inlineStr">
        <is>
          <t>4.8</t>
        </is>
      </c>
      <c r="E235">
        <f>HYPERLINK("https://www.amazon.co.jp/2020%E9%AB%98%E9%9F%B3%E8%B3%AA%E7%89%88-iPhone-%E5%A4%89%E6%8F%9B%E3%82%A2%E3%83%80%E3%83%97%E3%82%BFiPhone-Lightning-mm%E3%82%A4%E3%83%A4%E3%83%9B%E3%83%B3%E3%82%B8%E3%83%A3%E3%83%83%E3%82%AF/dp/B08F7TPTN1/ref=sr_1_219?__mk_ja_JP=%E3%82%AB%E3%82%BF%E3%82%AB%E3%83%8A&amp;dchild=1&amp;keywords=iphone+x&amp;qid=1598524897&amp;sr=8-219", "Go")</f>
        <v/>
      </c>
    </row>
    <row r="236">
      <c r="A236" s="1" t="n">
        <v>234</v>
      </c>
      <c r="B236" t="inlineStr">
        <is>
          <t>PLmuzsz iPhone充電ケーブル、MFi認定ライトニングケーブル 5パック 6フィート 高耐久高速充電ナイロン編組コード iPhone11 Pro Max/Xs/Max/XR/X/8Plus/7Plus/6S Plus/SE/iPad/Nan ライトブルー</t>
        </is>
      </c>
      <c r="C236" t="inlineStr">
        <is>
          <t>￥7,386</t>
        </is>
      </c>
      <c r="D236" t="inlineStr">
        <is>
          <t>4.8</t>
        </is>
      </c>
      <c r="E236">
        <f>HYPERLINK("https://www.amazon.co.jp/PLmuzsz-iPhone%E5%85%85%E9%9B%BB%E3%82%B1%E3%83%BC%E3%83%96%E3%83%AB%E3%80%81MFi%E8%AA%8D%E5%AE%9A%E3%83%A9%E3%82%A4%E3%83%88%E3%83%8B%E3%83%B3%E3%82%B0%E3%82%B1%E3%83%BC%E3%83%96%E3%83%AB-%E9%AB%98%E8%80%90%E4%B9%85%E9%AB%98%E9%80%9F%E5%85%85%E9%9B%BB%E3%83%8A%E3%82%A4%E3%83%AD%E3%83%B3%E7%B7%A8%E7%B5%84%E3%82%B3%E3%83%BC%E3%83%89-iPhone11-%E3%83%A9%E3%82%A4%E3%83%88%E3%83%96%E3%83%AB%E3%83%BC/dp/B089XZFF74/ref=sr_1_220?__mk_ja_JP=%E3%82%AB%E3%82%BF%E3%82%AB%E3%83%8A&amp;dchild=1&amp;keywords=iphone+x&amp;qid=1598524897&amp;sr=8-220", "Go")</f>
        <v/>
      </c>
    </row>
    <row r="237">
      <c r="A237" s="1" t="n">
        <v>235</v>
      </c>
      <c r="B237" t="inlineStr">
        <is>
          <t>【Ringke】Galaxy A50ケース (2019) 対応 コスパ最高 ストラップホール 落下衝撃吸収 スマホケース [米軍MIL規格取得] TPU PC 2重構造 スマホケース 吸収耐衝撃カバー 背面 Fusion-X 設計(Camo Black) Samsung Galaxy A50ケース</t>
        </is>
      </c>
      <c r="C237" t="inlineStr">
        <is>
          <t>￥2,600</t>
        </is>
      </c>
      <c r="D237" t="inlineStr">
        <is>
          <t>4.7</t>
        </is>
      </c>
      <c r="E237">
        <f>HYPERLINK("https://www.amazon.co.jp/%E3%80%90Ringke%E3%80%91Galaxy-%E3%82%B9%E3%83%88%E3%83%A9%E3%83%83%E3%83%97%E3%83%9B%E3%83%BC%E3%83%AB-%E7%B1%B3%E8%BB%8DMIL%E8%A6%8F%E6%A0%BC%E5%8F%96%E5%BE%97-%E5%90%B8%E5%8F%8E%E8%80%90%E8%A1%9D%E6%92%83%E3%82%AB%E3%83%90%E3%83%BC-Fusion-X/dp/B07RWMNW6D/ref=sr_1_221?__mk_ja_JP=%E3%82%AB%E3%82%BF%E3%82%AB%E3%83%8A&amp;dchild=1&amp;keywords=iphone+x&amp;qid=1598524897&amp;sr=8-221", "Go")</f>
        <v/>
      </c>
    </row>
    <row r="238">
      <c r="A238" s="1" t="n">
        <v>236</v>
      </c>
      <c r="B238" t="inlineStr">
        <is>
          <t>OtterBox iPhone XS Max Commuter ケース(Bespoke Way)</t>
        </is>
      </c>
      <c r="C238" t="inlineStr">
        <is>
          <t>￥3,630</t>
        </is>
      </c>
      <c r="D238" t="inlineStr">
        <is>
          <t>4.7</t>
        </is>
      </c>
      <c r="E238">
        <f>HYPERLINK("https://www.amazon.co.jp/OtterBox-iPhone-Max-Commuter-Bespoke/dp/B07GBGK71Y/ref=sr_1_222?__mk_ja_JP=%E3%82%AB%E3%82%BF%E3%82%AB%E3%83%8A&amp;dchild=1&amp;keywords=iphone+x&amp;qid=1598524897&amp;sr=8-222", "Go")</f>
        <v/>
      </c>
    </row>
    <row r="239">
      <c r="A239" s="1" t="n">
        <v>237</v>
      </c>
      <c r="B239" t="inlineStr">
        <is>
          <t>スマホケース 手帳型 iPhone X ケース 手帳 かわいい ペコちゃん キャラクター お菓子 0163-C. お祭り [iPhoneX] カバー アイフォン テン ケース 人気 スマホゴ</t>
        </is>
      </c>
      <c r="C239" t="inlineStr">
        <is>
          <t>￥3,300</t>
        </is>
      </c>
      <c r="D239" t="inlineStr">
        <is>
          <t>4.9</t>
        </is>
      </c>
      <c r="E239">
        <f>HYPERLINK("https://www.amazon.co.jp/%E3%82%B9%E3%83%9E%E3%83%9B%E3%82%B1%E3%83%BC%E3%82%B9-iPhone-0163-C-iPhoneX-%E3%82%B9%E3%83%9E%E3%83%9B%E3%82%B4/dp/B075L65PW5/ref=sr_1_223?__mk_ja_JP=%E3%82%AB%E3%82%BF%E3%82%AB%E3%83%8A&amp;dchild=1&amp;keywords=iphone+x&amp;qid=1598524897&amp;sr=8-223", "Go")</f>
        <v/>
      </c>
    </row>
    <row r="240">
      <c r="A240" s="1" t="n">
        <v>238</v>
      </c>
      <c r="B240" t="inlineStr">
        <is>
          <t>ProCase iPhone XR 本革ケース ヴィンテージ 財布ケース 折りたたみ フリップケース キックスタンド 複数のカードスロット 磁気閉鎖機能 保護ケース 6.1インチ iPhone XR専用 -ブラック</t>
        </is>
      </c>
      <c r="C240" t="inlineStr">
        <is>
          <t>￥1,899</t>
        </is>
      </c>
      <c r="D240" t="inlineStr">
        <is>
          <t>4.7</t>
        </is>
      </c>
      <c r="E240">
        <f>HYPERLINK("https://www.amazon.co.jp/ProCase-iPhone-%E3%83%95%E3%83%AA%E3%83%83%E3%83%97%E3%82%B1%E3%83%BC%E3%82%B9-%E3%82%AD%E3%83%83%E3%82%AF%E3%82%B9%E3%82%BF%E3%83%B3%E3%83%89-%E8%A4%87%E6%95%B0%E3%81%AE%E3%82%AB%E3%83%BC%E3%83%89%E3%82%B9%E3%83%AD%E3%83%83%E3%83%88/dp/B07G24BCR6/ref=sr_1_224?__mk_ja_JP=%E3%82%AB%E3%82%BF%E3%82%AB%E3%83%8A&amp;dchild=1&amp;keywords=iphone+x&amp;qid=1598524897&amp;sr=8-224", "Go")</f>
        <v/>
      </c>
    </row>
    <row r="241">
      <c r="A241" s="1" t="n">
        <v>239</v>
      </c>
      <c r="B241" t="inlineStr">
        <is>
          <t>iPhone 11 強化ガラス ブルーライトカット/全面保護 【目の疲れ軽減】/硬度9H/iPhone XR ガラスフィルム/日本製「旭硝子」素材制/高透過率/飛散防止処理/耐衝撃 防指紋 自動吸着/気泡ゼロ/貼付け簡単/スクラッチ防止/iPhone 11/iPhone XR 液晶保護フィルム</t>
        </is>
      </c>
      <c r="C241" t="inlineStr">
        <is>
          <t>￥498</t>
        </is>
      </c>
      <c r="D241" t="inlineStr">
        <is>
          <t>4.7</t>
        </is>
      </c>
      <c r="E241">
        <f>HYPERLINK("https://www.amazon.co.jp/%E3%83%96%E3%83%AB%E3%83%BC%E3%83%A9%E3%82%A4%E3%83%88%E3%82%AB%E3%83%83%E3%83%88-%E3%80%90%E7%9B%AE%E3%81%AE%E7%96%B2%E3%82%8C%E8%BB%BD%E6%B8%9B%E3%80%91-%E3%82%AC%E3%83%A9%E3%82%B9%E3%83%95%E3%82%A3%E3%83%AB%E3%83%A0-%E6%97%A5%E6%9C%AC%E8%A3%BD%E3%80%8C%E6%97%AD%E7%A1%9D%E5%AD%90%E3%80%8D%E7%B4%A0%E6%9D%90%E5%88%B6-%E6%B6%B2%E6%99%B6%E4%BF%9D%E8%AD%B7%E3%83%95%E3%82%A3%E3%83%AB%E3%83%A0/dp/B0895MFRZK/ref=sr_1_225?__mk_ja_JP=%E3%82%AB%E3%82%BF%E3%82%AB%E3%83%8A&amp;dchild=1&amp;keywords=iphone+x&amp;qid=1598524897&amp;sr=8-225", "Go")</f>
        <v/>
      </c>
    </row>
    <row r="242">
      <c r="A242" s="1" t="n">
        <v>240</v>
      </c>
      <c r="B242" t="inlineStr">
        <is>
          <t>GVIEWIN 大理石 iPhone 11 2019 6.1インチ ケース/iPhone 11 XI XR2 ケース、超薄型光沢ソフトTPUラバージェル電話ケースカバー iPhone 11/XI 6.1インチ 2019リリース対応</t>
        </is>
      </c>
      <c r="C242" t="inlineStr">
        <is>
          <t>￥12,617</t>
        </is>
      </c>
      <c r="D242" t="inlineStr">
        <is>
          <t>4.7</t>
        </is>
      </c>
      <c r="E242">
        <f>HYPERLINK("https://www.amazon.co.jp/GVIEWIN-iPhone-6-1%E3%82%A4%E3%83%B3%E3%83%81-%E3%82%B1%E3%83%BC%E3%82%B9%E3%80%81%E8%B6%85%E8%96%84%E5%9E%8B%E5%85%89%E6%B2%A2%E3%82%BD%E3%83%95%E3%83%88TPU%E3%83%A9%E3%83%90%E3%83%BC%E3%82%B8%E3%82%A7%E3%83%AB%E9%9B%BB%E8%A9%B1%E3%82%B1%E3%83%BC%E3%82%B9%E3%82%AB%E3%83%90%E3%83%BC-2019%E3%83%AA%E3%83%AA%E3%83%BC%E3%82%B9%E5%AF%BE%E5%BF%9C/dp/B07VRQHN1H/ref=sr_1_226?__mk_ja_JP=%E3%82%AB%E3%82%BF%E3%82%AB%E3%83%8A&amp;dchild=1&amp;keywords=iphone+x&amp;qid=1598524897&amp;sr=8-226", "Go")</f>
        <v/>
      </c>
    </row>
    <row r="243">
      <c r="A243" s="1" t="n">
        <v>241</v>
      </c>
      <c r="B243" t="inlineStr">
        <is>
          <t>Apple Watch Series 3 &amp; Series 2 38mm用スマイリングケース 強化ガラススクリーンプロテクター内蔵 - 全面ハードポリカーボネート保護ケース 高精細クリア超薄型カバー Apple Watch Series 3/2用</t>
        </is>
      </c>
      <c r="C243" t="inlineStr">
        <is>
          <t>￥7,187</t>
        </is>
      </c>
      <c r="D243" t="inlineStr">
        <is>
          <t>4.7</t>
        </is>
      </c>
      <c r="E243">
        <f>HYPERLINK("https://www.amazon.co.jp/Apple-Watch-38mm%E7%94%A8%E3%82%B9%E3%83%9E%E3%82%A4%E3%83%AA%E3%83%B3%E3%82%B0%E3%82%B1%E3%83%BC%E3%82%B9-%E5%BC%B7%E5%8C%96%E3%82%AC%E3%83%A9%E3%82%B9%E3%82%B9%E3%82%AF%E3%83%AA%E3%83%BC%E3%83%B3%E3%83%97%E3%83%AD%E3%83%86%E3%82%AF%E3%82%BF%E3%83%BC%E5%86%85%E8%94%B5-%E5%85%A8%E9%9D%A2%E3%83%8F%E3%83%BC%E3%83%89%E3%83%9D%E3%83%AA%E3%82%AB%E3%83%BC%E3%83%9C%E3%83%8D%E3%83%BC%E3%83%88%E4%BF%9D%E8%AD%B7%E3%82%B1%E3%83%BC%E3%82%B9/dp/B083R8HQ9C/ref=sr_1_227?__mk_ja_JP=%E3%82%AB%E3%82%BF%E3%82%AB%E3%83%8A&amp;dchild=1&amp;keywords=iphone+x&amp;qid=1598524897&amp;sr=8-227", "Go")</f>
        <v/>
      </c>
    </row>
    <row r="244">
      <c r="A244" s="1" t="n">
        <v>242</v>
      </c>
      <c r="B244" t="inlineStr">
        <is>
          <t>iPhone充電ケーブル ライトニングケーブル 日付同期 iPhone充電コード iPhone X /8/8 Plus/7/7 Plus/6/6s Plus/5s/5 iPad用 RED0.3M3PCS</t>
        </is>
      </c>
      <c r="C244" t="inlineStr">
        <is>
          <t>￥11,703</t>
        </is>
      </c>
      <c r="D244" t="inlineStr">
        <is>
          <t>4.6</t>
        </is>
      </c>
      <c r="E244">
        <f>HYPERLINK("https://www.amazon.co.jp/iPhone%E5%85%85%E9%9B%BB%E3%82%B1%E3%83%BC%E3%83%96%E3%83%AB-%E3%83%A9%E3%82%A4%E3%83%88%E3%83%8B%E3%83%B3%E3%82%B0%E3%82%B1%E3%83%BC%E3%83%96%E3%83%AB-iPhone%E5%85%85%E9%9B%BB%E3%82%B3%E3%83%BC%E3%83%89-iPhone-RED0-3M3PCS/dp/B07PVHL3V1/ref=sr_1_228?__mk_ja_JP=%E3%82%AB%E3%82%BF%E3%82%AB%E3%83%8A&amp;dchild=1&amp;keywords=iphone+x&amp;qid=1598524897&amp;sr=8-228", "Go")</f>
        <v/>
      </c>
    </row>
    <row r="245">
      <c r="A245" s="1" t="n">
        <v>243</v>
      </c>
      <c r="B245" t="inlineStr">
        <is>
          <t>L K【3枚セット】iPhone 11 /XR 用 強化ガラスフィルム 『6.1インチ』【高透過率/最高硬度9H/飛散防止】液晶保護強化ガラス【ガイド枠付き】【永久交換保証】</t>
        </is>
      </c>
      <c r="C245" t="inlineStr">
        <is>
          <t>￥1,099</t>
        </is>
      </c>
      <c r="D245" t="inlineStr">
        <is>
          <t>4.7</t>
        </is>
      </c>
      <c r="E245">
        <f>HYPERLINK("https://www.amazon.co.jp/%E3%82%B9%E3%82%AF%E3%83%AA%E3%83%BC%E3%83%B3%E3%83%97%E3%83%AD%E3%83%86%E3%82%AF%E3%82%BF%E3%83%BC-iPhone-6-1%E3%82%A4%E3%83%B3%E3%83%81-%E5%8F%96%E3%82%8A%E4%BB%98%E3%81%91%E7%B0%A1%E5%8D%98%E3%83%88%E3%83%AC%E3%82%A4-%E3%82%B1%E3%83%BC%E3%82%B9%E3%83%95%E3%83%AC%E3%83%B3%E3%83%89%E3%83%AA%E3%83%BC/dp/B07TXGH5CN/ref=sr_1_229?__mk_ja_JP=%E3%82%AB%E3%82%BF%E3%82%AB%E3%83%8A&amp;dchild=1&amp;keywords=iphone+x&amp;qid=1598524897&amp;sr=8-229", "Go")</f>
        <v/>
      </c>
    </row>
    <row r="246">
      <c r="A246" s="1" t="n">
        <v>244</v>
      </c>
      <c r="B246" t="inlineStr">
        <is>
          <t>Amplim 32GB microSD SDHC メモリーカード 4枚パック アダプター付き（Class 10 U1 UHS-I V10 A1 microSD HC エクストリームプロ）32GBx4 超高速 667倍速 100MB/秒 UHS-1 携帯電話/タブレット/カメラ向け TF microSDHC フラッシュメモリー 4X32 ブラック</t>
        </is>
      </c>
      <c r="C246" t="inlineStr">
        <is>
          <t>￥27,144</t>
        </is>
      </c>
      <c r="D246" t="inlineStr">
        <is>
          <t>4.7</t>
        </is>
      </c>
      <c r="E246">
        <f>HYPERLINK("https://www.amazon.co.jp/32G-V10-Class10-micro-card/dp/B07SD89PLN/ref=sr_1_230?__mk_ja_JP=%E3%82%AB%E3%82%BF%E3%82%AB%E3%83%8A&amp;dchild=1&amp;keywords=iphone+x&amp;qid=1598524897&amp;sr=8-230", "Go")</f>
        <v/>
      </c>
    </row>
    <row r="247">
      <c r="A247" s="1" t="n">
        <v>245</v>
      </c>
      <c r="B247" t="inlineStr">
        <is>
          <t>iPhone Lightning 3.5mm イヤホン 変換アダプタ ライトニング アダプター 急速充電 変換ケーブル 2in1 音楽再生 iPhone 7 / 7 Plus / 8 / 8Plus / X/XS/XS Max/XR /11/11Pro/11Pro Max【 iOS11 iOS12 iOS13】 に対応 【シルバー】</t>
        </is>
      </c>
      <c r="C247" t="inlineStr">
        <is>
          <t>￥1,399</t>
        </is>
      </c>
      <c r="D247" t="inlineStr">
        <is>
          <t>4.7</t>
        </is>
      </c>
      <c r="E247">
        <f>HYPERLINK("https://www.amazon.co.jp/Lightning-Earphone-Converter-Charging-Compatible/dp/B0885YSSDC/ref=sr_1_231?__mk_ja_JP=%E3%82%AB%E3%82%BF%E3%82%AB%E3%83%8A&amp;dchild=1&amp;keywords=iphone+x&amp;qid=1598524897&amp;sr=8-231", "Go")</f>
        <v/>
      </c>
    </row>
    <row r="248">
      <c r="A248" s="1" t="n">
        <v>246</v>
      </c>
      <c r="B248" t="inlineStr">
        <is>
          <t>SMALLElectric 10フィート iPhone充電ケーブル Apple MFi認証 ロングライトニングケーブル 10フィート ナイロン編み USB高速充電コード iPhone 11/11 Pro/11 Pro Max/X/XR/XS/8/7対応</t>
        </is>
      </c>
      <c r="C248" t="inlineStr">
        <is>
          <t>￥8,314</t>
        </is>
      </c>
      <c r="D248" t="inlineStr">
        <is>
          <t>4.8</t>
        </is>
      </c>
      <c r="E248">
        <f>HYPERLINK("https://www.amazon.co.jp/SMALLElectric-10%E3%83%95%E3%82%A3%E3%83%BC%E3%83%88-iPhone%E5%85%85%E9%9B%BB%E3%82%B1%E3%83%BC%E3%83%96%E3%83%AB-%E3%83%AD%E3%83%B3%E3%82%B0%E3%83%A9%E3%82%A4%E3%83%88%E3%83%8B%E3%83%B3%E3%82%B0%E3%82%B1%E3%83%BC%E3%83%96%E3%83%AB-USB%E9%AB%98%E9%80%9F%E5%85%85%E9%9B%BB%E3%82%B3%E3%83%BC%E3%83%89/dp/B081SQ1KVV/ref=sr_1_232?__mk_ja_JP=%E3%82%AB%E3%82%BF%E3%82%AB%E3%83%8A&amp;dchild=1&amp;keywords=iphone+x&amp;qid=1598524897&amp;sr=8-232", "Go")</f>
        <v/>
      </c>
    </row>
    <row r="249">
      <c r="A249" s="1" t="n">
        <v>247</v>
      </c>
      <c r="B249" t="inlineStr">
        <is>
          <t>SAIJI 携帯電話スタンドホルダー 携帯電話 幅広 XS/XR/8/8 Plus/7/7 Plus/Galaxy S8/S7/Note 8、Air、Mini、Pixel 2スマートフォンホルダー デスク用 調節可能 折りたたみ式 グレー</t>
        </is>
      </c>
      <c r="C249" t="inlineStr">
        <is>
          <t>￥5,010</t>
        </is>
      </c>
      <c r="D249" t="inlineStr">
        <is>
          <t>4.7</t>
        </is>
      </c>
      <c r="E249">
        <f>HYPERLINK("https://www.amazon.co.jp/Holder-Mobile-Smartphone-Adjustable-Foldable/dp/B07V5MBM8K/ref=sr_1_233?__mk_ja_JP=%E3%82%AB%E3%82%BF%E3%82%AB%E3%83%8A&amp;dchild=1&amp;keywords=iphone+x&amp;qid=1598524897&amp;sr=8-233", "Go")</f>
        <v/>
      </c>
    </row>
    <row r="250">
      <c r="A250" s="1" t="n">
        <v>248</v>
      </c>
      <c r="B250" t="inlineStr">
        <is>
          <t>OtterBox iPhone XS/iPhone X Defender ケース【Screenless Edition】(Dark Lake)</t>
        </is>
      </c>
      <c r="C250" t="inlineStr">
        <is>
          <t>￥4,840</t>
        </is>
      </c>
      <c r="D250" t="inlineStr">
        <is>
          <t>4.7</t>
        </is>
      </c>
      <c r="E250">
        <f>HYPERLINK("https://www.amazon.co.jp/OtterBox-iPhone-Defender-%E3%82%B1%E3%83%BC%E3%82%B9%E3%80%90Screenless-Dark/dp/B07GL91SLH/ref=sr_1_234?__mk_ja_JP=%E3%82%AB%E3%82%BF%E3%82%AB%E3%83%8A&amp;dchild=1&amp;keywords=iphone+x&amp;qid=1598524897&amp;sr=8-234", "Go")</f>
        <v/>
      </c>
    </row>
    <row r="251">
      <c r="A251" s="1" t="n">
        <v>249</v>
      </c>
      <c r="B251" t="inlineStr">
        <is>
          <t>Xiyihoo ソーラーチャージャー 26800mAh ソーラーパワーバンク ポータブルソーラーパネル充電器 18個のLEDフラッシュライト 3出力ポート 防水 外部バックアップバッテリー アウトドア キャンプ ハイキング iOS Android用</t>
        </is>
      </c>
      <c r="C251" t="inlineStr">
        <is>
          <t>￥3,780</t>
        </is>
      </c>
      <c r="D251" t="inlineStr">
        <is>
          <t>4.7</t>
        </is>
      </c>
      <c r="E251">
        <f>HYPERLINK("https://www.amazon.co.jp/%E3%82%BD%E3%83%BC%E3%83%A9%E3%83%BC%E3%83%81%E3%83%A3%E3%83%BC%E3%82%B8%E3%83%A3%E3%83%BC-%E3%82%BD%E3%83%BC%E3%83%A9%E3%83%BC%E3%83%91%E3%83%AF%E3%83%BC%E3%83%90%E3%83%B3%E3%82%AF-%E3%83%9D%E3%83%BC%E3%82%BF%E3%83%96%E3%83%AB%E3%82%BD%E3%83%BC%E3%83%A9%E3%83%BC%E3%83%91%E3%83%8D%E3%83%AB%E5%85%85%E9%9B%BB%E5%99%A8-18%E5%80%8B%E3%81%AELED%E3%83%95%E3%83%A9%E3%83%83%E3%82%B7%E3%83%A5%E3%83%A9%E3%82%A4%E3%83%88-%E5%A4%96%E9%83%A8%E3%83%90%E3%83%83%E3%82%AF%E3%82%A2%E3%83%83%E3%83%97%E3%83%90%E3%83%83%E3%83%86%E3%83%AA%E3%83%BC/dp/B07TC4QT96/ref=sr_1_235?__mk_ja_JP=%E3%82%AB%E3%82%BF%E3%82%AB%E3%83%8A&amp;dchild=1&amp;keywords=iphone+x&amp;qid=1598524897&amp;sr=8-235", "Go")</f>
        <v/>
      </c>
    </row>
    <row r="252">
      <c r="A252" s="1" t="n">
        <v>250</v>
      </c>
      <c r="B252" t="inlineStr">
        <is>
          <t>OtterBox iPhone 11 Pro Max Commuter ケース(Bespoke Way Blue)</t>
        </is>
      </c>
      <c r="C252" t="inlineStr">
        <is>
          <t>￥3,800</t>
        </is>
      </c>
      <c r="D252" t="inlineStr">
        <is>
          <t>4.7</t>
        </is>
      </c>
      <c r="E252">
        <f>HYPERLINK("https://www.amazon.co.jp/OtterBox-iPhone-Commuter-Bespoke-Blue/dp/B07WL4ZH5S/ref=sr_1_236?__mk_ja_JP=%E3%82%AB%E3%82%BF%E3%82%AB%E3%83%8A&amp;dchild=1&amp;keywords=iphone+x&amp;qid=1598524897&amp;sr=8-236", "Go")</f>
        <v/>
      </c>
    </row>
    <row r="253">
      <c r="A253" s="1" t="n">
        <v>251</v>
      </c>
      <c r="B253" t="inlineStr">
        <is>
          <t>OtterBox iPhone XR Symmetry ケース(Ivy Meadow)</t>
        </is>
      </c>
      <c r="C253" t="inlineStr">
        <is>
          <t>￥4,235</t>
        </is>
      </c>
      <c r="D253" t="inlineStr">
        <is>
          <t>4.7</t>
        </is>
      </c>
      <c r="E253">
        <f>HYPERLINK("https://www.amazon.co.jp/OtterBox-iPhone-Symmetry-%E3%82%B1%E3%83%BC%E3%82%B9-Meadow/dp/B07GBJ13VX/ref=sr_1_237?__mk_ja_JP=%E3%82%AB%E3%82%BF%E3%82%AB%E3%83%8A&amp;dchild=1&amp;keywords=iphone+x&amp;qid=1598524897&amp;sr=8-237", "Go")</f>
        <v/>
      </c>
    </row>
    <row r="254">
      <c r="A254" s="1" t="n">
        <v>252</v>
      </c>
      <c r="B254" t="inlineStr">
        <is>
          <t>【2020進化版】Syncwire USB-C ＆ ライトニング ケーブル【C94 Apple MFi認証/PD対応/急速充電 ＆ 高速データ同期/超高耐久】Type C Lightning ケーブル iPhone SE 2020 / 11 / 11 Pro / 11 Pro Max/XR/XS Max/XS/X / 8 / 8 Plus（1.2M シルバー）</t>
        </is>
      </c>
      <c r="C254" t="inlineStr">
        <is>
          <t>￥1,799</t>
        </is>
      </c>
      <c r="D254" t="inlineStr">
        <is>
          <t>4.9</t>
        </is>
      </c>
      <c r="E254">
        <f>HYPERLINK("https://www.amazon.co.jp/Syncwire-Lightning-Certified-Compatible-Charging/dp/B0865MV9VY/ref=sr_1_238?__mk_ja_JP=%E3%82%AB%E3%82%BF%E3%82%AB%E3%83%8A&amp;dchild=1&amp;keywords=iphone+x&amp;qid=1598524897&amp;sr=8-238", "Go")</f>
        <v/>
      </c>
    </row>
    <row r="255">
      <c r="A255" s="1" t="n">
        <v>253</v>
      </c>
      <c r="B255" t="inlineStr">
        <is>
          <t>iPhone 11 Pro/iPhone X/iPhone XS ガラスフィルム ブルーライトカット液晶保護フィルム 業界最高の硬度9H、目の疲れ軽減、指紋防止、防油汚れ、飛散防止、自動吸着、気泡防止 iPhone 11 Pro/X/XS 強化ガラスフィルム</t>
        </is>
      </c>
      <c r="C255" t="inlineStr">
        <is>
          <t>￥399</t>
        </is>
      </c>
      <c r="D255" t="inlineStr">
        <is>
          <t>4.7</t>
        </is>
      </c>
      <c r="E255">
        <f>HYPERLINK("https://www.amazon.co.jp/iPhone-%E3%82%AC%E3%83%A9%E3%82%B9%E3%83%95%E3%82%A3%E3%83%AB%E3%83%A0-%E3%83%96%E3%83%AB%E3%83%BC%E3%83%A9%E3%82%A4%E3%83%88%E3%82%AB%E3%83%83%E3%83%88%E6%B6%B2%E6%99%B6%E4%BF%9D%E8%AD%B7%E3%83%95%E3%82%A3%E3%83%AB%E3%83%A0-%E6%A5%AD%E7%95%8C%E6%9C%80%E9%AB%98%E3%81%AE%E7%A1%AC%E5%BA%A69H%E3%80%81%E7%9B%AE%E3%81%AE%E7%96%B2%E3%82%8C%E8%BB%BD%E6%B8%9B%E3%80%81%E6%8C%87%E7%B4%8B%E9%98%B2%E6%AD%A2%E3%80%81%E9%98%B2%E6%B2%B9%E6%B1%9A%E3%82%8C%E3%80%81%E9%A3%9B%E6%95%A3%E9%98%B2%E6%AD%A2%E3%80%81%E8%87%AA%E5%8B%95%E5%90%B8%E7%9D%80%E3%80%81%E6%B0%97%E6%B3%A1%E9%98%B2%E6%AD%A2-%E5%BC%B7%E5%8C%96%E3%82%AC%E3%83%A9%E3%82%B9%E3%83%95%E3%82%A3%E3%83%AB%E3%83%A0/dp/B088T7YCPX/ref=sr_1_239?__mk_ja_JP=%E3%82%AB%E3%82%BF%E3%82%AB%E3%83%8A&amp;dchild=1&amp;keywords=iphone+x&amp;qid=1598524897&amp;sr=8-239", "Go")</f>
        <v/>
      </c>
    </row>
    <row r="256">
      <c r="A256" s="1" t="n">
        <v>254</v>
      </c>
      <c r="B256" t="inlineStr">
        <is>
          <t>iPhone 11/XR用 ガラス保護フィルム 【3枚セット】 9H 高透過率 超薄型 気泡ゼロ 撥油性 自動吸着</t>
        </is>
      </c>
      <c r="C256" t="inlineStr">
        <is>
          <t>￥1,199</t>
        </is>
      </c>
      <c r="D256" t="inlineStr">
        <is>
          <t>4.7</t>
        </is>
      </c>
      <c r="E256">
        <f>HYPERLINK("https://www.amazon.co.jp/iPhone-%E3%82%AC%E3%83%A9%E3%82%B9%E4%BF%9D%E8%AD%B7%E3%83%95%E3%82%A3%E3%83%AB%E3%83%A0-%E3%80%903%E6%9E%9A%E3%82%BB%E3%83%83%E3%83%88%E3%80%91-%E9%AB%98%E9%80%8F%E9%81%8E%E7%8E%87-%E6%B0%97%E6%B3%A1%E3%82%BC%E3%83%AD/dp/B082X8RXRH/ref=sr_1_240?__mk_ja_JP=%E3%82%AB%E3%82%BF%E3%82%AB%E3%83%8A&amp;dchild=1&amp;keywords=iphone+x&amp;qid=1598524897&amp;sr=8-240", "Go")</f>
        <v/>
      </c>
    </row>
    <row r="257">
      <c r="A257" s="1" t="n">
        <v>255</v>
      </c>
      <c r="B257" t="inlineStr">
        <is>
          <t>OtterBox iPhone XS Max Symmetry ケース(Fine Port)</t>
        </is>
      </c>
      <c r="C257" t="inlineStr">
        <is>
          <t>￥4,235</t>
        </is>
      </c>
      <c r="D257" t="inlineStr">
        <is>
          <t>4.7</t>
        </is>
      </c>
      <c r="E257">
        <f>HYPERLINK("https://www.amazon.co.jp/OtterBox-iPhone-Symmetry-Fine-Port/dp/B07GBH66JH/ref=sr_1_241?__mk_ja_JP=%E3%82%AB%E3%82%BF%E3%82%AB%E3%83%8A&amp;dchild=1&amp;keywords=iphone+x&amp;qid=1598524897&amp;sr=8-241", "Go")</f>
        <v/>
      </c>
    </row>
    <row r="258">
      <c r="A258" s="1" t="n">
        <v>256</v>
      </c>
      <c r="B258" t="inlineStr">
        <is>
          <t>OT ONETOP iPhone 11 Pro Max ウォレットケース カードホルダー付き PUレザー キックスタンド カードスロットケース ダブルマグネットクラスプ 丈夫な耐衝撃カバー iPhone 11 Pro Max 6.5インチ用</t>
        </is>
      </c>
      <c r="C258" t="inlineStr">
        <is>
          <t>￥20,726</t>
        </is>
      </c>
      <c r="D258" t="inlineStr">
        <is>
          <t>4.7</t>
        </is>
      </c>
      <c r="E258">
        <f>HYPERLINK("https://www.amazon.co.jp/OT-ONETOP-%E3%82%AB%E3%83%BC%E3%83%89%E3%83%9B%E3%83%AB%E3%83%80%E3%83%BC%E4%BB%98%E3%81%8D-%E3%82%AB%E3%83%BC%E3%83%89%E3%82%B9%E3%83%AD%E3%83%83%E3%83%88%E3%82%B1%E3%83%BC%E3%82%B9-%E3%83%80%E3%83%96%E3%83%AB%E3%83%9E%E3%82%B0%E3%83%8D%E3%83%83%E3%83%88%E3%82%AF%E3%83%A9%E3%82%B9%E3%83%97/dp/B07WSHYP15/ref=sr_1_242?__mk_ja_JP=%E3%82%AB%E3%82%BF%E3%82%AB%E3%83%8A&amp;dchild=1&amp;keywords=iphone+x&amp;qid=1598524897&amp;sr=8-242", "Go")</f>
        <v/>
      </c>
    </row>
    <row r="259">
      <c r="A259" s="1" t="n">
        <v>257</v>
      </c>
      <c r="B259" t="inlineStr">
        <is>
          <t>NATIVE UNION [ネイティブユニオン] Belt Cable 充電ケーブル 1.2m [MFi認証] USB-A USB Type A to ライトニング iPhone 急速充電 データ同期 高耐久 断線防止(Zebra)</t>
        </is>
      </c>
      <c r="C259" t="inlineStr">
        <is>
          <t>￥3,649</t>
        </is>
      </c>
      <c r="D259" t="inlineStr">
        <is>
          <t>4.7</t>
        </is>
      </c>
      <c r="E259">
        <f>HYPERLINK("https://www.amazon.co.jp/%E2%80%93-Native-Ultra-%E2%80%93-Strong-Reinforced-Certified-Lightning/dp/B076HV69D9/ref=sr_1_243?__mk_ja_JP=%E3%82%AB%E3%82%BF%E3%82%AB%E3%83%8A&amp;dchild=1&amp;keywords=iphone+x&amp;qid=1598524897&amp;sr=8-243", "Go")</f>
        <v/>
      </c>
    </row>
    <row r="260">
      <c r="A260" s="1" t="n">
        <v>258</v>
      </c>
      <c r="B260" t="inlineStr">
        <is>
          <t>TENDLIN iPhone XR ケース 天然木層とTPUソフトケース 薄型 軽量 ワイヤレス充電 アイフォン XR カバー （ウッド＆レザー）</t>
        </is>
      </c>
      <c r="C260" t="inlineStr">
        <is>
          <t>￥1,499</t>
        </is>
      </c>
      <c r="D260" t="inlineStr">
        <is>
          <t>4.7</t>
        </is>
      </c>
      <c r="E260">
        <f>HYPERLINK("https://www.amazon.co.jp/TENDLIN-iPhone-TPU%E3%82%B7%E3%83%AA%E3%82%B3%E3%83%B3-%E3%83%95%E3%83%AC%E3%82%AD%E3%82%B7%E3%83%96%E3%83%AB-%E3%82%B9%E3%83%AA%E3%83%A0%E3%82%B1%E3%83%BC%E3%82%B9%EF%BC%88%E3%82%A6%E3%83%83%E3%83%89%EF%BC%86%E3%83%AC%E3%82%B6%E3%83%BC%EF%BC%89/dp/B07QKKS5YW/ref=sr_1_244?__mk_ja_JP=%E3%82%AB%E3%82%BF%E3%82%AB%E3%83%8A&amp;dchild=1&amp;keywords=iphone+x&amp;qid=1598524897&amp;sr=8-244", "Go")</f>
        <v/>
      </c>
    </row>
    <row r="261">
      <c r="A261" s="1" t="n">
        <v>259</v>
      </c>
      <c r="B261" t="inlineStr">
        <is>
          <t>2020最新版 iPhone HDMI 変換アダプタ ライトニング 接続ケーブル アダプタ HDMIケーブル 設定不要 操作不要 高解像度 ゲーム av/TV視聴 iphone se(第二世代)/11/11 Pro/11 Pro Max iPhoneX/XR/XS/XS/SE/8/8plus (IOS12 IOS13対応)</t>
        </is>
      </c>
      <c r="C261" t="inlineStr">
        <is>
          <t>￥2,050</t>
        </is>
      </c>
      <c r="D261" t="inlineStr">
        <is>
          <t>4.7</t>
        </is>
      </c>
      <c r="E261">
        <f>HYPERLINK("https://www.amazon.co.jp/2020%E6%9C%80%E6%96%B0%E7%89%88-iPhone-HDMI%E3%82%B1%E3%83%BC%E3%83%96%E3%83%AB-iPhoneX-IOS13%E5%AF%BE%E5%BF%9C/dp/B08DCZ8YSZ/ref=sr_1_241_sspa?__mk_ja_JP=%E3%82%AB%E3%82%BF%E3%82%AB%E3%83%8A&amp;dchild=1&amp;keywords=iphone+x&amp;qid=1598525127&amp;sr=8-241-spons&amp;psc=1&amp;spLa=ZW5jcnlwdGVkUXVhbGlmaWVyPUFVQUdBSkVNU1FRRkgmZW5jcnlwdGVkSWQ9QTEwMzc1NDEySFpDMEZURUdZUUI0JmVuY3J5cHRlZEFkSWQ9QTFZNEpBVE9BRDlaMEomd2lkZ2V0TmFtZT1zcF9hdGZfbmV4dCZhY3Rpb249Y2xpY2tSZWRpcmVjdCZkb05vdExvZ0NsaWNrPXRydWU=", "Go")</f>
        <v/>
      </c>
    </row>
    <row r="262">
      <c r="A262" s="1" t="n">
        <v>260</v>
      </c>
      <c r="B262" t="inlineStr">
        <is>
          <t>Fire TV Stick 4K - Alexa対応音声認識リモコン付属</t>
        </is>
      </c>
      <c r="C262" t="inlineStr">
        <is>
          <t>毎月￥1,396</t>
        </is>
      </c>
      <c r="D262" t="inlineStr">
        <is>
          <t>4.4</t>
        </is>
      </c>
      <c r="E262">
        <f>HYPERLINK("https://www.amazon.co.jp/Fire-TV-Stick-4K-HDR%E5%AF%BE%E5%BF%9C-Alexa%E5%AF%BE%E5%BF%9C%E9%9F%B3%E5%A3%B0%E8%AA%8D%E8%AD%98%E3%83%AA%E3%83%A2%E3%82%B3%E3%83%B3%E4%BB%98%E5%B1%9E/dp/B079QRQTCR/ref=sr_1_242_sspa?__mk_ja_JP=%E3%82%AB%E3%82%BF%E3%82%AB%E3%83%8A&amp;dchild=1&amp;keywords=iphone+x&amp;qid=1598525127&amp;sr=8-242-spons&amp;psc=1&amp;spLa=ZW5jcnlwdGVkUXVhbGlmaWVyPUFVQUdBSkVNU1FRRkgmZW5jcnlwdGVkSWQ9QTEwMzc1NDEySFpDMEZURUdZUUI0JmVuY3J5cHRlZEFkSWQ9QTFGN1YwSFhHUldPTUQmd2lkZ2V0TmFtZT1zcF9hdGZfbmV4dCZhY3Rpb249Y2xpY2tSZWRpcmVjdCZkb05vdExvZ0NsaWNrPXRydWU=", "Go")</f>
        <v/>
      </c>
    </row>
    <row r="263">
      <c r="A263" s="1" t="n">
        <v>261</v>
      </c>
      <c r="B263" t="inlineStr">
        <is>
          <t>最新型 iPhone HDMI変換ケーブル HDMI変換ケーブル アイフォンテレビ変換ケーブル テレビ プロジェクター モニター接続 iPhone/iPad/iPod対応 1080P高解像度 大画面同期出力 （iOS12 IOS13）</t>
        </is>
      </c>
      <c r="C263" t="inlineStr">
        <is>
          <t>￥1,800</t>
        </is>
      </c>
      <c r="D263" t="inlineStr">
        <is>
          <t>4.6</t>
        </is>
      </c>
      <c r="E263">
        <f>HYPERLINK("https://www.amazon.co.jp/HDMI%E5%A4%89%E6%8F%9B%E3%82%B1%E3%83%BC%E3%83%96%E3%83%AB-%E3%82%A2%E3%82%A4%E3%83%95%E3%82%A9%E3%83%B3%E3%83%86%E3%83%AC%E3%83%93%E5%A4%89%E6%8F%9B%E3%82%B1%E3%83%BC%E3%83%96%E3%83%AB-%E3%83%97%E3%83%AD%E3%82%B8%E3%82%A7%E3%82%AF%E3%82%BF%E3%83%BC-1080P%E9%AB%98%E8%A7%A3%E5%83%8F%E5%BA%A6-%E5%A4%A7%E7%94%BB%E9%9D%A2%E5%90%8C%E6%9C%9F%E5%87%BA%E5%8A%9B/dp/B089377XY1/ref=sr_1_243_sspa?__mk_ja_JP=%E3%82%AB%E3%82%BF%E3%82%AB%E3%83%8A&amp;dchild=1&amp;keywords=iphone+x&amp;qid=1598525127&amp;sr=8-243-spons&amp;psc=1&amp;spLa=ZW5jcnlwdGVkUXVhbGlmaWVyPUFVQUdBSkVNU1FRRkgmZW5jcnlwdGVkSWQ9QTEwMzc1NDEySFpDMEZURUdZUUI0JmVuY3J5cHRlZEFkSWQ9QTFUUEowU01LU0tINjUmd2lkZ2V0TmFtZT1zcF9hdGZfbmV4dCZhY3Rpb249Y2xpY2tSZWRpcmVjdCZkb05vdExvZ0NsaWNrPXRydWU=", "Go")</f>
        <v/>
      </c>
    </row>
    <row r="264">
      <c r="A264" s="1" t="n">
        <v>262</v>
      </c>
      <c r="B264" t="inlineStr">
        <is>
          <t>【2020新型抗菌ガラスフィルム】細菌防止 覗き見防止/ブルーレイ防止 個人情報保護 視力保護 全面保護 液晶保護強化ガラス 高硬度9H スクラッチ防止 指紋防止 気泡ゼロ 自動吸着 ガイド枠付き ケースに干渉しない (iPhone X/XS/11 PRO（抗菌 覗き見防止）)</t>
        </is>
      </c>
      <c r="C264" t="inlineStr">
        <is>
          <t>￥1,399</t>
        </is>
      </c>
      <c r="D264" t="inlineStr">
        <is>
          <t>4.5</t>
        </is>
      </c>
      <c r="E264">
        <f>HYPERLINK("https://www.amazon.co.jp/%E3%80%902020%E6%96%B0%E5%9E%8B%E6%8A%97%E8%8F%8C%E3%82%AC%E3%83%A9%E3%82%B9%E3%83%95%E3%82%A3%E3%83%AB%E3%83%A0%E3%80%91%E7%B4%B0%E8%8F%8C%E9%98%B2%E6%AD%A2-%E3%83%96%E3%83%AB%E3%83%BC%E3%83%AC%E3%82%A4%E9%98%B2%E6%AD%A2-%E6%B6%B2%E6%99%B6%E4%BF%9D%E8%AD%B7%E5%BC%B7%E5%8C%96%E3%82%AC%E3%83%A9%E3%82%B9-%E3%82%B9%E3%82%AF%E3%83%A9%E3%83%83%E3%83%81%E9%98%B2%E6%AD%A2-%E3%82%B1%E3%83%BC%E3%82%B9%E3%81%AB%E5%B9%B2%E6%B8%89%E3%81%97%E3%81%AA%E3%81%84/dp/B08728FQQG/ref=sr_1_244_sspa?__mk_ja_JP=%E3%82%AB%E3%82%BF%E3%82%AB%E3%83%8A&amp;dchild=1&amp;keywords=iphone+x&amp;qid=1598525127&amp;sr=8-244-spons&amp;psc=1&amp;spLa=ZW5jcnlwdGVkUXVhbGlmaWVyPUFVQUdBSkVNU1FRRkgmZW5jcnlwdGVkSWQ9QTEwMzc1NDEySFpDMEZURUdZUUI0JmVuY3J5cHRlZEFkSWQ9QTJCS1ozMko2NkFPSVImd2lkZ2V0TmFtZT1zcF9hdGZfbmV4dCZhY3Rpb249Y2xpY2tSZWRpcmVjdCZkb05vdExvZ0NsaWNrPXRydWU=", "Go")</f>
        <v/>
      </c>
    </row>
    <row r="265">
      <c r="A265" s="1" t="n">
        <v>263</v>
      </c>
      <c r="B265" t="inlineStr">
        <is>
          <t>【覗き見防止】iPhone 11 / iPhone XR ガラスフィルム のぞき見防止 「プライバシー防止系列 全面保護」iPhone 11 液晶保護フィルム【日本旭硝子製/強化ガラス/3D Touch対応/指紋防止/硬度9H/気泡防止/スクラッチ防止】(アイフォン11/ XR用 6.1インチ)</t>
        </is>
      </c>
      <c r="C265" t="inlineStr">
        <is>
          <t>￥899</t>
        </is>
      </c>
      <c r="D265" t="inlineStr">
        <is>
          <t>4.7</t>
        </is>
      </c>
      <c r="E265">
        <f>HYPERLINK("https://www.amazon.co.jp/%E3%80%90%E8%A6%97%E3%81%8D%E8%A6%8B%E9%98%B2%E6%AD%A2%E3%80%91iPhone-%E3%80%8C%E3%83%97%E3%83%A9%E3%82%A4%E3%83%90%E3%82%B7%E3%83%BC%E9%98%B2%E6%AD%A2%E7%B3%BB%E5%88%97-%E5%85%A8%E9%9D%A2%E4%BF%9D%E8%AD%B7%E3%80%8DiPhone-%E6%B6%B2%E6%99%B6%E4%BF%9D%E8%AD%B7%E3%83%95%E3%82%A3%E3%83%AB%E3%83%A0%E3%80%90%E6%97%A5%E6%9C%AC%E6%97%AD%E7%A1%9D%E5%AD%90%E8%A3%BD-%E3%82%B9%E3%82%AF%E3%83%A9%E3%83%83%E3%83%81%E9%98%B2%E6%AD%A2%E3%80%91/dp/B08D61YY4D/ref=sr_1_245?__mk_ja_JP=%E3%82%AB%E3%82%BF%E3%82%AB%E3%83%8A&amp;dchild=1&amp;keywords=iphone+x&amp;qid=1598525127&amp;sr=8-245", "Go")</f>
        <v/>
      </c>
    </row>
    <row r="266">
      <c r="A266" s="1" t="n">
        <v>264</v>
      </c>
      <c r="B266" t="inlineStr">
        <is>
          <t>KER 精密ドライバーセット 磁気ドライバーキット 126イン1 プロ仕様の電子修理ツールキット PC、メガネ、携帯電話、ノートパソコン、iPhone、腕時計、タブレット、iPad、MacBook用 ポータブルバッグ付き</t>
        </is>
      </c>
      <c r="C266" t="inlineStr">
        <is>
          <t>￥14,580</t>
        </is>
      </c>
      <c r="D266" t="inlineStr">
        <is>
          <t>4.8</t>
        </is>
      </c>
      <c r="E266">
        <f>HYPERLINK("https://www.amazon.co.jp/dp/B07YDQ3B2D/ref=sr_1_246?__mk_ja_JP=%E3%82%AB%E3%82%BF%E3%82%AB%E3%83%8A&amp;dchild=1&amp;keywords=iphone+x&amp;qid=1598525127&amp;sr=8-246", "Go")</f>
        <v/>
      </c>
    </row>
    <row r="267">
      <c r="A267" s="1" t="n">
        <v>265</v>
      </c>
      <c r="B267" t="inlineStr">
        <is>
          <t>「2020年最新版」Hevanto ワイヤレス充電器 Qi急速 3in1 スマホ2台同時に充電可能 iWatch充電器収納可能 7.5W/10W急速ワイヤレス充電 iPhone SE（第2世代）/11/11 Pro/11 ProMax/XS/XSMax/XR/X/8/8 Plus､Samsung Galaxy Buds,Galaxy S20/S10/S9/S9 Plus/S8/S8 Plus､AirPods Galaxy Buds その他Qi機種対応 ワイヤレス充電パッド</t>
        </is>
      </c>
      <c r="C267" t="inlineStr">
        <is>
          <t>￥2,999</t>
        </is>
      </c>
      <c r="D267" t="inlineStr">
        <is>
          <t>4.9</t>
        </is>
      </c>
      <c r="E267">
        <f>HYPERLINK("https://www.amazon.co.jp/%E3%80%8C2020%E5%B9%B4%E6%9C%80%E6%96%B0%E7%89%88%E3%80%8DHevanto-%E3%82%B9%E3%83%9E%E3%83%9B2%E5%8F%B0%E5%90%8C%E6%99%82%E3%81%AB%E5%85%85%E9%9B%BB%E5%8F%AF%E8%83%BD-iWatch%E5%85%85%E9%9B%BB%E5%99%A8%E5%8F%8E%E7%B4%8D%E5%8F%AF%E8%83%BD-10W%E6%80%A5%E9%80%9F%E3%83%AF%E3%82%A4%E3%83%A4%E3%83%AC%E3%82%B9%E5%85%85%E9%9B%BB-Plus%EF%BD%A4Samsung/dp/B087NJ81PY/ref=sr_1_247?__mk_ja_JP=%E3%82%AB%E3%82%BF%E3%82%AB%E3%83%8A&amp;dchild=1&amp;keywords=iphone+x&amp;qid=1598525127&amp;sr=8-247", "Go")</f>
        <v/>
      </c>
    </row>
    <row r="268">
      <c r="A268" s="1" t="n">
        <v>266</v>
      </c>
      <c r="B268" t="inlineStr">
        <is>
          <t>USB C - 3.5mmヘッドホンジャックアダプター Type C - 3.5mm AUXアダプター DAC Hi-resチップセット 対応機種: Huawei Mate 20/P20 Pro/P30 Google Pixel 3/2 Sony XZ Xiaomi サムスン LG (ブラック)</t>
        </is>
      </c>
      <c r="C268" t="inlineStr">
        <is>
          <t>￥1,597</t>
        </is>
      </c>
      <c r="D268" t="inlineStr">
        <is>
          <t>4.8</t>
        </is>
      </c>
      <c r="E268">
        <f>HYPERLINK("https://www.amazon.co.jp/USB-3-5mm%E3%83%98%E3%83%83%E3%83%89%E3%83%9B%E3%83%B3%E3%82%B8%E3%83%A3%E3%83%83%E3%82%AF%E3%82%A2%E3%83%80%E3%83%97%E3%82%BF%E3%83%BC-AUX%E3%82%A2%E3%83%80%E3%83%97%E3%82%BF%E3%83%BC-Hi-res%E3%83%81%E3%83%83%E3%83%97%E3%82%BB%E3%83%83%E3%83%88-Huawei/dp/B085NJ9DRC/ref=sr_1_248?__mk_ja_JP=%E3%82%AB%E3%82%BF%E3%82%AB%E3%83%8A&amp;dchild=1&amp;keywords=iphone+x&amp;qid=1598525127&amp;sr=8-248", "Go")</f>
        <v/>
      </c>
    </row>
    <row r="269">
      <c r="A269" s="1" t="n">
        <v>267</v>
      </c>
      <c r="B269" t="inlineStr">
        <is>
          <t>純正 iPhone充電ケーブル 急速充電 ライトニング USBケーブル データ伝送 iPhone 11Pro MAX/11Pro/11/XS/XS Max/XR/X/8/8Plus/7/7 Plus/6s/6s Plus/iPad/iPod に適用 1M （2個入り</t>
        </is>
      </c>
      <c r="C269" t="inlineStr">
        <is>
          <t>￥1,399</t>
        </is>
      </c>
      <c r="D269" t="inlineStr">
        <is>
          <t>4.7</t>
        </is>
      </c>
      <c r="E269">
        <f>HYPERLINK("https://www.amazon.co.jp/dp/B08CV782WM/ref=sr_1_249?__mk_ja_JP=%E3%82%AB%E3%82%BF%E3%82%AB%E3%83%8A&amp;dchild=1&amp;keywords=iphone+x&amp;qid=1598525127&amp;sr=8-249", "Go")</f>
        <v/>
      </c>
    </row>
    <row r="270">
      <c r="A270" s="1" t="n">
        <v>268</v>
      </c>
      <c r="B270" t="inlineStr">
        <is>
          <t>「2020最新人気版」スマホアームスタンド MSOVA スマホスタンド 卓上 タブレットスタンド フレキシブルアーム スマホホルダー 360°角度調整可能 ベットスタンド クランプ式 アームスタンド ベッド寝ながら用 螺旋式 滑り止め iPhone/iPad/Android/Nintendo Switch/Kindleなど（3.5-10.5インチ）に対応 (ブラック)</t>
        </is>
      </c>
      <c r="C270" t="inlineStr">
        <is>
          <t>￥1,899</t>
        </is>
      </c>
      <c r="D270" t="inlineStr">
        <is>
          <t>4.7</t>
        </is>
      </c>
      <c r="E270">
        <f>HYPERLINK("https://www.amazon.co.jp/%E3%80%8C2020%E6%9C%80%E6%96%B0%E4%BA%BA%E6%B0%97%E7%89%88%E3%80%8D%E3%82%B9%E3%83%9E%E3%83%9B%E3%82%A2%E3%83%BC%E3%83%A0%E3%82%B9%E3%82%BF%E3%83%B3%E3%83%89-MSOVA-%E3%82%BF%E3%83%96%E3%83%AC%E3%83%83%E3%83%88%E3%82%B9%E3%82%BF%E3%83%B3%E3%83%89-360%C2%B0%E8%A7%92%E5%BA%A6%E8%AA%BF%E6%95%B4%E5%8F%AF%E8%83%BD-Kindle%E3%81%AA%E3%81%A9%EF%BC%883-5-10-5%E3%82%A4%E3%83%B3%E3%83%81%EF%BC%89%E3%81%AB%E5%AF%BE%E5%BF%9C/dp/B089B3TKDD/ref=sr_1_250?__mk_ja_JP=%E3%82%AB%E3%82%BF%E3%82%AB%E3%83%8A&amp;dchild=1&amp;keywords=iphone+x&amp;qid=1598525127&amp;sr=8-250", "Go")</f>
        <v/>
      </c>
    </row>
    <row r="271">
      <c r="A271" s="1" t="n">
        <v>269</v>
      </c>
      <c r="B271" t="inlineStr">
        <is>
          <t>クアッドロック(QUAD LOCK) TPU・ポリカーボネイト製ケース - iPhone XR用 QLC-IPZ</t>
        </is>
      </c>
      <c r="C271" t="inlineStr">
        <is>
          <t>￥3,740</t>
        </is>
      </c>
      <c r="D271" t="inlineStr">
        <is>
          <t>4.7</t>
        </is>
      </c>
      <c r="E271">
        <f>HYPERLINK("https://www.amazon.co.jp/%E3%82%AF%E3%82%A2%E3%83%83%E3%83%89%E3%83%AD%E3%83%83%E3%82%AF-QUAD-LOCK-TPU%E3%83%BB%E3%83%9D%E3%83%AA%E3%82%AB%E3%83%BC%E3%83%9C%E3%83%8D%E3%82%A4%E3%83%88%E8%A3%BD%E3%82%B1%E3%83%BC%E3%82%B9-QLC-IPZ/dp/B07K2W2K3T/ref=sr_1_251?__mk_ja_JP=%E3%82%AB%E3%82%BF%E3%82%AB%E3%83%8A&amp;dchild=1&amp;keywords=iphone+x&amp;qid=1598525127&amp;sr=8-251", "Go")</f>
        <v/>
      </c>
    </row>
    <row r="272">
      <c r="A272" s="1" t="n">
        <v>270</v>
      </c>
      <c r="B272" t="inlineStr">
        <is>
          <t>Wildflower iPhone 11のために限定版iPhoneケース レッド炎（iPhone 11）</t>
        </is>
      </c>
      <c r="C272" t="inlineStr">
        <is>
          <t>￥4,200</t>
        </is>
      </c>
      <c r="D272" t="inlineStr">
        <is>
          <t>4.7</t>
        </is>
      </c>
      <c r="E272">
        <f>HYPERLINK("https://www.amazon.co.jp/Wildflower-Limited-Case-iPhone-11/dp/B07Y27N4GC/ref=sr_1_252?__mk_ja_JP=%E3%82%AB%E3%82%BF%E3%82%AB%E3%83%8A&amp;dchild=1&amp;keywords=iphone+x&amp;qid=1598525127&amp;sr=8-252", "Go")</f>
        <v/>
      </c>
    </row>
    <row r="273">
      <c r="A273" s="1" t="n">
        <v>271</v>
      </c>
      <c r="B273" t="inlineStr">
        <is>
          <t>【2枚セット】Sony Xperia XZ3 ガラスフィルム（SO-01L/SOV39適用) 曲面保護 耐衝撃吸収ガラスフィルム3D 全面保護自動吸着/指紋防止/気泡ゼロ液晶保護フィルム 防爆裂、飛散防止加工で、破片が飛び散らないように設計超薄型・極上のタッチ感透明/Xperia XZ3 強化ガラスフィルム（透明）</t>
        </is>
      </c>
      <c r="C273" t="inlineStr">
        <is>
          <t>￥899</t>
        </is>
      </c>
      <c r="D273" t="inlineStr">
        <is>
          <t>4.7</t>
        </is>
      </c>
      <c r="E273">
        <f>HYPERLINK("https://www.amazon.co.jp/%E3%82%AC%E3%83%A9%E3%82%B9%E3%83%95%E3%82%A3%E3%83%AB%E3%83%A0%EF%BC%88SO-01L-%E8%80%90%E8%A1%9D%E6%92%83%E5%90%B8%E5%8F%8E%E3%82%AC%E3%83%A9%E3%82%B9%E3%83%95%E3%82%A3%E3%83%AB%E3%83%A03D-%E6%B0%97%E6%B3%A1%E3%82%BC%E3%83%AD%E6%B6%B2%E6%99%B6%E4%BF%9D%E8%AD%B7%E3%83%95%E3%82%A3%E3%83%AB%E3%83%A0-%E9%98%B2%E7%88%86%E8%A3%82%E3%80%81%E9%A3%9B%E6%95%A3%E9%98%B2%E6%AD%A2%E5%8A%A0%E5%B7%A5%E3%81%A7%E3%80%81%E7%A0%B4%E7%89%87%E3%81%8C%E9%A3%9B%E3%81%B3%E6%95%A3%E3%82%89%E3%81%AA%E3%81%84%E3%82%88%E3%81%86%E3%81%AB%E8%A8%AD%E8%A8%88%E8%B6%85%E8%96%84%E5%9E%8B%E3%83%BB%E6%A5%B5%E4%B8%8A%E3%81%AE%E3%82%BF%E3%83%83%E3%83%81%E6%84%9F%E9%80%8F%E6%98%8E-%E5%BC%B7%E5%8C%96%E3%82%AC%E3%83%A9%E3%82%B9%E3%83%95%E3%82%A3%E3%83%AB%E3%83%A0%EF%BC%88%E9%80%8F%E6%98%8E%EF%BC%89/dp/B08DKDHFP3/ref=sr_1_253?__mk_ja_JP=%E3%82%AB%E3%82%BF%E3%82%AB%E3%83%8A&amp;dchild=1&amp;keywords=iphone+x&amp;qid=1598525127&amp;sr=8-253", "Go")</f>
        <v/>
      </c>
    </row>
    <row r="274">
      <c r="A274" s="1" t="n">
        <v>272</v>
      </c>
      <c r="B274" t="inlineStr">
        <is>
          <t>YEFOOT MFi認証ライトニングケーブル 5本パック 6フィート ナイロン織 USB充電ケーブル メタルコネクター付き iPhone 11/Pro/Xs Max/X/8/7/Plus/6S/6/SE/5S iPad対応 ブラック&amp;ホワイト</t>
        </is>
      </c>
      <c r="C274" t="inlineStr">
        <is>
          <t>￥23,689</t>
        </is>
      </c>
      <c r="D274" t="inlineStr">
        <is>
          <t>4.7</t>
        </is>
      </c>
      <c r="E274">
        <f>HYPERLINK("https://www.amazon.co.jp/dp/B08B5YV81V/ref=sr_1_254?__mk_ja_JP=%E3%82%AB%E3%82%BF%E3%82%AB%E3%83%8A&amp;dchild=1&amp;keywords=iphone+x&amp;qid=1598525127&amp;sr=8-254", "Go")</f>
        <v/>
      </c>
    </row>
    <row r="275">
      <c r="A275" s="1" t="n">
        <v>273</v>
      </c>
      <c r="B275" t="inlineStr">
        <is>
          <t>OtterBox iPhone 11 Pro Defender ケース【Screenless Edition】(Gone Fishin Blue)</t>
        </is>
      </c>
      <c r="C275" t="inlineStr">
        <is>
          <t>￥6,974</t>
        </is>
      </c>
      <c r="D275" t="inlineStr">
        <is>
          <t>4.7</t>
        </is>
      </c>
      <c r="E275">
        <f>HYPERLINK("https://www.amazon.co.jp/OtterBox-iPhone-Defender-%E3%82%B1%E3%83%BC%E3%82%B9%E3%80%90Screenless-Fishin/dp/B07W59LFB7/ref=sr_1_255?__mk_ja_JP=%E3%82%AB%E3%82%BF%E3%82%AB%E3%83%8A&amp;dchild=1&amp;keywords=iphone+x&amp;qid=1598525127&amp;sr=8-255", "Go")</f>
        <v/>
      </c>
    </row>
    <row r="276">
      <c r="A276" s="1" t="n">
        <v>274</v>
      </c>
      <c r="B276" t="inlineStr">
        <is>
          <t>iPhone 11 Pro レザーケース - ブラック</t>
        </is>
      </c>
      <c r="C276" t="inlineStr">
        <is>
          <t>￥6,370</t>
        </is>
      </c>
      <c r="D276" t="inlineStr">
        <is>
          <t>4.7</t>
        </is>
      </c>
      <c r="E276">
        <f>HYPERLINK("https://www.amazon.co.jp/iPhone-11-Pro-%E3%83%AC%E3%82%B6%E3%83%BC%E3%82%B1%E3%83%BC%E3%82%B9-%E3%83%96%E3%83%A9%E3%83%83%E3%82%AF/dp/B07PRX2CKM/ref=sr_1_256?__mk_ja_JP=%E3%82%AB%E3%82%BF%E3%82%AB%E3%83%8A&amp;dchild=1&amp;keywords=iphone+x&amp;qid=1598525127&amp;sr=8-256", "Go")</f>
        <v/>
      </c>
    </row>
    <row r="277">
      <c r="A277" s="1" t="n">
        <v>275</v>
      </c>
      <c r="B277" t="inlineStr">
        <is>
          <t>OtterBox iPhone XS Max Defender ケース【Screenless Edition】(Big Sur)</t>
        </is>
      </c>
      <c r="C277" t="inlineStr">
        <is>
          <t>￥5,445</t>
        </is>
      </c>
      <c r="D277" t="inlineStr">
        <is>
          <t>4.6</t>
        </is>
      </c>
      <c r="E277">
        <f>HYPERLINK("https://www.amazon.co.jp/OtterBox-iPhone-Max-Defender-%E3%82%B1%E3%83%BC%E3%82%B9%E3%80%90Screenless/dp/B07GBJWH7X/ref=sr_1_257?__mk_ja_JP=%E3%82%AB%E3%82%BF%E3%82%AB%E3%83%8A&amp;dchild=1&amp;keywords=iphone+x&amp;qid=1598525127&amp;sr=8-257", "Go")</f>
        <v/>
      </c>
    </row>
    <row r="278">
      <c r="A278" s="1" t="n">
        <v>276</v>
      </c>
      <c r="B278" t="inlineStr">
        <is>
          <t>iPhone8 フィルム 覗き見防止,iphone8 フィルム のぞき見防止,iphone8 覗き見防止フィルム,覗き見防止 iphone 8,iphone8 覗き見 360, iphone 8 ガラスフィルム,プライバシー 保護 フィルム,アイフォン 8 強化ガラスフィルム, iPhone7 フィルム 覗き見防止, iphone7 フィルム のぞき見防止</t>
        </is>
      </c>
      <c r="C278" t="inlineStr">
        <is>
          <t>￥599</t>
        </is>
      </c>
      <c r="D278" t="inlineStr">
        <is>
          <t>4.7</t>
        </is>
      </c>
      <c r="E278">
        <f>HYPERLINK("https://www.amazon.co.jp/iPhone8-iphone8-%E8%A6%97%E3%81%8D%E8%A6%8B%E9%98%B2%E6%AD%A2%E3%83%95%E3%82%A3%E3%83%AB%E3%83%A0-%E3%82%AC%E3%83%A9%E3%82%B9%E3%83%95%E3%82%A3%E3%83%AB%E3%83%A0-%E5%BC%B7%E5%8C%96%E3%82%AC%E3%83%A9%E3%82%B9%E3%83%95%E3%82%A3%E3%83%AB%E3%83%A0/dp/B08D5Y3WZ2/ref=sr_1_258?__mk_ja_JP=%E3%82%AB%E3%82%BF%E3%82%AB%E3%83%8A&amp;dchild=1&amp;keywords=iphone+x&amp;qid=1598525127&amp;sr=8-258", "Go")</f>
        <v/>
      </c>
    </row>
    <row r="279">
      <c r="A279" s="1" t="n">
        <v>277</v>
      </c>
      <c r="B279" t="inlineStr">
        <is>
          <t>iPhone 11用 強化ガラス ブルーライトカット/【目の疲れ軽減】 /硬度9H/iPhone XR用 ガラスフィルム/全面保護/高透過率/飛散防止処理/耐衝撃 防指紋 自動吸着/気泡ゼロ/貼付け簡単/スクラッチ防止/iPhone 11/iPhone XR用 液晶保護フィルム</t>
        </is>
      </c>
      <c r="C279" t="inlineStr">
        <is>
          <t>￥799</t>
        </is>
      </c>
      <c r="D279" t="inlineStr">
        <is>
          <t>4.7</t>
        </is>
      </c>
      <c r="E279">
        <f>HYPERLINK("https://www.amazon.co.jp/dp/B08DR9GT23/ref=sr_1_259?__mk_ja_JP=%E3%82%AB%E3%82%BF%E3%82%AB%E3%83%8A&amp;dchild=1&amp;keywords=iphone+x&amp;qid=1598525127&amp;sr=8-259", "Go")</f>
        <v/>
      </c>
    </row>
    <row r="280">
      <c r="A280" s="1" t="n">
        <v>278</v>
      </c>
      <c r="B280" t="inlineStr">
        <is>
          <t>Case-Mate iPhoneケース (iPhone XR) ハード スマホケース カバー [耐衝撃・ワイヤレス充電対応・ハイブリッド] 透明 クリアー ターコイズ/パープル ネオン</t>
        </is>
      </c>
      <c r="C280" t="inlineStr">
        <is>
          <t>￥3,828</t>
        </is>
      </c>
      <c r="D280" t="inlineStr">
        <is>
          <t>4.8</t>
        </is>
      </c>
      <c r="E280">
        <f>HYPERLINK("https://www.amazon.co.jp/Case-Mate-iphone-iPhoneXR-%E3%82%B9%E3%83%9E%E3%83%9B%E3%82%B1%E3%83%BC%E3%82%B9-%E8%80%90%E8%A1%9D%E6%92%83%EF%BD%A5%E3%83%AF%E3%82%A4%E3%83%A4%E3%83%AC%E3%82%B9%E5%85%85%E9%9B%BB%E5%AF%BE%E5%BF%9C%EF%BD%A5%E3%83%8F%E3%82%A4%E3%83%96%E3%83%AA%E3%83%83%E3%83%89/dp/B07FMMVX2D/ref=sr_1_260?__mk_ja_JP=%E3%82%AB%E3%82%BF%E3%82%AB%E3%83%8A&amp;dchild=1&amp;keywords=iphone+x&amp;qid=1598525127&amp;sr=8-260", "Go")</f>
        <v/>
      </c>
    </row>
    <row r="281">
      <c r="A281" s="1" t="n">
        <v>279</v>
      </c>
      <c r="B281" t="inlineStr">
        <is>
          <t>iPhone 11 強化ガラス ブルーライトカット /硬度9H/目の疲れ軽減/日本製素材旭硝子製/iPhone XR ガラスフィルム/全面保護/気泡防止/スクラッチ防止/飛散防止処理/防指紋/自動吸着/iPhone 11/iPhone XR 液晶保護フィルム</t>
        </is>
      </c>
      <c r="C281" t="inlineStr">
        <is>
          <t>￥999</t>
        </is>
      </c>
      <c r="D281" t="inlineStr">
        <is>
          <t>4.7</t>
        </is>
      </c>
      <c r="E281">
        <f>HYPERLINK("https://www.amazon.co.jp/%E3%83%96%E3%83%AB%E3%83%BC%E3%83%A9%E3%82%A4%E3%83%88%E3%82%AB%E3%83%83%E3%83%88-%E6%97%A5%E6%9C%AC%E8%A3%BD%E7%B4%A0%E6%9D%90%E6%97%AD%E7%A1%9D%E5%AD%90%E8%A3%BD-%E3%82%AC%E3%83%A9%E3%82%B9%E3%83%95%E3%82%A3%E3%83%AB%E3%83%A0-%E3%82%B9%E3%82%AF%E3%83%A9%E3%83%83%E3%83%81%E9%98%B2%E6%AD%A2-%E6%B6%B2%E6%99%B6%E4%BF%9D%E8%AD%B7%E3%83%95%E3%82%A3%E3%83%AB%E3%83%A0/dp/B08DNMM4D5/ref=sr_1_261?__mk_ja_JP=%E3%82%AB%E3%82%BF%E3%82%AB%E3%83%8A&amp;dchild=1&amp;keywords=iphone+x&amp;qid=1598525127&amp;sr=8-261", "Go")</f>
        <v/>
      </c>
    </row>
    <row r="282">
      <c r="A282" s="1" t="n">
        <v>280</v>
      </c>
      <c r="B282" t="inlineStr">
        <is>
          <t>Anker PowerLine+ II ライトニングケーブル (3本セット), iPhone充電ケーブル Apple MFi 認証取得 / 超高耐久 iPhone 11 / 11 Pro / 11 Pro Max / XR / 8 対応 ブラック 0.9m + 1.8m + 3.0m</t>
        </is>
      </c>
      <c r="C282" t="inlineStr">
        <is>
          <t>￥4,999</t>
        </is>
      </c>
      <c r="D282" t="inlineStr">
        <is>
          <t>4.7</t>
        </is>
      </c>
      <c r="E282">
        <f>HYPERLINK("https://www.amazon.co.jp/Anker-PowerLine-%E3%83%A9%E3%82%A4%E3%83%88%E3%83%8B%E3%83%B3%E3%82%B0%E3%82%B1%E3%83%BC%E3%83%96%E3%83%AB-iPhone%E5%85%85%E9%9B%BB%E3%82%B1%E3%83%BC%E3%83%96%E3%83%AB-iPhone/dp/B07V6W543D/ref=sr_1_262?__mk_ja_JP=%E3%82%AB%E3%82%BF%E3%82%AB%E3%83%8A&amp;dchild=1&amp;keywords=iphone+x&amp;qid=1598525127&amp;sr=8-262", "Go")</f>
        <v/>
      </c>
    </row>
    <row r="283">
      <c r="A283" s="1" t="n">
        <v>281</v>
      </c>
      <c r="B283" t="inlineStr">
        <is>
          <t>WEWSTOUN iPhone 11 Pro/iPhoneX ガラスフィルムのぞき見防止日本製素材旭硝子製 プライバシー保護 目の疲れ軽減 iPhoneXS強化ガラス液晶保護フィルム 最高硬度9H 飛散防止 指紋防止 スクラッチ防止3D Touch対応 貼付け簡単 気泡ゼロ 覗き見防止 アイフォン 11 Pro/X/Xs フィルム</t>
        </is>
      </c>
      <c r="C283" t="inlineStr">
        <is>
          <t>￥999</t>
        </is>
      </c>
      <c r="D283" t="inlineStr">
        <is>
          <t>4.7</t>
        </is>
      </c>
      <c r="E283">
        <f>HYPERLINK("https://www.amazon.co.jp/WEWSTOUN-%E3%82%AC%E3%83%A9%E3%82%B9%E3%83%95%E3%82%A3%E3%83%AB%E3%83%A0%E3%81%AE%E3%81%9E%E3%81%8D%E8%A6%8B%E9%98%B2%E6%AD%A2%E6%97%A5%E6%9C%AC%E8%A3%BD%E7%B4%A0%E6%9D%90%E6%97%AD%E7%A1%9D%E5%AD%90%E8%A3%BD-%E3%83%97%E3%83%A9%E3%82%A4%E3%83%90%E3%82%B7%E3%83%BC%E4%BF%9D%E8%AD%B7-iPhoneXS%E5%BC%B7%E5%8C%96%E3%82%AC%E3%83%A9%E3%82%B9%E6%B6%B2%E6%99%B6%E4%BF%9D%E8%AD%B7%E3%83%95%E3%82%A3%E3%83%AB%E3%83%A0-%E3%82%B9%E3%82%AF%E3%83%A9%E3%83%83%E3%83%81%E9%98%B2%E6%AD%A23D/dp/B08DNCSYLS/ref=sr_1_263?__mk_ja_JP=%E3%82%AB%E3%82%BF%E3%82%AB%E3%83%8A&amp;dchild=1&amp;keywords=iphone+x&amp;qid=1598525127&amp;sr=8-263", "Go")</f>
        <v/>
      </c>
    </row>
    <row r="284">
      <c r="A284" s="1" t="n">
        <v>282</v>
      </c>
      <c r="B284" t="inlineStr">
        <is>
          <t>LUOLNH iPhone 11ケース iPhone 11大理石ケース 大理石デザイン 耐衝撃 柔軟 ソフトシリコンゴムTPUバンパーカバースキンケース iPhone 11 6.1インチ 2019用 IPXR 11-PJ-DLS-mei hong ge zi</t>
        </is>
      </c>
      <c r="C284" t="inlineStr">
        <is>
          <t>￥7,260</t>
        </is>
      </c>
      <c r="D284" t="inlineStr">
        <is>
          <t>4.7</t>
        </is>
      </c>
      <c r="E284">
        <f>HYPERLINK("https://www.amazon.co.jp/LUOLNH-11%E5%A4%A7%E7%90%86%E7%9F%B3%E3%82%B1%E3%83%BC%E3%82%B9-%E5%A4%A7%E7%90%86%E7%9F%B3%E3%83%87%E3%82%B6%E3%82%A4%E3%83%B3-%E3%82%BD%E3%83%95%E3%83%88%E3%82%B7%E3%83%AA%E3%82%B3%E3%83%B3%E3%82%B4%E3%83%A0TPU%E3%83%90%E3%83%B3%E3%83%91%E3%83%BC%E3%82%AB%E3%83%90%E3%83%BC%E3%82%B9%E3%82%AD%E3%83%B3%E3%82%B1%E3%83%BC%E3%82%B9-11-PJ-DLS-mei/dp/B081GW7FLF/ref=sr_1_264?__mk_ja_JP=%E3%82%AB%E3%82%BF%E3%82%AB%E3%83%8A&amp;dchild=1&amp;keywords=iphone+x&amp;qid=1598525127&amp;sr=8-264", "Go")</f>
        <v/>
      </c>
    </row>
    <row r="285">
      <c r="A285" s="1" t="n">
        <v>283</v>
      </c>
      <c r="B285" t="inlineStr">
        <is>
          <t>iPhone 充電ケーブル 3本セット（長さ 0.25m/0.25m/1m）L字型 急速充電 断線防止 強化 織物編み設計 高耐久コネクタ採用 iPhone 11/XR/X / 8 / 7 / 6s/ 6/ 6PLUS 多種対応（ランダムな色）)</t>
        </is>
      </c>
      <c r="C285" t="inlineStr">
        <is>
          <t>￥949から1個のオプション</t>
        </is>
      </c>
      <c r="D285" t="inlineStr">
        <is>
          <t>4.7</t>
        </is>
      </c>
      <c r="E285">
        <f>HYPERLINK("https://www.amazon.co.jp/dp/B08DDHBQ1D/ref=sr_1_265?__mk_ja_JP=%E3%82%AB%E3%82%BF%E3%82%AB%E3%83%8A&amp;dchild=1&amp;keywords=iphone+x&amp;qid=1598525127&amp;sr=8-265", "Go")</f>
        <v/>
      </c>
    </row>
    <row r="286">
      <c r="A286" s="1" t="n">
        <v>284</v>
      </c>
      <c r="B286" t="inlineStr">
        <is>
          <t>「RUIPU新登場の26800mAh大容量モバイルバッテリー」モバイルバッテリー 大容量 軽量 小型バッテリー LED残量表示 ２つ入力ポート（micro&amp; Type-C USB） 2台同時充電可能 PSE認証済 各機種対応出来 地震/災害/キャンプなど場合大活躍</t>
        </is>
      </c>
      <c r="C286" t="inlineStr">
        <is>
          <t>￥2,880</t>
        </is>
      </c>
      <c r="D286" t="inlineStr">
        <is>
          <t>5</t>
        </is>
      </c>
      <c r="E286">
        <f>HYPERLINK("https://www.amazon.co.jp/%E3%80%8CRUIPU%E6%96%B0%E7%99%BB%E5%A0%B4%E3%81%AE26800mAh%E5%A4%A7%E5%AE%B9%E9%87%8F%E3%83%A2%E3%83%90%E3%82%A4%E3%83%AB%E3%83%90%E3%83%83%E3%83%86%E3%83%AA%E3%83%BC%E3%80%8D%E3%83%A2%E3%83%90%E3%82%A4%E3%83%AB%E3%83%90%E3%83%83%E3%83%86%E3%83%AA%E3%83%BC-%E5%B0%8F%E5%9E%8B%E3%83%90%E3%83%83%E3%83%86%E3%83%AA%E3%83%BC-%EF%BC%92%E3%81%A4%E5%85%A5%E5%8A%9B%E3%83%9D%E3%83%BC%E3%83%88%EF%BC%88micro-2%E5%8F%B0%E5%90%8C%E6%99%82%E5%85%85%E9%9B%BB%E5%8F%AF%E8%83%BD-%E3%82%AD%E3%83%A3%E3%83%B3%E3%83%97%E3%81%AA%E3%81%A9%E5%A0%B4%E5%90%88%E5%A4%A7%E6%B4%BB%E8%BA%8D/dp/B08DNWL646/ref=sr_1_266?__mk_ja_JP=%E3%82%AB%E3%82%BF%E3%82%AB%E3%83%8A&amp;dchild=1&amp;keywords=iphone+x&amp;qid=1598525127&amp;sr=8-266", "Go")</f>
        <v/>
      </c>
    </row>
    <row r="287">
      <c r="A287" s="1" t="n">
        <v>285</v>
      </c>
      <c r="B287" t="inlineStr">
        <is>
          <t>Meifigno iPhone Xs ケース iPhone X ケース ブラック [強化ガラスフィルム付き] [軍事レベル認証] マット 半透明 ソフトなTPUエッジ+かたいPC裏側 耐久性 耐衝撃 指紋防止 ワイヤレス対応 アイフォンX カバー 5.8インチ (ブラック)</t>
        </is>
      </c>
      <c r="C287" t="inlineStr">
        <is>
          <t>￥1,680</t>
        </is>
      </c>
      <c r="D287" t="inlineStr">
        <is>
          <t>4.8</t>
        </is>
      </c>
      <c r="E287">
        <f>HYPERLINK("https://www.amazon.co.jp/Meifigno-iPhone-Xs-%E3%82%B1%E3%83%BC%E3%82%B9-%E5%BC%B7%E5%8C%96%E3%82%AC%E3%83%A9%E3%82%B9%E3%83%95%E3%82%A3%E3%83%AB%E3%83%A0%E4%BB%98%E3%81%8D/dp/B0876YCTGF/ref=sr_1_267?__mk_ja_JP=%E3%82%AB%E3%82%BF%E3%82%AB%E3%83%8A&amp;dchild=1&amp;keywords=iphone+x&amp;qid=1598525127&amp;sr=8-267", "Go")</f>
        <v/>
      </c>
    </row>
    <row r="288">
      <c r="A288" s="1" t="n">
        <v>286</v>
      </c>
      <c r="B288" t="inlineStr">
        <is>
          <t>iPhone 11 Pro/iPhone XS/iPhone X ガラスフィルム【2枚セット】全面保護/指紋防止 アイフォン11 Pro/XS/X 強化ガラスフィルム 日本製素材旭硝子製/硬度9H/高透過率/飛散防止/撥油性/簡単貼り付け/自己吸着/キズ防止/衝撃吸収/スクラッチ防止/気泡ゼロ iPhone 11 Pro/XS/X 液晶保護フィルム</t>
        </is>
      </c>
      <c r="C288" t="inlineStr">
        <is>
          <t>￥1,299</t>
        </is>
      </c>
      <c r="D288" t="inlineStr">
        <is>
          <t>5</t>
        </is>
      </c>
      <c r="E288">
        <f>HYPERLINK("https://www.amazon.co.jp/%E3%82%AC%E3%83%A9%E3%82%B9%E3%83%95%E3%82%A3%E3%83%AB%E3%83%A0%E3%80%902%E6%9E%9A%E3%82%BB%E3%83%83%E3%83%88%E3%80%91%E5%85%A8%E9%9D%A2%E4%BF%9D%E8%AD%B7-%E3%82%A2%E3%82%A4%E3%83%95%E3%82%A9%E3%83%B311-%E5%BC%B7%E5%8C%96%E3%82%AC%E3%83%A9%E3%82%B9%E3%83%95%E3%82%A3%E3%83%AB%E3%83%A0-%E6%97%A5%E6%9C%AC%E8%A3%BD%E7%B4%A0%E6%9D%90%E6%97%AD%E7%A1%9D%E5%AD%90%E8%A3%BD-%E6%B6%B2%E6%99%B6%E4%BF%9D%E8%AD%B7%E3%83%95%E3%82%A3%E3%83%AB%E3%83%A0/dp/B08FDYZCKD/ref=sr_1_268?__mk_ja_JP=%E3%82%AB%E3%82%BF%E3%82%AB%E3%83%8A&amp;dchild=1&amp;keywords=iphone+x&amp;qid=1598525127&amp;sr=8-268", "Go")</f>
        <v/>
      </c>
    </row>
    <row r="289">
      <c r="A289" s="1" t="n">
        <v>287</v>
      </c>
      <c r="B289" t="inlineStr">
        <is>
          <t>iPhone 充電ケーブル【Mfi_認証】ライトニングケーブル 3 本セット 1m+1m+2m lightning ケーブル 急速充電＆高耐久編組ナイロン iPhone 11/11 Pro/XS/XR/X/8/8Plus/7/7 Plus/6s/6s Plus/6/5s/5/SE/iPad/iPod 多種対応</t>
        </is>
      </c>
      <c r="C289" t="inlineStr">
        <is>
          <t>￥995</t>
        </is>
      </c>
      <c r="D289" t="inlineStr">
        <is>
          <t>4.6</t>
        </is>
      </c>
      <c r="E289">
        <f>HYPERLINK("https://www.amazon.co.jp/dp/B08DG4GK3D/ref=sr_1_269?__mk_ja_JP=%E3%82%AB%E3%82%BF%E3%82%AB%E3%83%8A&amp;dchild=1&amp;keywords=iphone+x&amp;qid=1598525127&amp;sr=8-269", "Go")</f>
        <v/>
      </c>
    </row>
    <row r="290">
      <c r="A290" s="1" t="n">
        <v>288</v>
      </c>
      <c r="B290" t="inlineStr">
        <is>
          <t>【2枚セット】iPhone SE 第2世代 / iPhone SE2 ガラスフィルム TopACE iPhone SE2専用 保護フィルム 貼り付けが簡単 日本旭硝子製 強化ガラス 気泡防止 防指紋 高透明度 液晶保護フィルム 発売後開発版</t>
        </is>
      </c>
      <c r="C290" t="inlineStr">
        <is>
          <t>￥999</t>
        </is>
      </c>
      <c r="D290" t="inlineStr">
        <is>
          <t>4.7</t>
        </is>
      </c>
      <c r="E290">
        <f>HYPERLINK("https://www.amazon.co.jp/%E3%80%902%E6%9E%9A%E3%82%BB%E3%83%83%E3%83%88%E3%80%91iPhone-%E3%82%AC%E3%83%A9%E3%82%B9%E3%83%95%E3%82%A3%E3%83%AB%E3%83%A0-TopACE-%E8%B2%BC%E3%82%8A%E4%BB%98%E3%81%91%E3%81%8C%E7%B0%A1%E5%8D%98-%E6%B6%B2%E6%99%B6%E4%BF%9D%E8%AD%B7%E3%83%95%E3%82%A3%E3%83%AB%E3%83%A0/dp/B08CS7XL1Z/ref=sr_1_270?__mk_ja_JP=%E3%82%AB%E3%82%BF%E3%82%AB%E3%83%8A&amp;dchild=1&amp;keywords=iphone+x&amp;qid=1598525127&amp;sr=8-270", "Go")</f>
        <v/>
      </c>
    </row>
    <row r="291">
      <c r="A291" s="1" t="n">
        <v>289</v>
      </c>
      <c r="B291" t="inlineStr">
        <is>
          <t>OtterBox iPhone XS Max Symmetry ケース(Tonic Violet)</t>
        </is>
      </c>
      <c r="C291" t="inlineStr">
        <is>
          <t>￥3,500</t>
        </is>
      </c>
      <c r="D291" t="inlineStr">
        <is>
          <t>4.7</t>
        </is>
      </c>
      <c r="E291">
        <f>HYPERLINK("https://www.amazon.co.jp/OtterBox-iPhone-Symmetry-Tonic-Violet/dp/B07GBWGDR4/ref=sr_1_271?__mk_ja_JP=%E3%82%AB%E3%82%BF%E3%82%AB%E3%83%8A&amp;dchild=1&amp;keywords=iphone+x&amp;qid=1598525127&amp;sr=8-271", "Go")</f>
        <v/>
      </c>
    </row>
    <row r="292">
      <c r="A292" s="1" t="n">
        <v>290</v>
      </c>
      <c r="B292" t="inlineStr">
        <is>
          <t>ケイト・スペード ニューヨーク 防衛ハードシェルケース (1-PC コモールド) iPhone Xs Max用 KSIPH-106-RHHCS</t>
        </is>
      </c>
      <c r="C292" t="inlineStr">
        <is>
          <t>￥15,834</t>
        </is>
      </c>
      <c r="D292" t="inlineStr">
        <is>
          <t>4.8</t>
        </is>
      </c>
      <c r="E292">
        <f>HYPERLINK("https://www.amazon.co.jp/Kate-%E6%90%BA%E5%B8%AF%E9%9B%BB%E8%A9%B1%E3%82%B1%E3%83%BC%E3%82%B9-iPhone-%E4%BF%9D%E8%AD%B7%E9%9B%BB%E8%A9%B1%E3%82%B1%E3%83%BC%E3%82%B9-%E3%82%B9%E3%83%AA%E3%83%A0%E3%83%87%E3%82%B6%E3%82%A4%E3%83%B3/dp/B07DFSC8HP/ref=sr_1_272?__mk_ja_JP=%E3%82%AB%E3%82%BF%E3%82%AB%E3%83%8A&amp;dchild=1&amp;keywords=iphone+x&amp;qid=1598525127&amp;sr=8-272", "Go")</f>
        <v/>
      </c>
    </row>
    <row r="293">
      <c r="A293" s="1" t="n">
        <v>291</v>
      </c>
      <c r="B293" t="inlineStr">
        <is>
          <t>iPhone イヤホン 変換ケーブル lightning 充電 同時 二股接続ケーブル ライトニング イヤホン 変換アダプタ 通話可能 音楽調節アップル純正品素材やチップを採用 iPhone7/7Plus/8/X/XS/XSMax/XR/11/11Pro/11Pro Max (IOS11、12、13対応)</t>
        </is>
      </c>
      <c r="C293" t="inlineStr">
        <is>
          <t>￥999</t>
        </is>
      </c>
      <c r="D293" t="inlineStr">
        <is>
          <t>4.7</t>
        </is>
      </c>
      <c r="E293">
        <f>HYPERLINK("https://www.amazon.co.jp/lightning-%E4%BA%8C%E8%82%A1%E6%8E%A5%E7%B6%9A%E3%82%B1%E3%83%BC%E3%83%96%E3%83%AB-%E9%9F%B3%E6%A5%BD%E8%AA%BF%E7%AF%80%E3%82%A2%E3%83%83%E3%83%97%E3%83%AB%E7%B4%94%E6%AD%A3%E5%93%81%E7%B4%A0%E6%9D%90%E3%82%84%E3%83%81%E3%83%83%E3%83%97%E3%82%92%E6%8E%A1%E7%94%A8-iPhone7-IOS11%E3%80%8112%E3%80%8113%E5%AF%BE%E5%BF%9C/dp/B08BHWKM59/ref=sr_1_273?__mk_ja_JP=%E3%82%AB%E3%82%BF%E3%82%AB%E3%83%8A&amp;dchild=1&amp;keywords=iphone+x&amp;qid=1598525127&amp;sr=8-273", "Go")</f>
        <v/>
      </c>
    </row>
    <row r="294">
      <c r="A294" s="1" t="n">
        <v>292</v>
      </c>
      <c r="B294" t="inlineStr">
        <is>
          <t>iPhone充電器 10フィート 3本パック ライトニングケーブル &amp; データ同期 高速 10フィート ナイロン編みコード iPhone Xs max/xr/x/8/8 Plus/7/7plus/6/6s Plus/5s/5 iPad対応 (シルバー)</t>
        </is>
      </c>
      <c r="C294" t="inlineStr">
        <is>
          <t>￥995</t>
        </is>
      </c>
      <c r="D294" t="inlineStr">
        <is>
          <t>4.6</t>
        </is>
      </c>
      <c r="E294">
        <f>HYPERLINK("https://www.amazon.co.jp/iPhone%E5%85%85%E9%9B%BB%E5%99%A8-10%E3%83%95%E3%82%A3%E3%83%BC%E3%83%88-%E3%83%A9%E3%82%A4%E3%83%88%E3%83%8B%E3%83%B3%E3%82%B0%E3%82%B1%E3%83%BC%E3%83%96%E3%83%AB-%E3%83%8A%E3%82%A4%E3%83%AD%E3%83%B3%E7%B7%A8%E3%81%BF%E3%82%B3%E3%83%BC%E3%83%89-iPhone/dp/B07Y1N2F6M/ref=sr_1_274?__mk_ja_JP=%E3%82%AB%E3%82%BF%E3%82%AB%E3%83%8A&amp;dchild=1&amp;keywords=iphone+x&amp;qid=1598525127&amp;sr=8-274", "Go")</f>
        <v/>
      </c>
    </row>
    <row r="295">
      <c r="A295" s="1" t="n">
        <v>293</v>
      </c>
      <c r="B295" t="inlineStr">
        <is>
          <t>【2枚入り】iPhone 11 Pro ガラスフィルム iPhone XS/iPhone X 強化ガラスフィルム日本製素材旭硝子製 完全保護 高硬度9H 99%高透過率 指紋防止 スクラッチ防止 気泡ゼロ 飛散防止処理 iPhone 11 Pro/XS/X 液晶保護フィルム</t>
        </is>
      </c>
      <c r="C295" t="inlineStr">
        <is>
          <t>￥999</t>
        </is>
      </c>
      <c r="D295" t="inlineStr">
        <is>
          <t>4.7</t>
        </is>
      </c>
      <c r="E295">
        <f>HYPERLINK("https://www.amazon.co.jp/%E3%80%902%E6%9E%9A%E5%85%A5%E3%82%8A%E3%80%91iPhone-%E3%82%AC%E3%83%A9%E3%82%B9%E3%83%95%E3%82%A3%E3%83%AB%E3%83%A0-%E5%BC%B7%E5%8C%96%E3%82%AC%E3%83%A9%E3%82%B9%E3%83%95%E3%82%A3%E3%83%AB%E3%83%A0%E6%97%A5%E6%9C%AC%E8%A3%BD%E7%B4%A0%E6%9D%90%E6%97%AD%E7%A1%9D%E5%AD%90%E8%A3%BD-99-%E9%AB%98%E9%80%8F%E9%81%8E%E7%8E%87-%E6%B6%B2%E6%99%B6%E4%BF%9D%E8%AD%B7%E3%83%95%E3%82%A3%E3%83%AB%E3%83%A0/dp/B085WPHM2W/ref=sr_1_275?__mk_ja_JP=%E3%82%AB%E3%82%BF%E3%82%AB%E3%83%8A&amp;dchild=1&amp;keywords=iphone+x&amp;qid=1598525127&amp;sr=8-275", "Go")</f>
        <v/>
      </c>
    </row>
    <row r="296">
      <c r="A296" s="1" t="n">
        <v>294</v>
      </c>
      <c r="B296" t="inlineStr">
        <is>
          <t>イングレム iPhone XS/X ディズニー ツイステッドワンダーランド (ツイステ) 耐衝撃ケース KAKU トリプルハイブリッド レオナ・キングスカラー</t>
        </is>
      </c>
      <c r="C296" t="inlineStr">
        <is>
          <t>￥2,650</t>
        </is>
      </c>
      <c r="D296" t="inlineStr">
        <is>
          <t>4.9</t>
        </is>
      </c>
      <c r="E296">
        <f>HYPERLINK("https://www.amazon.co.jp/%E3%82%A4%E3%83%B3%E3%82%B0%E3%83%AC%E3%83%A0-iPhone-%E3%83%84%E3%82%A4%E3%82%B9%E3%83%86%E3%83%83%E3%83%89%E3%83%AF%E3%83%B3%E3%83%80%E3%83%BC%E3%83%A9%E3%83%B3%E3%83%89-%E3%83%88%E3%83%AA%E3%83%97%E3%83%AB%E3%83%8F%E3%82%A4%E3%83%96%E3%83%AA%E3%83%83%E3%83%89-%E3%83%AC%E3%82%AA%E3%83%8A%E3%83%BB%E3%82%AD%E3%83%B3%E3%82%B0%E3%82%B9%E3%82%AB%E3%83%A9%E3%83%BC/dp/B085KZ1X1R/ref=sr_1_276?__mk_ja_JP=%E3%82%AB%E3%82%BF%E3%82%AB%E3%83%8A&amp;dchild=1&amp;keywords=iphone+x&amp;qid=1598525127&amp;sr=8-276", "Go")</f>
        <v/>
      </c>
    </row>
    <row r="297">
      <c r="A297" s="1" t="n">
        <v>295</v>
      </c>
      <c r="B297" t="inlineStr">
        <is>
          <t>【Ringke】Galaxy A51 ケース スマホケース [米軍MIL規格取得] クリア カバー 透明 ワイヤレス充電対応 ストラップホール 落下防止 Samsung Galaxy A51 Fusion-X 2019 (Space Blue スペースブルー)</t>
        </is>
      </c>
      <c r="C297" t="inlineStr">
        <is>
          <t>￥999</t>
        </is>
      </c>
      <c r="D297" t="inlineStr">
        <is>
          <t>4.7</t>
        </is>
      </c>
      <c r="E297">
        <f>HYPERLINK("https://www.amazon.co.jp/%E3%80%90Ringke%E3%80%91Galaxy-%E7%B1%B3%E8%BB%8DMIL%E8%A6%8F%E6%A0%BC%E5%8F%96%E5%BE%97-%E3%83%AF%E3%82%A4%E3%83%A4%E3%83%AC%E3%82%B9%E5%85%85%E9%9B%BB%E5%AF%BE%E5%BF%9C-%E3%82%B9%E3%83%88%E3%83%A9%E3%83%83%E3%83%97%E3%83%9B%E3%83%BC%E3%83%AB-Fusion-X/dp/B0834KQ11R/ref=sr_1_277?__mk_ja_JP=%E3%82%AB%E3%82%BF%E3%82%AB%E3%83%8A&amp;dchild=1&amp;keywords=iphone+x&amp;qid=1598525127&amp;sr=8-277", "Go")</f>
        <v/>
      </c>
    </row>
    <row r="298">
      <c r="A298" s="1" t="n">
        <v>296</v>
      </c>
      <c r="B298" t="inlineStr">
        <is>
          <t>クアッドロック(QUAD LOCK) TPU・ポリカーボネイト製ケース - iPhone XS Max用 QLC-IXPLUS</t>
        </is>
      </c>
      <c r="C298" t="inlineStr">
        <is>
          <t>￥3,740</t>
        </is>
      </c>
      <c r="D298" t="inlineStr">
        <is>
          <t>4.7</t>
        </is>
      </c>
      <c r="E298">
        <f>HYPERLINK("https://www.amazon.co.jp/%E3%82%AF%E3%82%A2%E3%83%83%E3%83%89%E3%83%AD%E3%83%83%E3%82%AF-QUAD-LOCK-TPU%E3%83%BB%E3%83%9D%E3%83%AA%E3%82%AB%E3%83%BC%E3%83%9C%E3%83%8D%E3%82%A4%E3%83%88%E8%A3%BD%E3%82%B1%E3%83%BC%E3%82%B9-QLC-IXPLUS/dp/B07K2GZP6K/ref=sr_1_278?__mk_ja_JP=%E3%82%AB%E3%82%BF%E3%82%AB%E3%83%8A&amp;dchild=1&amp;keywords=iphone+x&amp;qid=1598525127&amp;sr=8-278", "Go")</f>
        <v/>
      </c>
    </row>
    <row r="299">
      <c r="A299" s="1" t="n">
        <v>297</v>
      </c>
      <c r="B299" t="inlineStr">
        <is>
          <t>tech21 - Evo チェックケース - Apple iPhone XR用 T21-6517</t>
        </is>
      </c>
      <c r="C299" t="inlineStr">
        <is>
          <t>￥13,582</t>
        </is>
      </c>
      <c r="D299" t="inlineStr">
        <is>
          <t>4.8</t>
        </is>
      </c>
      <c r="E299">
        <f>HYPERLINK("https://www.amazon.co.jp/tech21-%E3%83%81%E3%82%A7%E3%83%83%E3%82%AF%E3%82%B1%E3%83%BC%E3%82%B9-Apple-iPhone-T21-6517/dp/B07GYYSCPC/ref=sr_1_279?__mk_ja_JP=%E3%82%AB%E3%82%BF%E3%82%AB%E3%83%8A&amp;dchild=1&amp;keywords=iphone+x&amp;qid=1598525127&amp;sr=8-279", "Go")</f>
        <v/>
      </c>
    </row>
    <row r="300">
      <c r="A300" s="1" t="n">
        <v>298</v>
      </c>
      <c r="B300" t="inlineStr">
        <is>
          <t>Kate spade ケイトスペード アウトレット ハードシェル iPhone7/8 ケース KS101DFRC [並行輸入品]</t>
        </is>
      </c>
      <c r="C300" t="inlineStr">
        <is>
          <t>￥21,054</t>
        </is>
      </c>
      <c r="D300" t="inlineStr">
        <is>
          <t>4.8</t>
        </is>
      </c>
      <c r="E300">
        <f>HYPERLINK("https://www.amazon.co.jp/Kate-spade-%E3%82%B1%E3%82%A4%E3%83%88%E3%82%B9%E3%83%9A%E3%83%BC%E3%83%89-iPhone7-KS101DFRC/dp/B07DZV6P63/ref=sr_1_280?__mk_ja_JP=%E3%82%AB%E3%82%BF%E3%82%AB%E3%83%8A&amp;dchild=1&amp;keywords=iphone+x&amp;qid=1598525127&amp;sr=8-280", "Go")</f>
        <v/>
      </c>
    </row>
    <row r="301">
      <c r="A301" s="1" t="n">
        <v>299</v>
      </c>
      <c r="B301" t="inlineStr">
        <is>
          <t>ケイト・スペード ニューヨーク 防御ハードシェルケース iPhone 11 KSIPH-134-PDGPC</t>
        </is>
      </c>
      <c r="C301" t="inlineStr">
        <is>
          <t>￥22,386</t>
        </is>
      </c>
      <c r="D301" t="inlineStr">
        <is>
          <t>4.7</t>
        </is>
      </c>
      <c r="E301">
        <f>HYPERLINK("https://www.amazon.co.jp/%E3%82%B1%E3%82%A4%E3%83%88%E3%83%BB%E3%82%B9%E3%83%9A%E3%83%BC%E3%83%89-%E3%83%8B%E3%83%A5%E3%83%BC%E3%83%A8%E3%83%BC%E3%82%AF-%E9%98%B2%E5%BE%A1%E3%83%8F%E3%83%BC%E3%83%89%E3%82%B7%E3%82%A7%E3%83%AB%E3%82%B1%E3%83%BC%E3%82%B9-iPhone-KSIPH-134-PDGPC/dp/B07V9PR7JM/ref=sr_1_281?__mk_ja_JP=%E3%82%AB%E3%82%BF%E3%82%AB%E3%83%8A&amp;dchild=1&amp;keywords=iphone+x&amp;qid=1598525127&amp;sr=8-281", "Go")</f>
        <v/>
      </c>
    </row>
    <row r="302">
      <c r="A302" s="1" t="n">
        <v>300</v>
      </c>
      <c r="B302" t="inlineStr">
        <is>
          <t>【2020進化版】iPhone イヤホン 変換 アダプタ lightning 3.5mm イヤホン 変換ケーブル 2in1 音楽再生急速充電 iPhone SE 2/11Pro Max/11Pro/11/XS MAX/XS/XR/X/8 Plus/8/7 Plus/7(IOS12/13に対応)</t>
        </is>
      </c>
      <c r="C302" t="inlineStr">
        <is>
          <t>￥899</t>
        </is>
      </c>
      <c r="D302" t="inlineStr">
        <is>
          <t>4.7</t>
        </is>
      </c>
      <c r="E302">
        <f>HYPERLINK("https://www.amazon.co.jp/%E3%80%902020%E9%80%B2%E5%8C%96%E7%89%88%E3%80%91iPhone-lightning-%E5%A4%89%E6%8F%9B%E3%82%B1%E3%83%BC%E3%83%96%E3%83%AB-%E9%9F%B3%E6%A5%BD%E5%86%8D%E7%94%9F%E6%80%A5%E9%80%9F%E5%85%85%E9%9B%BB-iPhone/dp/B08DLQQTVD/ref=sr_1_282?__mk_ja_JP=%E3%82%AB%E3%82%BF%E3%82%AB%E3%83%8A&amp;dchild=1&amp;keywords=iphone+x&amp;qid=1598525127&amp;sr=8-282", "Go")</f>
        <v/>
      </c>
    </row>
    <row r="303">
      <c r="A303" s="1" t="n">
        <v>301</v>
      </c>
      <c r="B303" t="inlineStr">
        <is>
          <t>【2枚セット】iPhone 11 / iPhone XR 用 全面保護フィルム 強化ガラス 【ガイド枠付き/ケースに干渉しない】保護フィルム （ 6.1 インチ iPhone11 / iPhoneXR 用 フィルム ） (iPhone 11(6.1"))</t>
        </is>
      </c>
      <c r="C303" t="inlineStr">
        <is>
          <t>￥899</t>
        </is>
      </c>
      <c r="D303" t="inlineStr">
        <is>
          <t>4.7</t>
        </is>
      </c>
      <c r="E303">
        <f>HYPERLINK("https://www.amazon.co.jp/%E3%80%902%E6%9E%9A%E3%82%BB%E3%83%83%E3%83%88%E3%80%91iPhone-%E5%85%A8%E9%9D%A2%E4%BF%9D%E8%AD%B7%E3%83%95%E3%82%A3%E3%83%AB%E3%83%A0-%E3%82%B1%E3%83%BC%E3%82%B9%E3%81%AB%E5%B9%B2%E6%B8%89%E3%81%97%E3%81%AA%E3%81%84%E3%80%91%E4%BF%9D%E8%AD%B7%E3%83%95%E3%82%A3%E3%83%AB%E3%83%A0-iPhone11-iPhoneXR/dp/B086D8MLXL/ref=sr_1_283?__mk_ja_JP=%E3%82%AB%E3%82%BF%E3%82%AB%E3%83%8A&amp;dchild=1&amp;keywords=iphone+x&amp;qid=1598525127&amp;sr=8-283", "Go")</f>
        <v/>
      </c>
    </row>
    <row r="304">
      <c r="A304" s="1" t="n">
        <v>302</v>
      </c>
      <c r="B304" t="inlineStr">
        <is>
          <t>レトロBluetoothスピーカー、ヴィンテージラジオ-Greadio FMラジオ、昔ながらのクラシックスタイル、強力な低音強化、大音量、Bluetooth 4.2ワイヤレス接続、TFカード、MP3プレーヤー（ピンク）</t>
        </is>
      </c>
      <c r="C304" t="inlineStr">
        <is>
          <t>￥5,499</t>
        </is>
      </c>
      <c r="D304" t="inlineStr">
        <is>
          <t>4.7</t>
        </is>
      </c>
      <c r="E304">
        <f>HYPERLINK("https://www.amazon.co.jp/Greadio-GR919P-%E3%83%AC%E3%83%88%E3%83%ADBluetooth%E3%82%B9%E3%83%94%E3%83%BC%E3%82%AB%E3%83%BC%E3%80%81%E3%83%B4%E3%82%A3%E3%83%B3%E3%83%86%E3%83%BC%E3%82%B8%E3%83%A9%E3%82%B8%E3%82%AA-Greadio-FM%E3%83%A9%E3%82%B8%E3%82%AA%E3%80%81%E6%98%94%E3%81%AA%E3%81%8C%E3%82%89%E3%81%AE%E3%82%AF%E3%83%A9%E3%82%B7%E3%83%83%E3%82%AF%E3%82%B9%E3%82%BF%E3%82%A4%E3%83%AB%E3%80%81%E5%BC%B7%E5%8A%9B%E3%81%AA%E4%BD%8E%E9%9F%B3%E5%BC%B7%E5%8C%96%E3%80%81%E5%A4%A7%E9%9F%B3%E9%87%8F%E3%80%81Bluetooth-4-2%E3%83%AF%E3%82%A4%E3%83%A4%E3%83%AC%E3%82%B9%E6%8E%A5%E7%B6%9A%E3%80%81TF%E3%82%AB%E3%83%BC%E3%83%89%E3%80%81MP3%E3%83%97%E3%83%AC%E3%83%BC%E3%83%A4%E3%83%BC%EF%BC%88%E3%83%94%E3%83%B3%E3%82%AF%EF%BC%89/dp/B07TDLK8HM/ref=sr_1_284?__mk_ja_JP=%E3%82%AB%E3%82%BF%E3%82%AB%E3%83%8A&amp;dchild=1&amp;keywords=iphone+x&amp;qid=1598525127&amp;sr=8-284", "Go")</f>
        <v/>
      </c>
    </row>
    <row r="305">
      <c r="A305" s="1" t="n">
        <v>303</v>
      </c>
      <c r="B305" t="inlineStr">
        <is>
          <t>iPhone 11 ガラスフィルム【覗き見防止】iPhone XR 強化ガラスフィルム日本製素材旭硝子製 プライバシー防止 / 硬度9H / 99%高透過率/防指紋/自動吸着/スクラッチ防止/気泡ゼロ/飛散防止処理 iPhone 11 / XR 液晶保護フィルム</t>
        </is>
      </c>
      <c r="C305" t="inlineStr">
        <is>
          <t>￥999</t>
        </is>
      </c>
      <c r="D305" t="inlineStr">
        <is>
          <t>4.7</t>
        </is>
      </c>
      <c r="E305">
        <f>HYPERLINK("https://www.amazon.co.jp/%E3%82%AC%E3%83%A9%E3%82%B9%E3%83%95%E3%82%A3%E3%83%AB%E3%83%A0%E3%80%90%E8%A6%97%E3%81%8D%E8%A6%8B%E9%98%B2%E6%AD%A2%E3%80%91iPhone-%E5%BC%B7%E5%8C%96%E3%82%AC%E3%83%A9%E3%82%B9%E3%83%95%E3%82%A3%E3%83%AB%E3%83%A0%E6%97%A5%E6%9C%AC%E8%A3%BD%E7%B4%A0%E6%9D%90%E6%97%AD%E7%A1%9D%E5%AD%90%E8%A3%BD-%E3%83%97%E3%83%A9%E3%82%A4%E3%83%90%E3%82%B7%E3%83%BC%E9%98%B2%E6%AD%A2-99-%E9%AB%98%E9%80%8F%E9%81%8E%E7%8E%87-%E6%B6%B2%E6%99%B6%E4%BF%9D%E8%AD%B7%E3%83%95%E3%82%A3%E3%83%AB%E3%83%A0/dp/B085PZQVY7/ref=sr_1_285?__mk_ja_JP=%E3%82%AB%E3%82%BF%E3%82%AB%E3%83%8A&amp;dchild=1&amp;keywords=iphone+x&amp;qid=1598525127&amp;sr=8-285", "Go")</f>
        <v/>
      </c>
    </row>
    <row r="306">
      <c r="A306" s="1" t="n">
        <v>304</v>
      </c>
      <c r="B306" t="inlineStr">
        <is>
          <t>Case-Mate iPhoneケース (iPhone XS/iPhone X) ハード スマホケース カバー [耐衝撃・ワイヤレス充電対応・ハイブリッド・二重構造] 透明 キラキラ 金箔 カラット ローズゴールド</t>
        </is>
      </c>
      <c r="C306" t="inlineStr">
        <is>
          <t>￥999</t>
        </is>
      </c>
      <c r="D306" t="inlineStr">
        <is>
          <t>5</t>
        </is>
      </c>
      <c r="E306">
        <f>HYPERLINK("https://www.amazon.co.jp/Case-Mate-%E3%83%AF%E3%82%A4%E3%83%A4%E3%83%AC%E3%82%B9%E5%85%85%E9%9B%BB%E5%AF%BE%E5%BF%9C-%E3%83%AD%E3%83%BC%E3%82%BA%E3%82%B4%E3%83%BC%E3%83%AB%E3%83%89-%E7%B1%B3%E8%BB%8DMIL%E8%A6%8F%E6%A0%BC%E6%BA%96%E6%8B%A0-CM036248/dp/B074HTD8ZN/ref=sr_1_286?__mk_ja_JP=%E3%82%AB%E3%82%BF%E3%82%AB%E3%83%8A&amp;dchild=1&amp;keywords=iphone+x&amp;qid=1598525127&amp;sr=8-286", "Go")</f>
        <v/>
      </c>
    </row>
    <row r="307">
      <c r="A307" s="1" t="n">
        <v>305</v>
      </c>
      <c r="B307" t="inlineStr">
        <is>
          <t>【端浮き防止 気泡ゼロ】2枚セット Euppom iPhone11/Xr ガラスフィルム 全面保護 フィルム iPhoneXr 強化ガラスフィルム 日本材旭硝子製 高透過率 貼り付け補助器付き (iPhone11/Xr兼用)</t>
        </is>
      </c>
      <c r="C307" t="inlineStr">
        <is>
          <t>￥998</t>
        </is>
      </c>
      <c r="D307" t="inlineStr">
        <is>
          <t>4.7</t>
        </is>
      </c>
      <c r="E307">
        <f>HYPERLINK("https://www.amazon.co.jp/Protection-Tempered-Transmittance-Adhesive-Auxiliary/dp/B08CQZLM8P/ref=sr_1_287?__mk_ja_JP=%E3%82%AB%E3%82%BF%E3%82%AB%E3%83%8A&amp;dchild=1&amp;keywords=iphone+x&amp;qid=1598525127&amp;sr=8-287", "Go")</f>
        <v/>
      </c>
    </row>
    <row r="308">
      <c r="A308" s="1" t="n">
        <v>306</v>
      </c>
      <c r="B308" t="inlineStr">
        <is>
          <t>LakiBeibi iPhone 11用携帯電話ケース デュアルレイヤー 軽量プレミアムレザー iPhone 11 ウォレットケース カードスロット付き マグネットロック 二つ折りフリップ保護ケース Apple iPhone 11 6.1インチ (2019) 用</t>
        </is>
      </c>
      <c r="C308" t="inlineStr">
        <is>
          <t>￥14,060</t>
        </is>
      </c>
      <c r="D308" t="inlineStr">
        <is>
          <t>4.7</t>
        </is>
      </c>
      <c r="E308">
        <f>HYPERLINK("https://www.amazon.co.jp/LakiBeibi-11%E7%94%A8%E6%90%BA%E5%B8%AF%E9%9B%BB%E8%A9%B1%E3%82%B1%E3%83%BC%E3%82%B9-%E8%BB%BD%E9%87%8F%E3%83%97%E3%83%AC%E3%83%9F%E3%82%A2%E3%83%A0%E3%83%AC%E3%82%B6%E3%83%BC-%E3%82%AB%E3%83%BC%E3%83%89%E3%82%B9%E3%83%AD%E3%83%83%E3%83%88%E4%BB%98%E3%81%8D-%E4%BA%8C%E3%81%A4%E6%8A%98%E3%82%8A%E3%83%95%E3%83%AA%E3%83%83%E3%83%97%E4%BF%9D%E8%AD%B7%E3%82%B1%E3%83%BC%E3%82%B9/dp/B07XQS4HDW/ref=sr_1_288?__mk_ja_JP=%E3%82%AB%E3%82%BF%E3%82%AB%E3%83%8A&amp;dchild=1&amp;keywords=iphone+x&amp;qid=1598525127&amp;sr=8-288", "Go")</f>
        <v/>
      </c>
    </row>
    <row r="309">
      <c r="A309" s="1" t="n">
        <v>307</v>
      </c>
      <c r="B309" t="inlineStr">
        <is>
          <t>iFace First Class ポケモン iPhone SE(2020モデル)/8/7 ケース 耐衝撃 [でんきタイプ]</t>
        </is>
      </c>
      <c r="C309" t="inlineStr">
        <is>
          <t>￥4,980</t>
        </is>
      </c>
      <c r="D309" t="inlineStr">
        <is>
          <t>4.7</t>
        </is>
      </c>
      <c r="E309">
        <f>HYPERLINK("https://www.amazon.co.jp/iFace-First-Class-iPhone8-%E3%81%A7%E3%82%93%E3%81%8D%E3%82%BF%E3%82%A4%E3%83%97/dp/B01N4SBQ2P/ref=sr_1_289?__mk_ja_JP=%E3%82%AB%E3%82%BF%E3%82%AB%E3%83%8A&amp;dchild=1&amp;keywords=iphone+x&amp;qid=1598525127&amp;sr=8-289", "Go")</f>
        <v/>
      </c>
    </row>
    <row r="310">
      <c r="A310" s="1" t="n">
        <v>308</v>
      </c>
      <c r="B310" t="inlineStr">
        <is>
          <t>QUAD LOCK(クアッド ロック) TPU・ポリカーボネイト製ケース - iPhone 5/5S/SE用 QLC-IP5-B</t>
        </is>
      </c>
      <c r="C310" t="inlineStr">
        <is>
          <t>￥1,480</t>
        </is>
      </c>
      <c r="D310" t="inlineStr">
        <is>
          <t>4.7</t>
        </is>
      </c>
      <c r="E310">
        <f>HYPERLINK("https://www.amazon.co.jp/QUAD-LOCK-%E3%82%AF%E3%82%A2%E3%83%83%E3%83%89-%E3%83%AD%E3%83%83%E3%82%AF-TPU%E3%83%BB%E3%83%9D%E3%83%AA%E3%82%AB%E3%83%BC%E3%83%9C%E3%83%8D%E3%82%A4%E3%83%88%E8%A3%BD%E3%82%B1%E3%83%BC%E3%82%B9/dp/B00CXGFE1E/ref=sr_1_290?__mk_ja_JP=%E3%82%AB%E3%82%BF%E3%82%AB%E3%83%8A&amp;dchild=1&amp;keywords=iphone+x&amp;qid=1598525127&amp;sr=8-290", "Go")</f>
        <v/>
      </c>
    </row>
    <row r="311">
      <c r="A311" s="1" t="n">
        <v>309</v>
      </c>
      <c r="B311" t="inlineStr">
        <is>
          <t>JPARR 新開発 LEDリングライト 三脚一脚兼用 自撮り棒 6インチ 5段階伸縮 92cmまで伸びる 照明キット 3色9段階調光可能 iPhone/Androidに対応 乾電池タイプ USB充電可 360度回転可能 遠隔操作 高輝度 照明 Youtube TikTok インスタグラム ビデオ 自撮り 物撮り 美容化粧 撮影 生写真 軽量 メーカー1年保証</t>
        </is>
      </c>
      <c r="C311" t="inlineStr">
        <is>
          <t>￥2,699</t>
        </is>
      </c>
      <c r="D311" t="inlineStr">
        <is>
          <t>4.8</t>
        </is>
      </c>
      <c r="E311">
        <f>HYPERLINK("https://www.amazon.co.jp/JPARR-LED%E3%83%AA%E3%83%B3%E3%82%B0%E3%83%A9%E3%82%A4%E3%83%88-92cm%E3%81%BE%E3%81%A7%E4%BC%B8%E3%81%B3%E3%82%8B-3%E8%89%B29%E6%AE%B5%E9%9A%8E%E8%AA%BF%E5%85%89%E5%8F%AF%E8%83%BD-Android%E3%81%AB%E5%AF%BE%E5%BF%9C/dp/B089YKD6K4/ref=sr_1_291?__mk_ja_JP=%E3%82%AB%E3%82%BF%E3%82%AB%E3%83%8A&amp;dchild=1&amp;keywords=iphone+x&amp;qid=1598525127&amp;sr=8-291", "Go")</f>
        <v/>
      </c>
    </row>
    <row r="312">
      <c r="A312" s="1" t="n">
        <v>310</v>
      </c>
      <c r="B312" t="inlineStr">
        <is>
          <t>JIAXIUFEN iPhone 11ケース シャイニーマーブル スリム 耐衝撃 フレキシブル バンパー TPU ソフトケース ゴムシリコンカバー iPhone 11 2019 6.1インチ jxf-ip11-61-dls-jinfen lanzi</t>
        </is>
      </c>
      <c r="C312" t="inlineStr">
        <is>
          <t>￥7,966</t>
        </is>
      </c>
      <c r="D312" t="inlineStr">
        <is>
          <t>4.7</t>
        </is>
      </c>
      <c r="E312">
        <f>HYPERLINK("https://www.amazon.co.jp/dp/B0814KM8CK/ref=sr_1_292?__mk_ja_JP=%E3%82%AB%E3%82%BF%E3%82%AB%E3%83%8A&amp;dchild=1&amp;keywords=iphone+x&amp;qid=1598525127&amp;sr=8-292", "Go")</f>
        <v/>
      </c>
    </row>
    <row r="313">
      <c r="A313" s="1" t="n">
        <v>311</v>
      </c>
      <c r="B313" t="inlineStr">
        <is>
          <t>スマホケース iPhone xs x ケース iPhoneケース あいほんてんケース アイフォンケース カード 耐衝撃 iPhonex iPhonexs アイフォンxs あいふぉんてん 背面 カバー ブラック</t>
        </is>
      </c>
      <c r="C313" t="inlineStr">
        <is>
          <t>￥1,299</t>
        </is>
      </c>
      <c r="D313" t="inlineStr">
        <is>
          <t>4</t>
        </is>
      </c>
      <c r="E313">
        <f>HYPERLINK("https://www.amazon.co.jp/iPhone%E3%82%B1%E3%83%BC%E3%82%B9-%E3%81%82%E3%81%84%E3%81%BB%E3%82%93%E3%81%A6%E3%82%93%E3%82%B1%E3%83%BC%E3%82%B9-%E3%82%A2%E3%82%A4%E3%83%95%E3%82%A9%E3%83%B3%E3%82%B1%E3%83%BC%E3%82%B9-iPhonex-iPhonexs/dp/B081GR54L3/ref=sr_1_289_sspa?__mk_ja_JP=%E3%82%AB%E3%82%BF%E3%82%AB%E3%83%8A&amp;dchild=1&amp;keywords=iphone+x&amp;qid=1598525346&amp;sr=8-289-spons&amp;psc=1&amp;spLa=ZW5jcnlwdGVkUXVhbGlmaWVyPUEyQ0tVMkFCRjYyRlNCJmVuY3J5cHRlZElkPUEwMzcyOTMzM0QyMzNEMjY1MlFNTiZlbmNyeXB0ZWRBZElkPUFRRU1WUVVYTUpNVDQmd2lkZ2V0TmFtZT1zcF9hdGZfbmV4dCZhY3Rpb249Y2xpY2tSZWRpcmVjdCZkb05vdExvZ0NsaWNrPXRydWU=", "Go")</f>
        <v/>
      </c>
    </row>
    <row r="314">
      <c r="A314" s="1" t="n">
        <v>312</v>
      </c>
      <c r="B314" t="inlineStr">
        <is>
          <t>MOFT X 最薄クラス iPhone Android スマホスタンド スマホホルダー スキミング防止カードケース (グレー)</t>
        </is>
      </c>
      <c r="C314" t="inlineStr">
        <is>
          <t>￥2,231</t>
        </is>
      </c>
      <c r="D314" t="inlineStr">
        <is>
          <t>4.3</t>
        </is>
      </c>
      <c r="E314">
        <f>HYPERLINK("https://www.amazon.co.jp/MOFT-Android-%E3%82%B9%E3%83%9E%E3%83%9B%E3%82%B9%E3%82%BF%E3%83%B3%E3%83%89-%E3%82%B9%E3%83%9E%E3%83%9B%E3%83%9B%E3%83%AB%E3%83%80%E3%83%BC-%E3%82%B9%E3%82%AD%E3%83%9F%E3%83%B3%E3%82%B0%E9%98%B2%E6%AD%A2%E3%82%AB%E3%83%BC%E3%83%89%E3%82%B1%E3%83%BC%E3%82%B9/dp/B085QDYVB7/ref=sr_1_290_sspa?__mk_ja_JP=%E3%82%AB%E3%82%BF%E3%82%AB%E3%83%8A&amp;dchild=1&amp;keywords=iphone+x&amp;qid=1598525346&amp;sr=8-290-spons&amp;psc=1&amp;spLa=ZW5jcnlwdGVkUXVhbGlmaWVyPUEyQ0tVMkFCRjYyRlNCJmVuY3J5cHRlZElkPUEwMzcyOTMzM0QyMzNEMjY1MlFNTiZlbmNyeXB0ZWRBZElkPUFOWkhTVEhSUjFXNE4md2lkZ2V0TmFtZT1zcF9hdGZfbmV4dCZhY3Rpb249Y2xpY2tSZWRpcmVjdCZkb05vdExvZ0NsaWNrPXRydWU=", "Go")</f>
        <v/>
      </c>
    </row>
    <row r="315">
      <c r="A315" s="1" t="n">
        <v>313</v>
      </c>
      <c r="B315" t="inlineStr">
        <is>
          <t>LINKSYS メッシュ Wi-Fi6 無線LAN ルーター MX5300 11ax/11ac AX5300 2400+1733+1147Mbps【iPhone11/11 Pro対応】【国内正規品】</t>
        </is>
      </c>
      <c r="C315" t="inlineStr">
        <is>
          <t>￥46,818</t>
        </is>
      </c>
      <c r="D315" t="inlineStr">
        <is>
          <t>4.1</t>
        </is>
      </c>
      <c r="E315">
        <f>HYPERLINK("https://www.amazon.co.jp/LINKSYS-Wi-Fi6-MX5300-1147Mbps%E3%80%90iPhone11-Pro%E5%AF%BE%E5%BF%9C%E3%80%91%E3%80%90%E5%9B%BD%E5%86%85%E6%AD%A3%E8%A6%8F%E5%93%81%E3%80%91/dp/B0842K2B8X/ref=sr_1_291_sspa?__mk_ja_JP=%E3%82%AB%E3%82%BF%E3%82%AB%E3%83%8A&amp;dchild=1&amp;keywords=iphone+x&amp;qid=1598525346&amp;sr=8-291-spons&amp;psc=1&amp;spLa=ZW5jcnlwdGVkUXVhbGlmaWVyPUEyQ0tVMkFCRjYyRlNCJmVuY3J5cHRlZElkPUEwMzcyOTMzM0QyMzNEMjY1MlFNTiZlbmNyeXB0ZWRBZElkPUEyVU9WSUpQMUNUVzhEJndpZGdldE5hbWU9c3BfYXRmX25leHQmYWN0aW9uPWNsaWNrUmVkaXJlY3QmZG9Ob3RMb2dDbGljaz10cnVl", "Go")</f>
        <v/>
      </c>
    </row>
    <row r="316">
      <c r="A316" s="1" t="n">
        <v>314</v>
      </c>
      <c r="B316" t="inlineStr">
        <is>
          <t>Salawat iPhone Xs Max ケース クリア iPhone Xs Max ケース キュート 傷防止 スリム 電話ケース カバー 強化 TPU バンパー 耐衝撃 保護ケース iPhone Xs Max 6.5インチ2018用 ゴールド XSPFS06</t>
        </is>
      </c>
      <c r="C316" t="inlineStr">
        <is>
          <t>￥1,189</t>
        </is>
      </c>
      <c r="D316" t="inlineStr">
        <is>
          <t>4.7</t>
        </is>
      </c>
      <c r="E316">
        <f>HYPERLINK("https://www.amazon.co.jp/Salawat-iPhone-%E9%9B%BB%E8%A9%B1%E3%82%B1%E3%83%BC%E3%82%B9-6-5%E3%82%A4%E3%83%B3%E3%83%812018%E7%94%A8-XSPFS06/dp/B07RV1293Z/ref=sr_1_293?__mk_ja_JP=%E3%82%AB%E3%82%BF%E3%82%AB%E3%83%8A&amp;dchild=1&amp;keywords=iphone+x&amp;qid=1598525346&amp;sr=8-293", "Go")</f>
        <v/>
      </c>
    </row>
    <row r="317">
      <c r="A317" s="1" t="n">
        <v>315</v>
      </c>
      <c r="B317" t="inlineStr">
        <is>
          <t>tech21(テック21) Evo Gem(エボジェム) iPhoneXとiPhoneXs 用携帯電話保護ケース - 2mドロッププロテクション</t>
        </is>
      </c>
      <c r="C317" t="inlineStr">
        <is>
          <t>￥2,125</t>
        </is>
      </c>
      <c r="D317" t="inlineStr">
        <is>
          <t>4.7</t>
        </is>
      </c>
      <c r="E317">
        <f>HYPERLINK("https://www.amazon.co.jp/Tech21-Evo-%E3%82%B8%E3%82%A7%E3%83%A0%E3%82%B1%E3%83%BC%E3%82%B9-iPhone-%E3%82%B9%E3%83%9A%E3%83%BC%E3%82%B9%E3%82%B0%E3%83%AC%E3%83%BC/dp/B07FGGDX2Q/ref=sr_1_294?__mk_ja_JP=%E3%82%AB%E3%82%BF%E3%82%AB%E3%83%8A&amp;dchild=1&amp;keywords=iphone+x&amp;qid=1598525346&amp;sr=8-294", "Go")</f>
        <v/>
      </c>
    </row>
    <row r="318">
      <c r="A318" s="1" t="n">
        <v>316</v>
      </c>
      <c r="B318" t="inlineStr">
        <is>
          <t>SHINEZONE スポーツアームバンド ランニング アームバンド360°回転式 スマホ腕ホルダー スマホ 腕バンド 通気 4.7-6.5インチ通気性抜群 防汗 調節可能 夜間反射 縫い目なし男女共用 対応 4.7~6.5インチのスマホに対応 iPhone 11 Pro/11 Pro Max/11/XS/XR/X/8/7/7 Plus /Xperia 1/Xperia 1 II /AQUOS sense3 lite/Redmi Note 9S等多機種対応 （ブラック）</t>
        </is>
      </c>
      <c r="C318" t="inlineStr">
        <is>
          <t>￥2,289</t>
        </is>
      </c>
      <c r="D318" t="inlineStr">
        <is>
          <t>4.8</t>
        </is>
      </c>
      <c r="E318">
        <f>HYPERLINK("https://www.amazon.co.jp/SHINEZONE-%E3%82%B9%E3%83%9D%E3%83%BC%E3%83%84%E3%82%A2%E3%83%BC%E3%83%A0%E3%83%90%E3%83%B3%E3%83%89-%E3%82%A2%E3%83%BC%E3%83%A0%E3%83%90%E3%83%B3%E3%83%89360%C2%B0%E5%9B%9E%E8%BB%A2%E5%BC%8F-4-7-6-5%E3%82%A4%E3%83%B3%E3%83%81%E9%80%9A%E6%B0%97%E6%80%A7%E6%8A%9C%E7%BE%A4-4-7-6-5%E3%82%A4%E3%83%B3%E3%83%81%E3%81%AE%E3%82%B9%E3%83%9E%E3%83%9B%E3%81%AB%E5%AF%BE%E5%BF%9C/dp/B08C7J5MS9/ref=sr_1_295?__mk_ja_JP=%E3%82%AB%E3%82%BF%E3%82%AB%E3%83%8A&amp;dchild=1&amp;keywords=iphone+x&amp;qid=1598525346&amp;sr=8-295", "Go")</f>
        <v/>
      </c>
    </row>
    <row r="319">
      <c r="A319" s="1" t="n">
        <v>317</v>
      </c>
      <c r="B319" t="inlineStr">
        <is>
          <t>Ulanzi 携帯電話三脚マウントアダプター コールドシュー付き 金属製携帯電話三脚アダプター アルミニウム合金 垂直 1/4インチねじ対応 OSMO ポケット iPhone 11 Pro Max XS Max XR 8 7 Plus Google OnePlus 7 Pro対応</t>
        </is>
      </c>
      <c r="C319" t="inlineStr">
        <is>
          <t>￥3,200</t>
        </is>
      </c>
      <c r="D319" t="inlineStr">
        <is>
          <t>4.9</t>
        </is>
      </c>
      <c r="E319">
        <f>HYPERLINK("https://www.amazon.co.jp/ulanzi-st-02s%E3%83%A1%E3%82%BF%E3%83%AB%E9%9B%BB%E8%A9%B1%E4%B8%89%E8%84%9A%E3%83%9E%E3%82%A6%E3%83%B3%E3%83%88%E3%80%81%E3%83%A6%E3%83%8B%E3%83%90%E3%83%BC%E3%82%B5%E3%83%AB%E9%9B%BB%E8%A9%B1%E4%B8%89%E8%84%9A%E3%83%9B%E3%83%AB%E3%83%80%E3%83%BC%E3%83%9E%E3%82%A6%E3%83%B3%E3%83%88%E3%83%A1%E3%82%BF%E3%83%AB%E8%AA%BF%E7%AF%80%E5%8F%AF%E8%83%BD%E3%81%AA%E9%9B%BB%E8%A9%B1%E3%82%AF%E3%83%AA%E3%83%83%E3%83%97with-4%E3%82%A4%E3%83%B3%E3%83%81%E3%81%AD%E3%81%98for-iPhone-%E6%9B%B4%E6%96%B0%E3%81%95%E3%82%8C%E3%81%9F%E3%83%90%E3%83%BC%E3%82%B8%E3%83%A7%E3%83%B3/dp/B07D98JKTC/ref=sr_1_296?__mk_ja_JP=%E3%82%AB%E3%82%BF%E3%82%AB%E3%83%8A&amp;dchild=1&amp;keywords=iphone+x&amp;qid=1598525346&amp;sr=8-296", "Go")</f>
        <v/>
      </c>
    </row>
    <row r="320">
      <c r="A320" s="1" t="n">
        <v>318</v>
      </c>
      <c r="B320" t="inlineStr">
        <is>
          <t>USBカメラアダプター 対応機種: iPhone X、Xr、Xs、8 Plus、8、7 Plus、7、6s、6s Plus、6 Plus、5、5s、5se、iPad Mini、Air、メスアダプターケーブル USB電源インターフェースデータ同期充電ケーブル QTC06Q190G4013</t>
        </is>
      </c>
      <c r="C320" t="inlineStr">
        <is>
          <t>￥50,667から1個のオプション</t>
        </is>
      </c>
      <c r="D320" t="inlineStr">
        <is>
          <t>4.7</t>
        </is>
      </c>
      <c r="E320">
        <f>HYPERLINK("https://www.amazon.co.jp/USB%E3%82%AB%E3%83%A1%E3%83%A9%E3%82%A2%E3%83%80%E3%83%97%E3%82%BF%E3%83%BC-%E5%AF%BE%E5%BF%9C%E6%A9%9F%E7%A8%AE-Plus%E3%80%815%E3%80%815s%E3%80%815se%E3%80%81iPad-Mini%E3%80%81Air%E3%80%81%E3%83%A1%E3%82%B9%E3%82%A2%E3%83%80%E3%83%97%E3%82%BF%E3%83%BC%E3%82%B1%E3%83%BC%E3%83%96%E3%83%AB-USB%E9%9B%BB%E6%BA%90%E3%82%A4%E3%83%B3%E3%82%BF%E3%83%BC%E3%83%95%E3%82%A7%E3%83%BC%E3%82%B9%E3%83%87%E3%83%BC%E3%82%BF%E5%90%8C%E6%9C%9F%E5%85%85%E9%9B%BB%E3%82%B1%E3%83%BC%E3%83%96%E3%83%AB/dp/B01GZUQNAO/ref=sr_1_297?__mk_ja_JP=%E3%82%AB%E3%82%BF%E3%82%AB%E3%83%8A&amp;dchild=1&amp;keywords=iphone+x&amp;qid=1598525346&amp;sr=8-297", "Go")</f>
        <v/>
      </c>
    </row>
    <row r="321">
      <c r="A321" s="1" t="n">
        <v>319</v>
      </c>
      <c r="B321" t="inlineStr">
        <is>
          <t>公式USB-Cアダプター Type-C - USB 3.0アダプター MacBook Pro、Google Pixel、Nexus 6P 5X、LG G5、HTC 10用</t>
        </is>
      </c>
      <c r="C321" t="inlineStr">
        <is>
          <t>￥1,200</t>
        </is>
      </c>
      <c r="D321" t="inlineStr">
        <is>
          <t>4.7</t>
        </is>
      </c>
      <c r="E321">
        <f>HYPERLINK("https://www.amazon.co.jp/%E5%85%AC%E5%BC%8FUSB-C%E3%82%A2%E3%83%80%E3%83%97%E3%82%BF%E3%83%BC-Type-C%E3%81%8B%E3%82%89USB-3-0%E3%81%B8%E3%81%AE%E3%82%A2%E3%83%80%E3%83%97%E3%82%BF%E3%83%BC-Pro%E3%80%81Google-Pixel%E3%80%81Nexus/dp/B071G6NLHJ/ref=sr_1_298?__mk_ja_JP=%E3%82%AB%E3%82%BF%E3%82%AB%E3%83%8A&amp;dchild=1&amp;keywords=iphone+x&amp;qid=1598525346&amp;sr=8-298", "Go")</f>
        <v/>
      </c>
    </row>
    <row r="322">
      <c r="A322" s="1" t="n">
        <v>320</v>
      </c>
      <c r="B322" t="inlineStr">
        <is>
          <t>KAERSI 携帯電話スタンド B1</t>
        </is>
      </c>
      <c r="C322" t="inlineStr">
        <is>
          <t>￥8,383</t>
        </is>
      </c>
      <c r="D322" t="inlineStr">
        <is>
          <t>4.7</t>
        </is>
      </c>
      <c r="E322">
        <f>HYPERLINK("https://www.amazon.co.jp/KAERSI-%E6%90%BA%E5%B8%AF%E9%9B%BB%E8%A9%B1%E3%82%B9%E3%82%BF%E3%83%B3%E3%83%89-B1/dp/B087LVS3G6/ref=sr_1_299?__mk_ja_JP=%E3%82%AB%E3%82%BF%E3%82%AB%E3%83%8A&amp;dchild=1&amp;keywords=iphone+x&amp;qid=1598525346&amp;sr=8-299", "Go")</f>
        <v/>
      </c>
    </row>
    <row r="323">
      <c r="A323" s="1" t="n">
        <v>321</v>
      </c>
      <c r="B323" t="inlineStr">
        <is>
          <t>iPhone三脚マウント、コールドシュー付きアダプター - Ulanzi ST-02S携帯電話三脚マウント、三脚電話マウント、アルミニウム電話三脚アダプター、金属スマートフォン三脚マウント。</t>
        </is>
      </c>
      <c r="C323" t="inlineStr">
        <is>
          <t>￥7,905</t>
        </is>
      </c>
      <c r="D323" t="inlineStr">
        <is>
          <t>4.7</t>
        </is>
      </c>
      <c r="E323">
        <f>HYPERLINK("https://www.amazon.co.jp/%E3%83%A1%E3%82%BF%E3%83%AB%E3%82%BB%E3%83%AB%E9%9B%BB%E8%A9%B1%E4%B8%89%E8%84%9A%E3%83%9E%E3%82%A6%E3%83%B3%E3%83%88with-Shoe-%E2%80%93-ulanzi-st-02s%E3%83%A6%E3%83%8B%E3%83%90%E3%83%BC%E3%82%B5%E3%83%AB%E3%82%B9%E3%83%9E%E3%83%BC%E3%83%88%E9%9B%BB%E8%A9%B1%E4%B8%89%E8%84%9A%E3%83%9B%E3%83%AB%E3%83%80%E3%83%BC%E3%83%9E%E3%82%A6%E3%83%B3%E3%83%88%E3%82%A2%E3%83%80%E3%83%97%E3%82%BFApple-Plus%E3%80%81SAMSUNG-GALAXY%E9%9B%BB%E8%A9%B1%E3%80%81Android%E3%82%B9%E3%83%9E%E3%83%BC%E3%83%88%E3%83%95%E3%82%A9%E3%83%B3%E3%81%AA%E3%81%A9%E3%80%82/dp/B07BDCRJ38/ref=sr_1_300?__mk_ja_JP=%E3%82%AB%E3%82%BF%E3%82%AB%E3%83%8A&amp;dchild=1&amp;keywords=iphone+x&amp;qid=1598525346&amp;sr=8-300", "Go")</f>
        <v/>
      </c>
    </row>
    <row r="324">
      <c r="A324" s="1" t="n">
        <v>322</v>
      </c>
      <c r="B324" t="inlineStr">
        <is>
          <t>Tronsmart Bluetooth5.0 スピーカー 防水 40W高出力 高音質 大音量 重低音 IPX7防水 / EQ搭載/NFC操作/TWS対応 / 15時間連続再生 / 内蔵マイク/ブルートゥース スピーカー ワイヤレス ポータブル アウトドア お風呂 iPhone &amp; Android対応</t>
        </is>
      </c>
      <c r="C324" t="inlineStr">
        <is>
          <t>￥5,499</t>
        </is>
      </c>
      <c r="D324" t="inlineStr">
        <is>
          <t>4.7</t>
        </is>
      </c>
      <c r="E324">
        <f>HYPERLINK("https://www.amazon.co.jp/Tronsmart-Bluetooth5-0-15%E6%99%82%E9%96%93%E9%80%A3%E7%B6%9A%E5%86%8D%E7%94%9F-%E3%83%96%E3%83%AB%E3%83%BC%E3%83%88%E3%82%A5%E3%83%BC%E3%82%B9-Android%E5%AF%BE%E5%BF%9C/dp/B086L6QLN3/ref=sr_1_301?__mk_ja_JP=%E3%82%AB%E3%82%BF%E3%82%AB%E3%83%8A&amp;dchild=1&amp;keywords=iphone+x&amp;qid=1598525346&amp;sr=8-301", "Go")</f>
        <v/>
      </c>
    </row>
    <row r="325">
      <c r="A325" s="1" t="n">
        <v>323</v>
      </c>
      <c r="B325" t="inlineStr">
        <is>
          <t>iPhone 各機種 対応【CuVery】 iPhoneX iPhoneXS ハード クリア 透明 ケース ワイヤレス充電対応 レンズ 液晶保護 超軽量 薄型 気泡防止 アップルモチーフ ミリタリー系 旭日旗 太陽 日本 (保護ガラスなし)【デザイン】スマホ スマホケース</t>
        </is>
      </c>
      <c r="C325" t="inlineStr">
        <is>
          <t>￥1,860</t>
        </is>
      </c>
      <c r="D325" t="inlineStr">
        <is>
          <t>4.8</t>
        </is>
      </c>
      <c r="E325">
        <f>HYPERLINK("https://www.amazon.co.jp/iPhoneX-iPhoneXS-%E3%83%AF%E3%82%A4%E3%83%A4%E3%83%AC%E3%82%B9%E5%85%85%E9%9B%BB%E5%AF%BE%E5%BF%9C-%E4%BF%9D%E8%AD%B7%E3%82%AC%E3%83%A9%E3%82%B9%E3%81%AA%E3%81%97-%E3%80%90%E3%83%87%E3%82%B6%E3%82%A4%E3%83%B3%E3%80%91%E3%82%B9%E3%83%9E%E3%83%9B/dp/B07GV93F7B/ref=sr_1_302?__mk_ja_JP=%E3%82%AB%E3%82%BF%E3%82%AB%E3%83%8A&amp;dchild=1&amp;keywords=iphone+x&amp;qid=1598525346&amp;sr=8-302", "Go")</f>
        <v/>
      </c>
    </row>
    <row r="326">
      <c r="A326" s="1" t="n">
        <v>324</v>
      </c>
      <c r="B326" t="inlineStr">
        <is>
          <t>Under Armour フォンケース | Apple iPhone XR用 | Under Armour UA 保護ベルト 頑丈なデザインと落下保護 - クリア/グラファイト/ガンメタル</t>
        </is>
      </c>
      <c r="C326" t="inlineStr">
        <is>
          <t>￥4,980</t>
        </is>
      </c>
      <c r="D326" t="inlineStr">
        <is>
          <t>4.7</t>
        </is>
      </c>
      <c r="E326">
        <f>HYPERLINK("https://www.amazon.co.jp/Under-Armour-%E3%83%95%E3%82%A9%E3%83%B3%E3%82%B1%E3%83%BC%E3%82%B9-iPhone-%E9%A0%91%E4%B8%88%E3%81%AA%E3%83%87%E3%82%B6%E3%82%A4%E3%83%B3%E3%81%A8%E8%90%BD%E4%B8%8B%E4%BF%9D%E8%AD%B7/dp/B07DGLZYPJ/ref=sr_1_303?__mk_ja_JP=%E3%82%AB%E3%82%BF%E3%82%AB%E3%83%8A&amp;dchild=1&amp;keywords=iphone+x&amp;qid=1598525346&amp;sr=8-303", "Go")</f>
        <v/>
      </c>
    </row>
    <row r="327">
      <c r="A327" s="1" t="n">
        <v>325</v>
      </c>
      <c r="B327" t="inlineStr">
        <is>
          <t>kwmobile 対応: Samsung Galaxy A7 (2018) ウッド ケース - 木製 x TPUシリコン製 スマホカバー サムスン ギャラクシー</t>
        </is>
      </c>
      <c r="C327" t="inlineStr">
        <is>
          <t>￥1,090</t>
        </is>
      </c>
      <c r="D327" t="inlineStr">
        <is>
          <t>4.7</t>
        </is>
      </c>
      <c r="E327">
        <f>HYPERLINK("https://www.amazon.co.jp/kwmobile-%E4%BF%9D%E8%AD%B7%E3%82%B1%E3%83%BC%E3%82%B9-Samsung-Galaxy-%E3%83%93%E3%83%B3%E3%83%86%E3%83%BC%E3%82%B8%E3%83%87%E3%82%B6%E3%82%A4%E3%83%B3/dp/B07QBQH72D/ref=sr_1_304?__mk_ja_JP=%E3%82%AB%E3%82%BF%E3%82%AB%E3%83%8A&amp;dchild=1&amp;keywords=iphone+x&amp;qid=1598525346&amp;sr=8-304", "Go")</f>
        <v/>
      </c>
    </row>
    <row r="328">
      <c r="A328" s="1" t="n">
        <v>326</v>
      </c>
      <c r="B328" t="inlineStr">
        <is>
          <t>FITFORT バイク&amp;オートバイ用携帯電話マウント 取り外し可能な360度回転自転車電話ホルダー ハンドルバー用 ユニバーサルシリコン製自転車ホルダー iPhone 11/X/8/7/6シリーズとAndroidスマートフォンに対応</t>
        </is>
      </c>
      <c r="C328" t="inlineStr">
        <is>
          <t>￥5,361</t>
        </is>
      </c>
      <c r="D328" t="inlineStr">
        <is>
          <t>4.6</t>
        </is>
      </c>
      <c r="E328">
        <f>HYPERLINK("https://www.amazon.co.jp/FITFORT-%E3%82%AA%E3%83%BC%E3%83%88%E3%83%90%E3%82%A4%E7%94%A8%E6%90%BA%E5%B8%AF%E9%9B%BB%E8%A9%B1%E3%83%9E%E3%82%A6%E3%83%B3%E3%83%88-%E5%8F%96%E3%82%8A%E5%A4%96%E3%81%97%E5%8F%AF%E8%83%BD%E3%81%AA360%E5%BA%A6%E5%9B%9E%E8%BB%A2%E8%87%AA%E8%BB%A2%E8%BB%8A%E9%9B%BB%E8%A9%B1%E3%83%9B%E3%83%AB%E3%83%80%E3%83%BC-%E3%83%A6%E3%83%8B%E3%83%90%E3%83%BC%E3%82%B5%E3%83%AB%E3%82%B7%E3%83%AA%E3%82%B3%E3%83%B3%E8%A3%BD%E8%87%AA%E8%BB%A2%E8%BB%8A%E3%83%9B%E3%83%AB%E3%83%80%E3%83%BC-6%E3%82%B7%E3%83%AA%E3%83%BC%E3%82%BA%E3%81%A8Android%E3%82%B9%E3%83%9E%E3%83%BC%E3%83%88%E3%83%95%E3%82%A9%E3%83%B3%E3%81%AB%E5%AF%BE%E5%BF%9C/dp/B08B5ZG42D/ref=sr_1_305?__mk_ja_JP=%E3%82%AB%E3%82%BF%E3%82%AB%E3%83%8A&amp;dchild=1&amp;keywords=iphone+x&amp;qid=1598525346&amp;sr=8-305", "Go")</f>
        <v/>
      </c>
    </row>
    <row r="329">
      <c r="A329" s="1" t="n">
        <v>327</v>
      </c>
      <c r="B329" t="inlineStr">
        <is>
          <t>スマホジンバル スタビライザー 片手持ち単軸スタビライザー 自撮り棒 ５段階伸縮 垂直＆水平撮影 スマホ三脚 手振れ防止 スマホ携帯電話手持ちジンバル 折りたたみ 軽量 Bluetoothリモコン付き iPhone/Android</t>
        </is>
      </c>
      <c r="C329" t="inlineStr">
        <is>
          <t>￥4,280</t>
        </is>
      </c>
      <c r="D329" t="inlineStr">
        <is>
          <t>4.7</t>
        </is>
      </c>
      <c r="E329">
        <f>HYPERLINK("https://www.amazon.co.jp/%E3%82%B9%E3%83%9E%E3%83%9B%E3%82%B8%E3%83%B3%E3%83%90%E3%83%AB-%E3%82%B9%E3%82%BF%E3%83%93%E3%83%A9%E3%82%A4%E3%82%B6%E3%83%BC-%E7%89%87%E6%89%8B%E6%8C%81%E3%81%A1%E5%8D%98%E8%BB%B8%E3%82%B9%E3%82%BF%E3%83%93%E3%83%A9%E3%82%A4%E3%82%B6%E3%83%BC-%E3%82%B9%E3%83%9E%E3%83%9B%E6%90%BA%E5%B8%AF%E9%9B%BB%E8%A9%B1%E6%89%8B%E6%8C%81%E3%81%A1%E3%82%B8%E3%83%B3%E3%83%90%E3%83%AB-Bluetooth%E3%83%AA%E3%83%A2%E3%82%B3%E3%83%B3%E4%BB%98%E3%81%8D/dp/B08BL7WMZ1/ref=sr_1_306?__mk_ja_JP=%E3%82%AB%E3%82%BF%E3%82%AB%E3%83%8A&amp;dchild=1&amp;keywords=iphone+x&amp;qid=1598525346&amp;sr=8-306", "Go")</f>
        <v/>
      </c>
    </row>
    <row r="330">
      <c r="A330" s="1" t="n">
        <v>328</v>
      </c>
      <c r="B330" t="inlineStr">
        <is>
          <t>Hyppr PD 充電器 100W Type C 急速充電器 GaN (窒化ガリウム)採用 タイプC 2USB-Cポート【PD3.0対応/PSE認証済/折畳式/】最新のMacBook Pro 16"対応、iPhone/iPad Pro/MacBook/Surface proなどのUSB-C機器対応 (ホワイト)</t>
        </is>
      </c>
      <c r="C330" t="inlineStr">
        <is>
          <t>￥4,999</t>
        </is>
      </c>
      <c r="D330" t="inlineStr">
        <is>
          <t>4.7</t>
        </is>
      </c>
      <c r="E330">
        <f>HYPERLINK("https://www.amazon.co.jp/Charger-Supports-Certified-Foldable-Compatible/dp/B07FTDG7M5/ref=sr_1_307?__mk_ja_JP=%E3%82%AB%E3%82%BF%E3%82%AB%E3%83%8A&amp;dchild=1&amp;keywords=iphone+x&amp;qid=1598525346&amp;sr=8-307", "Go")</f>
        <v/>
      </c>
    </row>
    <row r="331">
      <c r="A331" s="1" t="n">
        <v>329</v>
      </c>
      <c r="B331" t="inlineStr">
        <is>
          <t>Amamcy かわいい犬の携帯電話ホルダースタンド 木製スマートフォンデスクホルダー iPhone Xs/Max/XR/X/8/7 Plus/Google Pixel/Samsung Galaxy Note用 One Size AMAzs-191304100S-06.</t>
        </is>
      </c>
      <c r="C331" t="inlineStr">
        <is>
          <t>￥1,350</t>
        </is>
      </c>
      <c r="D331" t="inlineStr">
        <is>
          <t>4.7</t>
        </is>
      </c>
      <c r="E331">
        <f>HYPERLINK("https://www.amazon.co.jp/Amamcy-%E3%81%8B%E3%82%8F%E3%81%84%E3%81%84%E7%8A%AC%E3%81%AE%E6%90%BA%E5%B8%AF%E9%9B%BB%E8%A9%B1%E3%83%9B%E3%83%AB%E3%83%80%E3%83%BC%E3%82%B9%E3%82%BF%E3%83%B3%E3%83%89-%E6%9C%A8%E8%A3%BD%E3%82%B9%E3%83%9E%E3%83%BC%E3%83%88%E3%83%95%E3%82%A9%E3%83%B3%E3%83%87%E3%82%B9%E3%82%AF%E3%83%9B%E3%83%AB%E3%83%80%E3%83%BC-Samsung-AMAzs-191304100S-06/dp/B082R7BWGM/ref=sr_1_308?__mk_ja_JP=%E3%82%AB%E3%82%BF%E3%82%AB%E3%83%8A&amp;dchild=1&amp;keywords=iphone+x&amp;qid=1598525346&amp;sr=8-308", "Go")</f>
        <v/>
      </c>
    </row>
    <row r="332">
      <c r="A332" s="1" t="n">
        <v>330</v>
      </c>
      <c r="B332" t="inlineStr">
        <is>
          <t>iFace First Class Military iPhone SE(2020モデル)/8/7 ケース 耐衝撃 [ピンク]</t>
        </is>
      </c>
      <c r="C332" t="inlineStr">
        <is>
          <t>￥4,480</t>
        </is>
      </c>
      <c r="D332" t="inlineStr">
        <is>
          <t>4.7</t>
        </is>
      </c>
      <c r="E332">
        <f>HYPERLINK("https://www.amazon.co.jp/iFace-First-Class-Military-iPhone8/dp/B06XRTSVV1/ref=sr_1_309?__mk_ja_JP=%E3%82%AB%E3%82%BF%E3%82%AB%E3%83%8A&amp;dchild=1&amp;keywords=iphone+x&amp;qid=1598525346&amp;sr=8-309", "Go")</f>
        <v/>
      </c>
    </row>
    <row r="333">
      <c r="A333" s="1" t="n">
        <v>331</v>
      </c>
      <c r="B333" t="inlineStr">
        <is>
          <t>HOOMIL iPhone XSケースiPhone X Sumahokesuが互換性 あるソフトウェア充電衝撃カバー軽量無線特許取得し（黒）</t>
        </is>
      </c>
      <c r="C333" t="inlineStr">
        <is>
          <t>￥1,570</t>
        </is>
      </c>
      <c r="D333" t="inlineStr">
        <is>
          <t>4.7</t>
        </is>
      </c>
      <c r="E333">
        <f>HYPERLINK("https://www.amazon.co.jp/HOOMIL-iPhone-%E3%82%B9%E3%83%9E%E3%83%9B%E3%82%B1%E3%83%BC%E3%82%B9-%E8%80%90%E8%A1%9D%E6%92%83%E3%82%AB%E3%83%90%E3%83%BC-%E3%83%AF%E3%82%A4%E3%83%A4%E3%83%AC%E3%82%B9%E5%85%85%E9%9B%BB%E5%AF%BE%E5%BF%9C/dp/B07SPY191D/ref=sr_1_310?__mk_ja_JP=%E3%82%AB%E3%82%BF%E3%82%AB%E3%83%8A&amp;dchild=1&amp;keywords=iphone+x&amp;qid=1598525346&amp;sr=8-310", "Go")</f>
        <v/>
      </c>
    </row>
    <row r="334">
      <c r="A334" s="1" t="n">
        <v>332</v>
      </c>
      <c r="B334" t="inlineStr">
        <is>
          <t>Wsky iPhone XS ケース iPhoneX ケース 衝撃吸収 TPU素材 高級感 薄 軽 手触り良い シンプル 背面防水 アイフォン カバー ワイヤレス充電 (ブラック)</t>
        </is>
      </c>
      <c r="C334" t="inlineStr">
        <is>
          <t>￥1,026</t>
        </is>
      </c>
      <c r="D334" t="inlineStr">
        <is>
          <t>4.8</t>
        </is>
      </c>
      <c r="E334">
        <f>HYPERLINK("https://www.amazon.co.jp/iPhone-XS-Absorption-Lightweight-Waterproof/dp/B08CZJRP34/ref=sr_1_311?__mk_ja_JP=%E3%82%AB%E3%82%BF%E3%82%AB%E3%83%8A&amp;dchild=1&amp;keywords=iphone+x&amp;qid=1598525346&amp;sr=8-311", "Go")</f>
        <v/>
      </c>
    </row>
    <row r="335">
      <c r="A335" s="1" t="n">
        <v>333</v>
      </c>
      <c r="B335" t="inlineStr">
        <is>
          <t>【2020年最新版】スマホクーラー スマホ用 冷却 ファン JOYSKY 半導体 ペルチェ素子 冷却 荒野行動 FGO PUBG 実況専用 スマホ散熱器 USB給電 静音 小型 スマホ熱対策 伸縮クリップ式 スマートフォン冷却ファン iPhone/Android 5-7.3インチ 対応（ブラック）</t>
        </is>
      </c>
      <c r="C335" t="inlineStr">
        <is>
          <t>￥2,399</t>
        </is>
      </c>
      <c r="D335" t="inlineStr">
        <is>
          <t>4.7</t>
        </is>
      </c>
      <c r="E335">
        <f>HYPERLINK("https://www.amazon.co.jp/%E3%80%902020%E5%B9%B4%E6%9C%80%E6%96%B0%E7%89%88%E3%80%91%E3%82%B9%E3%83%9E%E3%83%9B%E3%82%AF%E3%83%BC%E3%83%A9%E3%83%BC-JOYSKY-%E3%82%B9%E3%83%9E%E3%83%BC%E3%83%88%E3%83%95%E3%82%A9%E3%83%B3%E5%86%B7%E5%8D%B4%E3%83%95%E3%82%A1%E3%83%B3-5-7-3%E3%82%A4%E3%83%B3%E3%83%81-%E5%AF%BE%E5%BF%9C%EF%BC%88%E3%83%96%E3%83%A9%E3%83%83%E3%82%AF%EF%BC%89/dp/B0892LQY7G/ref=sr_1_312?__mk_ja_JP=%E3%82%AB%E3%82%BF%E3%82%AB%E3%83%8A&amp;dchild=1&amp;keywords=iphone+x&amp;qid=1598525346&amp;sr=8-312", "Go")</f>
        <v/>
      </c>
    </row>
    <row r="336">
      <c r="A336" s="1" t="n">
        <v>334</v>
      </c>
      <c r="B336" t="inlineStr">
        <is>
          <t>NinjaBatt PowerPal 10000mAh パワーバンク、18W PD &amp; QC3 ポータブル充電器 高速充電USBとUSB-Cポート 3A 大容量外部バッテリー iPhone 8 X XS 11 Pro Galaxy S8 S9 S10</t>
        </is>
      </c>
      <c r="C336" t="inlineStr">
        <is>
          <t>￥2,310</t>
        </is>
      </c>
      <c r="D336" t="inlineStr">
        <is>
          <t>4.7</t>
        </is>
      </c>
      <c r="E336">
        <f>HYPERLINK("https://www.amazon.co.jp/NinjaBatt-PowerPal-%E3%83%91%E3%83%AF%E3%83%BC%E3%83%90%E3%83%B3%E3%82%AF%E3%80%8118W-%E9%AB%98%E9%80%9F%E5%85%85%E9%9B%BBUSB%E3%81%A8USB-C%E3%83%9D%E3%83%BC%E3%83%88-%E5%A4%A7%E5%AE%B9%E9%87%8F%E5%A4%96%E9%83%A8%E3%83%90%E3%83%83%E3%83%86%E3%83%AA%E3%83%BC/dp/B07ZHCB5HK/ref=sr_1_313?__mk_ja_JP=%E3%82%AB%E3%82%BF%E3%82%AB%E3%83%8A&amp;dchild=1&amp;keywords=iphone+x&amp;qid=1598525346&amp;sr=8-313", "Go")</f>
        <v/>
      </c>
    </row>
    <row r="337">
      <c r="A337" s="1" t="n">
        <v>335</v>
      </c>
      <c r="B337" t="inlineStr">
        <is>
          <t>TENDLIN iPhone XS Max ケース 天然木層とTPUソフトケース 薄型 軽量 ワイヤレス充電 アイフォン XS Max カバー （ウッド＆レザー）</t>
        </is>
      </c>
      <c r="C337" t="inlineStr">
        <is>
          <t>￥1,499</t>
        </is>
      </c>
      <c r="D337" t="inlineStr">
        <is>
          <t>4.7</t>
        </is>
      </c>
      <c r="E337">
        <f>HYPERLINK("https://www.amazon.co.jp/TENDLIN-iPhone-TPU%E3%82%B7%E3%83%AA%E3%82%B3%E3%83%B3-%E3%83%95%E3%83%AC%E3%82%AD%E3%82%B7%E3%83%96%E3%83%AB-%E3%82%B9%E3%83%AA%E3%83%A0%E3%82%B1%E3%83%BC%E3%82%B9%EF%BC%88%E3%82%A6%E3%83%83%E3%83%89%EF%BC%86%E3%83%AC%E3%82%B6%E3%83%BC%EF%BC%89/dp/B07QKKQC5M/ref=sr_1_314?__mk_ja_JP=%E3%82%AB%E3%82%BF%E3%82%AB%E3%83%8A&amp;dchild=1&amp;keywords=iphone+x&amp;qid=1598525346&amp;sr=8-314", "Go")</f>
        <v/>
      </c>
    </row>
    <row r="338">
      <c r="A338" s="1" t="n">
        <v>336</v>
      </c>
      <c r="B338" t="inlineStr">
        <is>
          <t>Anker PowerPort PD 1 &amp; USB-C &amp; ライトニングケーブル (0.9m ホワイト) セットモデル (PD対応 18W USB-C 急速充電器)【MFi認証済み/Power Delivery対応/コンパクトサイズ 】</t>
        </is>
      </c>
      <c r="C338" t="inlineStr">
        <is>
          <t>￥3,480</t>
        </is>
      </c>
      <c r="D338" t="inlineStr">
        <is>
          <t>4.7</t>
        </is>
      </c>
      <c r="E338">
        <f>HYPERLINK("https://www.amazon.co.jp/Delivery-Anker-PowerPort-Indicator-Foldable/dp/B07GX8YN72/ref=sr_1_315?__mk_ja_JP=%E3%82%AB%E3%82%BF%E3%82%AB%E3%83%8A&amp;dchild=1&amp;keywords=iphone+x&amp;qid=1598525346&amp;sr=8-315", "Go")</f>
        <v/>
      </c>
    </row>
    <row r="339">
      <c r="A339" s="1" t="n">
        <v>337</v>
      </c>
      <c r="B339" t="inlineStr">
        <is>
          <t>【Ringke】Xiaomi Redmi K30 ケース Xiaomi Poco X2 スマホケース [米軍MIL規格取得] クリア カバー 透明 ワイヤレス充電対応 ストラップホール 落下防止 Xiaomi Redmi K30 5G Fusion-X 2019 (Camo Black カモブラック)</t>
        </is>
      </c>
      <c r="C339" t="inlineStr">
        <is>
          <t>￥999</t>
        </is>
      </c>
      <c r="D339" t="inlineStr">
        <is>
          <t>4.6</t>
        </is>
      </c>
      <c r="E339">
        <f>HYPERLINK("https://www.amazon.co.jp/Ringke-Fusion-Xiaomi-Redmi-Variation/dp/B0834KYBTQ/ref=sr_1_316?__mk_ja_JP=%E3%82%AB%E3%82%BF%E3%82%AB%E3%83%8A&amp;dchild=1&amp;keywords=iphone+x&amp;qid=1598525346&amp;sr=8-316", "Go")</f>
        <v/>
      </c>
    </row>
    <row r="340">
      <c r="A340" s="1" t="n">
        <v>338</v>
      </c>
      <c r="B340" t="inlineStr">
        <is>
          <t>Wildflower iPhone Xおよびxsのために限定版iPhoneケース タータンチェックブルー（iPhone X/XS）</t>
        </is>
      </c>
      <c r="C340" t="inlineStr">
        <is>
          <t>￥4,200</t>
        </is>
      </c>
      <c r="D340" t="inlineStr">
        <is>
          <t>4.7</t>
        </is>
      </c>
      <c r="E340">
        <f>HYPERLINK("https://www.amazon.co.jp/wildflower-WIL_BPLA201X-iPhone-X%E3%81%8A%E3%82%88%E3%81%B3XS%E7%94%A8Wildflower%E9%99%90%E5%AE%9A%E7%89%88iPhone%E3%82%B1%E3%83%BC%E3%82%B9%EF%BC%88%E3%83%96%E3%83%AB%E3%83%BC%E3%83%97%E3%83%AC%E3%82%A4%E3%83%89%EF%BC%89/dp/B079VP3K2K/ref=sr_1_317?__mk_ja_JP=%E3%82%AB%E3%82%BF%E3%82%AB%E3%83%8A&amp;dchild=1&amp;keywords=iphone+x&amp;qid=1598525346&amp;sr=8-317", "Go")</f>
        <v/>
      </c>
    </row>
    <row r="341">
      <c r="A341" s="1" t="n">
        <v>339</v>
      </c>
      <c r="B341" t="inlineStr">
        <is>
          <t>2パック Apple MFi 認証 iPhone充電器 6フィート Apple Lightning - USBケーブル 6フィート 高速 Apple 充電器 iPhone 11/11Pro/11Max/ X/XS/XR/XS Max/8/7/6/5S/SE用</t>
        </is>
      </c>
      <c r="C341" t="inlineStr">
        <is>
          <t>￥9,525</t>
        </is>
      </c>
      <c r="D341" t="inlineStr">
        <is>
          <t>4.9</t>
        </is>
      </c>
      <c r="E341">
        <f>HYPERLINK("https://www.amazon.co.jp/2%E3%83%91%E3%83%83%E3%82%AF-Apple-iPhone%E5%85%85%E9%9B%BB%E5%99%A8-6%E3%83%95%E3%82%A3%E3%83%BC%E3%83%88-Lightning/dp/B08C7LVKSX/ref=sr_1_318?__mk_ja_JP=%E3%82%AB%E3%82%BF%E3%82%AB%E3%83%8A&amp;dchild=1&amp;keywords=iphone+x&amp;qid=1598525346&amp;sr=8-318", "Go")</f>
        <v/>
      </c>
    </row>
    <row r="342">
      <c r="A342" s="1" t="n">
        <v>340</v>
      </c>
      <c r="B342" t="inlineStr">
        <is>
          <t>iPhone 充電器 Apple MFI認証 Lightning→USB Aケーブル 3パック 3FT6FT10FT 認定高速充電充電器 iPhone Se 2020 11 Xs Max XR X 8 Plus 7 Plus 6 Plus 5s SE iPad Pro iPod Airpods用 ホワイト</t>
        </is>
      </c>
      <c r="C342" t="inlineStr">
        <is>
          <t>￥1,200</t>
        </is>
      </c>
      <c r="D342" t="inlineStr">
        <is>
          <t>5</t>
        </is>
      </c>
      <c r="E342">
        <f>HYPERLINK("https://www.amazon.co.jp/iPhone-Lightning%E2%86%92USB-3FT6FT10FT-%E8%AA%8D%E5%AE%9A%E9%AB%98%E9%80%9F%E5%85%85%E9%9B%BB%E5%85%85%E9%9B%BB%E5%99%A8-Airpods%E7%94%A8/dp/B087BY2Y9H/ref=sr_1_319?__mk_ja_JP=%E3%82%AB%E3%82%BF%E3%82%AB%E3%83%8A&amp;dchild=1&amp;keywords=iphone+x&amp;qid=1598525346&amp;sr=8-319", "Go")</f>
        <v/>
      </c>
    </row>
    <row r="343">
      <c r="A343" s="1" t="n">
        <v>341</v>
      </c>
      <c r="B343" t="inlineStr">
        <is>
          <t>Syncwire iPhone充電ケーブル【Apple MFi認証/超高耐久】 ライトニングケーブル 30,000回以上の曲折テスト iPhone 11/ 11 Pro/11 Pro Max/XS/XR/8/8Plus iPad Mini/Air/Pro 対応-1m ブラック</t>
        </is>
      </c>
      <c r="C343" t="inlineStr">
        <is>
          <t>￥1,099</t>
        </is>
      </c>
      <c r="D343" t="inlineStr">
        <is>
          <t>4.9</t>
        </is>
      </c>
      <c r="E343">
        <f>HYPERLINK("https://www.amazon.co.jp/Syncwire-Charging-Certified-Lightning-Compatible/dp/B0829X46PN/ref=sr_1_320?__mk_ja_JP=%E3%82%AB%E3%82%BF%E3%82%AB%E3%83%8A&amp;dchild=1&amp;keywords=iphone+x&amp;qid=1598525346&amp;sr=8-320", "Go")</f>
        <v/>
      </c>
    </row>
    <row r="344">
      <c r="A344" s="1" t="n">
        <v>342</v>
      </c>
      <c r="B344" t="inlineStr">
        <is>
          <t>iFace First Class ディズニー ピクサー iPhone XS/X ケース [トイ・ストーリー]</t>
        </is>
      </c>
      <c r="C344" t="inlineStr">
        <is>
          <t>￥3,686</t>
        </is>
      </c>
      <c r="D344" t="inlineStr">
        <is>
          <t>4.7</t>
        </is>
      </c>
      <c r="E344">
        <f>HYPERLINK("https://www.amazon.co.jp/iFace-First-Class-iPhone-%E3%83%88%E3%82%A4%E3%83%BB%E3%82%B9%E3%83%88%E3%83%BC%E3%83%AA%E3%83%BC/dp/B077TLG417/ref=sr_1_321?__mk_ja_JP=%E3%82%AB%E3%82%BF%E3%82%AB%E3%83%8A&amp;dchild=1&amp;keywords=iphone+x&amp;qid=1598525346&amp;sr=8-321", "Go")</f>
        <v/>
      </c>
    </row>
    <row r="345">
      <c r="A345" s="1" t="n">
        <v>343</v>
      </c>
      <c r="B345" t="inlineStr">
        <is>
          <t>【カラー：ミニーマウス】iPhone11 ディズニー TPU ケース Curve カバー 衝撃吸収 キャラクター ソフトケース ソフト ハードケース ハード 背面 シンプル ミッキー ミニー ドナルド プー 6.1inch iphone 11 アイフォン イレブン アイフォン11 スマホケース スマホカバー s-in_7b992</t>
        </is>
      </c>
      <c r="C345" t="inlineStr">
        <is>
          <t>￥3,278</t>
        </is>
      </c>
      <c r="D345" t="inlineStr">
        <is>
          <t>4.8</t>
        </is>
      </c>
      <c r="E345">
        <f>HYPERLINK("https://www.amazon.co.jp/%E3%80%90%E3%82%AB%E3%83%A9%E3%83%BC%EF%BC%9A%E3%83%9F%E3%83%8B%E3%83%BC%E3%83%9E%E3%82%A6%E3%82%B9%E3%80%91iPhone11-%E3%82%AD%E3%83%A3%E3%83%A9%E3%82%AF%E3%82%BF%E3%83%BC-6-1inch-%E3%82%A2%E3%82%A4%E3%83%95%E3%82%A9%E3%83%B311-s-in_7b992/dp/B07Y9WBB1T/ref=sr_1_322?__mk_ja_JP=%E3%82%AB%E3%82%BF%E3%82%AB%E3%83%8A&amp;dchild=1&amp;keywords=iphone+x&amp;qid=1598525346&amp;sr=8-322", "Go")</f>
        <v/>
      </c>
    </row>
    <row r="346">
      <c r="A346" s="1" t="n">
        <v>344</v>
      </c>
      <c r="B346" t="inlineStr">
        <is>
          <t>【Ringke】Google Pixel 3 ケース 対応 コスパ最高 (docomo/softbank/simフリー 兼用) ストラップホール 落下衝撃吸収 [米軍MIL規格取得] TPU PC 2重構造 スマホケース 吸収耐衝撃カバー 背面クリア [Qi充電対応] Fusion-X (Black/ブラック) Pixel3 ケース</t>
        </is>
      </c>
      <c r="C346" t="inlineStr">
        <is>
          <t>￥1,199</t>
        </is>
      </c>
      <c r="D346" t="inlineStr">
        <is>
          <t>4.7</t>
        </is>
      </c>
      <c r="E346">
        <f>HYPERLINK("https://www.amazon.co.jp/%E3%80%90Ringke%E3%80%91Google-softbank-%E3%82%B9%E3%83%88%E3%83%A9%E3%83%83%E3%83%97%E3%83%9B%E3%83%BC%E3%83%AB-%E7%B1%B3%E8%BB%8DMIL%E8%A6%8F%E6%A0%BC%E5%8F%96%E5%BE%97-%E5%90%B8%E5%8F%8E%E8%80%90%E8%A1%9D%E6%92%83%E3%82%AB%E3%83%90%E3%83%BC/dp/B07HFVN34G/ref=sr_1_323?__mk_ja_JP=%E3%82%AB%E3%82%BF%E3%82%AB%E3%83%8A&amp;dchild=1&amp;keywords=iphone+x&amp;qid=1598525346&amp;sr=8-323", "Go")</f>
        <v/>
      </c>
    </row>
    <row r="347">
      <c r="A347" s="1" t="n">
        <v>345</v>
      </c>
      <c r="B347" t="inlineStr">
        <is>
          <t>Speck iPhone XRケース PRESIDIO SPORTS Heartrate Red/Sidewalk Grey/Black 117071-6685</t>
        </is>
      </c>
      <c r="C347" t="inlineStr">
        <is>
          <t>￥324</t>
        </is>
      </c>
      <c r="D347" t="inlineStr">
        <is>
          <t>4.7</t>
        </is>
      </c>
      <c r="E347">
        <f>HYPERLINK("https://www.amazon.co.jp/Speck-PRESIDIO-Heartrate-Sidewalk-117071-6685/dp/B07GSRX1WH/ref=sr_1_324?__mk_ja_JP=%E3%82%AB%E3%82%BF%E3%82%AB%E3%83%8A&amp;dchild=1&amp;keywords=iphone+x&amp;qid=1598525346&amp;sr=8-324", "Go")</f>
        <v/>
      </c>
    </row>
    <row r="348">
      <c r="A348" s="1" t="n">
        <v>346</v>
      </c>
      <c r="B348" t="inlineStr">
        <is>
          <t>iPhone 11 Pro Max レザーケース - フォレストグリーン</t>
        </is>
      </c>
      <c r="C348" t="inlineStr">
        <is>
          <t>￥6,380</t>
        </is>
      </c>
      <c r="D348" t="inlineStr">
        <is>
          <t>4.7</t>
        </is>
      </c>
      <c r="E348">
        <f>HYPERLINK("https://www.amazon.co.jp/iPhone-Pro-Max-%E3%83%AC%E3%82%B6%E3%83%BC%E3%82%B1%E3%83%BC%E3%82%B9-%E3%83%95%E3%82%A9%E3%83%AC%E3%82%B9%E3%83%88%E3%82%B0%E3%83%AA%E3%83%BC%E3%83%B3/dp/B07PMJL1G5/ref=sr_1_325?__mk_ja_JP=%E3%82%AB%E3%82%BF%E3%82%AB%E3%83%8A&amp;dchild=1&amp;keywords=iphone+x&amp;qid=1598525346&amp;sr=8-325", "Go")</f>
        <v/>
      </c>
    </row>
    <row r="349">
      <c r="A349" s="1" t="n">
        <v>347</v>
      </c>
      <c r="B349" t="inlineStr">
        <is>
          <t>【2020年度版】スマホスタンド スマホアームスタンド 卓上 タブレット寝ながら スマホスタンド 360°回転 角度調整可能 土台強化 安定性抜群 リビング/寝室/オフィス/キッチン/浴室/旅行に最適 4〜11インチまでの大きさのipad/iPhone/Android多機種対応スタンド</t>
        </is>
      </c>
      <c r="C349" t="inlineStr">
        <is>
          <t>￥1,790</t>
        </is>
      </c>
      <c r="D349" t="inlineStr">
        <is>
          <t>4.7</t>
        </is>
      </c>
      <c r="E349">
        <f>HYPERLINK("https://www.amazon.co.jp/%E3%80%902020%E5%B9%B4%E5%BA%A6%E7%89%88%E3%80%91%E3%82%B9%E3%83%9E%E3%83%9B%E3%82%B9%E3%82%BF%E3%83%B3%E3%83%89-%E3%82%B9%E3%83%9E%E3%83%9B%E3%82%A2%E3%83%BC%E3%83%A0%E3%82%B9%E3%82%BF%E3%83%B3%E3%83%89-%E3%82%BF%E3%83%96%E3%83%AC%E3%83%83%E3%83%88%E5%AF%9D%E3%81%AA%E3%81%8C%E3%82%89-4%E3%80%9C11%E3%82%A4%E3%83%B3%E3%83%81%E3%81%BE%E3%81%A7%E3%81%AE%E5%A4%A7%E3%81%8D%E3%81%95%E3%81%AEipad-Android%E5%A4%9A%E6%A9%9F%E7%A8%AE%E5%AF%BE%E5%BF%9C%E3%82%B9%E3%82%BF%E3%83%B3%E3%83%89/dp/B08BF9TSFY/ref=sr_1_326?__mk_ja_JP=%E3%82%AB%E3%82%BF%E3%82%AB%E3%83%8A&amp;dchild=1&amp;keywords=iphone+x&amp;qid=1598525346&amp;sr=8-326", "Go")</f>
        <v/>
      </c>
    </row>
    <row r="350">
      <c r="A350" s="1" t="n">
        <v>348</v>
      </c>
      <c r="B350" t="inlineStr">
        <is>
          <t>iPhone X iPhone Xシリコーン3D漫画 動物 カバー 子供 女 子 男 子 クールなケース かわいいソフトゲルゴムスリムフィットBTS韓国スタイルケースカバー（iPhone X XS ピンク）</t>
        </is>
      </c>
      <c r="C350" t="inlineStr">
        <is>
          <t>￥1,128</t>
        </is>
      </c>
      <c r="D350" t="inlineStr">
        <is>
          <t>4.7</t>
        </is>
      </c>
      <c r="E350">
        <f>HYPERLINK("https://www.amazon.co.jp/iPhone-X%E3%82%B7%E3%83%AA%E3%82%B3%E3%83%BC%E3%83%B33D%E6%BC%AB%E7%94%BB-%E3%82%AF%E3%83%BC%E3%83%AB%E3%81%AA%E3%82%B1%E3%83%BC%E3%82%B9-%E3%81%8B%E3%82%8F%E3%81%84%E3%81%84%E3%82%BD%E3%83%95%E3%83%88%E3%82%B2%E3%83%AB%E3%82%B4%E3%83%A0%E3%82%B9%E3%83%AA%E3%83%A0%E3%83%95%E3%82%A3%E3%83%83%E3%83%88BTS%E9%9F%93%E5%9B%BD%E3%82%B9%E3%82%BF%E3%82%A4%E3%83%AB%E3%82%B1%E3%83%BC%E3%82%B9%E3%82%AB%E3%83%90%E3%83%BC%EF%BC%88iPhone-%E3%83%94%E3%83%B3%E3%82%AF%EF%BC%89/dp/B07VQGB117/ref=sr_1_327?__mk_ja_JP=%E3%82%AB%E3%82%BF%E3%82%AB%E3%83%8A&amp;dchild=1&amp;keywords=iphone+x&amp;qid=1598525346&amp;sr=8-327", "Go")</f>
        <v/>
      </c>
    </row>
    <row r="351">
      <c r="A351" s="1" t="n">
        <v>349</v>
      </c>
      <c r="B351" t="inlineStr">
        <is>
          <t>【2020年最新版】スマホ 冷却ファン 半導体 ペルチェ素子 A-VIDET 冷却 荒野行動 FGO PUBG 実況専用 スマホ 冷却 クーラー 静音 小型 3秒急速冷却 最低温17度 iPhone/Android 5-7.3インチ対応 ゲーム ドラマ 生放送などに適合（ブラック）</t>
        </is>
      </c>
      <c r="C351" t="inlineStr">
        <is>
          <t>￥2,399</t>
        </is>
      </c>
      <c r="D351" t="inlineStr">
        <is>
          <t>4.8</t>
        </is>
      </c>
      <c r="E351">
        <f>HYPERLINK("https://www.amazon.co.jp/%E3%80%902020%E5%B9%B4%E6%9C%80%E6%96%B0%E7%89%88%E3%80%91%E3%82%B9%E3%83%9E%E3%83%9B-VIDET-Android-5-7-3%E3%82%A4%E3%83%B3%E3%83%81%E5%AF%BE%E5%BF%9C-%E7%94%9F%E6%94%BE%E9%80%81%E3%81%AA%E3%81%A9%E3%81%AB%E9%81%A9%E5%90%88%EF%BC%88%E3%83%96%E3%83%A9%E3%83%83%E3%82%AF%EF%BC%89/dp/B08DQXW1YC/ref=sr_1_328?__mk_ja_JP=%E3%82%AB%E3%82%BF%E3%82%AB%E3%83%8A&amp;dchild=1&amp;keywords=iphone+x&amp;qid=1598525346&amp;sr=8-328", "Go")</f>
        <v/>
      </c>
    </row>
    <row r="352">
      <c r="A352" s="1" t="n">
        <v>350</v>
      </c>
      <c r="B352" t="inlineStr">
        <is>
          <t>TORRAS iPhone 11Pro/Xs/X 液晶保護フィルム 28°覗き見防止 【2枚セット】【ガイド枠・気泡除去ヘラ付き】日本製旭硝子強化ガラス9H フルカバー 高透過率 目の疲れ軽減 （アイフォン11 Pro/XS/X用 ）(ブラック)</t>
        </is>
      </c>
      <c r="C352" t="inlineStr">
        <is>
          <t>￥2,840</t>
        </is>
      </c>
      <c r="D352" t="inlineStr">
        <is>
          <t>4.8</t>
        </is>
      </c>
      <c r="E352">
        <f>HYPERLINK("https://www.amazon.co.jp/TORRAS-%E6%B6%B2%E6%99%B6%E4%BF%9D%E8%AD%B7%E3%83%95%E3%82%A3%E3%83%AB%E3%83%A0-28%C2%B0%E8%A6%97%E3%81%8D%E8%A6%8B%E9%98%B2%E6%AD%A2-%E3%80%902%E6%9E%9A%E3%82%BB%E3%83%83%E3%83%88%E3%80%91%E3%80%90%E3%82%AC%E3%82%A4%E3%83%89%E6%9E%A0%E3%83%BB%E6%B0%97%E6%B3%A1%E9%99%A4%E5%8E%BB%E3%83%98%E3%83%A9%E4%BB%98%E3%81%8D%E3%80%91%E6%97%A5%E6%9C%AC%E8%A3%BD%E7%B4%A0%E6%9D%90%E6%97%AD%E7%A1%9D%E5%AD%90%E8%A3%BD-%EF%BC%88%E3%82%A2%E3%82%A4%E3%83%95%E3%82%A9%E3%83%B311/dp/B084KT8T6P/ref=sr_1_329?__mk_ja_JP=%E3%82%AB%E3%82%BF%E3%82%AB%E3%83%8A&amp;dchild=1&amp;keywords=iphone+x&amp;qid=1598525346&amp;sr=8-329", "Go")</f>
        <v/>
      </c>
    </row>
    <row r="353">
      <c r="A353" s="1" t="n">
        <v>351</v>
      </c>
      <c r="B353" t="inlineStr">
        <is>
          <t>iPhone XR ケース [デザイン:2.アイアンマン/クリアケース] マーベル marvel グッズ ハード スマホケース カバー アイフォン アイホン てんあーる ipxr</t>
        </is>
      </c>
      <c r="C353" t="inlineStr">
        <is>
          <t>￥2,280</t>
        </is>
      </c>
      <c r="D353" t="inlineStr">
        <is>
          <t>4.8</t>
        </is>
      </c>
      <c r="E353">
        <f>HYPERLINK("https://www.amazon.co.jp/Smart-Phone-Design-Marvel-Goods/dp/B07KWKRB2Z/ref=sr_1_330?__mk_ja_JP=%E3%82%AB%E3%82%BF%E3%82%AB%E3%83%8A&amp;dchild=1&amp;keywords=iphone+x&amp;qid=1598525346&amp;sr=8-330", "Go")</f>
        <v/>
      </c>
    </row>
    <row r="354">
      <c r="A354" s="1" t="n">
        <v>352</v>
      </c>
      <c r="B354" t="inlineStr">
        <is>
          <t>CHOETECH USB C充電器 18W 電源デリバリー USB-Cウォールチャージャー タイプC 高速充電アダプター 対応機種: iPhone 11/11 Pro/11 Pro Max/X/XS/XS Max/XR、iPad Pro、Galaxy Note 10+/Note 10、Google Pixel 4。</t>
        </is>
      </c>
      <c r="C354" t="inlineStr">
        <is>
          <t>￥5,908</t>
        </is>
      </c>
      <c r="D354" t="inlineStr">
        <is>
          <t>4.7</t>
        </is>
      </c>
      <c r="E354">
        <f>HYPERLINK("https://www.amazon.co.jp/CHOETECH-C%E5%85%85%E9%9B%BB%E5%99%A8-%E9%9B%BB%E6%BA%90%E3%83%87%E3%83%AA%E3%83%90%E3%83%AA%E3%83%BC-USB-C%E3%82%A6%E3%82%A9%E3%83%BC%E3%83%AB%E3%83%81%E3%83%A3%E3%83%BC%E3%82%B8%E3%83%A3%E3%83%BC-%E9%AB%98%E9%80%9F%E5%85%85%E9%9B%BB%E3%82%A2%E3%83%80%E3%83%97%E3%82%BF%E3%83%BC/dp/B084Q54F5Y/ref=sr_1_331?__mk_ja_JP=%E3%82%AB%E3%82%BF%E3%82%AB%E3%83%8A&amp;dchild=1&amp;keywords=iphone+x&amp;qid=1598525346&amp;sr=8-331", "Go")</f>
        <v/>
      </c>
    </row>
    <row r="355">
      <c r="A355" s="1" t="n">
        <v>353</v>
      </c>
      <c r="B355" t="inlineStr">
        <is>
          <t>Choetech USB-C 急速充電器 【61W GaN (窒化ガリウム)採用/ Power Delivery3.0対応 PSE認証済】折畳式 USB PD充電器 超小型 軽量 USB Type C 充電器 MacBook Pro、iPad Pro、iPhone 11/11 Pro/11 Pro Max / XS/ XS Max / XR / X / SE（第2世代）/、GalaxyS10、Xperia XZ2、Nintendo Switch その他USB-C機器対応 ブラック</t>
        </is>
      </c>
      <c r="C355" t="inlineStr">
        <is>
          <t>￥3,699</t>
        </is>
      </c>
      <c r="D355" t="inlineStr">
        <is>
          <t>4.7</t>
        </is>
      </c>
      <c r="E355">
        <f>HYPERLINK("https://www.amazon.co.jp/Delivery3-0%E5%AF%BE%E5%BF%9C-PSE%E8%AA%8D%E8%A8%BC%E6%B8%88%E3%80%91%E6%8A%98%E7%95%B3%E5%BC%8F-%E3%80%81GalaxyS10%E3%80%81Xperia-XZ2%E3%80%81Nintendo-%E3%81%9D%E3%81%AE%E4%BB%96USB-C%E6%A9%9F%E5%99%A8%E5%AF%BE%E5%BF%9C/dp/B084GTTTWG/ref=sr_1_332?__mk_ja_JP=%E3%82%AB%E3%82%BF%E3%82%AB%E3%83%8A&amp;dchild=1&amp;keywords=iphone+x&amp;qid=1598525346&amp;sr=8-332", "Go")</f>
        <v/>
      </c>
    </row>
    <row r="356">
      <c r="A356" s="1" t="n">
        <v>354</v>
      </c>
      <c r="B356" t="inlineStr">
        <is>
          <t>StarTech USBケーブルにSATA - USB 3.0 2.5” SATA IIIハードドライブアダプタ - SSD/HDDのデータ転送（usb3s2sat3cb）外部コンバータ USB 3.0 | 2.5" 黒</t>
        </is>
      </c>
      <c r="C356" t="inlineStr">
        <is>
          <t>￥2,008</t>
        </is>
      </c>
      <c r="D356" t="inlineStr">
        <is>
          <t>4.6</t>
        </is>
      </c>
      <c r="E356">
        <f>HYPERLINK("https://www.amazon.co.jp/StarTech-com-SATA-%E5%A4%89%E6%8F%9B%E3%82%B1%E3%83%BC%E3%83%96%E3%83%AB%E3%82%A2%E3%83%80%E3%83%97%E3%82%BF-2-5%E3%82%A4%E3%83%B3%E3%83%81SATA-USB3S2SAT3CB/dp/B00HJZJI84/ref=sr_1_333?__mk_ja_JP=%E3%82%AB%E3%82%BF%E3%82%AB%E3%83%8A&amp;dchild=1&amp;keywords=iphone+x&amp;qid=1598525346&amp;sr=8-333", "Go")</f>
        <v/>
      </c>
    </row>
    <row r="357">
      <c r="A357" s="1" t="n">
        <v>355</v>
      </c>
      <c r="B357" t="inlineStr">
        <is>
          <t>SanDisk microSDHC 98MB/s 32GB Ultra SD変換アダプター付属 サンディスク SDSQUAR-032G 海外パッケージ品 [並行輸入品]</t>
        </is>
      </c>
      <c r="C357" t="inlineStr">
        <is>
          <t>￥1,320</t>
        </is>
      </c>
      <c r="D357" t="inlineStr">
        <is>
          <t>4.6</t>
        </is>
      </c>
      <c r="E357">
        <f>HYPERLINK("https://www.amazon.co.jp/SanDisk-microSDHC-SD%E5%A4%89%E6%8F%9B%E3%82%A2%E3%83%80%E3%83%97%E3%82%BF%E3%83%BC%E4%BB%98%E5%B1%9E-SDSQUAR-032G-%E6%B5%B7%E5%A4%96%E3%83%91%E3%83%83%E3%82%B1%E3%83%BC%E3%82%B8%E5%93%81/dp/B073JWXGNT/ref=sr_1_334?__mk_ja_JP=%E3%82%AB%E3%82%BF%E3%82%AB%E3%83%8A&amp;dchild=1&amp;keywords=iphone+x&amp;qid=1598525346&amp;sr=8-334", "Go")</f>
        <v/>
      </c>
    </row>
    <row r="358">
      <c r="A358" s="1" t="n">
        <v>356</v>
      </c>
      <c r="B358" t="inlineStr">
        <is>
          <t>マイクロUSBケーブル Android JSAUX(2本パック 6.6フィート) Micro USB - USB A 高速同期充電器 ナイロン編組コード サムスン Galaxy S6 S7 Edge J7 Note 5 LG Kindle Xboxs PS4 カメラ スマートフォンなど用 ブルー JSNZMICROBLUE0001</t>
        </is>
      </c>
      <c r="C358" t="inlineStr">
        <is>
          <t>￥7,406</t>
        </is>
      </c>
      <c r="D358" t="inlineStr">
        <is>
          <t>4.6</t>
        </is>
      </c>
      <c r="E358">
        <f>HYPERLINK("https://www.amazon.co.jp/%E3%83%9E%E3%82%A4%E3%82%AF%E3%83%ADUSB%E3%82%B1%E3%83%BC%E3%83%96%E3%83%AB-Android-JSAUX-2%E6%9C%AC%E3%83%91%E3%83%83%E3%82%AF-6-6%E3%83%95%E3%82%A3%E3%83%BC%E3%83%88/dp/B07H91JTCD/ref=sr_1_335?__mk_ja_JP=%E3%82%AB%E3%82%BF%E3%82%AB%E3%83%8A&amp;dchild=1&amp;keywords=iphone+x&amp;qid=1598525346&amp;sr=8-335", "Go")</f>
        <v/>
      </c>
    </row>
    <row r="359">
      <c r="A359" s="1" t="n">
        <v>357</v>
      </c>
      <c r="B359" t="inlineStr">
        <is>
          <t>卓上 スマホ スタンド ホルダー タブレット スタンド KAERSI 高度調整可能 折り畳み式 ipad iPhone携帯 スタンド 滑り止め コンパクトaluminium, Nintendo Switch iPhone 11 Pro XS XS Max XR X 8 plus 7 7plus 6 6s 6plus/Sony Xperia/Nexus/androidなど（4〜13インチ）に対応</t>
        </is>
      </c>
      <c r="C359" t="inlineStr">
        <is>
          <t>￥1,199</t>
        </is>
      </c>
      <c r="D359" t="inlineStr">
        <is>
          <t>5</t>
        </is>
      </c>
      <c r="E359">
        <f>HYPERLINK("https://www.amazon.co.jp/KAERSI-iPhone%E6%90%BA%E5%B8%AF-%E3%82%B3%E3%83%B3%E3%83%91%E3%82%AF%E3%83%88aluminium-Nintendo-android%E3%81%AA%E3%81%A9%EF%BC%884%E3%80%9C13%E3%82%A4%E3%83%B3%E3%83%81%EF%BC%89%E3%81%AB%E5%AF%BE%E5%BF%9C/dp/B08BC7YWB4/ref=sr_1_336?__mk_ja_JP=%E3%82%AB%E3%82%BF%E3%82%AB%E3%83%8A&amp;dchild=1&amp;keywords=iphone+x&amp;qid=1598525346&amp;sr=8-336", "Go")</f>
        <v/>
      </c>
    </row>
    <row r="360">
      <c r="A360" s="1" t="n">
        <v>358</v>
      </c>
      <c r="B360" t="inlineStr">
        <is>
          <t>PurityガラススクリーンプロテクターiPhone 8 / iPhone 7 / SE 2020用 (3パック) [取り付けフレーム付き] 強化ガラススクリーンプロテクター対応機種: Apple iPhone SE 2nd Gen 8 7 (4.7インチ) [ケースフレンドリー]</t>
        </is>
      </c>
      <c r="C360" t="inlineStr">
        <is>
          <t>￥6,976</t>
        </is>
      </c>
      <c r="D360" t="inlineStr">
        <is>
          <t>4.6</t>
        </is>
      </c>
      <c r="E360">
        <f>HYPERLINK("https://www.amazon.co.jp/iPhone-7%E7%94%A8%E3%83%94%E3%83%A5%E3%82%A2%E3%82%AC%E3%83%A9%E3%82%B9%E3%82%B9%E3%82%AF%E3%83%AA%E3%83%BC%E3%83%B3%E3%83%97%E3%83%AD%E3%83%86%E3%82%AF%E3%82%BF%E3%83%BC-%E3%82%A4%E3%83%B3%E3%82%B9%E3%83%88%E3%83%BC%E3%83%AB%E3%83%95%E3%83%AC%E3%83%BC%E3%83%A0%E4%BB%98%E3%81%8D-%E5%BC%B7%E5%8C%96%E3%82%AC%E3%83%A9%E3%82%B9%E3%82%B9%E3%82%AF%E3%83%AA%E3%83%BC%E3%83%B3%E3%83%97%E3%83%AD%E3%83%86%E3%82%AF%E3%82%BF%E3%83%BC-%E3%82%B1%E3%83%BC%E3%82%B9%E3%83%95%E3%83%AC%E3%83%B3%E3%83%89%E3%83%AA%E3%83%BC/dp/B07M712GK9/ref=sr_1_337?__mk_ja_JP=%E3%82%AB%E3%82%BF%E3%82%AB%E3%83%8A&amp;dchild=1&amp;keywords=iphone+x&amp;qid=1598525346&amp;sr=8-337", "Go")</f>
        <v/>
      </c>
    </row>
    <row r="361">
      <c r="A361" s="1" t="n">
        <v>359</v>
      </c>
      <c r="B361" t="inlineStr">
        <is>
          <t>Amamcy キュートなユニコーン携帯電話ホルダースタンド スマートフォンデスクホルダー iPhone Xs/Max/XR/X/8/6 Plus/Google Pixel/Samsung Galaxy Note用 One Size AMAsh-191405125S-02</t>
        </is>
      </c>
      <c r="C361" t="inlineStr">
        <is>
          <t>￥7,559</t>
        </is>
      </c>
      <c r="D361" t="inlineStr">
        <is>
          <t>4.8</t>
        </is>
      </c>
      <c r="E361">
        <f>HYPERLINK("https://www.amazon.co.jp/Amamcy-%E3%82%AD%E3%83%A5%E3%83%BC%E3%83%88%E3%81%AA%E3%83%A6%E3%83%8B%E3%82%B3%E3%83%BC%E3%83%B3%E6%90%BA%E5%B8%AF%E9%9B%BB%E8%A9%B1%E3%83%9B%E3%83%AB%E3%83%80%E3%83%BC%E3%82%B9%E3%82%BF%E3%83%B3%E3%83%89-%E3%82%B9%E3%83%9E%E3%83%BC%E3%83%88%E3%83%95%E3%82%A9%E3%83%B3%E3%83%87%E3%82%B9%E3%82%AF%E3%83%9B%E3%83%AB%E3%83%80%E3%83%BC-Samsung-AMAsh-191405125S-02/dp/B07S734CJS/ref=sr_1_338?__mk_ja_JP=%E3%82%AB%E3%82%BF%E3%82%AB%E3%83%8A&amp;dchild=1&amp;keywords=iphone+x&amp;qid=1598525346&amp;sr=8-338", "Go")</f>
        <v/>
      </c>
    </row>
    <row r="362">
      <c r="A362" s="1" t="n">
        <v>360</v>
      </c>
      <c r="B362" t="inlineStr">
        <is>
          <t>Trianium スクリーンプロテクター Apple iPhone 11 Pro Max iPhone XS Max (6.5インチ 2018) 用 高品質 HD 透明度 0.25mm 強化ガラス スクリーンプロテクター 取り付け簡単 アライメントケース (3個パック)</t>
        </is>
      </c>
      <c r="C362" t="inlineStr">
        <is>
          <t>￥6,976</t>
        </is>
      </c>
      <c r="D362" t="inlineStr">
        <is>
          <t>4.6</t>
        </is>
      </c>
      <c r="E362">
        <f>HYPERLINK("https://www.amazon.co.jp/dp/B07FP41MC5/ref=sr_1_339?__mk_ja_JP=%E3%82%AB%E3%82%BF%E3%82%AB%E3%83%8A&amp;dchild=1&amp;keywords=iphone+x&amp;qid=1598525346&amp;sr=8-339", "Go")</f>
        <v/>
      </c>
    </row>
    <row r="363">
      <c r="A363" s="1" t="n">
        <v>361</v>
      </c>
      <c r="B363" t="inlineStr">
        <is>
          <t>Trianium 3個パック ガラスプロテクター iPhone 11用 スクリーンプロテクター iPhone XR スクリーンプロテクター 強化ガラスフィルム [6.1インチ] HD 透明度 0.25mm 取り付け位置調整ケーストレイ付き (3個パック)</t>
        </is>
      </c>
      <c r="C363" t="inlineStr">
        <is>
          <t>￥6,257</t>
        </is>
      </c>
      <c r="D363" t="inlineStr">
        <is>
          <t>4.6</t>
        </is>
      </c>
      <c r="E363">
        <f>HYPERLINK("https://www.amazon.co.jp/Trianium-%E3%82%B9%E3%82%AF%E3%83%AA%E3%83%BC%E3%83%B3%E3%83%97%E3%83%AD%E3%83%86%E3%82%AF%E3%82%BF%E3%83%BC3%E6%9E%9A%E3%82%BB%E3%83%83%E3%83%88-iPhone-%E3%83%97%E3%83%AC%E3%83%9F%E3%82%A2%E3%83%A0HD%E3%82%AF%E3%83%A9%E3%83%AA%E3%83%86%E3%82%A3-%E3%82%A2%E3%83%A9%E3%82%A4%E3%83%A1%E3%83%B3%E3%83%88%E3%82%B1%E3%83%BC%E3%82%B9%E3%83%95%E3%83%AC%E3%83%BC%E3%83%A0/dp/B07FNYD5RQ/ref=sr_1_340?__mk_ja_JP=%E3%82%AB%E3%82%BF%E3%82%AB%E3%83%8A&amp;dchild=1&amp;keywords=iphone+x&amp;qid=1598525346&amp;sr=8-340", "Go")</f>
        <v/>
      </c>
    </row>
    <row r="364">
      <c r="A364" s="1" t="n">
        <v>362</v>
      </c>
      <c r="B364" t="inlineStr">
        <is>
          <t>Hohem iSteady X スマホジンバル 折りたたみ式 259g超軽量 片手持ち3軸スタビライザー 手ブレ防止 美容 顔追跡 トラッキングモーション ワンクリックで自動クリップ共有 Vlog作り 自撮り用 iPhone/Android対応 日本語取説付属（黑）</t>
        </is>
      </c>
      <c r="C364" t="inlineStr">
        <is>
          <t>￥8,999</t>
        </is>
      </c>
      <c r="D364" t="inlineStr">
        <is>
          <t>4.2</t>
        </is>
      </c>
      <c r="E364">
        <f>HYPERLINK("https://www.amazon.co.jp/%E7%89%87%E6%89%8B%E6%8C%81%E3%81%A13%E8%BB%B8%E3%82%B9%E3%82%BF%E3%83%93%E3%83%A9%E3%82%A4%E3%82%B6%E3%83%BC-%E3%83%88%E3%83%A9%E3%83%83%E3%82%AD%E3%83%B3%E3%82%B0%E3%83%A2%E3%83%BC%E3%82%B7%E3%83%A7%E3%83%B3-%E3%83%AF%E3%83%B3%E3%82%AF%E3%83%AA%E3%83%83%E3%82%AF%E3%81%A7%E8%87%AA%E5%8B%95%E3%82%AF%E3%83%AA%E3%83%83%E3%83%97%E5%85%B1%E6%9C%89-Android%E5%AF%BE%E5%BF%9C-%E6%97%A5%E6%9C%AC%E8%AA%9E%E5%8F%96%E8%AA%AC%E4%BB%98%E5%B1%9E%EF%BC%88%E9%BB%91%EF%BC%89/dp/B088B9BNRT/ref=sr_1_342_sspa?__mk_ja_JP=%E3%82%AB%E3%82%BF%E3%82%AB%E3%83%8A&amp;dchild=1&amp;keywords=iphone+x&amp;qid=1598525346&amp;sr=8-342-spons&amp;psc=1&amp;spLa=ZW5jcnlwdGVkUXVhbGlmaWVyPUEyQ0tVMkFCRjYyRlNCJmVuY3J5cHRlZElkPUEwMzcyOTMzM0QyMzNEMjY1MlFNTiZlbmNyeXB0ZWRBZElkPUExVzY2VzJZVlBOSVFQJndpZGdldE5hbWU9c3BfYnRmJmFjdGlvbj1jbGlja1JlZGlyZWN0JmRvTm90TG9nQ2xpY2s9dHJ1ZQ==", "Go")</f>
        <v/>
      </c>
    </row>
    <row r="365">
      <c r="A365" s="1" t="n">
        <v>363</v>
      </c>
      <c r="B365" t="inlineStr">
        <is>
          <t>[Amazonブランド] Eono(イオーノ) スマホリング 360度回転式 : 携帯電話 リングホルダー, 薄型 アイホン 指リング, 角度調整可能, ケイタイ スマフォスタンド機能, 車載マグネット式磁石ホルダー対応, iPhone 11 Pro Max, プロ マックス XS XS Max XR X 8 8plus 7 7plus 6 6s 6plus 5 5s, huawei</t>
        </is>
      </c>
      <c r="C365" t="inlineStr">
        <is>
          <t>￥999</t>
        </is>
      </c>
      <c r="D365" t="inlineStr">
        <is>
          <t>4.7</t>
        </is>
      </c>
      <c r="E365">
        <f>HYPERLINK("https://www.amazon.co.jp/Amazon%E3%83%96%E3%83%A9%E3%83%B3%E3%83%89-Eono-%E3%82%A4%E3%82%AA%E3%83%BC%E3%83%8E-%E3%82%B9%E3%83%9E%E3%83%9B%E3%83%AA%E3%83%B3%E3%82%B0-360%E5%BA%A6%E5%9B%9E%E8%BB%A2%E5%BC%8F/dp/B089SLVKFS/ref=sr_1_337_sspa?__mk_ja_JP=%E3%82%AB%E3%82%BF%E3%82%AB%E3%83%8A&amp;dchild=1&amp;keywords=iphone+x&amp;qid=1598525563&amp;sr=8-337-spons&amp;psc=1&amp;spLa=ZW5jcnlwdGVkUXVhbGlmaWVyPUEzUzMwVDgwQUpQUFJHJmVuY3J5cHRlZElkPUEwNzkyNjU3MVk3TkNHMDEyQUkzUSZlbmNyeXB0ZWRBZElkPUEzQjRaSkwyRTVTOTIwJndpZGdldE5hbWU9c3BfYXRmX25leHQmYWN0aW9uPWNsaWNrUmVkaXJlY3QmZG9Ob3RMb2dDbGljaz10cnVl", "Go")</f>
        <v/>
      </c>
    </row>
    <row r="366">
      <c r="A366" s="1" t="n">
        <v>364</v>
      </c>
      <c r="B366" t="inlineStr">
        <is>
          <t>iPhone X/XS スマホケース 本革 まるっとレザー 栃木レザー アニリン グリーン</t>
        </is>
      </c>
      <c r="C366" t="inlineStr">
        <is>
          <t>￥2,980</t>
        </is>
      </c>
      <c r="D366" t="inlineStr">
        <is>
          <t>4.2</t>
        </is>
      </c>
      <c r="E366">
        <f>HYPERLINK("https://www.amazon.co.jp/iPhone-%E3%82%B9%E3%83%9E%E3%83%9B%E3%82%B1%E3%83%BC%E3%82%B9-%E3%81%BE%E3%82%8B%E3%81%A3%E3%81%A8%E3%83%AC%E3%82%B6%E3%83%BC-%E6%A0%83%E6%9C%A8%E3%83%AC%E3%82%B6%E3%83%BC-%E3%82%A2%E3%83%8B%E3%83%AA%E3%83%B3/dp/B0895F8F52/ref=sr_1_339_sspa?__mk_ja_JP=%E3%82%AB%E3%82%BF%E3%82%AB%E3%83%8A&amp;dchild=1&amp;keywords=iphone+x&amp;qid=1598525563&amp;sr=8-339-spons&amp;psc=1&amp;spLa=ZW5jcnlwdGVkUXVhbGlmaWVyPUEzUzMwVDgwQUpQUFJHJmVuY3J5cHRlZElkPUEwNzkyNjU3MVk3TkNHMDEyQUkzUSZlbmNyeXB0ZWRBZElkPUEzUDMzS1Y1Rk5EVVBOJndpZGdldE5hbWU9c3BfYXRmX25leHQmYWN0aW9uPWNsaWNrUmVkaXJlY3QmZG9Ob3RMb2dDbGljaz10cnVl", "Go")</f>
        <v/>
      </c>
    </row>
    <row r="367">
      <c r="A367" s="1" t="n">
        <v>365</v>
      </c>
      <c r="B367" t="inlineStr">
        <is>
          <t>iPhone XS ケース iPhone X ケース シリコン 耐衝撃 薄型 軽量 カメラ保護 滑り防止 ワイヤレス充電 アイフォン XS/X 用カバー</t>
        </is>
      </c>
      <c r="C367" t="inlineStr">
        <is>
          <t>￥999</t>
        </is>
      </c>
      <c r="D367" t="inlineStr">
        <is>
          <t>4</t>
        </is>
      </c>
      <c r="E367">
        <f>HYPERLINK("https://www.amazon.co.jp/iPhone-%E3%82%B7%E3%83%AA%E3%82%B3%E3%83%B3-%E3%82%AB%E3%83%A1%E3%83%A9%E4%BF%9D%E8%AD%B7-%E3%83%AF%E3%82%A4%E3%83%A4%E3%83%AC%E3%82%B9%E5%85%85%E9%9B%BB-%E3%82%A2%E3%82%A4%E3%83%95%E3%82%A9%E3%83%B3/dp/B08C2FCRFT/ref=sr_1_340_sspa?__mk_ja_JP=%E3%82%AB%E3%82%BF%E3%82%AB%E3%83%8A&amp;dchild=1&amp;keywords=iphone+x&amp;qid=1598525563&amp;sr=8-340-spons&amp;psc=1&amp;spLa=ZW5jcnlwdGVkUXVhbGlmaWVyPUEzUzMwVDgwQUpQUFJHJmVuY3J5cHRlZElkPUEwNzkyNjU3MVk3TkNHMDEyQUkzUSZlbmNyeXB0ZWRBZElkPUExOTZNT0wyTEpUMTQ2JndpZGdldE5hbWU9c3BfYXRmX25leHQmYWN0aW9uPWNsaWNrUmVkaXJlY3QmZG9Ob3RMb2dDbGljaz10cnVl", "Go")</f>
        <v/>
      </c>
    </row>
    <row r="368">
      <c r="A368" s="1" t="n">
        <v>366</v>
      </c>
      <c r="B368" t="inlineStr">
        <is>
          <t>FITFORT 電話リングホルダー フィンガーキックスタンド 360度回転 メタルリンググリップ 磁気車載マウント用 全てのスマートフォン・ローズゴールドに対応 PR02-2018</t>
        </is>
      </c>
      <c r="C368" t="inlineStr">
        <is>
          <t>￥3,458</t>
        </is>
      </c>
      <c r="D368" t="inlineStr">
        <is>
          <t>4.6</t>
        </is>
      </c>
      <c r="E368">
        <f>HYPERLINK("https://www.amazon.co.jp/PR02/dp/B07F37PB44/ref=sr_1_341?__mk_ja_JP=%E3%82%AB%E3%82%BF%E3%82%AB%E3%83%8A&amp;dchild=1&amp;keywords=iphone+x&amp;qid=1598525563&amp;sr=8-341", "Go")</f>
        <v/>
      </c>
    </row>
    <row r="369">
      <c r="A369" s="1" t="n">
        <v>367</v>
      </c>
      <c r="B369" t="inlineStr">
        <is>
          <t>Mkeke iPhone 11 Proスクリーンプロテクター、iPhone Xスクリーンプロテクター、iPhone Xs強化ガラススクリーンプロテクターすべて5.8インチiPhone [3パック]</t>
        </is>
      </c>
      <c r="C369" t="inlineStr">
        <is>
          <t>￥5,708</t>
        </is>
      </c>
      <c r="D369" t="inlineStr">
        <is>
          <t>4.6</t>
        </is>
      </c>
      <c r="E369">
        <f>HYPERLINK("https://www.amazon.co.jp/dp/B07VLYNWX9/ref=sr_1_342?__mk_ja_JP=%E3%82%AB%E3%82%BF%E3%82%AB%E3%83%8A&amp;dchild=1&amp;keywords=iphone+x&amp;qid=1598525563&amp;sr=8-342", "Go")</f>
        <v/>
      </c>
    </row>
    <row r="370">
      <c r="A370" s="1" t="n">
        <v>368</v>
      </c>
      <c r="B370" t="inlineStr">
        <is>
          <t>Anker 高耐久ナイロン ライトニングケーブル (2本セット) iPhone充電ケーブル Apple MFi 認証取得 超高耐久 iPhone 11 / 11 Pro / 11 Pro Max/XR / 8 対応 (ブラック 1.8m x 2本)</t>
        </is>
      </c>
      <c r="C370" t="inlineStr">
        <is>
          <t>￥2,199</t>
        </is>
      </c>
      <c r="D370" t="inlineStr">
        <is>
          <t>4.6</t>
        </is>
      </c>
      <c r="E370">
        <f>HYPERLINK("https://www.amazon.co.jp/Anker-6%E3%83%95%E3%82%A3%E3%83%BC%E3%83%88-%E3%83%97%E3%83%AC%E3%83%9F%E3%82%A2%E3%83%A0%E3%83%80%E3%83%96%E3%83%AB%E7%B7%A8%E7%B5%84%E3%83%8A%E3%82%A4%E3%83%AD%E3%83%B3Lightning%E3%82%B1%E3%83%BC%E3%83%96%E3%83%AB-iPhone-AK-848061055832/dp/B07D9C8NP2/ref=sr_1_343?__mk_ja_JP=%E3%82%AB%E3%82%BF%E3%82%AB%E3%83%8A&amp;dchild=1&amp;keywords=iphone+x&amp;qid=1598525563&amp;sr=8-343", "Go")</f>
        <v/>
      </c>
    </row>
    <row r="371">
      <c r="A371" s="1" t="n">
        <v>369</v>
      </c>
      <c r="B371" t="inlineStr">
        <is>
          <t>スタイラスペン 極細ペン先 1.45mm タッチ ペン 超高感度タイプ スマートフォン タブレット スタイラスペン 超軽量 コンパクト USB充電式 タッチ ペン (ブラック)</t>
        </is>
      </c>
      <c r="C371" t="inlineStr">
        <is>
          <t>￥2,699</t>
        </is>
      </c>
      <c r="D371" t="inlineStr">
        <is>
          <t>4.6</t>
        </is>
      </c>
      <c r="E371">
        <f>HYPERLINK("https://www.amazon.co.jp/%E3%82%B9%E3%82%BF%E3%82%A4%E3%83%A9%E3%82%B9%E3%83%9A%E3%83%B3-1-45mm-%E8%B6%85%E9%AB%98%E6%84%9F%E5%BA%A6%E3%82%BF%E3%82%A4%E3%83%97-%E3%82%B9%E3%83%9E%E3%83%BC%E3%83%88%E3%83%95%E3%82%A9%E3%83%B3-USB%E5%85%85%E9%9B%BB%E5%BC%8F/dp/B083XW448G/ref=sr_1_344?__mk_ja_JP=%E3%82%AB%E3%82%BF%E3%82%AB%E3%83%8A&amp;dchild=1&amp;keywords=iphone+x&amp;qid=1598525563&amp;sr=8-344", "Go")</f>
        <v/>
      </c>
    </row>
    <row r="372">
      <c r="A372" s="1" t="n">
        <v>370</v>
      </c>
      <c r="B372" t="inlineStr">
        <is>
          <t>Selfie Stick &amp; 三脚 Fugetek, 統合 ポータブル オールインワンプロ 高耐久 アルミ 軽量 Bluetoothリモート Apple &amp; Androidデバイス用 滑り止め三脚フィート 51インチまで延長 ブラック</t>
        </is>
      </c>
      <c r="C372" t="inlineStr">
        <is>
          <t>￥6,588</t>
        </is>
      </c>
      <c r="D372" t="inlineStr">
        <is>
          <t>4.6</t>
        </is>
      </c>
      <c r="E372">
        <f>HYPERLINK("https://www.amazon.co.jp/FugeTek-All-One%E3%83%97%E3%83%AD%E8%87%AA%E6%92%AE%E3%82%8A%E3%82%B9%E3%83%86%E3%82%A3%E3%83%83%E3%82%AF%E3%81%A8%E4%B8%89%E8%84%9A%E3%80%81%E9%A0%91%E4%B8%88%E3%82%A2%E3%83%AB%E3%83%9F%E3%80%81Bluetooth%E3%83%AA%E3%83%A2%E3%83%BC%E3%83%88for-Apple-Android%E3%83%87%E3%83%90%E3%82%A4%E3%82%B9%E3%80%81%E9%9D%9E%E3%82%B9%E3%82%AD%E3%83%83%E3%83%89%E4%B8%89%E8%84%9A%E3%83%95%E3%82%A3%E3%83%BC%E3%83%88%E3%80%8149%E3%81%BE%E3%81%A7%E6%8B%A1%E5%BC%B5/dp/B075WQYN3B/ref=sr_1_345?__mk_ja_JP=%E3%82%AB%E3%82%BF%E3%82%AB%E3%83%8A&amp;dchild=1&amp;keywords=iphone+x&amp;qid=1598525563&amp;sr=8-345", "Go")</f>
        <v/>
      </c>
    </row>
    <row r="373">
      <c r="A373" s="1" t="n">
        <v>371</v>
      </c>
      <c r="B373" t="inlineStr">
        <is>
          <t>C02 USB Type Cケーブル 3.3+6.6+10フィート 10 feet レッド 123Red</t>
        </is>
      </c>
      <c r="C373" t="inlineStr">
        <is>
          <t>￥1,399</t>
        </is>
      </c>
      <c r="D373" t="inlineStr">
        <is>
          <t>4.6</t>
        </is>
      </c>
      <c r="E373">
        <f>HYPERLINK("https://www.amazon.co.jp/USB%E3%82%BF%E3%82%A4%E3%83%97C%E3%82%B1%E3%83%BC%E3%83%96%E3%83%AB%E3%80%81akoada-C%E3%82%B1%E3%83%BC%E3%83%96%E3%83%AB%E3%83%8A%E3%82%A4%E3%83%AD%E3%83%B3%E7%B7%A8%E3%81%BF%E9%AB%98%E9%80%9F%E5%85%85%E9%9B%BB%E5%99%A8%E3%82%B3%E3%83%BC%E3%83%89Samsung-s8-s9-Plus-8%E3%80%81Google-g5-g6-V20%E3%80%81%E4%BB%BB%E5%A4%A9%E5%A0%82%E3%82%B9%E3%82%A4%E3%83%83%E3%83%81%E3%80%81Moto/dp/B07FK7LMCF/ref=sr_1_346?__mk_ja_JP=%E3%82%AB%E3%82%BF%E3%82%AB%E3%83%8A&amp;dchild=1&amp;keywords=iphone+x&amp;qid=1598525563&amp;sr=8-346", "Go")</f>
        <v/>
      </c>
    </row>
    <row r="374">
      <c r="A374" s="1" t="n">
        <v>372</v>
      </c>
      <c r="B374" t="inlineStr">
        <is>
          <t>SUPCASE iPhone SE(第2世代) ケース/iPhone8/iPhone7 ケース 2020 新しい 背面クリア スマホケース 衝撃吸収 アイフォン SE/8 / 7 米軍MIL規格取得 保護カバー TPUバンパー</t>
        </is>
      </c>
      <c r="C374" t="inlineStr">
        <is>
          <t>￥1,899</t>
        </is>
      </c>
      <c r="D374" t="inlineStr">
        <is>
          <t>4.6</t>
        </is>
      </c>
      <c r="E374">
        <f>HYPERLINK("https://www.amazon.co.jp/Military-Certified-Absorption-Protection-UBStyle/dp/B08764J3M8/ref=sr_1_347?__mk_ja_JP=%E3%82%AB%E3%82%BF%E3%82%AB%E3%83%8A&amp;dchild=1&amp;keywords=iphone+x&amp;qid=1598525563&amp;sr=8-347", "Go")</f>
        <v/>
      </c>
    </row>
    <row r="375">
      <c r="A375" s="1" t="n">
        <v>373</v>
      </c>
      <c r="B375" t="inlineStr">
        <is>
          <t>ADATA 10000mAh モバイルバッテリー LEDライト付き 1年間保証 ブラック/グリーン APT100-10000M-5V-CBKGR</t>
        </is>
      </c>
      <c r="C375" t="inlineStr">
        <is>
          <t>￥1,580</t>
        </is>
      </c>
      <c r="D375" t="inlineStr">
        <is>
          <t>4.6</t>
        </is>
      </c>
      <c r="E375">
        <f>HYPERLINK("https://www.amazon.co.jp/ADATA-Power-Bank-Mobile-Battery/dp/B00Q648VS2/ref=sr_1_348?__mk_ja_JP=%E3%82%AB%E3%82%BF%E3%82%AB%E3%83%8A&amp;dchild=1&amp;keywords=iphone+x&amp;qid=1598525563&amp;sr=8-348", "Go")</f>
        <v/>
      </c>
    </row>
    <row r="376">
      <c r="A376" s="1" t="n">
        <v>374</v>
      </c>
      <c r="B376" t="inlineStr">
        <is>
          <t>LIBERRWAY スタイラスペン 10本パック ピンク パープル ブラック グリーン シルバー スタイラス ユニバーサルタッチスクリーン 静電容量式スタイラス Kindle Touch iPad iPhone 6/6s 6Plus 6s Plus Samsung S5 S6 S7 Edge S8 Plus Note用</t>
        </is>
      </c>
      <c r="C376" t="inlineStr">
        <is>
          <t>￥4,704</t>
        </is>
      </c>
      <c r="D376" t="inlineStr">
        <is>
          <t>4.6</t>
        </is>
      </c>
      <c r="E376">
        <f>HYPERLINK("https://www.amazon.co.jp/Reteck-stylus10pack-4-45-inch-RTSTYLUSPEN10PACK/dp/B01IHBVGOM/ref=sr_1_349?__mk_ja_JP=%E3%82%AB%E3%82%BF%E3%82%AB%E3%83%8A&amp;dchild=1&amp;keywords=iphone+x&amp;qid=1598525563&amp;sr=8-349", "Go")</f>
        <v/>
      </c>
    </row>
    <row r="377">
      <c r="A377" s="1" t="n">
        <v>375</v>
      </c>
      <c r="B377" t="inlineStr">
        <is>
          <t>Amazonベーシック USB3.0延長ケーブル 0.9m 2点セット (タイプAオス - タイプAメス)</t>
        </is>
      </c>
      <c r="C377" t="inlineStr">
        <is>
          <t>￥1,168</t>
        </is>
      </c>
      <c r="D377" t="inlineStr">
        <is>
          <t>4.6</t>
        </is>
      </c>
      <c r="E377">
        <f>HYPERLINK("https://www.amazon.co.jp/Amazon%E3%83%99%E3%83%BC%E3%82%B7%E3%83%83%E3%82%AF-USB3-0%E5%BB%B6%E9%95%B7%E3%82%B1%E3%83%BC%E3%83%96%E3%83%AB-A%E3%82%AA%E3%82%B9-A%E3%83%A1%E3%82%B9-0-9m-2%E7%82%B9%E3%82%BB%E3%83%83%E3%83%88/dp/B014RWAMWC/ref=sr_1_350?__mk_ja_JP=%E3%82%AB%E3%82%BF%E3%82%AB%E3%83%8A&amp;dchild=1&amp;keywords=iphone+x&amp;qid=1598525563&amp;sr=8-350", "Go")</f>
        <v/>
      </c>
    </row>
    <row r="378">
      <c r="A378" s="1" t="n">
        <v>376</v>
      </c>
      <c r="B378" t="inlineStr">
        <is>
          <t>AMZKEY iPhone XR ケース耐衝撃 360°全方向保護 ワイヤレス充電対応 フェイスID認証対応 レンズ保護 両面ケース 超軽量 薄型 透明ケースクリア 防塵 キズ・落下防止 衝撃吸収 全面保護カバー 操作便利 アウトドア スポーツ 高耐久ケース Apple iPhone XR 2018（6.1インチ）（ブラック）</t>
        </is>
      </c>
      <c r="C378" t="inlineStr">
        <is>
          <t>￥1,680</t>
        </is>
      </c>
      <c r="D378" t="inlineStr">
        <is>
          <t>4.6</t>
        </is>
      </c>
      <c r="E378">
        <f>HYPERLINK("https://www.amazon.co.jp/AMZKEY-360%C2%B0%E5%85%A8%E6%96%B9%E5%90%91%E4%BF%9D%E8%AD%B7-%E3%83%AF%E3%82%A4%E3%83%A4%E3%83%AC%E3%82%B9%E5%85%85%E9%9B%BB%E5%AF%BE%E5%BF%9C-%E3%83%95%E3%82%A7%E3%82%A4%E3%82%B9ID%E8%AA%8D%E8%A8%BC%E5%AF%BE%E5%BF%9C-2018%EF%BC%886-1%E3%82%A4%E3%83%B3%E3%83%81%EF%BC%89%EF%BC%88%E3%83%96%E3%83%A9%E3%83%83%E3%82%AF%EF%BC%89/dp/B0886FCSS6/ref=sr_1_351?__mk_ja_JP=%E3%82%AB%E3%82%BF%E3%82%AB%E3%83%8A&amp;dchild=1&amp;keywords=iphone+x&amp;qid=1598525563&amp;sr=8-351", "Go")</f>
        <v/>
      </c>
    </row>
    <row r="379">
      <c r="A379" s="1" t="n">
        <v>377</v>
      </c>
      <c r="B379" t="inlineStr">
        <is>
          <t>【Caseology】 iPhone SE ケース (第2世代) 2020 最新版 iPhone 7 iPhone 8 ケース カバー 二重構造 バンパー iPhone8 iPhone7 耐衝撃 立体パターン 衝撃吸収 ワイヤレス充電 対応 パララックス (バーガンディ)</t>
        </is>
      </c>
      <c r="C379" t="inlineStr">
        <is>
          <t>￥1,999</t>
        </is>
      </c>
      <c r="D379" t="inlineStr">
        <is>
          <t>4.6</t>
        </is>
      </c>
      <c r="E379">
        <f>HYPERLINK("https://www.amazon.co.jp/%E3%80%90Caseology%E3%80%91-Parallax-%E3%83%9F%E3%83%AA%E3%82%BF%E3%83%AA%E3%83%BC%E3%82%B0%E3%83%AC%E3%83%BC%E3%83%89%E3%83%97%E3%83%AD%E3%83%86%E3%82%AF%E3%82%B7%E3%83%A7%E3%83%B3-%E3%83%86%E3%82%AF%E3%82%B9%E3%83%81%E3%83%A3%E3%83%BC%E5%8A%A0%E5%B7%A5%E3%82%B0%E3%83%AA%E3%83%83%E3%83%97-%E3%82%B8%E3%82%AA%E3%83%A1%E3%83%88%E3%83%AA%E3%83%83%E3%82%AF%E3%83%87%E3%82%B6%E3%82%A4%E3%83%B3/dp/B01JSZMZ5U/ref=sr_1_352?__mk_ja_JP=%E3%82%AB%E3%82%BF%E3%82%AB%E3%83%8A&amp;dchild=1&amp;keywords=iphone+x&amp;qid=1598525563&amp;sr=8-352", "Go")</f>
        <v/>
      </c>
    </row>
    <row r="380">
      <c r="A380" s="1" t="n">
        <v>378</v>
      </c>
      <c r="B380" t="inlineStr">
        <is>
          <t>SUPCASE iPhone XS Max ケース 背面クリア ワイヤレス充電可 ハイブリッド アイフォンXS Max ケース UBStyleシリーズ 透明/黑</t>
        </is>
      </c>
      <c r="C380" t="inlineStr">
        <is>
          <t>￥1,499</t>
        </is>
      </c>
      <c r="D380" t="inlineStr">
        <is>
          <t>4.6</t>
        </is>
      </c>
      <c r="E380">
        <f>HYPERLINK("https://www.amazon.co.jp/SUPCASE-iPhone-%E3%83%AF%E3%82%A4%E3%83%A4%E3%83%AC%E3%82%B9%E5%85%85%E9%9B%BB%E5%8F%AF-%E3%83%8F%E3%82%A4%E3%83%96%E3%83%AA%E3%83%83%E3%83%89-UBStyle%E3%82%B7%E3%83%AA%E3%83%BC%E3%82%BA/dp/B07FPJQD2V/ref=sr_1_353?__mk_ja_JP=%E3%82%AB%E3%82%BF%E3%82%AB%E3%83%8A&amp;dchild=1&amp;keywords=iphone+x&amp;qid=1598525563&amp;sr=8-353", "Go")</f>
        <v/>
      </c>
    </row>
    <row r="381">
      <c r="A381" s="1" t="n">
        <v>379</v>
      </c>
      <c r="B381" t="inlineStr">
        <is>
          <t>(ティアラ)Tiara iPhone X iPhoneX お好きな写真で作る スマホケース 手帳型 ベルトなし 完全 おまかせ オーダーメイド 写メ 名入れ プレゼント 手帳ケース カバー バンドなし マグネット式 バンドレス FB188010098001</t>
        </is>
      </c>
      <c r="C381" t="inlineStr">
        <is>
          <t>￥3,877</t>
        </is>
      </c>
      <c r="D381" t="inlineStr">
        <is>
          <t>4.7</t>
        </is>
      </c>
      <c r="E381">
        <f>HYPERLINK("https://www.amazon.co.jp/%E3%83%86%E3%82%A3%E3%82%A2%E3%83%A9-iPhoneX-%E3%81%8A%E5%A5%BD%E3%81%8D%E3%81%AA%E5%86%99%E7%9C%9F%E3%81%A7%E4%BD%9C%E3%82%8B-%E3%82%AA%E3%83%BC%E3%83%80%E3%83%BC%E3%83%A1%E3%82%A4%E3%83%89-FB188010098001/dp/B07J2211TV/ref=sr_1_354?__mk_ja_JP=%E3%82%AB%E3%82%BF%E3%82%AB%E3%83%8A&amp;dchild=1&amp;keywords=iphone+x&amp;qid=1598525563&amp;sr=8-354", "Go")</f>
        <v/>
      </c>
    </row>
    <row r="382">
      <c r="A382" s="1" t="n">
        <v>380</v>
      </c>
      <c r="B382" t="inlineStr">
        <is>
          <t>(ベストフレンドリースウェード) The Friendly Swede キャパシティブタッチスクリーンスタイラスペン 4.5インチ 6本パック 15インチのストラップ2本＆スクリーンクリーニングクロス付き AMZ_US_SPC_6UNI_GSBBBG_TFSCC</t>
        </is>
      </c>
      <c r="C382" t="inlineStr">
        <is>
          <t>￥3,412</t>
        </is>
      </c>
      <c r="D382" t="inlineStr">
        <is>
          <t>4.6</t>
        </is>
      </c>
      <c r="E382">
        <f>HYPERLINK("https://www.amazon.co.jp/Capacitive-Lanyards%E3%80%81%E3%82%AF%E3%83%AA%E3%83%BC%E3%83%8B%E3%83%B3%E3%82%B0%E3%82%AF%E3%83%AD%E3%82%B9by-Friendly-Swede-AMZ_US_SPC_6UNI_GSBBBG_TFSCC/dp/B00752ZKU6/ref=sr_1_355?__mk_ja_JP=%E3%82%AB%E3%82%BF%E3%82%AB%E3%83%8A&amp;dchild=1&amp;keywords=iphone+x&amp;qid=1598525563&amp;sr=8-355", "Go")</f>
        <v/>
      </c>
    </row>
    <row r="383">
      <c r="A383" s="1" t="n">
        <v>381</v>
      </c>
      <c r="B383" t="inlineStr">
        <is>
          <t>amFilm  iPhone 11およびiPhone XR（3パック）用スクリーンプロテクターガラス、Apple iPhone 11および10R（6.1インチ）用ケースフレンドリーな強化ガラススクリーンプロテクターフィルム</t>
        </is>
      </c>
      <c r="C383" t="inlineStr">
        <is>
          <t>￥1,099</t>
        </is>
      </c>
      <c r="D383" t="inlineStr">
        <is>
          <t>4.6</t>
        </is>
      </c>
      <c r="E383">
        <f>HYPERLINK("https://www.amazon.co.jp/amFilm-iPhone-%E3%82%B9%E3%82%AF%E3%83%AA%E3%83%BC%E3%83%B3%E3%83%97%E3%83%AD%E3%83%86%E3%82%AF%E3%82%BF%E3%83%BC%E3%82%AC%E3%83%A9%E3%82%B9-%E5%BC%B7%E5%8C%96%E3%82%AC%E3%83%A9%E3%82%B9%E3%82%B9%E3%82%AF%E3%83%AA%E3%83%BC%E3%83%B3%E3%83%97%E3%83%AD%E3%83%86%E3%82%AF%E3%82%BF%E3%83%BC-%E7%B0%A1%E5%8D%98%E5%8F%96%E3%82%8A%E4%BB%98%E3%81%91%E3%83%88%E3%83%AC%E3%83%BC%E4%BB%98%E3%81%8D/dp/B07GT6XYRC/ref=sr_1_356?__mk_ja_JP=%E3%82%AB%E3%82%BF%E3%82%AB%E3%83%8A&amp;dchild=1&amp;keywords=iphone+x&amp;qid=1598525563&amp;sr=8-356", "Go")</f>
        <v/>
      </c>
    </row>
    <row r="384">
      <c r="A384" s="1" t="n">
        <v>382</v>
      </c>
      <c r="B384" t="inlineStr">
        <is>
          <t>D-FantiX スピードキューブ 3x3 立体パズルキューブ スムーズ回転キューブ 競技用マジック・キューブ 魔方</t>
        </is>
      </c>
      <c r="C384" t="inlineStr">
        <is>
          <t>￥4,950</t>
        </is>
      </c>
      <c r="D384" t="inlineStr">
        <is>
          <t>4.6</t>
        </is>
      </c>
      <c r="E384">
        <f>HYPERLINK("https://www.amazon.co.jp/D-FantiX-Puzzle-Smooth-Rotating-Competition/dp/B00PM722OI/ref=sr_1_357?__mk_ja_JP=%E3%82%AB%E3%82%BF%E3%82%AB%E3%83%8A&amp;dchild=1&amp;keywords=iphone+x&amp;qid=1598525563&amp;sr=8-357", "Go")</f>
        <v/>
      </c>
    </row>
    <row r="385">
      <c r="A385" s="1" t="n">
        <v>383</v>
      </c>
      <c r="B385" t="inlineStr">
        <is>
          <t>Power Theory iPhone X/iPhone Xs ガラス スクリーン プロテクター [2パック] 簡単取り付けキット [プレミアム強化ガラス]</t>
        </is>
      </c>
      <c r="C385" t="inlineStr">
        <is>
          <t>￥8,384</t>
        </is>
      </c>
      <c r="D385" t="inlineStr">
        <is>
          <t>4.6</t>
        </is>
      </c>
      <c r="E385">
        <f>HYPERLINK("https://www.amazon.co.jp/Power-Theory-iPhone-%E7%B0%A1%E5%8D%98%E5%8F%96%E3%82%8A%E4%BB%98%E3%81%91%E3%82%AD%E3%83%83%E3%83%88-%E3%83%97%E3%83%AC%E3%83%9F%E3%82%A2%E3%83%A0%E5%BC%B7%E5%8C%96%E3%82%AC%E3%83%A9%E3%82%B9/dp/B075MBD2P6/ref=sr_1_358?__mk_ja_JP=%E3%82%AB%E3%82%BF%E3%82%AB%E3%83%8A&amp;dchild=1&amp;keywords=iphone+x&amp;qid=1598525563&amp;sr=8-358", "Go")</f>
        <v/>
      </c>
    </row>
    <row r="386">
      <c r="A386" s="1" t="n">
        <v>384</v>
      </c>
      <c r="B386" t="inlineStr">
        <is>
          <t>AMZKEY iPhone XS ケース/iPhone X ケース 耐衝撃 360°全方向保護 ワイヤレス充電対応 フェイスID認証対応 レンズ保護 両面ケース 超軽量 薄型 透明ケースクリア 防塵 キズ 落下防止 衝撃吸収 全面保護カバー 操作便利 アウトドア スポーツ 高耐久ケース Apple iPhone XS 2018（5.8インチ）（ブラック）</t>
        </is>
      </c>
      <c r="C386" t="inlineStr">
        <is>
          <t>￥1,680</t>
        </is>
      </c>
      <c r="D386" t="inlineStr">
        <is>
          <t>4.6</t>
        </is>
      </c>
      <c r="E386">
        <f>HYPERLINK("https://www.amazon.co.jp/AMZKEY-360%C2%B0%E5%85%A8%E6%96%B9%E5%90%91%E4%BF%9D%E8%AD%B7-%E3%83%AF%E3%82%A4%E3%83%A4%E3%83%AC%E3%82%B9%E5%85%85%E9%9B%BB%E5%AF%BE%E5%BF%9C-%E3%83%95%E3%82%A7%E3%82%A4%E3%82%B9ID%E8%AA%8D%E8%A8%BC%E5%AF%BE%E5%BF%9C-2018%EF%BC%885-8%E3%82%A4%E3%83%B3%E3%83%81%EF%BC%89%EF%BC%88%E3%83%96%E3%83%A9%E3%83%83%E3%82%AF%EF%BC%89/dp/B07W5Z98HD/ref=sr_1_359?__mk_ja_JP=%E3%82%AB%E3%82%BF%E3%82%AB%E3%83%8A&amp;dchild=1&amp;keywords=iphone+x&amp;qid=1598525563&amp;sr=8-359", "Go")</f>
        <v/>
      </c>
    </row>
    <row r="387">
      <c r="A387" s="1" t="n">
        <v>385</v>
      </c>
      <c r="B387" t="inlineStr">
        <is>
          <t>【Spigen】 Huawei Mate20 Pro ケース 対応 TPU 米軍MIL規格取得 マット仕上げ ラギッド・アーマー L34CS25064 (マット・ブラック)</t>
        </is>
      </c>
      <c r="C387" t="inlineStr">
        <is>
          <t>￥1,492</t>
        </is>
      </c>
      <c r="D387" t="inlineStr">
        <is>
          <t>4.6</t>
        </is>
      </c>
      <c r="E387">
        <f>HYPERLINK("https://www.amazon.co.jp/%E3%80%90Spigen%E3%80%91-%E7%B1%B3%E8%BB%8DMIL%E8%A6%8F%E6%A0%BC%E5%8F%96%E5%BE%97-%E3%83%A9%E3%82%AE%E3%83%83%E3%83%89%E3%83%BB%E3%82%A2%E3%83%BC%E3%83%9E%E3%83%BC-L34CS25064-%E3%83%9E%E3%83%83%E3%83%88%E3%83%BB%E3%83%96%E3%83%A9%E3%83%83%E3%82%AF/dp/B07GRMYK6L/ref=sr_1_360?__mk_ja_JP=%E3%82%AB%E3%82%BF%E3%82%AB%E3%83%8A&amp;dchild=1&amp;keywords=iphone+x&amp;qid=1598525563&amp;sr=8-360", "Go")</f>
        <v/>
      </c>
    </row>
    <row r="388">
      <c r="A388" s="1" t="n">
        <v>386</v>
      </c>
      <c r="B388" t="inlineStr">
        <is>
          <t>Maxboost スクリーンプロテクター Apple iPhone 11 Pro MaxおよびiPhone XS Max (6.5インチ) (3枚パック、クリア) 0.25mm 強化ガラススクリーンプロテクター 高度なHD透明度/ケースフレンドリー 99% タッチ精度</t>
        </is>
      </c>
      <c r="C388" t="inlineStr">
        <is>
          <t>￥7,400</t>
        </is>
      </c>
      <c r="D388" t="inlineStr">
        <is>
          <t>4.6</t>
        </is>
      </c>
      <c r="E388">
        <f>HYPERLINK("https://www.amazon.co.jp/Maxboost-%E3%82%B9%E3%82%AF%E3%83%AA%E3%83%BC%E3%83%B3%E3%83%97%E3%83%AD%E3%83%86%E3%82%AF%E3%82%BF%E3%83%BC-%E5%BC%B7%E5%8C%96%E3%82%AC%E3%83%A9%E3%82%B9%E3%82%B9%E3%82%AF%E3%83%AA%E3%83%BC%E3%83%B3%E3%83%97%E3%83%AD%E3%83%86%E3%82%AF%E3%82%BF%E3%83%BC-%E3%81%BB%E3%81%A8%E3%82%93%E3%81%A9%E3%81%AE%E3%82%B1%E3%83%BC%E3%82%B9%E3%81%AB%E5%AF%BE%E5%BF%9C-99-%E3%82%BF%E3%83%83%E3%83%81%E3%82%BB%E3%83%B3%E3%82%B5%E3%83%BC%E3%80%82/dp/B07FPZRGFB/ref=sr_1_361?__mk_ja_JP=%E3%82%AB%E3%82%BF%E3%82%AB%E3%83%8A&amp;dchild=1&amp;keywords=iphone+x&amp;qid=1598525563&amp;sr=8-361", "Go")</f>
        <v/>
      </c>
    </row>
    <row r="389">
      <c r="A389" s="1" t="n">
        <v>387</v>
      </c>
      <c r="B389" t="inlineStr">
        <is>
          <t>Gorilla Primeスクリーンプロテクター Apple iPhone 11およびiPhone XR (6.1インチ) (3枚パック、クリア) 0.3mm強化ガラススクリーンプロテクター 高度なHD透明度/ケースフレンドリー 99%タッチ精度</t>
        </is>
      </c>
      <c r="C389" t="inlineStr">
        <is>
          <t>￥7,101</t>
        </is>
      </c>
      <c r="D389" t="inlineStr">
        <is>
          <t>4.6</t>
        </is>
      </c>
      <c r="E389">
        <f>HYPERLINK("https://www.amazon.co.jp/Maxboost-%E3%82%B9%E3%82%AF%E3%83%AA%E3%83%BC%E3%83%B3%E3%83%97%E3%83%AD%E3%83%86%E3%82%AF%E3%82%BF%E3%83%BC-iPhone-%E9%AB%98%E5%BA%A6%E3%81%AAHD%E3%82%AF%E3%83%A9%E3%83%AA%E3%83%86%E3%82%A3%E3%82%BF%E3%83%83%E3%83%81%E4%BB%98%E3%81%8D-%E3%81%BB%E3%81%A8%E3%82%93%E3%81%A9%E3%81%AE%E3%82%B1%E3%83%BC%E3%82%B9%E3%81%A7%E6%AD%A3%E7%A2%BA%E3%81%AB%E6%A9%9F%E8%83%BD/dp/B07FPVK5DH/ref=sr_1_362?__mk_ja_JP=%E3%82%AB%E3%82%BF%E3%82%AB%E3%83%8A&amp;dchild=1&amp;keywords=iphone+x&amp;qid=1598525563&amp;sr=8-362", "Go")</f>
        <v/>
      </c>
    </row>
    <row r="390">
      <c r="A390" s="1" t="n">
        <v>388</v>
      </c>
      <c r="B390" t="inlineStr">
        <is>
          <t>Bluetoothヘッドフォン、TRIBIT Xfree Tune HIFIワイヤレスヘッドフォンリッチバス、24時間連続使用可能、2 x 40 mmドライバー、Bluetooth 4.1 CSRチップ、3.5 MM Auxサポート、ブラック</t>
        </is>
      </c>
      <c r="C390" t="inlineStr">
        <is>
          <t>￥10,608</t>
        </is>
      </c>
      <c r="D390" t="inlineStr">
        <is>
          <t>4.6</t>
        </is>
      </c>
      <c r="E390">
        <f>HYPERLINK("https://www.amazon.co.jp/Bluetooth%E3%83%98%E3%83%83%E3%83%89%E3%83%95%E3%82%A9%E3%83%B3%E3%80%81TRIBIT-HIFI%E3%83%AF%E3%82%A4%E3%83%A4%E3%83%AC%E3%82%B9%E3%83%98%E3%83%83%E3%83%89%E3%83%95%E3%82%A9%E3%83%B3%E3%83%AA%E3%83%83%E3%83%81%E3%83%90%E3%82%B9%E3%80%8124%E6%99%82%E9%96%93%E9%80%A3%E7%B6%9A%E4%BD%BF%E7%94%A8%E5%8F%AF%E8%83%BD%E3%80%812-40-mm%E3%83%89%E3%83%A9%E3%82%A4%E3%83%90%E3%83%BC%E3%80%81Bluetooth-4-1-CSR%E3%83%81%E3%83%83%E3%83%97%E3%80%813-5-MM-Aux%E3%82%B5%E3%83%9D%E3%83%BC%E3%83%88%E3%80%81%E3%83%96%E3%83%A9%E3%83%83%E3%82%AF/dp/B0759QFPQ3/ref=sr_1_363?__mk_ja_JP=%E3%82%AB%E3%82%BF%E3%82%AB%E3%83%8A&amp;dchild=1&amp;keywords=iphone+x&amp;qid=1598525563&amp;sr=8-363", "Go")</f>
        <v/>
      </c>
    </row>
    <row r="391">
      <c r="A391" s="1" t="n">
        <v>389</v>
      </c>
      <c r="B391" t="inlineStr">
        <is>
          <t>Unov iPhone XR 対応 ケース クリア ソフト耐衝撃カバー 透明薄型バンパー TPU 浮彫柄 ストラップホール付き 6.1インチ(生け花)</t>
        </is>
      </c>
      <c r="C391" t="inlineStr">
        <is>
          <t>￥2,894から1個のオプション</t>
        </is>
      </c>
      <c r="D391" t="inlineStr">
        <is>
          <t>4.6</t>
        </is>
      </c>
      <c r="E391">
        <f>HYPERLINK("https://www.amazon.co.jp/Unov-iPhone-%E3%82%BD%E3%83%95%E3%83%88%E8%80%90%E8%A1%9D%E6%92%83%E3%82%AB%E3%83%90%E3%83%BC-%E9%80%8F%E6%98%8E%E8%96%84%E5%9E%8B%E3%83%90%E3%83%B3%E3%83%91%E3%83%BC-%E3%82%B9%E3%83%88%E3%83%A9%E3%83%83%E3%83%97%E3%83%9B%E3%83%BC%E3%83%AB%E4%BB%98%E3%81%8D/dp/B07KK7VNW6/ref=sr_1_364?__mk_ja_JP=%E3%82%AB%E3%82%BF%E3%82%AB%E3%83%8A&amp;dchild=1&amp;keywords=iphone+x&amp;qid=1598525563&amp;sr=8-364", "Go")</f>
        <v/>
      </c>
    </row>
    <row r="392">
      <c r="A392" s="1" t="n">
        <v>390</v>
      </c>
      <c r="B392" t="inlineStr">
        <is>
          <t>Anker PowerPort Atom III Slim (PD対応 30W USB-C 急速充電器)【世界最薄デザイン/PSE認証済/PowerIQ 3.0搭載 / Power Delivery 対応/折りたたみ式プラグ】 iPhone 11 / 11 Pro / 11 Pro Max/XR、MacBook Air、その他USB-C機器対応 (ブラック)</t>
        </is>
      </c>
      <c r="C392" t="inlineStr">
        <is>
          <t>￥2,599</t>
        </is>
      </c>
      <c r="D392" t="inlineStr">
        <is>
          <t>4.6</t>
        </is>
      </c>
      <c r="E392">
        <f>HYPERLINK("https://www.amazon.co.jp/Anker-PowerPort-%E6%8A%98%E3%82%8A%E3%81%9F%E3%81%9F%E3%81%BF%E5%BC%8F%E3%83%97%E3%83%A9%E3%82%B0%E3%80%91-XR%E3%80%81MacBook-Air%E3%80%81%E3%81%9D%E3%81%AE%E4%BB%96USB-C%E6%A9%9F%E5%99%A8%E5%AF%BE%E5%BF%9C/dp/B07SQPZG81/ref=sr_1_365?__mk_ja_JP=%E3%82%AB%E3%82%BF%E3%82%AB%E3%83%8A&amp;dchild=1&amp;keywords=iphone+x&amp;qid=1598525563&amp;sr=8-365", "Go")</f>
        <v/>
      </c>
    </row>
    <row r="393">
      <c r="A393" s="1" t="n">
        <v>391</v>
      </c>
      <c r="B393" t="inlineStr">
        <is>
          <t>Whew iPhone XRケース超薄型全透明 クリアTPUシリコンスマホカバー全面保護 耐衝撃 指紋防止 黄変防止【薄型/軽量/耐衝撃/ワイヤレス充電対応 ]</t>
        </is>
      </c>
      <c r="C393" t="inlineStr">
        <is>
          <t>￥699</t>
        </is>
      </c>
      <c r="D393" t="inlineStr">
        <is>
          <t>4.6</t>
        </is>
      </c>
      <c r="E393">
        <f>HYPERLINK("https://www.amazon.co.jp/Whew-XR%E3%82%B1%E3%83%BC%E3%82%B9%E8%B6%85%E8%96%84%E5%9E%8B%E5%85%A8%E9%80%8F%E6%98%8E-%E3%82%AF%E3%83%AA%E3%82%A2TPU%E3%82%B7%E3%83%AA%E3%82%B3%E3%83%B3%E3%82%B9%E3%83%9E%E3%83%9B%E3%82%AB%E3%83%90%E3%83%BC%E5%85%A8%E9%9D%A2%E4%BF%9D%E8%AD%B7-%E9%BB%84%E5%A4%89%E9%98%B2%E6%AD%A2%E3%80%90%E8%96%84%E5%9E%8B-%E3%83%AF%E3%82%A4%E3%83%A4%E3%83%AC%E3%82%B9%E5%85%85%E9%9B%BB%E5%AF%BE%E5%BF%9C/dp/B087RGT3KS/ref=sr_1_366?__mk_ja_JP=%E3%82%AB%E3%82%BF%E3%82%AB%E3%83%8A&amp;dchild=1&amp;keywords=iphone+x&amp;qid=1598525563&amp;sr=8-366", "Go")</f>
        <v/>
      </c>
    </row>
    <row r="394">
      <c r="A394" s="1" t="n">
        <v>392</v>
      </c>
      <c r="B394" t="inlineStr">
        <is>
          <t>X-Doria ディフェンスシールドシリーズ iPhone Xs Max 2019 - ミリタリーグレードの落下テスト済み アルマイト処理 TPU ポリカーボネート保護ケース Apple iPhone Xs Max 2019用 485340</t>
        </is>
      </c>
      <c r="C394" t="inlineStr">
        <is>
          <t>￥13,398</t>
        </is>
      </c>
      <c r="D394" t="inlineStr">
        <is>
          <t>4.6</t>
        </is>
      </c>
      <c r="E394">
        <f>HYPERLINK("https://www.amazon.co.jp/X-Doria-%E3%83%87%E3%82%A3%E3%83%95%E3%82%A7%E3%83%B3%E3%82%B9%E3%82%B7%E3%83%BC%E3%83%AB%E3%83%89%E3%82%B7%E3%83%AA%E3%83%BC%E3%82%BA-iPhone-2019-%E3%83%9F%E3%83%AA%E3%82%BF%E3%83%AA%E3%83%BC%E3%82%B0%E3%83%AC%E3%83%BC%E3%83%89%E3%81%AE%E8%90%BD%E4%B8%8B%E3%83%86%E3%82%B9%E3%83%88%E6%B8%88%E3%81%BF/dp/B07RVDNRP4/ref=sr_1_367?__mk_ja_JP=%E3%82%AB%E3%82%BF%E3%82%AB%E3%83%8A&amp;dchild=1&amp;keywords=iphone+x&amp;qid=1598525563&amp;sr=8-367", "Go")</f>
        <v/>
      </c>
    </row>
    <row r="395">
      <c r="A395" s="1" t="n">
        <v>393</v>
      </c>
      <c r="B395" t="inlineStr">
        <is>
          <t>TORRAS iPhone XSケース/iPhoneケースX ハードプラスチックPC マット仕上げコーティング超薄型 黒</t>
        </is>
      </c>
      <c r="C395" t="inlineStr">
        <is>
          <t>￥7,364</t>
        </is>
      </c>
      <c r="D395" t="inlineStr">
        <is>
          <t>4.6</t>
        </is>
      </c>
      <c r="E395">
        <f>HYPERLINK("https://www.amazon.co.jp/TORRAS-%E3%82%B9%E3%83%AA%E3%83%A0%E3%83%95%E3%82%A3%E3%83%83%E3%83%88iPhone-iPhone%E3%82%B1%E3%83%BC%E3%82%B9X-%E3%83%8F%E3%83%BC%E3%83%89%E3%83%97%E3%83%A9%E3%82%B9%E3%83%81%E3%83%83%E3%82%AFPC-%E3%82%B9%E3%83%9A%E3%83%BC%E3%82%B9%E3%83%96%E3%83%A9%E3%83%83%E3%82%AF%E3%81%AB%E5%AF%BE%E5%BF%9C%E3%83%9E%E3%83%83%E3%83%88%E4%BB%95%E4%B8%8A%E3%81%92%E3%82%B3%E3%83%BC%E3%83%86%E3%82%A3%E3%83%B3%E3%82%B0%E3%82%B0%E3%83%AA%E3%83%83%E3%83%97%E3%82%92%E6%8C%81%E3%81%A4%E8%B6%85%E8%96%84%E5%9E%8B%E6%90%BA%E5%B8%AF%E9%9B%BB%E8%A9%B1/dp/B0759JNCJ3/ref=sr_1_368?__mk_ja_JP=%E3%82%AB%E3%82%BF%E3%82%AB%E3%83%8A&amp;dchild=1&amp;keywords=iphone+x&amp;qid=1598525563&amp;sr=8-368", "Go")</f>
        <v/>
      </c>
    </row>
    <row r="396">
      <c r="A396" s="1" t="n">
        <v>394</v>
      </c>
      <c r="B396" t="inlineStr">
        <is>
          <t>iPhone 8ケース Trianium Protanium Apple iPhone 8ケース (2017) 高耐久保護/衝撃吸収アーマー/デュアルレイヤーTPU + リジッドバックアーマー/傷防止/強化コーナーフレーム TM000217</t>
        </is>
      </c>
      <c r="C396" t="inlineStr">
        <is>
          <t>￥1,292</t>
        </is>
      </c>
      <c r="D396" t="inlineStr">
        <is>
          <t>4.6</t>
        </is>
      </c>
      <c r="E396">
        <f>HYPERLINK("https://www.amazon.co.jp/Trianium-%E3%83%87%E3%83%A5%E3%82%A2%E3%83%AB%E3%83%AC%E3%82%A4%E3%83%A4%E3%83%BCTPU-%E3%83%AA%E3%82%B8%E3%83%83%E3%83%89%E3%83%90%E3%83%83%E3%82%AF%E3%82%A2%E3%83%BC%E3%83%9E%E3%83%BC-%E5%BC%B7%E5%8C%96%E3%82%B3%E3%83%BC%E3%83%8A%E3%83%BC%E3%83%95%E3%83%AC%E3%83%BC%E3%83%A0-TM000217/dp/B074F2MMPM/ref=sr_1_369?__mk_ja_JP=%E3%82%AB%E3%82%BF%E3%82%AB%E3%83%8A&amp;dchild=1&amp;keywords=iphone+x&amp;qid=1598525563&amp;sr=8-369", "Go")</f>
        <v/>
      </c>
    </row>
    <row r="397">
      <c r="A397" s="1" t="n">
        <v>395</v>
      </c>
      <c r="B397" t="inlineStr">
        <is>
          <t>「UK Trident」本格デニム iPhone7 / iPhone8 / iPhone SE 第2世代 兼用 手帳型アイフォンケース</t>
        </is>
      </c>
      <c r="C397" t="inlineStr">
        <is>
          <t>￥2,980</t>
        </is>
      </c>
      <c r="D397" t="inlineStr">
        <is>
          <t>4.6</t>
        </is>
      </c>
      <c r="E397">
        <f>HYPERLINK("https://www.amazon.co.jp/%E3%80%8CUK-Trident%E3%80%8D%E6%9C%AC%E6%A0%BC%E3%83%87%E3%83%8B%E3%83%A0-iPhone8-iPhone7-%E6%89%8B%E5%B8%B3%E5%9E%8B%E3%82%A2%E3%82%A4%E3%83%95%E3%82%A9%E3%83%B3%E3%82%B1%E3%83%BC%E3%82%B9/dp/B01M34CHGL/ref=sr_1_370?__mk_ja_JP=%E3%82%AB%E3%82%BF%E3%82%AB%E3%83%8A&amp;dchild=1&amp;keywords=iphone+x&amp;qid=1598525563&amp;sr=8-370", "Go")</f>
        <v/>
      </c>
    </row>
    <row r="398">
      <c r="A398" s="1" t="n">
        <v>396</v>
      </c>
      <c r="B398" t="inlineStr">
        <is>
          <t>Type Cケーブル 3 Feet レッド</t>
        </is>
      </c>
      <c r="C398" t="inlineStr">
        <is>
          <t>￥1,290</t>
        </is>
      </c>
      <c r="D398" t="inlineStr">
        <is>
          <t>4.6</t>
        </is>
      </c>
      <c r="E398">
        <f>HYPERLINK("https://www.amazon.co.jp/dp/B07M6PCKRR/ref=sr_1_371?__mk_ja_JP=%E3%82%AB%E3%82%BF%E3%82%AB%E3%83%8A&amp;dchild=1&amp;keywords=iphone+x&amp;qid=1598525563&amp;sr=8-371", "Go")</f>
        <v/>
      </c>
    </row>
    <row r="399">
      <c r="A399" s="1" t="n">
        <v>397</v>
      </c>
      <c r="B399" t="inlineStr">
        <is>
          <t>[2020最新型]Phone イヤホン 変換 アダプター 充電 音楽 同時 ライトニング イヤホン 変換ケーブル 2in1 高音質 急速充電 3.5mm イヤホンジャック Phone11/11pro/Xs/Xs max/Xr/X/8/8plus/7/7plus (iOS13対応</t>
        </is>
      </c>
      <c r="C399" t="inlineStr">
        <is>
          <t>￥1,199</t>
        </is>
      </c>
      <c r="D399" t="inlineStr">
        <is>
          <t>4.6</t>
        </is>
      </c>
      <c r="E399">
        <f>HYPERLINK("https://www.amazon.co.jp/2020%E6%9C%80%E6%96%B0%E5%9E%8B-%E3%83%A9%E3%82%A4%E3%83%88%E3%83%8B%E3%83%B3%E3%82%B0-%E3%82%A4%E3%83%A4%E3%83%9B%E3%83%B3%E3%82%B8%E3%83%A3%E3%83%83%E3%82%AF-Phone11-iOS13%E5%AF%BE%E5%BF%9C/dp/B08DN99XN3/ref=sr_1_372?__mk_ja_JP=%E3%82%AB%E3%82%BF%E3%82%AB%E3%83%8A&amp;dchild=1&amp;keywords=iphone+x&amp;qid=1598525563&amp;sr=8-372", "Go")</f>
        <v/>
      </c>
    </row>
    <row r="400">
      <c r="A400" s="1" t="n">
        <v>398</v>
      </c>
      <c r="B400" t="inlineStr">
        <is>
          <t>SPARイン iPhone Xマックス用スクリーンプロテクター [4パック] 9H硬度強化ガラスiPhone用 X最大6.5インチ[整列フレーム] [スクラッチプルーフ] [バブル無料] [高応答] クリスタルクリア</t>
        </is>
      </c>
      <c r="C400" t="inlineStr">
        <is>
          <t>￥9,046</t>
        </is>
      </c>
      <c r="D400" t="inlineStr">
        <is>
          <t>4.6</t>
        </is>
      </c>
      <c r="E400">
        <f>HYPERLINK("https://www.amazon.co.jp/X%E3%83%9E%E3%83%83%E3%82%AF%E3%82%B9%E7%94%A8%E3%82%B9%E3%82%AF%E3%83%AA%E3%83%BC%E3%83%B3%E3%83%97%E3%83%AD%E3%83%86%E3%82%AF%E3%82%BF%E3%83%BC-9H%E7%A1%AC%E5%BA%A6%E5%BC%B7%E5%8C%96%E3%82%AC%E3%83%A9%E3%82%B9iPhone%E7%94%A8-X%E6%9C%80%E5%A4%A76-5%E3%82%A4%E3%83%B3%E3%83%81-%E3%82%B9%E3%82%AF%E3%83%A9%E3%83%83%E3%83%81%E3%83%97%E3%83%AB%E3%83%BC%E3%83%95-%E3%82%AF%E3%83%AA%E3%82%B9%E3%82%BF%E3%83%AB%E3%82%AF%E3%83%AA%E3%82%A2/dp/B07H4PNWZW/ref=sr_1_373?__mk_ja_JP=%E3%82%AB%E3%82%BF%E3%82%AB%E3%83%8A&amp;dchild=1&amp;keywords=iphone+x&amp;qid=1598525563&amp;sr=8-373", "Go")</f>
        <v/>
      </c>
    </row>
    <row r="401">
      <c r="A401" s="1" t="n">
        <v>399</v>
      </c>
      <c r="B401" t="inlineStr">
        <is>
          <t>【Ringke】Xiaomi Redmi Note 8 ケース (2019) スマホケース TPU ストラップホール [米軍MIL規格取得] クリア 透明 落下防止 カバー Qi ワイヤレス充電対応 Redmi Note8 ケース Fusion-X (Black ブラック)</t>
        </is>
      </c>
      <c r="C401" t="inlineStr">
        <is>
          <t>￥999</t>
        </is>
      </c>
      <c r="D401" t="inlineStr">
        <is>
          <t>4.6</t>
        </is>
      </c>
      <c r="E401">
        <f>HYPERLINK("https://www.amazon.co.jp/%E3%80%90Ringke%E3%80%91Xiaomi-%E3%82%B9%E3%83%88%E3%83%A9%E3%83%83%E3%83%97%E3%83%9B%E3%83%BC%E3%83%AB-%E7%B1%B3%E8%BB%8DMIL%E8%A6%8F%E6%A0%BC%E5%8F%96%E5%BE%97-%E3%83%AF%E3%82%A4%E3%83%A4%E3%83%AC%E3%82%B9%E5%85%85%E9%9B%BB%E5%AF%BE%E5%BF%9C-Fusion-X/dp/B07YLF45Q5/ref=sr_1_374?__mk_ja_JP=%E3%82%AB%E3%82%BF%E3%82%AB%E3%83%8A&amp;dchild=1&amp;keywords=iphone+x&amp;qid=1598525563&amp;sr=8-374", "Go")</f>
        <v/>
      </c>
    </row>
    <row r="402">
      <c r="A402" s="1" t="n">
        <v>400</v>
      </c>
      <c r="B402" t="inlineStr">
        <is>
          <t>Lamicall グースネック電話ホルダー ベッド用 LS05 ブラック 1546</t>
        </is>
      </c>
      <c r="C402" t="inlineStr">
        <is>
          <t>￥2,580</t>
        </is>
      </c>
      <c r="D402" t="inlineStr">
        <is>
          <t>4.6</t>
        </is>
      </c>
      <c r="E402">
        <f>HYPERLINK("https://www.amazon.co.jp/3546/dp/B07S9JXQP2/ref=sr_1_375?__mk_ja_JP=%E3%82%AB%E3%82%BF%E3%82%AB%E3%83%8A&amp;dchild=1&amp;keywords=iphone+x&amp;qid=1598525563&amp;sr=8-375", "Go")</f>
        <v/>
      </c>
    </row>
    <row r="403">
      <c r="A403" s="1" t="n">
        <v>401</v>
      </c>
      <c r="B403" t="inlineStr">
        <is>
          <t>TORRAS スリムフィット iPhone XRケース 超薄型 ハードプラスチック フル保護カバー マット仕上げ グリップ携帯電話ケース iPhone XR 6.1インチ (2018) ブラック TS-IPX-6.1-WM-BK-AU</t>
        </is>
      </c>
      <c r="C403" t="inlineStr">
        <is>
          <t>￥8,155から1個のオプション</t>
        </is>
      </c>
      <c r="D403" t="inlineStr">
        <is>
          <t>4.6</t>
        </is>
      </c>
      <c r="E403">
        <f>HYPERLINK("https://www.amazon.co.jp/TORRAS-%E3%82%B9%E3%83%AA%E3%83%A0%E3%83%95%E3%82%A3%E3%83%83%E3%83%88-%E3%83%8F%E3%83%BC%E3%83%89%E3%83%97%E3%83%A9%E3%82%B9%E3%83%81%E3%83%83%E3%82%AF-%E3%82%B0%E3%83%AA%E3%83%83%E3%83%97%E6%90%BA%E5%B8%AF%E9%9B%BB%E8%A9%B1%E3%82%B1%E3%83%BC%E3%82%B9-TS-IPX-6-1-WM-BK-AU/dp/B07GWF713T/ref=sr_1_376?__mk_ja_JP=%E3%82%AB%E3%82%BF%E3%82%AB%E3%83%8A&amp;dchild=1&amp;keywords=iphone+x&amp;qid=1598525563&amp;sr=8-376", "Go")</f>
        <v/>
      </c>
    </row>
    <row r="404">
      <c r="A404" s="1" t="n">
        <v>402</v>
      </c>
      <c r="B404" t="inlineStr">
        <is>
          <t>Hiearcool ユニバーサル防水ケース 防水電話ポーチ iPhone 11 Pro Max XS Max XR X 8 7 6S Plus Samsung Galaxy s10/s9 Google Pixel 2 HTC 最大7.0インチ IPX8携帯電話ドライバッグ 2パック 43220-33266</t>
        </is>
      </c>
      <c r="C404" t="inlineStr">
        <is>
          <t>￥1,399</t>
        </is>
      </c>
      <c r="D404" t="inlineStr">
        <is>
          <t>4.6</t>
        </is>
      </c>
      <c r="E404">
        <f>HYPERLINK("https://www.amazon.co.jp/%E3%83%A6%E3%83%8B%E3%83%90%E3%83%BC%E3%82%B5%E3%83%AB%E9%98%B2%E6%B0%B4%E3%82%B1%E3%83%BC%E3%82%B9-IPX8%E9%98%B2%E6%B0%B4%E9%9B%BB%E8%A9%B1%E3%83%9D%E3%83%BC%E3%83%81-%E6%90%BA%E5%B8%AF%E9%9B%BB%E8%A9%B1%E3%83%89%E3%83%A9%E3%82%A4%E3%83%90%E3%83%83%E3%82%B0-Samsung-%E6%9C%80%E5%A4%A77-0%E3%82%A4%E3%83%B3%E3%83%81%E7%94%A8/dp/B074M4PQ1K/ref=sr_1_377?__mk_ja_JP=%E3%82%AB%E3%82%BF%E3%82%AB%E3%83%8A&amp;dchild=1&amp;keywords=iphone+x&amp;qid=1598525563&amp;sr=8-377", "Go")</f>
        <v/>
      </c>
    </row>
    <row r="405">
      <c r="A405" s="1" t="n">
        <v>403</v>
      </c>
      <c r="B405" t="inlineStr">
        <is>
          <t>Amazonベーシック ライトニングケーブル USB 【iPhone対応 / Apple MFi認証】ローズゴールド 3.0m 二重高耐久ナイロン製 アドバンスコレクション</t>
        </is>
      </c>
      <c r="C405" t="inlineStr">
        <is>
          <t>￥1,580</t>
        </is>
      </c>
      <c r="D405" t="inlineStr">
        <is>
          <t>4.6</t>
        </is>
      </c>
      <c r="E405">
        <f>HYPERLINK("https://www.amazon.co.jp/Amazon-Basics-Double-Braided-Lightning-Certified/dp/B0753QWL5X/ref=sr_1_378?__mk_ja_JP=%E3%82%AB%E3%82%BF%E3%82%AB%E3%83%8A&amp;dchild=1&amp;keywords=iphone+x&amp;qid=1598525563&amp;sr=8-378", "Go")</f>
        <v/>
      </c>
    </row>
    <row r="406">
      <c r="A406" s="1" t="n">
        <v>404</v>
      </c>
      <c r="B406" t="inlineStr">
        <is>
          <t>スマーティッシュ iPhone 11 Pro ウォレットケース SLK-VT19M-BLACK</t>
        </is>
      </c>
      <c r="C406" t="inlineStr">
        <is>
          <t>￥8,564</t>
        </is>
      </c>
      <c r="D406" t="inlineStr">
        <is>
          <t>4.6</t>
        </is>
      </c>
      <c r="E406">
        <f>HYPERLINK("https://www.amazon.co.jp/%E3%82%B9%E3%83%9E%E3%83%BC%E3%83%86%E3%82%A3%E3%83%83%E3%82%B7%E3%83%A5-iPhone-Pro-%E3%82%A6%E3%82%A9%E3%83%AC%E3%83%83%E3%83%88%E3%82%B1%E3%83%BC%E3%82%B9-SLK-VT19M-BLACK/dp/B07T7Z5TBQ/ref=sr_1_379?__mk_ja_JP=%E3%82%AB%E3%82%BF%E3%82%AB%E3%83%8A&amp;dchild=1&amp;keywords=iphone+x&amp;qid=1598525563&amp;sr=8-379", "Go")</f>
        <v/>
      </c>
    </row>
    <row r="407">
      <c r="A407" s="1" t="n">
        <v>405</v>
      </c>
      <c r="B407" t="inlineStr">
        <is>
          <t>携帯電話スタンドホルダー, Urmustアルミデスクトップソリッド持ち運び可能なユニバーサルデスクスタンド 全ての携帯電話スマートフォンに対応できる Huawei、iPhone X 8 7 6 Plus 5 iPadミニタブレット オフィス用装飾品（シルバー）</t>
        </is>
      </c>
      <c r="C407" t="inlineStr">
        <is>
          <t>￥699</t>
        </is>
      </c>
      <c r="D407" t="inlineStr">
        <is>
          <t>4.6</t>
        </is>
      </c>
      <c r="E407">
        <f>HYPERLINK("https://www.amazon.co.jp/%E6%90%BA%E5%B8%AF%E9%9B%BB%E8%A9%B1%E3%82%B9%E3%82%BF%E3%83%B3%E3%83%89%E3%83%9B%E3%83%AB%E3%83%80%E3%83%BC-Urmust%E3%82%A2%E3%83%AB%E3%83%9F%E3%83%87%E3%82%B9%E3%82%AF%E3%83%88%E3%83%83%E3%83%97%E3%82%BD%E3%83%AA%E3%83%83%E3%83%89%E6%8C%81%E3%81%A1%E9%81%8B%E3%81%B3%E5%8F%AF%E8%83%BD%E3%81%AA%E3%83%A6%E3%83%8B%E3%83%90%E3%83%BC%E3%82%B5%E3%83%AB%E3%83%87%E3%82%B9%E3%82%AF%E3%82%B9%E3%82%BF%E3%83%B3%E3%83%89-%E5%85%A8%E3%81%A6%E3%81%AE%E6%90%BA%E5%B8%AF%E9%9B%BB%E8%A9%B1%E3%82%B9%E3%83%9E%E3%83%BC%E3%83%88%E3%83%95%E3%82%A9%E3%83%B3%E3%81%AB%E5%AF%BE%E5%BF%9C%E3%81%A7%E3%81%8D%E3%82%8B-Huawei%E3%80%81iPhone-%E3%82%AA%E3%83%95%E3%82%A3%E3%82%B9%E7%94%A8%E8%A3%85%E9%A3%BE%E5%93%81%EF%BC%88%E3%82%B7%E3%83%AB%E3%83%90%E3%83%BC%EF%BC%89/dp/B07ZJDV3FN/ref=sr_1_380?__mk_ja_JP=%E3%82%AB%E3%82%BF%E3%82%AB%E3%83%8A&amp;dchild=1&amp;keywords=iphone+x&amp;qid=1598525563&amp;sr=8-380", "Go")</f>
        <v/>
      </c>
    </row>
    <row r="408">
      <c r="A408" s="1" t="n">
        <v>406</v>
      </c>
      <c r="B408" t="inlineStr">
        <is>
          <t>ESR iPhone 11 Pro ケース クリアケース TPUバンパー 背面PC材質 【米軍MIL規格取得】 全透明 全面保護 耐衝撃 カメラ保護 衝撃吸収 ワイヤレス充電対応 5.8インチ iPhone 11 Pro スマホケース（クリア）</t>
        </is>
      </c>
      <c r="C408" t="inlineStr">
        <is>
          <t>￥581</t>
        </is>
      </c>
      <c r="D408" t="inlineStr">
        <is>
          <t>4.6</t>
        </is>
      </c>
      <c r="E408">
        <f>HYPERLINK("https://www.amazon.co.jp/ESR-iPhone-Pro-%E3%80%90%E7%B1%B3%E8%BB%8DMIL%E8%A6%8F%E6%A0%BC%E5%8F%96%E5%BE%97%E3%80%91-%E3%82%B9%E3%83%9E%E3%83%9B%E3%82%B1%E3%83%BC%E3%82%B9%EF%BC%88%E3%82%AF%E3%83%AA%E3%82%A2%EF%BC%89/dp/B07VKQYPGS/ref=sr_1_381?__mk_ja_JP=%E3%82%AB%E3%82%BF%E3%82%AB%E3%83%8A&amp;dchild=1&amp;keywords=iphone+x&amp;qid=1598525563&amp;sr=8-381", "Go")</f>
        <v/>
      </c>
    </row>
    <row r="409">
      <c r="A409" s="1" t="n">
        <v>407</v>
      </c>
      <c r="B409" t="inlineStr">
        <is>
          <t>OtterBox iPhone 11 Pro Max Symmetry ケース(Black)</t>
        </is>
      </c>
      <c r="C409" t="inlineStr">
        <is>
          <t>￥5,060</t>
        </is>
      </c>
      <c r="D409" t="inlineStr">
        <is>
          <t>4.6</t>
        </is>
      </c>
      <c r="E409">
        <f>HYPERLINK("https://www.amazon.co.jp/77-62591/dp/B07W3Q2WD8/ref=sr_1_382?__mk_ja_JP=%E3%82%AB%E3%82%BF%E3%82%AB%E3%83%8A&amp;dchild=1&amp;keywords=iphone+x&amp;qid=1598525563&amp;sr=8-382", "Go")</f>
        <v/>
      </c>
    </row>
    <row r="410">
      <c r="A410" s="1" t="n">
        <v>408</v>
      </c>
      <c r="B410" t="inlineStr">
        <is>
          <t>OtterBox DEFENDER iPhone 6 Plus/6s Plus ケース - フラストレーションフリーパッケージ - ブラック</t>
        </is>
      </c>
      <c r="C410" t="inlineStr">
        <is>
          <t>￥29,135</t>
        </is>
      </c>
      <c r="D410" t="inlineStr">
        <is>
          <t>4.6</t>
        </is>
      </c>
      <c r="E410">
        <f>HYPERLINK("https://www.amazon.co.jp/OtterBox-DEFENDER-iPhone-Plus-%E3%83%95%E3%83%A9%E3%82%B9%E3%83%88%E3%83%AC%E3%83%BC%E3%82%B7%E3%83%A7%E3%83%B3%E3%83%95%E3%83%AA%E3%83%BC%E3%83%91%E3%83%83%E3%82%B1%E3%83%BC%E3%82%B8/dp/B00Z7SX51Q/ref=sr_1_383?__mk_ja_JP=%E3%82%AB%E3%82%BF%E3%82%AB%E3%83%8A&amp;dchild=1&amp;keywords=iphone+x&amp;qid=1598525563&amp;sr=8-383", "Go")</f>
        <v/>
      </c>
    </row>
    <row r="411">
      <c r="A411" s="1" t="n">
        <v>409</v>
      </c>
      <c r="B411" t="inlineStr">
        <is>
          <t>Anker PowerCore 10000 PD Redux（モバイルバッテリー 10000mAh 大容量）【PSE認証済 / Power Delivery対応 /低電流モード搭載】 iPhone ＆ Android 各種対応</t>
        </is>
      </c>
      <c r="C411" t="inlineStr">
        <is>
          <t>￥4,299</t>
        </is>
      </c>
      <c r="D411" t="inlineStr">
        <is>
          <t>4.6</t>
        </is>
      </c>
      <c r="E411">
        <f>HYPERLINK("https://www.amazon.co.jp/Anker-PowerCore-Redux%EF%BC%88%E3%83%A2%E3%83%90%E3%82%A4%E3%83%AB%E3%83%90%E3%83%83%E3%83%86%E3%83%AA%E3%83%BC-%E5%A4%A7%E5%AE%B9%E9%87%8F%EF%BC%89%E3%80%90PSE%E8%AA%8D%E8%A8%BC%E6%B8%88-Delivery%E5%AF%BE%E5%BF%9C/dp/B07PXMF52C/ref=sr_1_384?__mk_ja_JP=%E3%82%AB%E3%82%BF%E3%82%AB%E3%83%8A&amp;dchild=1&amp;keywords=iphone+x&amp;qid=1598525563&amp;sr=8-384", "Go")</f>
        <v/>
      </c>
    </row>
    <row r="412">
      <c r="A412" s="1" t="n">
        <v>410</v>
      </c>
      <c r="B412" t="inlineStr">
        <is>
          <t>Lightningケーブル 3フィート 5パック 6フィート iPhone充電ケーブル / 6フィート 高速iPad充電コード iPhone Xs max/xr/x/8/8 Plus/7/7 Plus/6/6s Plus/5s/5 iPad用</t>
        </is>
      </c>
      <c r="C412" t="inlineStr">
        <is>
          <t>￥7,566</t>
        </is>
      </c>
      <c r="D412" t="inlineStr">
        <is>
          <t>4.6</t>
        </is>
      </c>
      <c r="E412">
        <f>HYPERLINK("https://www.amazon.co.jp/Lightning%E3%82%B1%E3%83%BC%E3%83%96%E3%83%AB-3%E3%83%95%E3%82%A3%E3%83%BC%E3%83%88-iPhone%E5%85%85%E9%9B%BB%E3%82%B1%E3%83%BC%E3%83%96%E3%83%AB-%E9%AB%98%E9%80%9FiPad%E5%85%85%E9%9B%BB%E3%82%B3%E3%83%BC%E3%83%89-iPhone/dp/B07QZ3MM4W/ref=sr_1_385?__mk_ja_JP=%E3%82%AB%E3%82%BF%E3%82%AB%E3%83%8A&amp;dchild=1&amp;keywords=iphone+x&amp;qid=1598525563&amp;sr=8-385", "Go")</f>
        <v/>
      </c>
    </row>
    <row r="413">
      <c r="A413" s="1" t="n">
        <v>411</v>
      </c>
      <c r="B413" t="inlineStr">
        <is>
          <t>OtterBox iPhone 11 Pro Max Commuter ケース(Mint Way)</t>
        </is>
      </c>
      <c r="C413" t="inlineStr">
        <is>
          <t>￥3,800</t>
        </is>
      </c>
      <c r="D413" t="inlineStr">
        <is>
          <t>4.6</t>
        </is>
      </c>
      <c r="E413">
        <f>HYPERLINK("https://www.amazon.co.jp/OtterBox-iPhone-Pro-Commuter-Mint/dp/B07W3Q2WCR/ref=sr_1_386?__mk_ja_JP=%E3%82%AB%E3%82%BF%E3%82%AB%E3%83%8A&amp;dchild=1&amp;keywords=iphone+x&amp;qid=1598525563&amp;sr=8-386", "Go")</f>
        <v/>
      </c>
    </row>
    <row r="414">
      <c r="A414" s="1" t="n">
        <v>412</v>
      </c>
      <c r="B414" t="inlineStr">
        <is>
          <t>iPhone XS ケース iPhone X ケース 対応 軽量 薄型 防塵 耐衝撃 コンパクト PC素材 指紋防止 カメラ保護 可傷つき防止 黄変防止 おしゃれ 一体型 人気 アイフォン xs/x ケース (5.8インチ ブラック)</t>
        </is>
      </c>
      <c r="C414" t="inlineStr">
        <is>
          <t>￥1,280</t>
        </is>
      </c>
      <c r="D414" t="inlineStr">
        <is>
          <t>4.9</t>
        </is>
      </c>
      <c r="E414">
        <f>HYPERLINK("https://www.amazon.co.jp/iPhone-%E3%82%B3%E3%83%B3%E3%83%91%E3%82%AF%E3%83%88-%E3%82%AB%E3%83%A1%E3%83%A9%E4%BF%9D%E8%AD%B7-%E5%8F%AF%E5%82%B7%E3%81%A4%E3%81%8D%E9%98%B2%E6%AD%A2-5-8%E3%82%A4%E3%83%B3%E3%83%81/dp/B081DT7F4P/ref=sr_1_387?__mk_ja_JP=%E3%82%AB%E3%82%BF%E3%82%AB%E3%83%8A&amp;dchild=1&amp;keywords=iphone+x&amp;qid=1598525563&amp;sr=8-387", "Go")</f>
        <v/>
      </c>
    </row>
    <row r="415">
      <c r="A415" s="1" t="n">
        <v>413</v>
      </c>
      <c r="B415" t="inlineStr">
        <is>
          <t>tech21(テック21) Evo Edge(エボエッジ) iPhoneXとiPhoneXs 用携帯電話保護ケース - 強化された3.6mドロッププロテクション</t>
        </is>
      </c>
      <c r="C415" t="inlineStr">
        <is>
          <t>￥3,188</t>
        </is>
      </c>
      <c r="D415" t="inlineStr">
        <is>
          <t>4.9</t>
        </is>
      </c>
      <c r="E415">
        <f>HYPERLINK("https://www.amazon.co.jp/Evo-Edge-Apple-iPhone-X%E7%94%A8/dp/B07H7JZQNG/ref=sr_1_388?__mk_ja_JP=%E3%82%AB%E3%82%BF%E3%82%AB%E3%83%8A&amp;dchild=1&amp;keywords=iphone+x&amp;qid=1598525563&amp;sr=8-388", "Go")</f>
        <v/>
      </c>
    </row>
    <row r="416">
      <c r="A416" s="1" t="n">
        <v>414</v>
      </c>
      <c r="B416" t="inlineStr">
        <is>
          <t>TENDLIN iPhone XS ケース/iPhone X ケース レザーとTPUソフトケース 薄型 軽量 ワイヤレス充電 アイフォン X アイフォン XS カバー (ブラック)</t>
        </is>
      </c>
      <c r="C416" t="inlineStr">
        <is>
          <t>￥1,399</t>
        </is>
      </c>
      <c r="D416" t="inlineStr">
        <is>
          <t>4.3</t>
        </is>
      </c>
      <c r="E416">
        <f>HYPERLINK("https://www.amazon.co.jp/TENDLIN-iPhone-%E9%AB%98%E7%B4%9A%E3%83%AC%E3%83%BC%E3%82%B6%E3%83%BC-%E3%82%BD%E3%83%95%E3%83%88TPU-%E3%82%B9%E3%83%AA%E3%83%A0%E3%82%B1%E3%83%BC%E3%82%B9/dp/B0751DBV82/ref=sr_1_389_sspa?__mk_ja_JP=%E3%82%AB%E3%82%BF%E3%82%AB%E3%83%8A&amp;dchild=1&amp;keywords=iphone+x&amp;qid=1598525563&amp;sr=8-389-spons&amp;psc=1&amp;spLa=ZW5jcnlwdGVkUXVhbGlmaWVyPUEzUzMwVDgwQUpQUFJHJmVuY3J5cHRlZElkPUEwNzkyNjU3MVk3TkNHMDEyQUkzUSZlbmNyeXB0ZWRBZElkPUExUUpKUlFFM0pBWE1XJndpZGdldE5hbWU9c3BfYnRmJmFjdGlvbj1jbGlja1JlZGlyZWN0JmRvTm90TG9nQ2xpY2s9dHJ1ZQ==", "Go")</f>
        <v/>
      </c>
    </row>
    <row r="417">
      <c r="A417" s="1" t="n">
        <v>415</v>
      </c>
      <c r="B417" t="inlineStr">
        <is>
          <t>調整可能 デスクトップ 携帯電話 スタンド、 折りたたみ式 滑り止めベースと充電ポートを備えたタブレットホルダー、 iPad Mini iPhone 11 Pro X XR XS Max 8 7 6 5 5s 5c Plusおよびその他のAndroidスマートフォンと互換性のあるデスク用携帯電話マウント</t>
        </is>
      </c>
      <c r="C417" t="inlineStr">
        <is>
          <t>￥1,399</t>
        </is>
      </c>
      <c r="D417" t="inlineStr">
        <is>
          <t>5</t>
        </is>
      </c>
      <c r="E417">
        <f>HYPERLINK("https://www.amazon.co.jp/%E3%83%87%E3%82%B9%E3%82%AF%E3%83%88%E3%83%83%E3%83%97-%E6%8A%98%E3%82%8A%E3%81%9F%E3%81%9F%E3%81%BF%E5%BC%8F-%E6%BB%91%E3%82%8A%E6%AD%A2%E3%82%81%E3%83%99%E3%83%BC%E3%82%B9%E3%81%A8%E5%85%85%E9%9B%BB%E3%83%9D%E3%83%BC%E3%83%88%E3%82%92%E5%82%99%E3%81%88%E3%81%9F%E3%82%BF%E3%83%96%E3%83%AC%E3%83%83%E3%83%88%E3%83%9B%E3%83%AB%E3%83%80%E3%83%BC%E3%80%81-iPhone-Plus%E3%81%8A%E3%82%88%E3%81%B3%E3%81%9D%E3%81%AE%E4%BB%96%E3%81%AEAndroid%E3%82%B9%E3%83%9E%E3%83%BC%E3%83%88%E3%83%95%E3%82%A9%E3%83%B3%E3%81%A8%E4%BA%92%E6%8F%9B%E6%80%A7%E3%81%AE%E3%81%82%E3%82%8B%E3%83%87%E3%82%B9%E3%82%AF%E7%94%A8%E6%90%BA%E5%B8%AF%E9%9B%BB%E8%A9%B1%E3%83%9E%E3%82%A6%E3%83%B3%E3%83%88/dp/B089P15L15/ref=sr_1_390_sspa?__mk_ja_JP=%E3%82%AB%E3%82%BF%E3%82%AB%E3%83%8A&amp;dchild=1&amp;keywords=iphone+x&amp;qid=1598525563&amp;sr=8-390-spons&amp;psc=1&amp;spLa=ZW5jcnlwdGVkUXVhbGlmaWVyPUEzUzMwVDgwQUpQUFJHJmVuY3J5cHRlZElkPUEwNzkyNjU3MVk3TkNHMDEyQUkzUSZlbmNyeXB0ZWRBZElkPUEySDNBU0MyTVg1UVc1JndpZGdldE5hbWU9c3BfYnRmJmFjdGlvbj1jbGlja1JlZGlyZWN0JmRvTm90TG9nQ2xpY2s9dHJ1ZQ==", "Go")</f>
        <v/>
      </c>
    </row>
    <row r="418">
      <c r="A418" s="1" t="n">
        <v>416</v>
      </c>
      <c r="B418" t="inlineStr">
        <is>
          <t>Amazonベーシック ライトニングケーブル USB 【iPhone対応 / Apple MFi認証】 ダークグレー 0.9m 高耐久ナイロン製</t>
        </is>
      </c>
      <c r="C418" t="inlineStr">
        <is>
          <t>￥ 1,048</t>
        </is>
      </c>
      <c r="D418" t="inlineStr">
        <is>
          <t>4.3</t>
        </is>
      </c>
      <c r="E418">
        <f>HYPERLINK("https://www.amazon.co.jp/Amazon-Basic-Certified-Lightning-Charging/dp/B01F9RGJJO/ref=sr_1_385_sspa?__mk_ja_JP=%E3%82%AB%E3%82%BF%E3%82%AB%E3%83%8A&amp;dchild=1&amp;keywords=iphone+x&amp;qid=1598525783&amp;sr=8-385-spons&amp;psc=1&amp;spLa=ZW5jcnlwdGVkUXVhbGlmaWVyPUFTODBDWEZGMDJEWTUmZW5jcnlwdGVkSWQ9QTA3OTY3MTkzT1k5QVhUTFMxUktXJmVuY3J5cHRlZEFkSWQ9QTNQOENPMTNDSDU4Szkmd2lkZ2V0TmFtZT1zcF9hdGZfbmV4dCZhY3Rpb249Y2xpY2tSZWRpcmVjdCZkb05vdExvZ0NsaWNrPXRydWU=", "Go")</f>
        <v/>
      </c>
    </row>
    <row r="419">
      <c r="A419" s="1" t="n">
        <v>417</v>
      </c>
      <c r="B419" t="inlineStr">
        <is>
          <t>GRAMAS グラマス iPhone X XS アイフォン X XS 手帳型ケース"Colo" Book PU Leather Case (Yellow)</t>
        </is>
      </c>
      <c r="C419" t="inlineStr">
        <is>
          <t>￥2,291</t>
        </is>
      </c>
      <c r="D419" t="inlineStr">
        <is>
          <t>4.7</t>
        </is>
      </c>
      <c r="E419">
        <f>HYPERLINK("https://www.amazon.co.jp/GRAMAS-iPhone-%E6%89%8B%E5%B8%B3%E5%9E%8B%E3%82%B1%E3%83%BC%E3%82%B9-Leather-Yellow/dp/B0765SGG7M/ref=sr_1_386_sspa?__mk_ja_JP=%E3%82%AB%E3%82%BF%E3%82%AB%E3%83%8A&amp;dchild=1&amp;keywords=iphone+x&amp;qid=1598525783&amp;sr=8-386-spons&amp;psc=1&amp;spLa=ZW5jcnlwdGVkUXVhbGlmaWVyPUFTODBDWEZGMDJEWTUmZW5jcnlwdGVkSWQ9QTA3OTY3MTkzT1k5QVhUTFMxUktXJmVuY3J5cHRlZEFkSWQ9QTMyRFI3VU0xVlJaUjAmd2lkZ2V0TmFtZT1zcF9hdGZfbmV4dCZhY3Rpb249Y2xpY2tSZWRpcmVjdCZkb05vdExvZ0NsaWNrPXRydWU=", "Go")</f>
        <v/>
      </c>
    </row>
    <row r="420">
      <c r="A420" s="1" t="n">
        <v>418</v>
      </c>
      <c r="B420" t="inlineStr">
        <is>
          <t>【2枚セット】 iPhone11 Pro Max/Xs Max ガラスフィルム Vida Felic 全面保護フィルム 目の疲れ軽減 強化液晶保護ガラス 【日本製素材旭硝子製】 極薄0.3mm 9H硬度 指紋防止 耐衝撃 6.5インチ（アイフォン 11 Pro Max/Xs Max 用）</t>
        </is>
      </c>
      <c r="C420" t="inlineStr">
        <is>
          <t>￥1,080</t>
        </is>
      </c>
      <c r="D420" t="inlineStr">
        <is>
          <t>4.1</t>
        </is>
      </c>
      <c r="E420">
        <f>HYPERLINK("https://www.amazon.co.jp/Vida-Felic-%E5%BC%B7%E5%8C%96%E6%B6%B2%E6%99%B6%E4%BF%9D%E8%AD%B7%E3%82%AC%E3%83%A9%E3%82%B9-%E3%80%90%E6%97%A5%E6%9C%AC%E8%A3%BD%E7%B4%A0%E6%9D%90%E6%97%AD%E7%A1%9D%E5%AD%90%E8%A3%BD%E3%80%91-6-5%E3%82%A4%E3%83%B3%E3%83%81%EF%BC%88%E3%82%A2%E3%82%A4%E3%83%95%E3%82%A9%E3%83%B3/dp/B07XQ8CFFF/ref=sr_1_387_sspa?__mk_ja_JP=%E3%82%AB%E3%82%BF%E3%82%AB%E3%83%8A&amp;dchild=1&amp;keywords=iphone+x&amp;qid=1598525783&amp;sr=8-387-spons&amp;psc=1&amp;spLa=ZW5jcnlwdGVkUXVhbGlmaWVyPUFTODBDWEZGMDJEWTUmZW5jcnlwdGVkSWQ9QTA3OTY3MTkzT1k5QVhUTFMxUktXJmVuY3J5cHRlZEFkSWQ9QTNEQU01VFlKTThHNFomd2lkZ2V0TmFtZT1zcF9hdGZfbmV4dCZhY3Rpb249Y2xpY2tSZWRpcmVjdCZkb05vdExvZ0NsaWNrPXRydWU=", "Go")</f>
        <v/>
      </c>
    </row>
    <row r="421">
      <c r="A421" s="1" t="n">
        <v>419</v>
      </c>
      <c r="B421" t="inlineStr">
        <is>
          <t>カンピーノ campino スマホケース iPhone XS ケース iPhone X ケース 対応 スポーツ OLE stand スタンド機能 耐衝撃 スリム 薄型 動画 Qi ワイヤレス充電対応 ブラック オレンジ 黒</t>
        </is>
      </c>
      <c r="C421" t="inlineStr">
        <is>
          <t>￥1,980</t>
        </is>
      </c>
      <c r="D421" t="inlineStr">
        <is>
          <t>4</t>
        </is>
      </c>
      <c r="E421">
        <f>HYPERLINK("https://www.amazon.co.jp/%E3%80%90campino%E3%80%91%EF%BC%88Sports%EF%BC%89iPhone-iPhone-10%E3%82%AB%E3%83%A9%E3%83%BC%E6%9C%89%E3%80%90%E5%9B%BD%E5%86%85%E6%AD%A3%E8%A6%8F%E4%BB%A3%E7%90%86%E5%BA%97%E3%80%91-CP-IA21-CBSD-%C3%97Orange/dp/B07KF7CJV4/ref=sr_1_388_sspa?__mk_ja_JP=%E3%82%AB%E3%82%BF%E3%82%AB%E3%83%8A&amp;dchild=1&amp;keywords=iphone+x&amp;qid=1598525783&amp;sr=8-388-spons&amp;psc=1&amp;spLa=ZW5jcnlwdGVkUXVhbGlmaWVyPUFTODBDWEZGMDJEWTUmZW5jcnlwdGVkSWQ9QTA3OTY3MTkzT1k5QVhUTFMxUktXJmVuY3J5cHRlZEFkSWQ9QTNOT1NTS0M2MU1KNEomd2lkZ2V0TmFtZT1zcF9hdGZfbmV4dCZhY3Rpb249Y2xpY2tSZWRpcmVjdCZkb05vdExvZ0NsaWNrPXRydWU=", "Go")</f>
        <v/>
      </c>
    </row>
    <row r="422">
      <c r="A422" s="1" t="n">
        <v>420</v>
      </c>
      <c r="B422" t="inlineStr">
        <is>
          <t>UBeesize 51インチ 自撮り棒 三脚 取り外し可能 伸縮可能 携帯電話用三脚 iPhoneとAndroid電話に対応 ワイヤレスリモコン、携帯電話ホルダー、GoProアダプター付き</t>
        </is>
      </c>
      <c r="C422" t="inlineStr">
        <is>
          <t>￥1,798</t>
        </is>
      </c>
      <c r="D422" t="inlineStr">
        <is>
          <t>4.6</t>
        </is>
      </c>
      <c r="E422">
        <f>HYPERLINK("https://www.amazon.co.jp/UBeesize-%E5%8F%96%E3%82%8A%E5%A4%96%E3%81%97%E5%8F%AF%E8%83%BD-%E6%90%BA%E5%B8%AF%E9%9B%BB%E8%A9%B1%E7%94%A8%E4%B8%89%E8%84%9A-iPhone%E3%81%A8Android%E9%9B%BB%E8%A9%B1%E3%81%AB%E5%AF%BE%E5%BF%9C-%E3%83%AF%E3%82%A4%E3%83%A4%E3%83%AC%E3%82%B9%E3%83%AA%E3%83%A2%E3%82%B3%E3%83%B3%E3%80%81%E6%90%BA%E5%B8%AF%E9%9B%BB%E8%A9%B1%E3%83%9B%E3%83%AB%E3%83%80%E3%83%BC%E3%80%81GoPro%E3%82%A2%E3%83%80%E3%83%97%E3%82%BF%E3%83%BC%E4%BB%98%E3%81%8D/dp/B07VQ6YPFL/ref=sr_1_389?__mk_ja_JP=%E3%82%AB%E3%82%BF%E3%82%AB%E3%83%8A&amp;dchild=1&amp;keywords=iphone+x&amp;qid=1598525783&amp;sr=8-389", "Go")</f>
        <v/>
      </c>
    </row>
    <row r="423">
      <c r="A423" s="1" t="n">
        <v>421</v>
      </c>
      <c r="B423" t="inlineStr">
        <is>
          <t>【Ringke】HUAWEI P30 ケース (2019) 対応 コスパ最高 ストラップホール 落下衝撃吸収 スマホケース [米軍MIL規格取得] TPU PC 2重構造 スマホケース 吸収耐衝撃カバー 背面クリア Qi ワイヤレス充電対応 Fusion-X (Black/ブラック) P30 ケース</t>
        </is>
      </c>
      <c r="C423" t="inlineStr">
        <is>
          <t>￥1,399</t>
        </is>
      </c>
      <c r="D423" t="inlineStr">
        <is>
          <t>4.6</t>
        </is>
      </c>
      <c r="E423">
        <f>HYPERLINK("https://www.amazon.co.jp/%E3%80%90Ringke%E3%80%91HUAWEI-%E3%82%B9%E3%83%88%E3%83%A9%E3%83%83%E3%83%97%E3%83%9B%E3%83%BC%E3%83%AB-%E7%B1%B3%E8%BB%8DMIL%E8%A6%8F%E6%A0%BC%E5%8F%96%E5%BE%97-%E5%90%B8%E5%8F%8E%E8%80%90%E8%A1%9D%E6%92%83%E3%82%AB%E3%83%90%E3%83%BC-%E3%83%AF%E3%82%A4%E3%83%A4%E3%83%AC%E3%82%B9%E5%85%85%E9%9B%BB%E5%AF%BE%E5%BF%9C/dp/B07PMDQFD4/ref=sr_1_390?__mk_ja_JP=%E3%82%AB%E3%82%BF%E3%82%AB%E3%83%8A&amp;dchild=1&amp;keywords=iphone+x&amp;qid=1598525783&amp;sr=8-390", "Go")</f>
        <v/>
      </c>
    </row>
    <row r="424">
      <c r="A424" s="1" t="n">
        <v>422</v>
      </c>
      <c r="B424" t="inlineStr">
        <is>
          <t>MFI認定USBケーブルパック。 10Foot レッド AppMFi-C</t>
        </is>
      </c>
      <c r="C424" t="inlineStr">
        <is>
          <t>￥9,248</t>
        </is>
      </c>
      <c r="D424" t="inlineStr">
        <is>
          <t>4.6</t>
        </is>
      </c>
      <c r="E424">
        <f>HYPERLINK("https://www.amazon.co.jp/SMALLElectric-MFI%E8%AA%8D%E5%AE%9AUSB%E3%82%B1%E3%83%BC%E3%83%96%E3%83%AB%E3%83%91%E3%83%83%E3%82%AF%E3%80%82-10Foot-%E3%83%AC%E3%83%83%E3%83%89-AppMFi-C/dp/B0829X54DQ/ref=sr_1_391?__mk_ja_JP=%E3%82%AB%E3%82%BF%E3%82%AB%E3%83%8A&amp;dchild=1&amp;keywords=iphone+x&amp;qid=1598525783&amp;sr=8-391", "Go")</f>
        <v/>
      </c>
    </row>
    <row r="425">
      <c r="A425" s="1" t="n">
        <v>423</v>
      </c>
      <c r="B425" t="inlineStr">
        <is>
          <t>Whew iPhone11Pro/X/Xs ガラスフィルム 3枚セット 簡単貼り付け 防指紋 防気泡 強化ガラス液晶保護フィルム</t>
        </is>
      </c>
      <c r="C425" t="inlineStr">
        <is>
          <t>￥999</t>
        </is>
      </c>
      <c r="D425" t="inlineStr">
        <is>
          <t>4.6</t>
        </is>
      </c>
      <c r="E425">
        <f>HYPERLINK("https://www.amazon.co.jp/Whew-iPhone11Pro-%E3%82%AC%E3%83%A9%E3%82%B9%E3%83%95%E3%82%A3%E3%83%AB%E3%83%A0-%E7%B0%A1%E5%8D%98%E8%B2%BC%E3%82%8A%E4%BB%98%E3%81%91-%E5%BC%B7%E5%8C%96%E3%82%AC%E3%83%A9%E3%82%B9%E6%B6%B2%E6%99%B6%E4%BF%9D%E8%AD%B7%E3%83%95%E3%82%A3%E3%83%AB%E3%83%A0/dp/B08BCFMB69/ref=sr_1_392?__mk_ja_JP=%E3%82%AB%E3%82%BF%E3%82%AB%E3%83%8A&amp;dchild=1&amp;keywords=iphone+x&amp;qid=1598525783&amp;sr=8-392", "Go")</f>
        <v/>
      </c>
    </row>
    <row r="426">
      <c r="A426" s="1" t="n">
        <v>424</v>
      </c>
      <c r="B426" t="inlineStr">
        <is>
          <t>TORRAS 透明 iPhone 11ケース [10X 黄ばみ防止] 薄型 スリム [傷防止] 耐衝撃 ソフト TPU ラバー カバー ケース iPhone 11 6.1インチ 用 クリア TS-IP19-6.1-SE-CR-US</t>
        </is>
      </c>
      <c r="C426" t="inlineStr">
        <is>
          <t>￥898</t>
        </is>
      </c>
      <c r="D426" t="inlineStr">
        <is>
          <t>4.6</t>
        </is>
      </c>
      <c r="E426">
        <f>HYPERLINK("https://www.amazon.co.jp/TORRAS-%E3%82%AF%E3%83%AA%E3%82%B9%E3%82%BF%E3%83%AB%E3%82%AF%E3%83%AA%E3%82%A2-iPhone-%E3%82%AB%E3%83%90%E3%83%BC%E3%82%B1%E3%83%BC%E3%82%B9-6-1%E3%82%A4%E3%83%B3%E3%83%81%E7%94%A8/dp/B07VV5F86R/ref=sr_1_393?__mk_ja_JP=%E3%82%AB%E3%82%BF%E3%82%AB%E3%83%8A&amp;dchild=1&amp;keywords=iphone+x&amp;qid=1598525783&amp;sr=8-393", "Go")</f>
        <v/>
      </c>
    </row>
    <row r="427">
      <c r="A427" s="1" t="n">
        <v>425</v>
      </c>
      <c r="B427" t="inlineStr">
        <is>
          <t>Mercase Apple Watchスタンド アルミニウム製 ナイトスタンド iWatch &amp; iPhone ユニバーサル デスクトップスタンドホルダー 充電ステーション iWatch Series 5/4/3/2/1 iPhone 11/11Pro/11Max/Xs/X Max/XR/X/8Plus/7/7Plus用 グレイ MC-AWS-SG</t>
        </is>
      </c>
      <c r="C427" t="inlineStr">
        <is>
          <t>￥5,942</t>
        </is>
      </c>
      <c r="D427" t="inlineStr">
        <is>
          <t>4.6</t>
        </is>
      </c>
      <c r="E427">
        <f>HYPERLINK("https://www.amazon.co.jp/4326578410/dp/B0192ZUX2I/ref=sr_1_394?__mk_ja_JP=%E3%82%AB%E3%82%BF%E3%82%AB%E3%83%8A&amp;dchild=1&amp;keywords=iphone+x&amp;qid=1598525783&amp;sr=8-394", "Go")</f>
        <v/>
      </c>
    </row>
    <row r="428">
      <c r="A428" s="1" t="n">
        <v>426</v>
      </c>
      <c r="B428" t="inlineStr">
        <is>
          <t>【Spigen】 Galaxy Note10 Plus ケース [ SC-01M SCV45 ] 対応 TPU クリア 薄型 軽量 傷防止 カメラ保護 Qi充電 ワイヤレス充電 リキッド・クリスタル グリッター 627CS27328 (クリスタル・クォーツ)</t>
        </is>
      </c>
      <c r="C428" t="inlineStr">
        <is>
          <t>￥1,826</t>
        </is>
      </c>
      <c r="D428" t="inlineStr">
        <is>
          <t>4.6</t>
        </is>
      </c>
      <c r="E428">
        <f>HYPERLINK("https://www.amazon.co.jp/%E3%80%90Spigen%E3%80%91-%E3%83%AF%E3%82%A4%E3%83%A4%E3%83%AC%E3%82%B9%E5%85%85%E9%9B%BB-%E3%83%AA%E3%82%AD%E3%83%83%E3%83%89%E3%83%BB%E3%82%AF%E3%83%AA%E3%82%B9%E3%82%BF%E3%83%AB-627CS27328-%E3%82%AF%E3%83%AA%E3%82%B9%E3%82%BF%E3%83%AB%E3%83%BB%E3%82%AF%E3%82%A9%E3%83%BC%E3%83%84/dp/B07SSW62JP/ref=sr_1_395?__mk_ja_JP=%E3%82%AB%E3%82%BF%E3%82%AB%E3%83%8A&amp;dchild=1&amp;keywords=iphone+x&amp;qid=1598525783&amp;sr=8-395", "Go")</f>
        <v/>
      </c>
    </row>
    <row r="429">
      <c r="A429" s="1" t="n">
        <v>427</v>
      </c>
      <c r="B429" t="inlineStr">
        <is>
          <t>【Case-Mate】 3ｍ落下耐衝撃 スマホケース iPhone 11 Pro Max ハード ケース カバー [ワイヤレス充電対応･ハイブリッド] 流れる キラキラ ウォーターフォール カラフル Waterfall Confetti</t>
        </is>
      </c>
      <c r="C429" t="inlineStr">
        <is>
          <t>￥4,720</t>
        </is>
      </c>
      <c r="D429" t="inlineStr">
        <is>
          <t>4.6</t>
        </is>
      </c>
      <c r="E429">
        <f>HYPERLINK("https://www.amazon.co.jp/%E3%80%90Case-Mate%E3%80%91-%E3%83%AF%E3%82%A4%E3%83%A4%E3%83%AC%E3%82%B9%E5%85%85%E9%9B%BB%E5%AF%BE%E5%BF%9C%EF%BD%A5%E3%83%8F%E3%82%A4%E3%83%96%E3%83%AA%E3%83%83%E3%83%89-%E3%82%A6%E3%82%A9%E3%83%BC%E3%82%BF%E3%83%BC%E3%83%95%E3%82%A9%E3%83%BC%E3%83%AB-Waterfall-Confetti/dp/B07VDB1P3W/ref=sr_1_396?__mk_ja_JP=%E3%82%AB%E3%82%BF%E3%82%AB%E3%83%8A&amp;dchild=1&amp;keywords=iphone+x&amp;qid=1598525783&amp;sr=8-396", "Go")</f>
        <v/>
      </c>
    </row>
    <row r="430">
      <c r="A430" s="1" t="n">
        <v>428</v>
      </c>
      <c r="B430" t="inlineStr">
        <is>
          <t>kwmobile スマホ 保護ケース M - 5.5" - ネオプレン クッション カバー 携帯電話 - 内寸法 Don't touch my phoneデザイン 白色/黒色 15.2 x 8.3 cm</t>
        </is>
      </c>
      <c r="C430" t="inlineStr">
        <is>
          <t>￥1,090</t>
        </is>
      </c>
      <c r="D430" t="inlineStr">
        <is>
          <t>4.6</t>
        </is>
      </c>
      <c r="E430">
        <f>HYPERLINK("https://www.amazon.co.jp/kwmobile-%E3%83%8D%E3%82%AA%E3%83%97%E3%83%AC%E3%83%B3-%E3%82%B1%E3%83%BC%E3%82%B9-%E3%82%B9%E3%83%9E%E3%83%BC%E3%83%88%E3%83%95%E3%82%A9%E3%83%B3-%E3%82%AF%E3%83%83%E3%82%B7%E3%83%A7%E3%83%B3%E6%80%A7/dp/B01MAWR7YG/ref=sr_1_397?__mk_ja_JP=%E3%82%AB%E3%82%BF%E3%82%AB%E3%83%8A&amp;dchild=1&amp;keywords=iphone+x&amp;qid=1598525783&amp;sr=8-397", "Go")</f>
        <v/>
      </c>
    </row>
    <row r="431">
      <c r="A431" s="1" t="n">
        <v>429</v>
      </c>
      <c r="B431" t="inlineStr">
        <is>
          <t>Trianium クラリウムケース Apple iPhone Xs MAXケース（2018年 6.5インチディスプレイのみ）用 強化コーナーTPUクッションとハイブリッドリジッドクリアバックプレート保護カバー [強化ハンドグリップ] クリア TM000281</t>
        </is>
      </c>
      <c r="C431" t="inlineStr">
        <is>
          <t>￥6,799</t>
        </is>
      </c>
      <c r="D431" t="inlineStr">
        <is>
          <t>4.6</t>
        </is>
      </c>
      <c r="E431">
        <f>HYPERLINK("https://www.amazon.co.jp/Trianium-MAX%E3%82%B1%E3%83%BC%E3%82%B9%EF%BC%882018%E5%B9%B4-6-5%E3%82%A4%E3%83%B3%E3%83%81%E3%83%87%E3%82%A3%E3%82%B9%E3%83%97%E3%83%AC%E3%82%A4%E3%81%AE%E3%81%BF%EF%BC%89%E7%94%A8-%E5%BC%B7%E5%8C%96%E3%82%B3%E3%83%BC%E3%83%8A%E3%83%BCTPU%E3%82%AF%E3%83%83%E3%82%B7%E3%83%A7%E3%83%B3%E3%81%A8%E3%83%8F%E3%82%A4%E3%83%96%E3%83%AA%E3%83%83%E3%83%89%E3%83%AA%E3%82%B8%E3%83%83%E3%83%89%E3%82%AF%E3%83%AA%E3%82%A2%E3%83%90%E3%83%83%E3%82%AF%E3%83%97%E3%83%AC%E3%83%BC%E3%83%88%E4%BF%9D%E8%AD%B7%E3%82%AB%E3%83%90%E3%83%BC-TM000281/dp/B07FNZS7FW/ref=sr_1_398?__mk_ja_JP=%E3%82%AB%E3%82%BF%E3%82%AB%E3%83%8A&amp;dchild=1&amp;keywords=iphone+x&amp;qid=1598525783&amp;sr=8-398", "Go")</f>
        <v/>
      </c>
    </row>
    <row r="432">
      <c r="A432" s="1" t="n">
        <v>430</v>
      </c>
      <c r="B432" t="inlineStr">
        <is>
          <t>JAHOLAN ホワイト大理石デザイン クリアバンパー 光沢 TPU ソフトラバー シリコンカバー 電話ケース iPhone 7 iPhone 8 iPhone 6 6S対応 jhl-7-newdls-shanfen gezi</t>
        </is>
      </c>
      <c r="C432" t="inlineStr">
        <is>
          <t>￥6,286</t>
        </is>
      </c>
      <c r="D432" t="inlineStr">
        <is>
          <t>4.6</t>
        </is>
      </c>
      <c r="E432">
        <f>HYPERLINK("https://www.amazon.co.jp/JAHOLAN-%E3%83%9B%E3%83%AF%E3%82%A4%E3%83%88%E5%A4%A7%E7%90%86%E7%9F%B3%E3%83%87%E3%82%B6%E3%82%A4%E3%83%B3-%E3%82%AF%E3%83%AA%E3%82%A2%E3%83%90%E3%83%B3%E3%83%91%E3%83%BC-%E3%82%B7%E3%83%AA%E3%82%B3%E3%83%B3%E3%82%AB%E3%83%90%E3%83%BC-jhl-7-newdls-shanfen/dp/B07M81Q3DK/ref=sr_1_399?__mk_ja_JP=%E3%82%AB%E3%82%BF%E3%82%AB%E3%83%8A&amp;dchild=1&amp;keywords=iphone+x&amp;qid=1598525783&amp;sr=8-399", "Go")</f>
        <v/>
      </c>
    </row>
    <row r="433">
      <c r="A433" s="1" t="n">
        <v>431</v>
      </c>
      <c r="B433" t="inlineStr">
        <is>
          <t>LK【3枚セット】iPhone 11 Pro 5.8" / iPhone X/XS 用 強化ガラス液晶保護フィルム 5.8インチ対応【業界最高硬度9H/高透過率/飛散防止/気泡防止/3Dタッチ対応】アイフォン 11 pro アイフォン X/XS ガラスフィルム 2019先端技術【ガイド枠付き】</t>
        </is>
      </c>
      <c r="C433" t="inlineStr">
        <is>
          <t>￥999</t>
        </is>
      </c>
      <c r="D433" t="inlineStr">
        <is>
          <t>4.6</t>
        </is>
      </c>
      <c r="E433">
        <f>HYPERLINK("https://www.amazon.co.jp/LK%E3%80%903%E6%9E%9A%E3%82%BB%E3%83%83%E3%83%88%E3%80%91iPhone-Pro-iPhone-5-8%E3%82%A4%E3%83%B3%E3%83%81%E5%AF%BE%E5%BF%9C%E3%80%90%E6%A5%AD%E7%95%8C%E6%9C%80%E9%AB%98%E7%A1%AC%E5%BA%A69H-2019%E5%85%88%E7%AB%AF%E6%8A%80%E8%A1%93%E3%80%90%E3%82%AC%E3%82%A4%E3%83%89%E6%9E%A0%E4%BB%98%E3%81%8D%E3%80%91/dp/B07QL55XZX/ref=sr_1_400?__mk_ja_JP=%E3%82%AB%E3%82%BF%E3%82%AB%E3%83%8A&amp;dchild=1&amp;keywords=iphone+x&amp;qid=1598525783&amp;sr=8-400", "Go")</f>
        <v/>
      </c>
    </row>
    <row r="434">
      <c r="A434" s="1" t="n">
        <v>432</v>
      </c>
      <c r="B434" t="inlineStr">
        <is>
          <t>MOBOSI ヴァンガードアーマー iPhone 11 Pro Max用ケース 頑丈な携帯電話ケース 高耐久ミリタリーグレード 耐衝撃 落下保護カバー iPhone 11 Pro Max 6.5インチ2019用</t>
        </is>
      </c>
      <c r="C434" t="inlineStr">
        <is>
          <t>￥998</t>
        </is>
      </c>
      <c r="D434" t="inlineStr">
        <is>
          <t>4.6</t>
        </is>
      </c>
      <c r="E434">
        <f>HYPERLINK("https://www.amazon.co.jp/MOBOSI-%E3%83%B4%E3%82%A1%E3%83%B3%E3%82%AC%E3%83%BC%E3%83%89%E3%82%A2%E3%83%BC%E3%83%9E%E3%83%BC-%E9%A0%91%E4%B8%88%E3%81%AA%E6%90%BA%E5%B8%AF%E9%9B%BB%E8%A9%B1%E3%82%B1%E3%83%BC%E3%82%B9-%E9%AB%98%E8%80%90%E4%B9%85%E3%83%9F%E3%83%AA%E3%82%BF%E3%83%AA%E3%83%BC%E3%82%B0%E3%83%AC%E3%83%BC%E3%83%89-6-5%E3%82%A4%E3%83%B3%E3%83%812019%E7%94%A8/dp/B07XMMH8HP/ref=sr_1_401?__mk_ja_JP=%E3%82%AB%E3%82%BF%E3%82%AB%E3%83%8A&amp;dchild=1&amp;keywords=iphone+x&amp;qid=1598525783&amp;sr=8-401", "Go")</f>
        <v/>
      </c>
    </row>
    <row r="435">
      <c r="A435" s="1" t="n">
        <v>433</v>
      </c>
      <c r="B435" t="inlineStr">
        <is>
          <t>iphone充電ケーブル lightning ケーブル ｕsｂケーブル iphoneケーブル アイホン充電ケーブル ライトニングケーブル 充電ケーブル 純正 短い 急速データ転送 断線防止 高耐久コネクタ採用 iPhone 11Pro MAX/11Pro/11/XS/XS Max/XR/X/8/8Plus/7/7 Plus/6s/6s Plus/iPad/iPod に適用 1M 2個入り</t>
        </is>
      </c>
      <c r="C435" t="inlineStr">
        <is>
          <t>￥1,299</t>
        </is>
      </c>
      <c r="D435" t="inlineStr">
        <is>
          <t>4.6</t>
        </is>
      </c>
      <c r="E435">
        <f>HYPERLINK("https://www.amazon.co.jp/iphone%E5%85%85%E9%9B%BB%E3%82%B1%E3%83%BC%E3%83%96%E3%83%AB-lightning-iphone%E3%82%B1%E3%83%BC%E3%83%96%E3%83%AB-%E3%82%A2%E3%82%A4%E3%83%9B%E3%83%B3%E5%85%85%E9%9B%BB%E3%82%B1%E3%83%BC%E3%83%96%E3%83%AB-%E3%83%A9%E3%82%A4%E3%83%88%E3%83%8B%E3%83%B3%E3%82%B0%E3%82%B1%E3%83%BC%E3%83%96%E3%83%AB/dp/B088BKPT2J/ref=sr_1_402?__mk_ja_JP=%E3%82%AB%E3%82%BF%E3%82%AB%E3%83%8A&amp;dchild=1&amp;keywords=iphone+x&amp;qid=1598525783&amp;sr=8-402", "Go")</f>
        <v/>
      </c>
    </row>
    <row r="436">
      <c r="A436" s="1" t="n">
        <v>434</v>
      </c>
      <c r="B436" t="inlineStr">
        <is>
          <t>【Ringke】Galaxy S10 ケース 対応 コスパ最高 ストラップホール 落下衝撃吸収 [米軍MIL規格取得] TPU PC 2重構造 スマホケース 吸収耐衝撃カバー 背面クリア Qi充電対応 Fusion-X (Space Blue スペースブルー) docomo SC-03L/au SCV41 ケース (6.1")</t>
        </is>
      </c>
      <c r="C436" t="inlineStr">
        <is>
          <t>￥999</t>
        </is>
      </c>
      <c r="D436" t="inlineStr">
        <is>
          <t>4.6</t>
        </is>
      </c>
      <c r="E436">
        <f>HYPERLINK("https://www.amazon.co.jp/%E3%80%90Ringke%E3%80%91Galaxy-%E3%82%B9%E3%83%88%E3%83%A9%E3%83%83%E3%83%97%E3%83%9B%E3%83%BC%E3%83%AB-%E7%B1%B3%E8%BB%8DMIL%E8%A6%8F%E6%A0%BC%E5%8F%96%E5%BE%97-%E5%90%B8%E5%8F%8E%E8%80%90%E8%A1%9D%E6%92%83%E3%82%AB%E3%83%90%E3%83%BC-Fusion-X/dp/B07NHMGPMZ/ref=sr_1_403?__mk_ja_JP=%E3%82%AB%E3%82%BF%E3%82%AB%E3%83%8A&amp;dchild=1&amp;keywords=iphone+x&amp;qid=1598525783&amp;sr=8-403", "Go")</f>
        <v/>
      </c>
    </row>
    <row r="437">
      <c r="A437" s="1" t="n">
        <v>435</v>
      </c>
      <c r="B437" t="inlineStr">
        <is>
          <t>Unov iPhone 8 iPhone 7 対応 ケース クリア ソフト耐衝撃カバー 透明薄型バンパー TPU 浮彫柄 ストラップホール付き 4.7インチ(生け花)</t>
        </is>
      </c>
      <c r="C437" t="inlineStr">
        <is>
          <t>￥1,199</t>
        </is>
      </c>
      <c r="D437" t="inlineStr">
        <is>
          <t>4.6</t>
        </is>
      </c>
      <c r="E437">
        <f>HYPERLINK("https://www.amazon.co.jp/Unov-iPhone-%E3%82%BD%E3%83%95%E3%83%88%E8%80%90%E8%A1%9D%E6%92%83%E3%82%AB%E3%83%90%E3%83%BC-%E9%80%8F%E6%98%8E%E8%96%84%E5%9E%8B%E3%83%90%E3%83%B3%E3%83%91%E3%83%BC-%E3%82%B9%E3%83%88%E3%83%A9%E3%83%83%E3%83%97%E3%83%9B%E3%83%BC%E3%83%AB%E4%BB%98%E3%81%8D/dp/B07KK84KDX/ref=sr_1_404?__mk_ja_JP=%E3%82%AB%E3%82%BF%E3%82%AB%E3%83%8A&amp;dchild=1&amp;keywords=iphone+x&amp;qid=1598525783&amp;sr=8-404", "Go")</f>
        <v/>
      </c>
    </row>
    <row r="438">
      <c r="A438" s="1" t="n">
        <v>436</v>
      </c>
      <c r="B438" t="inlineStr">
        <is>
          <t>elago iPhone用デザインスタンド M2 Stand シルバー EL-M2-Stand</t>
        </is>
      </c>
      <c r="C438" t="inlineStr">
        <is>
          <t>￥3,030</t>
        </is>
      </c>
      <c r="D438" t="inlineStr">
        <is>
          <t>4.6</t>
        </is>
      </c>
      <c r="E438">
        <f>HYPERLINK("https://www.amazon.co.jp/elago-iPhone%E7%94%A8%E3%83%87%E3%82%B6%E3%82%A4%E3%83%B3%E3%82%B9%E3%82%BF%E3%83%B3%E3%83%89-Stand-%E3%82%B7%E3%83%AB%E3%83%90%E3%83%BC-EL-M2-Stand/dp/B002OLM56K/ref=sr_1_405?__mk_ja_JP=%E3%82%AB%E3%82%BF%E3%82%AB%E3%83%8A&amp;dchild=1&amp;keywords=iphone+x&amp;qid=1598525783&amp;sr=8-405", "Go")</f>
        <v/>
      </c>
    </row>
    <row r="439">
      <c r="A439" s="1" t="n">
        <v>437</v>
      </c>
      <c r="B439" t="inlineStr">
        <is>
          <t>【2本セット】Xcentz iphone 充電ケーブル ライトニングケーブル【Apple MFi認証 / 1.8M / シルバー】急速充電 データ転送 高耐久ナイロン素材 アルミコネクタ iPhone/iPad/iPod 各種対応（18ヶ月保証付）</t>
        </is>
      </c>
      <c r="C439" t="inlineStr">
        <is>
          <t>￥2,499</t>
        </is>
      </c>
      <c r="D439" t="inlineStr">
        <is>
          <t>4.6</t>
        </is>
      </c>
      <c r="E439">
        <f>HYPERLINK("https://www.amazon.co.jp/dp/B085Q3483M/ref=sr_1_406?__mk_ja_JP=%E3%82%AB%E3%82%BF%E3%82%AB%E3%83%8A&amp;dchild=1&amp;keywords=iphone+x&amp;qid=1598525783&amp;sr=8-406", "Go")</f>
        <v/>
      </c>
    </row>
    <row r="440">
      <c r="A440" s="1" t="n">
        <v>438</v>
      </c>
      <c r="B440" t="inlineStr">
        <is>
          <t>【令和最新版】Lightning 3.5 mmヘッドフォンジャックアダプタ iOS11/12/13に対応 ライトニング イヤホン 変換 iPhone SE 2/11Pro Max/11Pro/11/XS MAX/XS/XR/X/8/7適用 iPhone イヤホンジャック</t>
        </is>
      </c>
      <c r="C440" t="inlineStr">
        <is>
          <t>￥899</t>
        </is>
      </c>
      <c r="D440" t="inlineStr">
        <is>
          <t>4.6</t>
        </is>
      </c>
      <c r="E440">
        <f>HYPERLINK("https://www.amazon.co.jp/%E3%80%90%E4%BB%A4%E5%92%8C%E6%9C%80%E6%96%B0%E7%89%88%E3%80%91Lightning-mm%E3%83%98%E3%83%83%E3%83%89%E3%83%95%E3%82%A9%E3%83%B3%E3%82%B8%E3%83%A3%E3%83%83%E3%82%AF%E3%82%A2%E3%83%80%E3%83%97%E3%82%BF-%E3%83%A9%E3%82%A4%E3%83%88%E3%83%8B%E3%83%B3%E3%82%B0-iPhone-%E3%82%A4%E3%83%A4%E3%83%9B%E3%83%B3%E3%82%B8%E3%83%A3%E3%83%83%E3%82%AF/dp/B086TY3P18/ref=sr_1_407?__mk_ja_JP=%E3%82%AB%E3%82%BF%E3%82%AB%E3%83%8A&amp;dchild=1&amp;keywords=iphone+x&amp;qid=1598525783&amp;sr=8-407", "Go")</f>
        <v/>
      </c>
    </row>
    <row r="441">
      <c r="A441" s="1" t="n">
        <v>439</v>
      </c>
      <c r="B441" t="inlineStr">
        <is>
          <t>TENDLIN iPhone SE ケース [第2世代] / iPhone8 ケース / iPhone7 ケース 天然木層とTPUソフトケース 薄型 軽量 ワイヤレス充電 アイフォンSE (2020年モデル) アイフォン8アイフォン7 カバー （紫檀）</t>
        </is>
      </c>
      <c r="C441" t="inlineStr">
        <is>
          <t>￥1,399</t>
        </is>
      </c>
      <c r="D441" t="inlineStr">
        <is>
          <t>4.6</t>
        </is>
      </c>
      <c r="E441">
        <f>HYPERLINK("https://www.amazon.co.jp/TENDLIN-iPhone8-iPhone7-%E5%A4%A9%E7%84%B6%E6%9C%A8%E5%B1%A4%E3%81%A8%E5%BC%BE%E6%80%A7%E3%81%AE%E3%81%82%E3%82%8BTPU-%E3%82%B7%E3%83%AA%E3%82%B3%E3%83%B3%E6%B7%B7%E5%90%88%E8%96%84%E6%9C%A8%E8%A3%BD%EF%BC%88%E7%B4%AB%E6%AA%80%EF%BC%89/dp/B01KH1CTVE/ref=sr_1_408?__mk_ja_JP=%E3%82%AB%E3%82%BF%E3%82%AB%E3%83%8A&amp;dchild=1&amp;keywords=iphone+x&amp;qid=1598525783&amp;sr=8-408", "Go")</f>
        <v/>
      </c>
    </row>
    <row r="442">
      <c r="A442" s="1" t="n">
        <v>440</v>
      </c>
      <c r="B442" t="inlineStr">
        <is>
          <t>Under Armour フォンケース | Apple iPhone XR | Under Armour UA 保護グリップ UAIPH-026-GRPHC</t>
        </is>
      </c>
      <c r="C442" t="inlineStr">
        <is>
          <t>￥39,438から1個のオプション</t>
        </is>
      </c>
      <c r="D442" t="inlineStr">
        <is>
          <t>4.8</t>
        </is>
      </c>
      <c r="E442">
        <f>HYPERLINK("https://www.amazon.co.jp/Armour-%E3%83%95%E3%82%A9%E3%83%B3%E3%82%B1%E3%83%BC%E3%82%B9-iPhone-%E4%BF%9D%E8%AD%B7%E3%82%B0%E3%83%AA%E3%83%83%E3%83%97-UAIPH-026-GRPHC/dp/B07DGN9KHG/ref=sr_1_409?__mk_ja_JP=%E3%82%AB%E3%82%BF%E3%82%AB%E3%83%8A&amp;dchild=1&amp;keywords=iphone+x&amp;qid=1598525783&amp;sr=8-409", "Go")</f>
        <v/>
      </c>
    </row>
    <row r="443">
      <c r="A443" s="1" t="n">
        <v>441</v>
      </c>
      <c r="B443" t="inlineStr">
        <is>
          <t>【Spigen】 iPhone 11 Pro Max ケース 6.5インチ 対応 耐衝撃 スタンド機能 米軍MIL規格取得 カメラ保護 傷防止 衝撃 吸収 Qi充電 ワイヤレス充電 タフ・アーマー 075CS27142 (ブラック)</t>
        </is>
      </c>
      <c r="C443" t="inlineStr">
        <is>
          <t>￥2,190</t>
        </is>
      </c>
      <c r="D443" t="inlineStr">
        <is>
          <t>4.6</t>
        </is>
      </c>
      <c r="E443">
        <f>HYPERLINK("https://www.amazon.co.jp/dp/B07T1MCCC5/ref=sr_1_410?__mk_ja_JP=%E3%82%AB%E3%82%BF%E3%82%AB%E3%83%8A&amp;dchild=1&amp;keywords=iphone+x&amp;qid=1598525783&amp;sr=8-410", "Go")</f>
        <v/>
      </c>
    </row>
    <row r="444">
      <c r="A444" s="1" t="n">
        <v>442</v>
      </c>
      <c r="B444" t="inlineStr">
        <is>
          <t>JEDirect iPhoneXs/iPhoneX ケース (5.8インチ専用) 衝撃吸収 バンパーカバー 傷つけ防止 クリアバック (HD クリア)</t>
        </is>
      </c>
      <c r="C444" t="inlineStr">
        <is>
          <t>￥697</t>
        </is>
      </c>
      <c r="D444" t="inlineStr">
        <is>
          <t>4.6</t>
        </is>
      </c>
      <c r="E444">
        <f>HYPERLINK("https://www.amazon.co.jp/JEDirect-iPhone-Absorbing-Scratch-Resistant/dp/B07QMSW8FP/ref=sr_1_411?__mk_ja_JP=%E3%82%AB%E3%82%BF%E3%82%AB%E3%83%8A&amp;dchild=1&amp;keywords=iphone+x&amp;qid=1598525783&amp;sr=8-411", "Go")</f>
        <v/>
      </c>
    </row>
    <row r="445">
      <c r="A445" s="1" t="n">
        <v>443</v>
      </c>
      <c r="B445" t="inlineStr">
        <is>
          <t>セルフィースティック三脚 取り外し可能なワイヤレスBluetoothリモートシャッター対応 ミニポケット自撮り棒 iPhone 11/XR/X/8P/7/7P/6s/6 Samsung Galaxy S9/8/7 Note 9/8/7 Nubia用</t>
        </is>
      </c>
      <c r="C445" t="inlineStr">
        <is>
          <t>￥999</t>
        </is>
      </c>
      <c r="D445" t="inlineStr">
        <is>
          <t>4.6</t>
        </is>
      </c>
      <c r="E445">
        <f>HYPERLINK("https://www.amazon.co.jp/dp/B07Y1HJT5L/ref=sr_1_412?__mk_ja_JP=%E3%82%AB%E3%82%BF%E3%82%AB%E3%83%8A&amp;dchild=1&amp;keywords=iphone+x&amp;qid=1598525783&amp;sr=8-412", "Go")</f>
        <v/>
      </c>
    </row>
    <row r="446">
      <c r="A446" s="1" t="n">
        <v>444</v>
      </c>
      <c r="B446" t="inlineStr">
        <is>
          <t>iPhone 11 Proケース [ミリタリーグレード] 15フィート。 落下テスト済み保護ケース。 askhc-002</t>
        </is>
      </c>
      <c r="C446" t="inlineStr">
        <is>
          <t>￥1,299</t>
        </is>
      </c>
      <c r="D446" t="inlineStr">
        <is>
          <t>4.6</t>
        </is>
      </c>
      <c r="E446">
        <f>HYPERLINK("https://www.amazon.co.jp/%E3%83%9F%E3%83%AA%E3%82%BF%E3%83%AA%E3%83%BC%E3%82%B0%E3%83%AC%E3%83%BC%E3%83%89-15%E3%83%95%E3%82%A3%E3%83%BC%E3%83%88%E3%80%82-%E8%90%BD%E4%B8%8B%E3%83%86%E3%82%B9%E3%83%88%E6%B8%88%E3%81%BF%E4%BF%9D%E8%AD%B7%E3%82%B1%E3%83%BC%E3%82%B9-%E3%82%AD%E3%83%83%E3%82%AF%E3%82%B9%E3%82%BF%E3%83%B3%E3%83%89-2019%E3%81%AB%E5%AF%BE%E5%BF%9C/dp/B07Y894VGP/ref=sr_1_413?__mk_ja_JP=%E3%82%AB%E3%82%BF%E3%82%AB%E3%83%8A&amp;dchild=1&amp;keywords=iphone+x&amp;qid=1598525783&amp;sr=8-413", "Go")</f>
        <v/>
      </c>
    </row>
    <row r="447">
      <c r="A447" s="1" t="n">
        <v>445</v>
      </c>
      <c r="B447" t="inlineStr">
        <is>
          <t>Wlife iPhone 11 Pro ガラスフィルム（5.8インチ）指紋防止 気泡ゼロ iPhone XS/X 液晶保護フィルム 薄型 硬度9H 飛散防止 高透過率 iPhone 11Pro/ iPhone X/XS 強化ガラスフィルム（3枚セット）</t>
        </is>
      </c>
      <c r="C447" t="inlineStr">
        <is>
          <t>￥999</t>
        </is>
      </c>
      <c r="D447" t="inlineStr">
        <is>
          <t>4.6</t>
        </is>
      </c>
      <c r="E447">
        <f>HYPERLINK("https://www.amazon.co.jp/Wlife-iPhone-%E3%82%AC%E3%83%A9%E3%82%B9%E3%83%95%E3%82%A3%E3%83%AB%E3%83%A0%EF%BC%885-8%E3%82%A4%E3%83%B3%E3%83%81%EF%BC%89%E6%8C%87%E7%B4%8B%E9%98%B2%E6%AD%A2-%E6%B6%B2%E6%99%B6%E4%BF%9D%E8%AD%B7%E3%83%95%E3%82%A3%E3%83%AB%E3%83%A0-%E5%BC%B7%E5%8C%96%E3%82%AC%E3%83%A9%E3%82%B9%E3%83%95%E3%82%A3%E3%83%AB%E3%83%A0%EF%BC%883%E6%9E%9A%E3%82%BB%E3%83%83%E3%83%88%EF%BC%89/dp/B08BCCJHBH/ref=sr_1_414?__mk_ja_JP=%E3%82%AB%E3%82%BF%E3%82%AB%E3%83%8A&amp;dchild=1&amp;keywords=iphone+x&amp;qid=1598525783&amp;sr=8-414", "Go")</f>
        <v/>
      </c>
    </row>
    <row r="448">
      <c r="A448" s="1" t="n">
        <v>446</v>
      </c>
      <c r="B448" t="inlineStr">
        <is>
          <t>WSCSR iPhone 充電ケーブル 【5本セット 1.8M】 ライトニングケーブル 高耐久 断線防止 アイフォン充電ケーブル USB急速充電＆同期 iPhone/iPad/iPod各種対応 -ホワイト</t>
        </is>
      </c>
      <c r="C448" t="inlineStr">
        <is>
          <t>￥1,299</t>
        </is>
      </c>
      <c r="D448" t="inlineStr">
        <is>
          <t>4.6</t>
        </is>
      </c>
      <c r="E448">
        <f>HYPERLINK("https://www.amazon.co.jp/iPhone-%E3%83%A9%E3%82%A4%E3%83%88%E3%83%8B%E3%83%B3%E3%82%B0%E3%82%B1%E3%83%BC%E3%83%96%E3%83%AB-%E3%82%A2%E3%82%A4%E3%83%95%E3%82%A9%E3%83%B3%E5%85%85%E9%9B%BB%E3%82%B1%E3%83%BC%E3%83%96%E3%83%AB-USB%E6%80%A5%E9%80%9F%E5%85%85%E9%9B%BB%EF%BC%86%E5%90%8C%E6%9C%9F-iPod%E5%90%84%E7%A8%AE%E5%AF%BE%E5%BF%9C/dp/B089NSTZL9/ref=sr_1_415?__mk_ja_JP=%E3%82%AB%E3%82%BF%E3%82%AB%E3%83%8A&amp;dchild=1&amp;keywords=iphone+x&amp;qid=1598525783&amp;sr=8-415", "Go")</f>
        <v/>
      </c>
    </row>
    <row r="449">
      <c r="A449" s="1" t="n">
        <v>447</v>
      </c>
      <c r="B449" t="inlineStr">
        <is>
          <t>Case Logic USBフラッシュメモリ専用収納ケース（2本収納可） JDS-2 BLUE [並行輸入品]</t>
        </is>
      </c>
      <c r="C449" t="inlineStr">
        <is>
          <t>￥1,030</t>
        </is>
      </c>
      <c r="D449" t="inlineStr">
        <is>
          <t>4.6</t>
        </is>
      </c>
      <c r="E449">
        <f>HYPERLINK("https://www.amazon.co.jp/Case-Logic-USB%E3%83%95%E3%83%A9%E3%83%83%E3%82%B7%E3%83%A5%E3%83%A1%E3%83%A2%E3%83%AA%E5%B0%82%E7%94%A8%E5%8F%8E%E7%B4%8D%E3%82%B1%E3%83%BC%E3%82%B9%EF%BC%882%E6%9C%AC%E5%8F%8E%E7%B4%8D%E5%8F%AF%EF%BC%89-JDS-2-BLUE/dp/B0009Y7APU/ref=sr_1_416?__mk_ja_JP=%E3%82%AB%E3%82%BF%E3%82%AB%E3%83%8A&amp;dchild=1&amp;keywords=iphone+x&amp;qid=1598525783&amp;sr=8-416", "Go")</f>
        <v/>
      </c>
    </row>
    <row r="450">
      <c r="A450" s="1" t="n">
        <v>448</v>
      </c>
      <c r="B450" t="inlineStr">
        <is>
          <t>【Ringke】Oneplus 7T Pro ケース (2019) [米軍MIL規格取得] スマホケース TPU ストラップホール クリア 透明 落下防止 カバー Qi ワイヤレス充電対応 Oneplus 7 T Pro ケース Fusion-X (Camo Black カモブラック)</t>
        </is>
      </c>
      <c r="C450" t="inlineStr">
        <is>
          <t>￥1,199</t>
        </is>
      </c>
      <c r="D450" t="inlineStr">
        <is>
          <t>4.7</t>
        </is>
      </c>
      <c r="E450">
        <f>HYPERLINK("https://www.amazon.co.jp/%E3%80%90Ringke%E3%80%91Oneplus-%E7%B1%B3%E8%BB%8DMIL%E8%A6%8F%E6%A0%BC%E5%8F%96%E5%BE%97-%E3%82%B9%E3%83%88%E3%83%A9%E3%83%83%E3%83%97%E3%83%9B%E3%83%BC%E3%83%AB-%E3%83%AF%E3%82%A4%E3%83%A4%E3%83%AC%E3%82%B9%E5%85%85%E9%9B%BB%E5%AF%BE%E5%BF%9C-Fusion-X/dp/B07ZK1YRR3/ref=sr_1_417?__mk_ja_JP=%E3%82%AB%E3%82%BF%E3%82%AB%E3%83%8A&amp;dchild=1&amp;keywords=iphone+x&amp;qid=1598525783&amp;sr=8-417", "Go")</f>
        <v/>
      </c>
    </row>
    <row r="451">
      <c r="A451" s="1" t="n">
        <v>449</v>
      </c>
      <c r="B451" t="inlineStr">
        <is>
          <t>ワイヤレス充電器 Airpods Pro/watch5(OS6)　 アダプタ付き　急速充電　3 in 1 充電スタンド　最新改良版　多機能 充電ベース　Apple watch スタンド Apple Watch充電器 ワイヤレスチャージャー　iPhone 11 / 11 Pro / 11 Pro Max/XS/XS Max/XR/X / 8 / 8 Plus、Galaxy S10 / S10+ / S9 / S9+/Note 10 などにも対応</t>
        </is>
      </c>
      <c r="C451" t="inlineStr">
        <is>
          <t>￥7,520</t>
        </is>
      </c>
      <c r="D451" t="inlineStr">
        <is>
          <t>4.6</t>
        </is>
      </c>
      <c r="E451">
        <f>HYPERLINK("https://www.amazon.co.jp/%E3%82%A2%E3%83%80%E3%83%97%E3%82%BF%E4%BB%98%E3%81%8D-%E6%80%A5%E9%80%9F%E5%85%85%E9%9B%BB-%E5%85%85%E9%9B%BB%E3%82%B9%E3%82%BF%E3%83%B3%E3%83%89-%E6%9C%80%E6%96%B0%E6%94%B9%E8%89%AF%E7%89%88-%E5%A4%9A%E6%A9%9F%E8%83%BD-%E5%85%85%E9%9B%BB%E3%83%99%E3%83%BC%E3%82%B9-Apple-%E3%83%AF%E3%82%A4%E3%83%A4%E3%83%AC%E3%82%B9%E3%83%81%E3%83%A3%E3%83%BC%E3%82%B8%E3%83%A3%E3%83%BC-iPhone-Plus%E3%80%81Galaxy/dp/B08341HQK3/ref=sr_1_418?__mk_ja_JP=%E3%82%AB%E3%82%BF%E3%82%AB%E3%83%8A&amp;dchild=1&amp;keywords=iphone+x&amp;qid=1598525783&amp;sr=8-418", "Go")</f>
        <v/>
      </c>
    </row>
    <row r="452">
      <c r="A452" s="1" t="n">
        <v>450</v>
      </c>
      <c r="B452" t="inlineStr">
        <is>
          <t>TORRAS クリスタルクリア iPhone 11 Proケース ソフトシリコン 耐衝撃 薄型カバー スリムジェル電話ケース iPhone 11 Pro 5.8インチ(2019)用 クリア TS-IP19-5.8-SE-CR-US</t>
        </is>
      </c>
      <c r="C452" t="inlineStr">
        <is>
          <t>￥8,992</t>
        </is>
      </c>
      <c r="D452" t="inlineStr">
        <is>
          <t>4.6</t>
        </is>
      </c>
      <c r="E452">
        <f>HYPERLINK("https://www.amazon.co.jp/TORRAS-%E3%82%AF%E3%83%AA%E3%82%B9%E3%82%BF%E3%83%AB%E3%82%AF%E3%83%AA%E3%82%A2-%E3%82%BD%E3%83%95%E3%83%88%E3%82%B7%E3%83%AA%E3%82%B3%E3%83%B3-%E3%82%B9%E3%83%AA%E3%83%A0%E3%82%B8%E3%82%A7%E3%83%AB%E9%9B%BB%E8%A9%B1%E3%82%B1%E3%83%BC%E3%82%B9-TS-IP19-5-8-SE-CR-US/dp/B07VW7L6FT/ref=sr_1_419?__mk_ja_JP=%E3%82%AB%E3%82%BF%E3%82%AB%E3%83%8A&amp;dchild=1&amp;keywords=iphone+x&amp;qid=1598525783&amp;sr=8-419", "Go")</f>
        <v/>
      </c>
    </row>
    <row r="453">
      <c r="A453" s="1" t="n">
        <v>451</v>
      </c>
      <c r="B453" t="inlineStr">
        <is>
          <t>FYY ラグジュアリー PUレザー ウォレットケース iPhone Xr (6.1インチ) 2018年 [キックスタンド機能] フリップフォリオケースカバー [カードスロット] と [ノートポケット] 2018年 FYY-AU-H-326-iPhone-6.1-2018-PU-P</t>
        </is>
      </c>
      <c r="C453" t="inlineStr">
        <is>
          <t>￥1,580</t>
        </is>
      </c>
      <c r="D453" t="inlineStr">
        <is>
          <t>4.6</t>
        </is>
      </c>
      <c r="E453">
        <f>HYPERLINK("https://www.amazon.co.jp/FYY-%E3%82%A6%E3%82%A9%E3%83%AC%E3%83%83%E3%83%88%E3%82%B1%E3%83%BC%E3%82%B9-%E3%82%AD%E3%83%83%E3%82%AF%E3%82%B9%E3%82%BF%E3%83%B3%E3%83%89%E6%A9%9F%E8%83%BD-%E3%83%95%E3%83%AA%E3%83%83%E3%83%97%E3%83%95%E3%82%A9%E3%83%AA%E3%82%AA%E3%82%B1%E3%83%BC%E3%82%B9%E3%82%AB%E3%83%90%E3%83%BC-FYY-AU-H-326-iPhone-6-1-2018-PU-P/dp/B07GWRW8CT/ref=sr_1_420?__mk_ja_JP=%E3%82%AB%E3%82%BF%E3%82%AB%E3%83%8A&amp;dchild=1&amp;keywords=iphone+x&amp;qid=1598525783&amp;sr=8-420", "Go")</f>
        <v/>
      </c>
    </row>
    <row r="454">
      <c r="A454" s="1" t="n">
        <v>452</v>
      </c>
      <c r="B454" t="inlineStr">
        <is>
          <t>elkson Apple Watch 4ケース 44mm iWatch Quattroシリーズ バンパーケース 保護 Apple Watch対応 丈夫 ミリタリーグレード ブラック TPU 柔軟 耐衝撃性 44mm Apple Watch 4-44mm</t>
        </is>
      </c>
      <c r="C454" t="inlineStr">
        <is>
          <t>￥1,299</t>
        </is>
      </c>
      <c r="D454" t="inlineStr">
        <is>
          <t>4.7</t>
        </is>
      </c>
      <c r="E454">
        <f>HYPERLINK("https://www.amazon.co.jp/elkson-Quattro%E3%82%B7%E3%83%AA%E3%83%BC%E3%82%BA-%E3%83%90%E3%83%B3%E3%83%91%E3%83%BC%E3%82%B1%E3%83%BC%E3%82%B9-Watch%E5%AF%BE%E5%BF%9C-%E3%83%9F%E3%83%AA%E3%82%BF%E3%83%AA%E3%83%BC%E3%82%B0%E3%83%AC%E3%83%BC%E3%83%89/dp/B07JQDLKFM/ref=sr_1_421?__mk_ja_JP=%E3%82%AB%E3%82%BF%E3%82%AB%E3%83%8A&amp;dchild=1&amp;keywords=iphone+x&amp;qid=1598525783&amp;sr=8-421", "Go")</f>
        <v/>
      </c>
    </row>
    <row r="455">
      <c r="A455" s="1" t="n">
        <v>453</v>
      </c>
      <c r="B455" t="inlineStr">
        <is>
          <t>【Caseology】 iPhone 11 Pro Max ガラスフィルム 2枚入 ガイド枠 強度9H 日本旭硝子製 iPhone XS Max 全面保護 高透過率 保護フィルム 互換性 強化ガラスフィルム</t>
        </is>
      </c>
      <c r="C455" t="inlineStr">
        <is>
          <t>￥1,299</t>
        </is>
      </c>
      <c r="D455" t="inlineStr">
        <is>
          <t>4.6</t>
        </is>
      </c>
      <c r="E455">
        <f>HYPERLINK("https://www.amazon.co.jp/caseology-iPhone-11-11pro-11promax/dp/B07VXLS1DY/ref=sr_1_422?__mk_ja_JP=%E3%82%AB%E3%82%BF%E3%82%AB%E3%83%8A&amp;dchild=1&amp;keywords=iphone+x&amp;qid=1598525783&amp;sr=8-422", "Go")</f>
        <v/>
      </c>
    </row>
    <row r="456">
      <c r="A456" s="1" t="n">
        <v>454</v>
      </c>
      <c r="B456" t="inlineStr">
        <is>
          <t>Anker PowerPort 10 (60W 10ポート USB急速充電器) 【PSE認証済/PowerIQ &amp; VoltageBoost搭載】iPhone 11 / 11 Pro / 11 Pro Max/XR / 8, Galaxy S10 / S10+ 等対応 (ブラック)</t>
        </is>
      </c>
      <c r="C456" t="inlineStr">
        <is>
          <t>￥3,799</t>
        </is>
      </c>
      <c r="D456" t="inlineStr">
        <is>
          <t>4.6</t>
        </is>
      </c>
      <c r="E456">
        <f>HYPERLINK("https://www.amazon.co.jp/Anker-PowerPort-USB%E6%80%A5%E9%80%9F%E5%85%85%E9%9B%BB%E5%99%A8-%E3%80%90PowerIQ-VoltageBoost%E6%90%AD%E8%BC%89%E3%80%91/dp/B00YS3ZYWY/ref=sr_1_423?__mk_ja_JP=%E3%82%AB%E3%82%BF%E3%82%AB%E3%83%8A&amp;dchild=1&amp;keywords=iphone+x&amp;qid=1598525783&amp;sr=8-423", "Go")</f>
        <v/>
      </c>
    </row>
    <row r="457">
      <c r="A457" s="1" t="n">
        <v>455</v>
      </c>
      <c r="B457" t="inlineStr">
        <is>
          <t>【Spigen】 iPhone 11 Pro Max ケース 6.5インチ 対応 バンパー 二重構造 米軍MIL規格取得 耐衝撃 カメラ保護 Qi充電 ワイヤレス充電 ネオ・ハイブリッド 075CS27148 (バーガンディ)</t>
        </is>
      </c>
      <c r="C457" t="inlineStr">
        <is>
          <t>￥2,290</t>
        </is>
      </c>
      <c r="D457" t="inlineStr">
        <is>
          <t>4.6</t>
        </is>
      </c>
      <c r="E457">
        <f>HYPERLINK("https://www.amazon.co.jp/%E3%80%90Spigen%E3%80%91-%E7%B1%B3%E8%BB%8DMIL%E8%A6%8F%E6%A0%BC%E5%8F%96%E5%BE%97-%E3%83%AF%E3%82%A4%E3%83%A4%E3%83%AC%E3%82%B9%E5%85%85%E9%9B%BB-%E3%83%8D%E3%82%AA%E3%83%BB%E3%83%8F%E3%82%A4%E3%83%96%E3%83%AA%E3%83%83%E3%83%89-075CS27148/dp/B07SZHZRS6/ref=sr_1_424?__mk_ja_JP=%E3%82%AB%E3%82%BF%E3%82%AB%E3%83%8A&amp;dchild=1&amp;keywords=iphone+x&amp;qid=1598525783&amp;sr=8-424", "Go")</f>
        <v/>
      </c>
    </row>
    <row r="458">
      <c r="A458" s="1" t="n">
        <v>456</v>
      </c>
      <c r="B458" t="inlineStr">
        <is>
          <t>X-Doria ディフェンスシールド iPhone 11ケース ミリタリーグレード落下試験済み CNCアルマイト処理アルミニウム金属 TPU ポリカーボネート保護ケース Apple iPhone 11用 (レッド)</t>
        </is>
      </c>
      <c r="C458" t="inlineStr">
        <is>
          <t>￥9,802</t>
        </is>
      </c>
      <c r="D458" t="inlineStr">
        <is>
          <t>4.6</t>
        </is>
      </c>
      <c r="E458">
        <f>HYPERLINK("https://www.amazon.co.jp/%E9%98%B2%E5%BE%A1%E3%82%B7%E3%83%BC%E3%83%AB%E3%83%89-iPhone-11%E3%82%B1%E3%83%BC%E3%82%B9-%E3%83%9F%E3%83%AA%E3%82%BF%E3%83%AA%E3%83%BC%E3%82%B0%E3%83%AC%E3%83%BC%E3%83%89%E3%81%AE%E8%90%BD%E4%B8%8B%E3%83%86%E3%82%B9%E3%83%88%E6%B8%88%E3%81%BF-%E3%83%9D%E3%83%AA%E3%82%AB%E3%83%BC%E3%83%9C%E3%83%8D%E3%83%BC%E3%83%88%E4%BF%9D%E8%AD%B7%E3%82%B1%E3%83%BC%E3%82%B9/dp/B07RT7K1Y2/ref=sr_1_425?__mk_ja_JP=%E3%82%AB%E3%82%BF%E3%82%AB%E3%83%8A&amp;dchild=1&amp;keywords=iphone+x&amp;qid=1598525783&amp;sr=8-425", "Go")</f>
        <v/>
      </c>
    </row>
    <row r="459">
      <c r="A459" s="1" t="n">
        <v>457</v>
      </c>
      <c r="B459" t="inlineStr">
        <is>
          <t>TENDLIN iPhone SE ケース 自然木製柔軟TPUシリコン配合保護ケース(紫檀)</t>
        </is>
      </c>
      <c r="C459" t="inlineStr">
        <is>
          <t>￥1,299</t>
        </is>
      </c>
      <c r="D459" t="inlineStr">
        <is>
          <t>4.6</t>
        </is>
      </c>
      <c r="E459">
        <f>HYPERLINK("https://www.amazon.co.jp/TENDLIN-iPhone-SE-%E3%82%B1%E3%83%BC%E3%82%B9-%E8%87%AA%E7%84%B6%E6%9C%A8%E8%A3%BD%E6%9F%94%E8%BB%9FTPU%E3%82%B7%E3%83%AA%E3%82%B3%E3%83%B3%E9%85%8D%E5%90%88%E4%BF%9D%E8%AD%B7%E3%82%B1%E3%83%BC%E3%82%B9/dp/B01GTYDUJS/ref=sr_1_426?__mk_ja_JP=%E3%82%AB%E3%82%BF%E3%82%AB%E3%83%8A&amp;dchild=1&amp;keywords=iphone+x&amp;qid=1598525783&amp;sr=8-426", "Go")</f>
        <v/>
      </c>
    </row>
    <row r="460">
      <c r="A460" s="1" t="n">
        <v>458</v>
      </c>
      <c r="B460" t="inlineStr">
        <is>
          <t>ProCase iPhone XR 手帳型ケース フリップ キックスタンド カードスロット 鏡付き 財布型 リストレット 折りたたみ スタンド 保護カバー ケース iPhone XR対応(2018発売) -ブラック</t>
        </is>
      </c>
      <c r="C460" t="inlineStr">
        <is>
          <t>￥1,499</t>
        </is>
      </c>
      <c r="D460" t="inlineStr">
        <is>
          <t>4.6</t>
        </is>
      </c>
      <c r="E460">
        <f>HYPERLINK("https://www.amazon.co.jp/ProCase-iPhone-%E6%89%8B%E5%B8%B3%E5%9E%8B%E3%82%B1%E3%83%BC%E3%82%B9-%E3%82%AD%E3%83%83%E3%82%AF%E3%82%B9%E3%82%BF%E3%83%B3%E3%83%89-%E3%82%AB%E3%83%BC%E3%83%89%E3%82%B9%E3%83%AD%E3%83%83%E3%83%88/dp/B07GSJSH4X/ref=sr_1_427?__mk_ja_JP=%E3%82%AB%E3%82%BF%E3%82%AB%E3%83%8A&amp;dchild=1&amp;keywords=iphone+x&amp;qid=1598525783&amp;sr=8-427", "Go")</f>
        <v/>
      </c>
    </row>
    <row r="461">
      <c r="A461" s="1" t="n">
        <v>459</v>
      </c>
      <c r="B461" t="inlineStr">
        <is>
          <t>Anker PowerPort 5 (40W 5ポート USB急速充電器) 【PSE認証済 / PowerIQ搭載】iPhone、iPad、Android各種対応(ホワイト)</t>
        </is>
      </c>
      <c r="C461" t="inlineStr">
        <is>
          <t>￥2,599</t>
        </is>
      </c>
      <c r="D461" t="inlineStr">
        <is>
          <t>4.6</t>
        </is>
      </c>
      <c r="E461">
        <f>HYPERLINK("https://www.amazon.co.jp/Anker-PowerPort-5%E3%83%9D%E3%83%BC%E3%83%88-USB%E6%80%A5%E9%80%9F%E5%85%85%E9%9B%BB%E5%99%A8-%E3%80%90PowerIQ%E6%90%AD%E8%BC%89%E3%80%91/dp/B01GRHQ5US/ref=sr_1_428?__mk_ja_JP=%E3%82%AB%E3%82%BF%E3%82%AB%E3%83%8A&amp;dchild=1&amp;keywords=iphone+x&amp;qid=1598525783&amp;sr=8-428", "Go")</f>
        <v/>
      </c>
    </row>
    <row r="462">
      <c r="A462" s="1" t="n">
        <v>460</v>
      </c>
      <c r="B462" t="inlineStr">
        <is>
          <t>ホワイト充電ケーブル。 ベージュ 94737</t>
        </is>
      </c>
      <c r="C462" t="inlineStr">
        <is>
          <t>￥39,758</t>
        </is>
      </c>
      <c r="D462" t="inlineStr">
        <is>
          <t>4.6</t>
        </is>
      </c>
      <c r="E462">
        <f>HYPERLINK("https://www.amazon.co.jp/BSTOEM-%E3%83%9B%E3%83%AF%E3%82%A4%E3%83%88%E5%85%85%E9%9B%BB%E3%82%B1%E3%83%BC%E3%83%96%E3%83%AB%E3%80%82-%E3%83%99%E3%83%BC%E3%82%B8%E3%83%A5-94737/dp/B07X354DKM/ref=sr_1_429?__mk_ja_JP=%E3%82%AB%E3%82%BF%E3%82%AB%E3%83%8A&amp;dchild=1&amp;keywords=iphone+x&amp;qid=1598525783&amp;sr=8-429", "Go")</f>
        <v/>
      </c>
    </row>
    <row r="463">
      <c r="A463" s="1" t="n">
        <v>461</v>
      </c>
      <c r="B463" t="inlineStr">
        <is>
          <t>UBeesize 携帯電話用三脚 12インチ 柔軟な携帯電話用三脚スタンドホルダー ワイヤレスリモートシャッター&amp;ユニバーサル電話マウント付き, ブラック, Tripod E USA New</t>
        </is>
      </c>
      <c r="C463" t="inlineStr">
        <is>
          <t>￥1,200</t>
        </is>
      </c>
      <c r="D463" t="inlineStr">
        <is>
          <t>4.6</t>
        </is>
      </c>
      <c r="E463">
        <f>HYPERLINK("https://www.amazon.co.jp/dp/B07VTZTS4X/ref=sr_1_430?__mk_ja_JP=%E3%82%AB%E3%82%BF%E3%82%AB%E3%83%8A&amp;dchild=1&amp;keywords=iphone+x&amp;qid=1598525783&amp;sr=8-430", "Go")</f>
        <v/>
      </c>
    </row>
    <row r="464">
      <c r="A464" s="1" t="n">
        <v>462</v>
      </c>
      <c r="B464" t="inlineStr">
        <is>
          <t>Gear4 Platoon ホルスター付きケース 高度な衝撃保護 [D3Oによる保護] 頑丈 超耐久性デザイン iPhone XR対応 - ブラック</t>
        </is>
      </c>
      <c r="C464" t="inlineStr">
        <is>
          <t>￥39,700</t>
        </is>
      </c>
      <c r="D464" t="inlineStr">
        <is>
          <t>4.7</t>
        </is>
      </c>
      <c r="E464">
        <f>HYPERLINK("https://www.amazon.co.jp/Gear4-Platoon-%E3%83%9B%E3%83%AB%E3%82%B9%E3%82%BF%E3%83%BC%E4%BB%98%E3%81%8D%E3%82%B1%E3%83%BC%E3%82%B9-D3O%E3%81%AB%E3%82%88%E3%82%8B%E4%BF%9D%E8%AD%B7-%E8%B6%85%E8%80%90%E4%B9%85%E6%80%A7%E3%83%87%E3%82%B6%E3%82%A4%E3%83%B3/dp/B07HKRR4Z9/ref=sr_1_431?__mk_ja_JP=%E3%82%AB%E3%82%BF%E3%82%AB%E3%83%8A&amp;dchild=1&amp;keywords=iphone+x&amp;qid=1598525783&amp;sr=8-431", "Go")</f>
        <v/>
      </c>
    </row>
    <row r="465">
      <c r="A465" s="1" t="n">
        <v>463</v>
      </c>
      <c r="B465" t="inlineStr">
        <is>
          <t>iPhone 6s / 6 ケース iPhone 7 ケース iPhone 8 グリッターケース 強化ガラススクリーンプロテクター [2パック] 女の子用 レディース LeYi Moving Quicksand クリア電話ケース Apple iPhone 6/ 6s/ 7/8 ZX ZX-iPhone 6/ 7/ 8 ZX-iPhone 6/ 6s/ 7/ 8 Teal/Purple New</t>
        </is>
      </c>
      <c r="C465" t="inlineStr">
        <is>
          <t>￥6,964</t>
        </is>
      </c>
      <c r="D465" t="inlineStr">
        <is>
          <t>4.7</t>
        </is>
      </c>
      <c r="E465">
        <f>HYPERLINK("https://www.amazon.co.jp/%E3%82%B0%E3%83%AA%E3%83%83%E3%82%BF%E3%83%BC%E3%82%B1%E3%83%BC%E3%82%B9-%E5%BC%B7%E5%8C%96%E3%82%AC%E3%83%A9%E3%82%B9%E3%82%B9%E3%82%AF%E3%83%AA%E3%83%BC%E3%83%B3%E3%83%97%E3%83%AD%E3%83%86%E3%82%AF%E3%82%BF%E3%83%BC%E4%BB%98%E3%81%8D-LeYi-%E3%82%AF%E3%82%A4%E3%83%83%E3%82%AF%E3%82%B5%E3%83%B3%E3%83%89-%E6%90%BA%E5%B8%AF%E9%9B%BB%E8%A9%B1%E3%82%B1%E3%83%BC%E3%82%B9/dp/B07MN8X74F/ref=sr_1_432?__mk_ja_JP=%E3%82%AB%E3%82%BF%E3%82%AB%E3%83%8A&amp;dchild=1&amp;keywords=iphone+x&amp;qid=1598525783&amp;sr=8-432", "Go")</f>
        <v/>
      </c>
    </row>
    <row r="466">
      <c r="A466" s="1" t="n">
        <v>464</v>
      </c>
      <c r="B466" t="inlineStr">
        <is>
          <t>YeLoveHaw iPhone XR ケース 女の子用 柔軟でソフトなスリムフィット 全面保護 かわいいシェル 電話ケースカバー 紫の花とグレーの葉の模様 iPhone XR 6.1インチ（ピンクフラワー）</t>
        </is>
      </c>
      <c r="C466" t="inlineStr">
        <is>
          <t>￥10,148</t>
        </is>
      </c>
      <c r="D466" t="inlineStr">
        <is>
          <t>4.6</t>
        </is>
      </c>
      <c r="E466">
        <f>HYPERLINK("https://www.amazon.co.jp/YeLoveHaw-%E6%9F%94%E8%BB%9F%E3%81%A7%E3%82%BD%E3%83%95%E3%83%88%E3%81%AA%E3%82%B9%E3%83%AA%E3%83%A0%E3%83%95%E3%82%A3%E3%83%83%E3%83%88-%E9%9B%BB%E8%A9%B1%E3%82%B1%E3%83%BC%E3%82%B9%E3%82%AB%E3%83%90%E3%83%BC-%E7%B4%AB%E3%81%AE%E8%8A%B1%E3%81%A8%E3%82%B0%E3%83%AC%E3%83%BC%E3%81%AE%E8%91%89%E3%81%AE%E6%A8%A1%E6%A7%98-6-1%E3%82%A4%E3%83%B3%E3%83%81%EF%BC%88%E3%83%94%E3%83%B3%E3%82%AF%E3%83%95%E3%83%A9%E3%83%AF%E3%83%BC%EF%BC%89/dp/B07WCG14DV/ref=sr_1_433?__mk_ja_JP=%E3%82%AB%E3%82%BF%E3%82%AB%E3%83%8A&amp;dchild=1&amp;keywords=iphone+x&amp;qid=1598525783&amp;sr=8-433", "Go")</f>
        <v/>
      </c>
    </row>
    <row r="467">
      <c r="A467" s="1" t="n">
        <v>465</v>
      </c>
      <c r="B467" t="inlineStr">
        <is>
          <t>スタイラス ChaoQ メッシュファイバーチップ スタイラスペン 4本セット ユニバーサルタッチスクリーンデバイス用 交換可能なメッシュファイバーチップ4本と予備ゴムチップ4本付き CQ-3022</t>
        </is>
      </c>
      <c r="C467" t="inlineStr">
        <is>
          <t>￥1,597</t>
        </is>
      </c>
      <c r="D467" t="inlineStr">
        <is>
          <t>4.6</t>
        </is>
      </c>
      <c r="E467">
        <f>HYPERLINK("https://www.amazon.co.jp/ChaoQ-CQ-3022-4%E5%80%8B%E3%83%A1%E3%83%83%E3%82%B7%E3%83%A5%E3%83%95%E3%82%A1%E3%82%A4%E3%83%90%E3%83%BCTip-Stylus%E3%83%9A%E3%83%B3for%E3%83%A6%E3%83%8B%E3%83%90%E3%83%BC%E3%82%B5%E3%83%AB%E3%82%BF%E3%83%83%E3%83%81%E7%94%BB%E9%9D%A2%E3%83%87%E3%83%90%E3%82%A4%E3%82%B9%E3%80%81with-4-Extra%E4%BA%A4%E6%8F%9B%E5%8F%AF%E8%83%BD%E3%83%A1%E3%83%83%E3%82%B7%E3%83%A5%E3%83%95%E3%82%A1%E3%82%A4%E3%83%90%E3%83%BC%E3%83%92%E3%83%B3%E3%83%88%E3%81%A84-Extra%E3%82%B4%E3%83%A0%E3%83%92%E3%83%B3%E3%83%88/dp/B01M9JKECQ/ref=sr_1_434?__mk_ja_JP=%E3%82%AB%E3%82%BF%E3%82%AB%E3%83%8A&amp;dchild=1&amp;keywords=iphone+x&amp;qid=1598525783&amp;sr=8-434", "Go")</f>
        <v/>
      </c>
    </row>
    <row r="468">
      <c r="A468" s="1" t="n">
        <v>466</v>
      </c>
      <c r="B468" t="inlineStr">
        <is>
          <t>Xcentz USB-C to ライトニング ケーブル iphone 充電ケーブル【USB PD対応/MFi認証品 データ転送 超高耐久ナイロン製 アルミコネクタ iPhone/iPad/iPodへPower Delivery急速充電（1.8m ブルー）</t>
        </is>
      </c>
      <c r="C468" t="inlineStr">
        <is>
          <t>￥1,299</t>
        </is>
      </c>
      <c r="D468" t="inlineStr">
        <is>
          <t>4.6</t>
        </is>
      </c>
      <c r="E468">
        <f>HYPERLINK("https://www.amazon.co.jp/%E5%85%85%E9%9B%BB%E3%82%B1%E3%83%BC%E3%83%96%E3%83%AB%E3%80%90USB-%E8%B6%85%E9%AB%98%E8%80%90%E4%B9%85%E3%83%8A%E3%82%A4%E3%83%AD%E3%83%B3%E8%A3%BD-%E3%82%A2%E3%83%AB%E3%83%9F%E3%82%B3%E3%83%8D%E3%82%AF%E3%82%BF-iPod%E3%81%B8Power-Delivery%E6%80%A5%E9%80%9F%E5%85%85%E9%9B%BB%EF%BC%881-8m/dp/B083XW1PHX/ref=sr_1_435?__mk_ja_JP=%E3%82%AB%E3%82%BF%E3%82%AB%E3%83%8A&amp;dchild=1&amp;keywords=iphone+x&amp;qid=1598525783&amp;sr=8-435", "Go")</f>
        <v/>
      </c>
    </row>
    <row r="469">
      <c r="A469" s="1" t="n">
        <v>467</v>
      </c>
      <c r="B469" t="inlineStr">
        <is>
          <t>Zeadio三脚スマートフォンホルダー 携帯電話マウントアダプター 自撮り棒一脚調整可能なクランプ 水平 垂直のスイベルブラケット iPhoneSamsungHuaweiおよびすべての電話に適合</t>
        </is>
      </c>
      <c r="C469" t="inlineStr">
        <is>
          <t>￥1,599</t>
        </is>
      </c>
      <c r="D469" t="inlineStr">
        <is>
          <t>4.6</t>
        </is>
      </c>
      <c r="E469">
        <f>HYPERLINK("https://www.amazon.co.jp/Zeadio-DV-HDE-H3-%E6%99%AE%E9%81%8D%E7%9A%84%E3%81%AA%E3%82%B9%E3%83%9E%E3%83%BC%E3%83%88%E3%83%95%E3%82%A9%E3%83%B3%E3%81%AE%E4%B8%89%E8%84%9A%E3%81%AE%E3%82%A2%E3%83%80%E3%83%97%E3%82%BF%E3%83%BC%E3%80%81/dp/B06XDYJNSR/ref=sr_1_436?__mk_ja_JP=%E3%82%AB%E3%82%BF%E3%82%AB%E3%83%8A&amp;dchild=1&amp;keywords=iphone+x&amp;qid=1598525783&amp;sr=8-436", "Go")</f>
        <v/>
      </c>
    </row>
    <row r="470">
      <c r="A470" s="1" t="n">
        <v>468</v>
      </c>
      <c r="B470" t="inlineStr">
        <is>
          <t>Baseus ライトニングケーブル 3in1 巻き取り 充電ケーブル 3in1 3.5A大電流 2A急速充電 高速データ転送対応 USB Type-C/ライトニング/Micro USB 充電ケーブル 一本三役 iOS/Android 同時給電可能 iPhone/Galaxy/Huawei等全機種対応 USBケーブル 120cm 1年間品質保証(ブラック)</t>
        </is>
      </c>
      <c r="C470" t="inlineStr">
        <is>
          <t>￥1,699</t>
        </is>
      </c>
      <c r="D470" t="inlineStr">
        <is>
          <t>4.4</t>
        </is>
      </c>
      <c r="E470">
        <f>HYPERLINK("https://www.amazon.co.jp/dp/B084ZF3H81/ref=sr_1_437_sspa?__mk_ja_JP=%E3%82%AB%E3%82%BF%E3%82%AB%E3%83%8A&amp;dchild=1&amp;keywords=iphone+x&amp;qid=1598525783&amp;sr=8-437-spons&amp;psc=1&amp;spLa=ZW5jcnlwdGVkUXVhbGlmaWVyPUFTODBDWEZGMDJEWTUmZW5jcnlwdGVkSWQ9QTA3OTY3MTkzT1k5QVhUTFMxUktXJmVuY3J5cHRlZEFkSWQ9QTFSVjFEOTk1MFNHTU0md2lkZ2V0TmFtZT1zcF9idGYmYWN0aW9uPWNsaWNrUmVkaXJlY3QmZG9Ob3RMb2dDbGljaz10cnVl", "Go")</f>
        <v/>
      </c>
    </row>
    <row r="471">
      <c r="A471" s="1" t="n">
        <v>469</v>
      </c>
      <c r="B471" t="inlineStr">
        <is>
          <t>SDBAUX巻き取りケーブルリール式 ライトニング&amp;Micro USB 2in1 USB充電 データ転送対応iPhone XS/XS Max/XR/X/8/7/6/5s（2セット)</t>
        </is>
      </c>
      <c r="C471" t="inlineStr">
        <is>
          <t>￥1,499</t>
        </is>
      </c>
      <c r="D471" t="inlineStr">
        <is>
          <t>4</t>
        </is>
      </c>
      <c r="E471">
        <f>HYPERLINK("https://www.amazon.co.jp/SDBAUX%E5%B7%BB%E3%81%8D%E5%8F%96%E3%82%8A%E3%82%B1%E3%83%BC%E3%83%96%E3%83%AB-MicroUSB-%E3%83%87%E3%83%BC%E3%82%BF%E8%BB%A2%E9%80%81%E5%AF%BE%E5%BF%9CApple-Samsung-Huawei%EF%BC%88%E3%82%B7%E3%83%AB%E3%83%90%E3%83%BC/dp/B07FX6HHMQ/ref=sr_1_438_sspa?__mk_ja_JP=%E3%82%AB%E3%82%BF%E3%82%AB%E3%83%8A&amp;dchild=1&amp;keywords=iphone+x&amp;qid=1598525783&amp;sr=8-438-spons&amp;psc=1&amp;spLa=ZW5jcnlwdGVkUXVhbGlmaWVyPUFTODBDWEZGMDJEWTUmZW5jcnlwdGVkSWQ9QTA3OTY3MTkzT1k5QVhUTFMxUktXJmVuY3J5cHRlZEFkSWQ9QTExWDBVQjdWVUpSMjkmd2lkZ2V0TmFtZT1zcF9idGYmYWN0aW9uPWNsaWNrUmVkaXJlY3QmZG9Ob3RMb2dDbGljaz10cnVl", "Go")</f>
        <v/>
      </c>
    </row>
    <row r="472">
      <c r="A472" s="1" t="n">
        <v>470</v>
      </c>
      <c r="B472" t="inlineStr">
        <is>
          <t>TENDLIN iPhone XSケース/iPhone X ケース 天然木層と炭素繊維テクスチャレザーTPUソフトケース 薄型 軽量 ワイヤレス充電 アイフォン X アイフォン XS カバー</t>
        </is>
      </c>
      <c r="C472" t="inlineStr">
        <is>
          <t>￥1,499</t>
        </is>
      </c>
      <c r="D472" t="inlineStr">
        <is>
          <t>4.6</t>
        </is>
      </c>
      <c r="E472">
        <f>HYPERLINK("https://www.amazon.co.jp/TENDLIN-iPhone-%E3%82%B1%E3%83%BC%E3%82%B9-%E5%A4%A9%E7%84%B6%E6%9C%A8%E5%B1%A4%E3%81%A8%E7%82%AD%E7%B4%A0%E7%B9%8A%E7%B6%AD%E3%83%86%E3%82%AF%E3%82%B9%E3%83%81%E3%83%A3%E3%83%AC%E3%82%B6%E3%83%BC%E3%81%AE%E6%B7%B7%E5%90%88%E3%81%A7%E6%A7%8B%E6%88%90%E3%81%95%E3%82%8C%E3%80%81%E8%80%90%E8%A1%9D%E6%92%83%E3%82%B1%E3%83%BC%E3%82%B9-%E3%83%AC%E3%82%B6%E3%83%BC/dp/B07S462Q6G/ref=sr_1_435_sspa?__mk_ja_JP=%E3%82%AB%E3%82%BF%E3%82%AB%E3%83%8A&amp;dchild=1&amp;keywords=iphone+x&amp;qid=1598526004&amp;sr=8-435-spons&amp;psc=1&amp;spLa=ZW5jcnlwdGVkUXVhbGlmaWVyPUEyUlZXTEY0SDhKM0gzJmVuY3J5cHRlZElkPUEwMjEwNzA3MzgwWkNaOFdDUENUViZlbmNyeXB0ZWRBZElkPUEyNTVQOTZOTE5UQkdCJndpZGdldE5hbWU9c3BfYXRmX25leHQmYWN0aW9uPWNsaWNrUmVkaXJlY3QmZG9Ob3RMb2dDbGljaz10cnVl", "Go")</f>
        <v/>
      </c>
    </row>
    <row r="473">
      <c r="A473" s="1" t="n">
        <v>471</v>
      </c>
      <c r="B473" t="inlineStr">
        <is>
          <t>tech21(テック21) Evo Check(エボチェック) iPhone Xs Max 用携帯電話保護ケース - 抗菌性で強化された3.6mドロッププロテクション</t>
        </is>
      </c>
      <c r="C473" t="inlineStr">
        <is>
          <t>￥3,188</t>
        </is>
      </c>
      <c r="D473" t="inlineStr">
        <is>
          <t>4.6</t>
        </is>
      </c>
      <c r="E473">
        <f>HYPERLINK("https://www.amazon.co.jp/tech21-Check-Apple-iPhone-T21-6140/dp/B07GYWJQP6/ref=sr_1_437?__mk_ja_JP=%E3%82%AB%E3%82%BF%E3%82%AB%E3%83%8A&amp;dchild=1&amp;keywords=iphone+x&amp;qid=1598526004&amp;sr=8-437", "Go")</f>
        <v/>
      </c>
    </row>
    <row r="474">
      <c r="A474" s="1" t="n">
        <v>472</v>
      </c>
      <c r="B474" t="inlineStr">
        <is>
          <t>Supershieldz Apple iPhone 11 Pro Max およびiPhone Xs Max (6.5インチ) (プライバシー) アンチスパイ強化ガラススクリーンプロテクター付き (簡単取り付けトレイ) 傷防止 気泡フリー</t>
        </is>
      </c>
      <c r="C474" t="inlineStr">
        <is>
          <t>￥6,834</t>
        </is>
      </c>
      <c r="D474" t="inlineStr">
        <is>
          <t>4.6</t>
        </is>
      </c>
      <c r="E474">
        <f>HYPERLINK("https://www.amazon.co.jp/Supershieldz-iPhone-6-5%E3%82%A4%E3%83%B3%E3%83%81-%E3%82%A2%E3%83%B3%E3%83%81%E3%82%B9%E3%83%91%E3%82%A4%E5%BC%B7%E5%8C%96%E3%82%AC%E3%83%A9%E3%82%B9%E3%82%B9%E3%82%AF%E3%83%AA%E3%83%BC%E3%83%B3%E3%83%97%E3%83%AD%E3%83%86%E3%82%AF%E3%82%BF%E3%83%BC-%E5%8F%96%E3%82%8A%E4%BB%98%E3%81%91%E7%B0%A1%E5%8D%98%E3%83%88%E3%83%AC%E3%82%A4/dp/B07QC4K9BH/ref=sr_1_438?__mk_ja_JP=%E3%82%AB%E3%82%BF%E3%82%AB%E3%83%8A&amp;dchild=1&amp;keywords=iphone+x&amp;qid=1598526004&amp;sr=8-438", "Go")</f>
        <v/>
      </c>
    </row>
    <row r="475">
      <c r="A475" s="1" t="n">
        <v>473</v>
      </c>
      <c r="B475" t="inlineStr">
        <is>
          <t>iPhone対応Simカードトレイ取り外しツール(10個入りパック) | Simカードピン | Simカードツール 対応機種: iPhone X、8、7、6、iPads、Samsung Note 9、8、S9、S8、S7、Sony、Huawei、HTC、すべてのスマートフォン</t>
        </is>
      </c>
      <c r="C475" t="inlineStr">
        <is>
          <t>￥475</t>
        </is>
      </c>
      <c r="D475" t="inlineStr">
        <is>
          <t>4.6</t>
        </is>
      </c>
      <c r="E475">
        <f>HYPERLINK("https://www.amazon.co.jp/iPhone%E5%AF%BE%E5%BF%9CSim%E3%82%AB%E3%83%BC%E3%83%89%E3%83%88%E3%83%AC%E3%82%A4%E5%8F%96%E3%82%8A%E5%A4%96%E3%81%97%E3%83%84%E3%83%BC%E3%83%AB-10%E5%80%8B%E5%85%A5%E3%82%8A%E3%83%91%E3%83%83%E3%82%AF-Sim%E3%82%AB%E3%83%BC%E3%83%89%E3%83%94%E3%83%B3-Sim%E3%82%AB%E3%83%BC%E3%83%89%E3%83%84%E3%83%BC%E3%83%AB-9%E3%80%818%E3%80%81S9%E3%80%81S8%E3%80%81S7%E3%80%81Sony%E3%80%81Huawei%E3%80%81HTC%E3%80%81%E3%81%99%E3%81%B9%E3%81%A6%E3%81%AE%E3%82%B9%E3%83%9E%E3%83%BC%E3%83%88%E3%83%95%E3%82%A9%E3%83%B3/dp/B00NLL1EYG/ref=sr_1_439?__mk_ja_JP=%E3%82%AB%E3%82%BF%E3%82%AB%E3%83%8A&amp;dchild=1&amp;keywords=iphone+x&amp;qid=1598526004&amp;sr=8-439", "Go")</f>
        <v/>
      </c>
    </row>
    <row r="476">
      <c r="A476" s="1" t="n">
        <v>474</v>
      </c>
      <c r="B476" t="inlineStr">
        <is>
          <t>【2020最新版】スマホ スタンド ホルダー 角度調整可能、幅と高さ調整可能、携帯電話スタンド、充電スタンド、スマフォスタンド、アイフォンデスク置き台、aluminium、 Nintendo Switch 対応、アイフォン、アンドロイド、iPhone 11、11 Pro、11 Pro Max、11 プロ マックス XS XS Max XR X 8 plus 7 7plus 6 6s 6plus 5 5s、Xiaomi Redmi Note 8 9 10 pro mi、 huawei p20 p30 lite、Sony Xperia、Nexus、android対応</t>
        </is>
      </c>
      <c r="C476" t="inlineStr">
        <is>
          <t>￥1,199</t>
        </is>
      </c>
      <c r="D476" t="inlineStr">
        <is>
          <t>4.6</t>
        </is>
      </c>
      <c r="E476">
        <f>HYPERLINK("https://www.amazon.co.jp/%E3%80%902020%E6%9C%80%E6%96%B0%E7%89%88%E3%80%91%E3%82%B9%E3%83%9E%E3%83%9B-%E8%A7%92%E5%BA%A6%E8%AA%BF%E6%95%B4%E5%8F%AF%E8%83%BD%E3%80%81%E5%B9%85%E3%81%A8%E9%AB%98%E3%81%95%E8%AA%BF%E6%95%B4%E5%8F%AF%E8%83%BD%E3%80%81%E6%90%BA%E5%B8%AF%E9%9B%BB%E8%A9%B1%E3%82%B9%E3%82%BF%E3%83%B3%E3%83%89%E3%80%81%E5%85%85%E9%9B%BB%E3%82%B9%E3%82%BF%E3%83%B3%E3%83%89%E3%80%81%E3%82%B9%E3%83%9E%E3%83%95%E3%82%A9%E3%82%B9%E3%82%BF%E3%83%B3%E3%83%89%E3%80%81%E3%82%A2%E3%82%A4%E3%83%95%E3%82%A9%E3%83%B3%E3%83%87%E3%82%B9%E3%82%AF%E7%BD%AE%E3%81%8D%E5%8F%B0%E3%80%81aluminium%E3%80%81-%E5%AF%BE%E5%BF%9C%E3%80%81%E3%82%A2%E3%82%A4%E3%83%95%E3%82%A9%E3%83%B3%E3%80%81%E3%82%A2%E3%83%B3%E3%83%89%E3%83%AD%E3%82%A4%E3%83%89%E3%80%81iPhone-5s%E3%80%81Xiaomi-Xperia%E3%80%81Nexus%E3%80%81android%E5%AF%BE%E5%BF%9C/dp/B088FFKWXP/ref=sr_1_440?__mk_ja_JP=%E3%82%AB%E3%82%BF%E3%82%AB%E3%83%8A&amp;dchild=1&amp;keywords=iphone+x&amp;qid=1598526004&amp;sr=8-440", "Go")</f>
        <v/>
      </c>
    </row>
    <row r="477">
      <c r="A477" s="1" t="n">
        <v>475</v>
      </c>
      <c r="B477" t="inlineStr">
        <is>
          <t>Spigen 【2枚セット】 iPhone 11 ガラスフィルム/iPhone XR ガラスフィルム 6.1インチ用 【貼り付けキット付き】 日本旭硝子製 強化ガラス 液晶保護フィルム iPhone11 ガラスフィルム 【Glas.tR EZ Fit】</t>
        </is>
      </c>
      <c r="C477" t="inlineStr">
        <is>
          <t>￥1,399</t>
        </is>
      </c>
      <c r="D477" t="inlineStr">
        <is>
          <t>4.6</t>
        </is>
      </c>
      <c r="E477">
        <f>HYPERLINK("https://www.amazon.co.jp/Spigen-%E3%80%90%E8%B2%BC%E3%82%8A%E4%BB%98%E3%81%91%E3%82%AD%E3%83%83%E3%83%88%E4%BB%98%E3%81%8D%E3%80%91-%E6%B6%B2%E6%99%B6%E4%BF%9D%E8%AD%B7%E3%83%95%E3%82%A3%E3%83%AB%E3%83%A0-iPhone11-%E3%80%90Glas-tR/dp/B07V9LYZZP/ref=sr_1_441?__mk_ja_JP=%E3%82%AB%E3%82%BF%E3%82%AB%E3%83%8A&amp;dchild=1&amp;keywords=iphone+x&amp;qid=1598526004&amp;sr=8-441", "Go")</f>
        <v/>
      </c>
    </row>
    <row r="478">
      <c r="A478" s="1" t="n">
        <v>476</v>
      </c>
      <c r="B478" t="inlineStr">
        <is>
          <t>SUPCASE Huawei Mate20 ケース ハイブリッドバンパー クリア 透明 Qi充電対応 耐衝撃カバー Huawei Mate20 専用ケース</t>
        </is>
      </c>
      <c r="C478" t="inlineStr">
        <is>
          <t>￥1,499</t>
        </is>
      </c>
      <c r="D478" t="inlineStr">
        <is>
          <t>4.6</t>
        </is>
      </c>
      <c r="E478">
        <f>HYPERLINK("https://www.amazon.co.jp/SUPCASE-Huawei-Mate20-%E3%83%8F%E3%82%A4%E3%83%96%E3%83%AA%E3%83%83%E3%83%89%E3%83%90%E3%83%B3%E3%83%91%E3%83%BC-Qi%E5%85%85%E9%9B%BB%E5%AF%BE%E5%BF%9C/dp/B07L81K9FS/ref=sr_1_442?__mk_ja_JP=%E3%82%AB%E3%82%BF%E3%82%AB%E3%83%8A&amp;dchild=1&amp;keywords=iphone+x&amp;qid=1598526004&amp;sr=8-442", "Go")</f>
        <v/>
      </c>
    </row>
    <row r="479">
      <c r="A479" s="1" t="n">
        <v>477</v>
      </c>
      <c r="B479" t="inlineStr">
        <is>
          <t>OtterBox iPhone 11 Pro Commuter ケース(Mint Way)</t>
        </is>
      </c>
      <c r="C479" t="inlineStr">
        <is>
          <t>￥3,800</t>
        </is>
      </c>
      <c r="D479" t="inlineStr">
        <is>
          <t>4.6</t>
        </is>
      </c>
      <c r="E479">
        <f>HYPERLINK("https://www.amazon.co.jp/OtterBox-iPhone-Pro-Commuter-Mint/dp/B07W45LWM3/ref=sr_1_443?__mk_ja_JP=%E3%82%AB%E3%82%BF%E3%82%AB%E3%83%8A&amp;dchild=1&amp;keywords=iphone+x&amp;qid=1598526004&amp;sr=8-443", "Go")</f>
        <v/>
      </c>
    </row>
    <row r="480">
      <c r="A480" s="1" t="n">
        <v>478</v>
      </c>
      <c r="B480" t="inlineStr">
        <is>
          <t>【４枚入り】【ガイド枠付き】 iPhone 11 / iPhone XR 強化ガラスフィルム 全面保護フィルム 日本旭硝子 【ケースに干渉しない】2.5Dラウンドエッジ加工 完全保護 9H高硬度 ０気泡 【 6.1 インチ iPhone11 / iPhoneXR 用 フィルム 】</t>
        </is>
      </c>
      <c r="C480" t="inlineStr">
        <is>
          <t>￥990</t>
        </is>
      </c>
      <c r="D480" t="inlineStr">
        <is>
          <t>4.5</t>
        </is>
      </c>
      <c r="E480">
        <f>HYPERLINK("https://www.amazon.co.jp/%E3%80%90%EF%BC%94%E6%9E%9A%E5%85%A5%E3%82%8A%E3%80%91%E3%80%90%E3%82%AC%E3%82%A4%E3%83%89%E6%9E%A0%E4%BB%98%E3%81%8D%E3%80%91-%E5%BC%B7%E5%8C%96%E3%82%AC%E3%83%A9%E3%82%B9%E3%83%95%E3%82%A3%E3%83%AB%E3%83%A0-%E3%80%90%E3%82%B1%E3%83%BC%E3%82%B9%E3%81%AB%E5%B9%B2%E6%B8%89%E3%81%97%E3%81%AA%E3%81%84%E3%80%912-5D%E3%83%A9%E3%82%A6%E3%83%B3%E3%83%89%E3%82%A8%E3%83%83%E3%82%B8%E5%8A%A0%E5%B7%A5-iPhone11-iPhoneXR/dp/B07ZPZ2CLQ/ref=sr_1_444?__mk_ja_JP=%E3%82%AB%E3%82%BF%E3%82%AB%E3%83%8A&amp;dchild=1&amp;keywords=iphone+x&amp;qid=1598526004&amp;sr=8-444", "Go")</f>
        <v/>
      </c>
    </row>
    <row r="481">
      <c r="A481" s="1" t="n">
        <v>479</v>
      </c>
      <c r="B481" t="inlineStr">
        <is>
          <t>【ROOT CO.】iPhoneX iPhoneXS 耐衝撃 ケース Gravity Shock Resist Tough &amp; Basic Case.（ブラック） ルート</t>
        </is>
      </c>
      <c r="C481" t="inlineStr">
        <is>
          <t>￥4,070</t>
        </is>
      </c>
      <c r="D481" t="inlineStr">
        <is>
          <t>4.6</t>
        </is>
      </c>
      <c r="E481">
        <f>HYPERLINK("https://www.amazon.co.jp/CO-%E3%80%91iPhoneX-iPhoneXS-Gravity-Resist-Case-%EF%BC%88%E3%83%96%E3%83%A9%E3%83%83%E3%82%AF%EF%BC%89/dp/B0756TJNZQ/ref=sr_1_445?__mk_ja_JP=%E3%82%AB%E3%82%BF%E3%82%AB%E3%83%8A&amp;dchild=1&amp;keywords=iphone+x&amp;qid=1598526004&amp;sr=8-445", "Go")</f>
        <v/>
      </c>
    </row>
    <row r="482">
      <c r="A482" s="1" t="n">
        <v>480</v>
      </c>
      <c r="B482" t="inlineStr">
        <is>
          <t>i-Blason iPhone XS Max ケース 2018 リング付き 軽量 薄型 TPU ソフトスマホケース 耐衝撃 ストラップホール 黄変防止 一体型 人気 携帯カバー キックスタンド</t>
        </is>
      </c>
      <c r="C482" t="inlineStr">
        <is>
          <t>￥1,899</t>
        </is>
      </c>
      <c r="D482" t="inlineStr">
        <is>
          <t>4.6</t>
        </is>
      </c>
      <c r="E482">
        <f>HYPERLINK("https://www.amazon.co.jp/Lightweight-Smartphone-Shockproof-Anti-yellowing-One-piece/dp/B07ZKGM65D/ref=sr_1_446?__mk_ja_JP=%E3%82%AB%E3%82%BF%E3%82%AB%E3%83%8A&amp;dchild=1&amp;keywords=iphone+x&amp;qid=1598526004&amp;sr=8-446", "Go")</f>
        <v/>
      </c>
    </row>
    <row r="483">
      <c r="A483" s="1" t="n">
        <v>481</v>
      </c>
      <c r="B483" t="inlineStr">
        <is>
          <t>Apple iPhone 7/iPhone 8/iPhone SE 第2世代 (iPhone SE 2020) 4.7インチ用ケース TJS [強化ガラススクリーンプロテクター] Magpul [フィールド] MAG845 ポリマーケースカバー 小売パッケージ MAG845-FDE</t>
        </is>
      </c>
      <c r="C483" t="inlineStr">
        <is>
          <t>￥15,346から1個のオプション</t>
        </is>
      </c>
      <c r="D483" t="inlineStr">
        <is>
          <t>4.6</t>
        </is>
      </c>
      <c r="E483">
        <f>HYPERLINK("https://www.amazon.co.jp/8%E7%94%A8%E3%82%B1%E3%83%BC%E3%82%B9%E3%80%81TJS-%E5%BC%B7%E5%8C%96%E3%82%AC%E3%83%A9%E3%82%B9%E3%82%B9%E3%82%AF%E3%83%AA%E3%83%BC%E3%83%B3%E3%83%97%E3%83%AD%E3%83%86%E3%82%AF%E3%82%BF%E3%83%BC-MAG845%E3%83%9D%E3%83%AA%E3%83%9E%E3%83%BC%E3%82%B1%E3%83%BC%E3%82%B9%E3%82%AB%E3%83%90%E3%83%BC-%E3%83%AA%E3%83%86%E3%83%BC%E3%83%AB%E3%83%91%E3%83%83%E3%82%B1%E3%83%BC%E3%82%B8-MAG845-FDE/dp/B01N7T1L5O/ref=sr_1_447?__mk_ja_JP=%E3%82%AB%E3%82%BF%E3%82%AB%E3%83%8A&amp;dchild=1&amp;keywords=iphone+x&amp;qid=1598526004&amp;sr=8-447", "Go")</f>
        <v/>
      </c>
    </row>
    <row r="484">
      <c r="A484" s="1" t="n">
        <v>482</v>
      </c>
      <c r="B484" t="inlineStr">
        <is>
          <t>Lightningケーブル Apple MFi認証 - Nikolable iPhone充電器 3パック 6フィート ライトからUSB A充電コード iPhone 11 Pro Max XS XR 8 Plus 7 Plus 6s Plus 5S SE iPad Proなどに対応 ホワイト</t>
        </is>
      </c>
      <c r="C484" t="inlineStr">
        <is>
          <t>￥1,200</t>
        </is>
      </c>
      <c r="D484" t="inlineStr">
        <is>
          <t>4.6</t>
        </is>
      </c>
      <c r="E484">
        <f>HYPERLINK("https://www.amazon.co.jp/Lightning%E3%82%B1%E3%83%BC%E3%83%96%E3%83%AB-Apple-MFi%E8%AA%8D%E8%A8%BC-Nikolable-iPhone%E5%85%85%E9%9B%BB%E5%99%A8/dp/B07Z5NLHNV/ref=sr_1_448?__mk_ja_JP=%E3%82%AB%E3%82%BF%E3%82%AB%E3%83%8A&amp;dchild=1&amp;keywords=iphone+x&amp;qid=1598526004&amp;sr=8-448", "Go")</f>
        <v/>
      </c>
    </row>
    <row r="485">
      <c r="A485" s="1" t="n">
        <v>483</v>
      </c>
      <c r="B485" t="inlineStr">
        <is>
          <t>AOMAIS 携帯電話カメラレンズ プロカメラレンズキット iPhone/Samsung/Google Pixelなどに対応 マクロ広角レンズ LEDライト付き クイックリリースストラップ&amp;トラベルケース</t>
        </is>
      </c>
      <c r="C485" t="inlineStr">
        <is>
          <t>￥27,656</t>
        </is>
      </c>
      <c r="D485" t="inlineStr">
        <is>
          <t>4.6</t>
        </is>
      </c>
      <c r="E485">
        <f>HYPERLINK("https://www.amazon.co.jp/AOMAIS-%E6%90%BA%E5%B8%AF%E9%9B%BB%E8%A9%B1%E3%82%AB%E3%83%A1%E3%83%A9%E3%83%AC%E3%83%B3%E3%82%BA-%E3%83%97%E3%83%AD%E3%82%AB%E3%83%A1%E3%83%A9%E3%83%AC%E3%83%B3%E3%82%BA%E3%82%AD%E3%83%83%E3%83%88-Pixel%E3%81%AA%E3%81%A9%E3%81%AB%E5%AF%BE%E5%BF%9C-%E3%82%AF%E3%82%A4%E3%83%83%E3%82%AF%E3%83%AA%E3%83%AA%E3%83%BC%E3%82%B9%E3%82%B9%E3%83%88%E3%83%A9%E3%83%83%E3%83%97/dp/B07P9XG8L1/ref=sr_1_449?__mk_ja_JP=%E3%82%AB%E3%82%BF%E3%82%AB%E3%83%8A&amp;dchild=1&amp;keywords=iphone+x&amp;qid=1598526004&amp;sr=8-449", "Go")</f>
        <v/>
      </c>
    </row>
    <row r="486">
      <c r="A486" s="1" t="n">
        <v>484</v>
      </c>
      <c r="B486" t="inlineStr">
        <is>
          <t>OMOTON [4パック] スクリーンプロテクター iPhone XR 6.1インチ用 - 強化ガラス/ガイドフレーム/取り付け簡単</t>
        </is>
      </c>
      <c r="C486" t="inlineStr">
        <is>
          <t>￥4,600</t>
        </is>
      </c>
      <c r="D486" t="inlineStr">
        <is>
          <t>4.6</t>
        </is>
      </c>
      <c r="E486">
        <f>HYPERLINK("https://www.amazon.co.jp/OMOTON-4%E3%83%91%E3%83%83%E3%82%AF-%E3%82%B9%E3%82%AF%E3%83%AA%E3%83%BC%E3%83%B3%E3%83%97%E3%83%AD%E3%83%86%E3%82%AF%E3%82%BF%E3%83%BC-iPhone-6-1%E3%82%A4%E3%83%B3%E3%83%81%E7%94%A8/dp/B07NQ988S3/ref=sr_1_450?__mk_ja_JP=%E3%82%AB%E3%82%BF%E3%82%AB%E3%83%8A&amp;dchild=1&amp;keywords=iphone+x&amp;qid=1598526004&amp;sr=8-450", "Go")</f>
        <v/>
      </c>
    </row>
    <row r="487">
      <c r="A487" s="1" t="n">
        <v>485</v>
      </c>
      <c r="B487" t="inlineStr">
        <is>
          <t>【Ringke】Galaxy S9 Plus ケース 対応 コスパ最高 ストラップホール TPU素材 スムーズケース 落下防止 スマホケース [軍用規格落下試験済み] 吸収耐衝撃カバー Qi充電対応 Onyx (Black/ブラック) S9 Plus ケース</t>
        </is>
      </c>
      <c r="C487" t="inlineStr">
        <is>
          <t>￥7,412</t>
        </is>
      </c>
      <c r="D487" t="inlineStr">
        <is>
          <t>4.6</t>
        </is>
      </c>
      <c r="E487">
        <f>HYPERLINK("https://www.amazon.co.jp/%E3%82%B5%E3%83%A0%E3%82%B9%E3%83%B3-Galaxy-Ringke-%E5%BC%BE%E5%8A%9B%E6%80%A7%E3%81%AE%E5%BC%B7%E3%81%95%E3%80%81%E6%9F%94%E8%BB%9F%E3%81%AA%E8%80%90%E4%B9%85%E6%80%A7%E3%80%81%E8%80%90%E4%B9%85%E6%80%A7%E3%81%AE%E3%81%82%E3%82%8B%E6%BB%91%E3%82%8A%E6%AD%A2%E3%82%81%E3%80%81TPU%E5%AE%88%E5%82%99%E3%80%81-Samsung/dp/B079LCYL8V/ref=sr_1_451?__mk_ja_JP=%E3%82%AB%E3%82%BF%E3%82%AB%E3%83%8A&amp;dchild=1&amp;keywords=iphone+x&amp;qid=1598526004&amp;sr=8-451", "Go")</f>
        <v/>
      </c>
    </row>
    <row r="488">
      <c r="A488" s="1" t="n">
        <v>486</v>
      </c>
      <c r="B488" t="inlineStr">
        <is>
          <t>iPhone充電ケーブル。 1 feet</t>
        </is>
      </c>
      <c r="C488" t="inlineStr">
        <is>
          <t>￥5,403</t>
        </is>
      </c>
      <c r="D488" t="inlineStr">
        <is>
          <t>4.6</t>
        </is>
      </c>
      <c r="E488">
        <f>HYPERLINK("https://www.amazon.co.jp/Znslopilcv-USB%E3%82%B1%E3%83%BC%E3%83%96%E3%83%AB-1-feet-%E3%82%A4%E3%82%A8%E3%83%AD%E3%83%BC/dp/B07QPSGNTG/ref=sr_1_452?__mk_ja_JP=%E3%82%AB%E3%82%BF%E3%82%AB%E3%83%8A&amp;dchild=1&amp;keywords=iphone+x&amp;qid=1598526004&amp;sr=8-452", "Go")</f>
        <v/>
      </c>
    </row>
    <row r="489">
      <c r="A489" s="1" t="n">
        <v>487</v>
      </c>
      <c r="B489" t="inlineStr">
        <is>
          <t>Dragon Grips 携帯電話グリップテープステッカーセット 13ピース ブラックラバーグリップテープデカールは、iPhoneグリップ、電話グリップケース、ノートパソコン、iPad、タブレット、コンピューターキーボード、ゲームコントローラー、手芸、裁縫を提供します。</t>
        </is>
      </c>
      <c r="C489" t="inlineStr">
        <is>
          <t>￥3,606</t>
        </is>
      </c>
      <c r="D489" t="inlineStr">
        <is>
          <t>4.5</t>
        </is>
      </c>
      <c r="E489">
        <f>HYPERLINK("https://www.amazon.co.jp/Dragon-Grips-%E3%83%8E%E3%83%B3%E3%82%B9%E3%83%AA%E3%83%83%E3%83%97%E3%82%B0%E3%83%AA%E3%83%83%E3%83%97%E3%83%86%E3%83%BC%E3%83%97%E3%82%B9%E3%83%86%E3%83%83%E3%82%AB%E3%83%BC-%E3%82%BF%E3%83%B3%E3%83%96%E3%83%A9%E3%83%BC%E3%81%AA%E3%81%A9%E3%81%AB-5962894218/dp/B07DD532WM/ref=sr_1_453?__mk_ja_JP=%E3%82%AB%E3%82%BF%E3%82%AB%E3%83%8A&amp;dchild=1&amp;keywords=iphone+x&amp;qid=1598526004&amp;sr=8-453", "Go")</f>
        <v/>
      </c>
    </row>
    <row r="490">
      <c r="A490" s="1" t="n">
        <v>488</v>
      </c>
      <c r="B490" t="inlineStr">
        <is>
          <t>【2本セット】Nimaso USB C/Type C to Type C ケーブル 【2m+2m PD対応 60W急速充電 】 MacBook、iPad Pro(2018/2020)、Galaxy、Sony、Pixel等Type-c機種対応</t>
        </is>
      </c>
      <c r="C490" t="inlineStr">
        <is>
          <t>￥960</t>
        </is>
      </c>
      <c r="D490" t="inlineStr">
        <is>
          <t>4.6</t>
        </is>
      </c>
      <c r="E490">
        <f>HYPERLINK("https://www.amazon.co.jp/%E3%80%902%E6%9C%AC%E3%82%BB%E3%83%83%E3%83%88%E3%80%91Nimaso-Type-60W%E6%80%A5%E9%80%9F%E5%85%85%E9%9B%BB-MacBook%E3%80%81iPad-%E3%80%81Galaxy%E3%80%81Sony%E3%80%81Pixel%E7%AD%89Type-c%E6%A9%9F%E7%A8%AE%E5%AF%BE%E5%BF%9C/dp/B07Z75HBR2/ref=sr_1_454?__mk_ja_JP=%E3%82%AB%E3%82%BF%E3%82%AB%E3%83%8A&amp;dchild=1&amp;keywords=iphone+x&amp;qid=1598526004&amp;sr=8-454", "Go")</f>
        <v/>
      </c>
    </row>
    <row r="491">
      <c r="A491" s="1" t="n">
        <v>489</v>
      </c>
      <c r="B491" t="inlineStr">
        <is>
          <t>TENDLIN iPhone XS ケース / iPhone X ケース 天然木層とTPUソフトケース 薄型 軽量 ワイヤレス充電 アイフォン X アイフォン XS カバー （ウッド＆レザー）</t>
        </is>
      </c>
      <c r="C491" t="inlineStr">
        <is>
          <t>￥1,499</t>
        </is>
      </c>
      <c r="D491" t="inlineStr">
        <is>
          <t>4.6</t>
        </is>
      </c>
      <c r="E491">
        <f>HYPERLINK("https://www.amazon.co.jp/TENDLIN-iPhone-TPU%E3%82%B7%E3%83%AA%E3%82%B3%E3%83%B3-%E3%83%95%E3%83%AC%E3%82%AD%E3%82%B7%E3%83%96%E3%83%AB-%E3%82%B9%E3%83%AA%E3%83%A0%E3%82%B1%E3%83%BC%E3%82%B9%EF%BC%88%E3%82%A6%E3%83%83%E3%83%89%EF%BC%86%E3%83%AC%E3%82%B6%E3%83%BC%EF%BC%89/dp/B07QLSC9GY/ref=sr_1_455?__mk_ja_JP=%E3%82%AB%E3%82%BF%E3%82%AB%E3%83%8A&amp;dchild=1&amp;keywords=iphone+x&amp;qid=1598526004&amp;sr=8-455", "Go")</f>
        <v/>
      </c>
    </row>
    <row r="492">
      <c r="A492" s="1" t="n">
        <v>490</v>
      </c>
      <c r="B492" t="inlineStr">
        <is>
          <t>URBAN ARMOR GEAR UAG iPhone Xs Max [6.5インチスクリーン] パスファインダー、プラズマ、プライオ。 111103114343</t>
        </is>
      </c>
      <c r="C492" t="inlineStr">
        <is>
          <t>￥2,860</t>
        </is>
      </c>
      <c r="D492" t="inlineStr">
        <is>
          <t>4.6</t>
        </is>
      </c>
      <c r="E492">
        <f>HYPERLINK("https://www.amazon.co.jp/URBAN-ARMOR-GEAR-6-5%E3%82%A4%E3%83%B3%E3%83%81%E3%82%B9%E3%82%AF%E3%83%AA%E3%83%BC%E3%83%B3-111103114343/dp/B07H5QPBD3/ref=sr_1_456?__mk_ja_JP=%E3%82%AB%E3%82%BF%E3%82%AB%E3%83%8A&amp;dchild=1&amp;keywords=iphone+x&amp;qid=1598526004&amp;sr=8-456", "Go")</f>
        <v/>
      </c>
    </row>
    <row r="493">
      <c r="A493" s="1" t="n">
        <v>491</v>
      </c>
      <c r="B493" t="inlineStr">
        <is>
          <t>YeLoveHaw iPhone SE 2020 ケース iPhone 8 ケース ガールズ iPhone 7 ケース フレキシブル ソフト スリム フィット フローラル パープル グレー リーフ柄 かわいい iPhone8 / iPhone7 / iPhoneSE 用 (ピンクフラワー)</t>
        </is>
      </c>
      <c r="C493" t="inlineStr">
        <is>
          <t>￥12,159</t>
        </is>
      </c>
      <c r="D493" t="inlineStr">
        <is>
          <t>4.6</t>
        </is>
      </c>
      <c r="E493">
        <f>HYPERLINK("https://www.amazon.co.jp/YeLoveHaw-%E7%B4%AB%E3%81%AE%E8%8A%B1%E3%81%A8%E3%82%B0%E3%83%AC%E3%83%BC%E3%81%AE%E8%91%89%E3%81%AE%E6%A8%A1%E6%A7%98-iPhone8-iPhone7%E7%94%A8-%E3%83%94%E3%83%B3%E3%82%AF%E3%83%95%E3%83%A9%E3%83%AF%E3%83%BC/dp/B07WGS2YHB/ref=sr_1_457?__mk_ja_JP=%E3%82%AB%E3%82%BF%E3%82%AB%E3%83%8A&amp;dchild=1&amp;keywords=iphone+x&amp;qid=1598526004&amp;sr=8-457", "Go")</f>
        <v/>
      </c>
    </row>
    <row r="494">
      <c r="A494" s="1" t="n">
        <v>492</v>
      </c>
      <c r="B494" t="inlineStr">
        <is>
          <t>iPhoneXS ケース iPhoneX ケース 手帳型 スタンド機能 カード収納 耐衝撃 サイドマグネット PUレザー 薄 軽 ビジネス 高質合成皮革 防水 スマホケース[5.8インチ] Qi充電対応 ストラップホール付き</t>
        </is>
      </c>
      <c r="C494" t="inlineStr">
        <is>
          <t>￥1,420</t>
        </is>
      </c>
      <c r="D494" t="inlineStr">
        <is>
          <t>4.6</t>
        </is>
      </c>
      <c r="E494">
        <f>HYPERLINK("https://www.amazon.co.jp/iPhoneXS-iPhoneX-%E3%82%B9%E3%82%BF%E3%83%B3%E3%83%89%E6%A9%9F%E8%83%BD-%E3%82%B5%E3%82%A4%E3%83%89%E3%83%9E%E3%82%B0%E3%83%8D%E3%83%83%E3%83%88-%E3%82%B9%E3%83%88%E3%83%A9%E3%83%83%E3%83%97%E3%83%9B%E3%83%BC%E3%83%AB%E4%BB%98%E3%81%8D/dp/B08DMWXB3K/ref=sr_1_458?__mk_ja_JP=%E3%82%AB%E3%82%BF%E3%82%AB%E3%83%8A&amp;dchild=1&amp;keywords=iphone+x&amp;qid=1598526004&amp;sr=8-458", "Go")</f>
        <v/>
      </c>
    </row>
    <row r="495">
      <c r="A495" s="1" t="n">
        <v>493</v>
      </c>
      <c r="B495" t="inlineStr">
        <is>
          <t>Sony Xperia X Performance ガラスフィルム Sony エクスペリア X Performance SO-04H SOV33 フィルム 専用 3D Touch対応 99%透過率 最高硬度9H 耐衝撃 指紋防止 気泡ゼロ 自動吸着 飛散防止 全面液晶保護フィルム強化ガラス 高感度タッチ</t>
        </is>
      </c>
      <c r="C495" t="inlineStr">
        <is>
          <t>￥1,490</t>
        </is>
      </c>
      <c r="D495" t="inlineStr">
        <is>
          <t>4.8</t>
        </is>
      </c>
      <c r="E495">
        <f>HYPERLINK("https://www.amazon.co.jp/Xperia-Performance-%E3%82%AC%E3%83%A9%E3%82%B9%E3%83%95%E3%82%A3%E3%83%AB%E3%83%A0-Touch%E5%AF%BE%E5%BF%9C-%E5%85%A8%E9%9D%A2%E6%B6%B2%E6%99%B6%E4%BF%9D%E8%AD%B7%E3%83%95%E3%82%A3%E3%83%AB%E3%83%A0%E5%BC%B7%E5%8C%96%E3%82%AC%E3%83%A9%E3%82%B9/dp/B08CXPGZWC/ref=sr_1_459?__mk_ja_JP=%E3%82%AB%E3%82%BF%E3%82%AB%E3%83%8A&amp;dchild=1&amp;keywords=iphone+x&amp;qid=1598526004&amp;sr=8-459", "Go")</f>
        <v/>
      </c>
    </row>
    <row r="496">
      <c r="A496" s="1" t="n">
        <v>494</v>
      </c>
      <c r="B496" t="inlineStr">
        <is>
          <t>TORRAS 透明 iPhone XR ケース 超薄型 スリムフィット ソフトシリコン TPU 保護カバー ケース iPhone XR 対応 クリア TS-IPX-6.1-SE-CR-US</t>
        </is>
      </c>
      <c r="C496" t="inlineStr">
        <is>
          <t>￥5,050</t>
        </is>
      </c>
      <c r="D496" t="inlineStr">
        <is>
          <t>4.6</t>
        </is>
      </c>
      <c r="E496">
        <f>HYPERLINK("https://www.amazon.co.jp/TORRAS-%E3%82%B9%E3%83%AA%E3%83%A0%E3%83%95%E3%82%A3%E3%83%83%E3%83%88-%E3%82%BD%E3%83%95%E3%83%88%E3%82%B7%E3%83%AA%E3%82%B3%E3%83%B3-%E4%BF%9D%E8%AD%B7%E3%82%AB%E3%83%90%E3%83%BC%E3%82%B1%E3%83%BC%E3%82%B9-TS-IPX-6-1-SE-CR-AU/dp/B07GWQLGPN/ref=sr_1_460?__mk_ja_JP=%E3%82%AB%E3%82%BF%E3%82%AB%E3%83%8A&amp;dchild=1&amp;keywords=iphone+x&amp;qid=1598526004&amp;sr=8-460", "Go")</f>
        <v/>
      </c>
    </row>
    <row r="497">
      <c r="A497" s="1" t="n">
        <v>495</v>
      </c>
      <c r="B497" t="inlineStr">
        <is>
          <t>Meko第2世代) [ 2 in 1 Precisionシリーズ] Discスタイラスペンのタッチ画面Iphone X / 8 / 8plus / 7 Ipad 4 / Miniとすべての容量性デバイスwith 6交換ヒント、3パックブラック/ローズゴールド/ブルー)</t>
        </is>
      </c>
      <c r="C497" t="inlineStr">
        <is>
          <t>￥1,099</t>
        </is>
      </c>
      <c r="D497" t="inlineStr">
        <is>
          <t>4.6</t>
        </is>
      </c>
      <c r="E497">
        <f>HYPERLINK("https://www.amazon.co.jp/Meko%E7%AC%AC2%E4%B8%96%E4%BB%A3-Precision%E3%82%B7%E3%83%AA%E3%83%BC%E3%82%BA-Disc%E3%82%B9%E3%82%BF%E3%82%A4%E3%83%A9%E3%82%B9%E3%83%9A%E3%83%B3%E3%81%AE%E3%82%BF%E3%83%83%E3%83%81%E7%94%BB%E9%9D%A2Iphone-Mini%E3%81%A8%E3%81%99%E3%81%B9%E3%81%A6%E3%81%AE%E5%AE%B9%E9%87%8F%E6%80%A7%E3%83%87%E3%83%90%E3%82%A4%E3%82%B9with-6%E4%BA%A4%E6%8F%9B%E3%83%92%E3%83%B3%E3%83%88%E3%80%813%E3%83%91%E3%83%83%E3%82%AF%E3%83%96%E3%83%A9%E3%83%83%E3%82%AF/dp/B077PNFHNX/ref=sr_1_461?__mk_ja_JP=%E3%82%AB%E3%82%BF%E3%82%AB%E3%83%8A&amp;dchild=1&amp;keywords=iphone+x&amp;qid=1598526004&amp;sr=8-461", "Go")</f>
        <v/>
      </c>
    </row>
    <row r="498">
      <c r="A498" s="1" t="n">
        <v>496</v>
      </c>
      <c r="B498" t="inlineStr">
        <is>
          <t>SZPOWER 18W USB C充電器 USB C-Cケーブル付き</t>
        </is>
      </c>
      <c r="C498" t="inlineStr">
        <is>
          <t>￥6,250</t>
        </is>
      </c>
      <c r="D498" t="inlineStr">
        <is>
          <t>4.6</t>
        </is>
      </c>
      <c r="E498">
        <f>HYPERLINK("https://www.amazon.co.jp/SZPOWER-18W-USB-C%E5%85%85%E9%9B%BB%E5%99%A8-C-C%E3%82%B1%E3%83%BC%E3%83%96%E3%83%AB%E4%BB%98%E3%81%8D/dp/B07T4MC66M/ref=sr_1_462?__mk_ja_JP=%E3%82%AB%E3%82%BF%E3%82%AB%E3%83%8A&amp;dchild=1&amp;keywords=iphone+x&amp;qid=1598526004&amp;sr=8-462", "Go")</f>
        <v/>
      </c>
    </row>
    <row r="499">
      <c r="A499" s="1" t="n">
        <v>497</v>
      </c>
      <c r="B499" t="inlineStr">
        <is>
          <t>L K【3枚セット】iPhone6 Plus/iPhone6S Plus 用 強化ガラスフィルム『5.5インチ』【高透過率/最高硬度9H/飛散防止】液晶保護強化ガラス【ガイド枠付き】【永久交換保証】</t>
        </is>
      </c>
      <c r="C499" t="inlineStr">
        <is>
          <t>￥1,099</t>
        </is>
      </c>
      <c r="D499" t="inlineStr">
        <is>
          <t>4.6</t>
        </is>
      </c>
      <c r="E499">
        <f>HYPERLINK("https://www.amazon.co.jp/%E3%82%B9%E3%82%AF%E3%83%AA%E3%83%BC%E3%83%B3%E3%83%97%E3%83%AD%E3%83%86%E3%82%AF%E3%82%BF%E3%83%BC-iPhone-Plus%E7%94%A8-%E3%83%95%E3%83%AC%E3%83%BC%E3%83%A0%E5%8F%96%E3%82%8A%E4%BB%98%E3%81%91-%E5%BC%B7%E5%8C%96%E3%82%AC%E3%83%A9%E3%82%B9/dp/B07TXF4J9J/ref=sr_1_463?__mk_ja_JP=%E3%82%AB%E3%82%BF%E3%82%AB%E3%83%8A&amp;dchild=1&amp;keywords=iphone+x&amp;qid=1598526004&amp;sr=8-463", "Go")</f>
        <v/>
      </c>
    </row>
    <row r="500">
      <c r="A500" s="1" t="n">
        <v>498</v>
      </c>
      <c r="B500" t="inlineStr">
        <is>
          <t>AWINBOW iPhone 充電ケーブル【５本セット 1/1/2/2/3M】ライトニングケーブル 高速データ転送 急速充電 USB同期＆充電 ナイロン編み Lightning ケーブル 高耐久 iPhone 11/XS/XS Max/XR/X/8/8Plus/7/7 Plus/6s/6s Plus/iPad/iPod各種対応-シルバーグレー</t>
        </is>
      </c>
      <c r="C500" t="inlineStr">
        <is>
          <t>￥1,199</t>
        </is>
      </c>
      <c r="D500" t="inlineStr">
        <is>
          <t>4.6</t>
        </is>
      </c>
      <c r="E500">
        <f>HYPERLINK("https://www.amazon.co.jp/dp/B087B5FPZJ/ref=sr_1_464?__mk_ja_JP=%E3%82%AB%E3%82%BF%E3%82%AB%E3%83%8A&amp;dchild=1&amp;keywords=iphone+x&amp;qid=1598526004&amp;sr=8-464", "Go")</f>
        <v/>
      </c>
    </row>
    <row r="501">
      <c r="A501" s="1" t="n">
        <v>499</v>
      </c>
      <c r="B501" t="inlineStr">
        <is>
          <t>OtterBox iPhone XS Max Defender ケース【Screenless Edition】(Dark Lake)</t>
        </is>
      </c>
      <c r="C501" t="inlineStr">
        <is>
          <t>￥5,445</t>
        </is>
      </c>
      <c r="D501" t="inlineStr">
        <is>
          <t>4.6</t>
        </is>
      </c>
      <c r="E501">
        <f>HYPERLINK("https://www.amazon.co.jp/OtterBox-iPhone-Defender-%E3%82%B1%E3%83%BC%E3%82%B9%E3%80%90Screenless-Dark/dp/B07GBBTFZF/ref=sr_1_465?__mk_ja_JP=%E3%82%AB%E3%82%BF%E3%82%AB%E3%83%8A&amp;dchild=1&amp;keywords=iphone+x&amp;qid=1598526004&amp;sr=8-465", "Go")</f>
        <v/>
      </c>
    </row>
    <row r="502">
      <c r="A502" s="1" t="n">
        <v>500</v>
      </c>
      <c r="B502" t="inlineStr">
        <is>
          <t>SourceTon ユニバーサルポケットサイズカラフルポータブル折りたたみ式Vモデル携帯電話ホルダー デスクトップスタンドマウントホルダー クレードル iPad、タブレット、電子書籍リーダー、携帯電話、Kindleに対応 8個パック</t>
        </is>
      </c>
      <c r="C502" t="inlineStr">
        <is>
          <t>￥999</t>
        </is>
      </c>
      <c r="D502" t="inlineStr">
        <is>
          <t>4.6</t>
        </is>
      </c>
      <c r="E502">
        <f>HYPERLINK("https://www.amazon.co.jp/SourceTon-ST-v_shape_stand-x-8-iPads%E3%80%81%E3%82%BF%E3%83%96%E3%83%AC%E3%83%83%E3%83%88%E3%80%81%E9%9B%BB%E5%AD%90%E3%83%96%E3%83%83%E3%82%AF%E3%83%AA%E3%83%BC%E3%83%80%E3%83%BC%E3%80%81%E6%90%BA%E5%B8%AF%E9%9B%BB%E8%A9%B1%E3%80%81Kindles%E3%80%818%E3%83%91%E3%83%83%E3%82%AF%E3%80%81%E3%83%9E%E3%83%AB%E3%83%81%E3%82%AB%E3%83%A9%E3%83%BC/dp/B074J5BGBK/ref=sr_1_466?__mk_ja_JP=%E3%82%AB%E3%82%BF%E3%82%AB%E3%83%8A&amp;dchild=1&amp;keywords=iphone+x&amp;qid=1598526004&amp;sr=8-466", "Go")</f>
        <v/>
      </c>
    </row>
    <row r="503">
      <c r="A503" s="1" t="n">
        <v>501</v>
      </c>
      <c r="B503" t="inlineStr">
        <is>
          <t>【2020新型抗菌ガラスフィルム】細菌防止 覗き見防止/ブルーレイ防止 個人情報保護 視力保護 全面保護 液晶保護強化ガラス 高硬度9H スクラッチ防止 指紋防止 気泡ゼロ 自動吸着 ガイド枠付き ケースに干渉しない (iPhone X/XS/11 PRO（抗菌 ブルーレイ防止）)</t>
        </is>
      </c>
      <c r="C503" t="inlineStr">
        <is>
          <t>￥1,399</t>
        </is>
      </c>
      <c r="D503" t="inlineStr">
        <is>
          <t>4.5</t>
        </is>
      </c>
      <c r="E503">
        <f>HYPERLINK("https://www.amazon.co.jp/%E3%80%902020%E6%96%B0%E5%9E%8B%E6%8A%97%E8%8F%8C%E3%82%AC%E3%83%A9%E3%82%B9%E3%83%95%E3%82%A3%E3%83%AB%E3%83%A0%E3%80%91%E7%B4%B0%E8%8F%8C%E9%98%B2%E6%AD%A2-%E3%83%96%E3%83%AB%E3%83%BC%E3%83%AC%E3%82%A4%E9%98%B2%E6%AD%A2-%E6%B6%B2%E6%99%B6%E4%BF%9D%E8%AD%B7%E5%BC%B7%E5%8C%96%E3%82%AC%E3%83%A9%E3%82%B9-%E3%82%B1%E3%83%BC%E3%82%B9%E3%81%AB%E5%B9%B2%E6%B8%89%E3%81%97%E3%81%AA%E3%81%84-%E3%83%96%E3%83%AB%E3%83%BC%E3%83%AC%E3%82%A4%E9%98%B2%E6%AD%A2%EF%BC%89/dp/B08728ML6Y/ref=sr_1_467_sspa?__mk_ja_JP=%E3%82%AB%E3%82%BF%E3%82%AB%E3%83%8A&amp;dchild=1&amp;keywords=iphone+x&amp;qid=1598526004&amp;sr=8-467-spons&amp;psc=1&amp;spLa=ZW5jcnlwdGVkUXVhbGlmaWVyPUEyUlZXTEY0SDhKM0gzJmVuY3J5cHRlZElkPUEwMjEwNzA3MzgwWkNaOFdDUENUViZlbmNyeXB0ZWRBZElkPUEzUFpUNTAyUVBVSzZRJndpZGdldE5hbWU9c3BfYnRmJmFjdGlvbj1jbGlja1JlZGlyZWN0JmRvTm90TG9nQ2xpY2s9dHJ1ZQ==", "Go")</f>
        <v/>
      </c>
    </row>
    <row r="504">
      <c r="A504" s="1" t="n">
        <v>502</v>
      </c>
      <c r="B504" t="inlineStr">
        <is>
          <t>iPhone 充電ケーブル 1m+1m+1m 3本 ライトニングケーブル apple lightningナイロン編み USB急速充電 アイフォン コード ブラック【iPhone 11 Pro Max Xs X XR 8 7 6s 6 SE 5 5s 5c iPad iPod対応】</t>
        </is>
      </c>
      <c r="C504" t="inlineStr">
        <is>
          <t>￥1,180</t>
        </is>
      </c>
      <c r="D504" t="inlineStr">
        <is>
          <t>4</t>
        </is>
      </c>
      <c r="E504">
        <f>HYPERLINK("https://www.amazon.co.jp/dp/B087M466FN/ref=sr_1_468_sspa?__mk_ja_JP=%E3%82%AB%E3%82%BF%E3%82%AB%E3%83%8A&amp;dchild=1&amp;keywords=iphone+x&amp;qid=1598526004&amp;sr=8-468-spons&amp;psc=1&amp;spLa=ZW5jcnlwdGVkUXVhbGlmaWVyPUEyUlZXTEY0SDhKM0gzJmVuY3J5cHRlZElkPUEwMjEwNzA3MzgwWkNaOFdDUENUViZlbmNyeXB0ZWRBZElkPUEzTFRSOUNEOFJQUjkzJndpZGdldE5hbWU9c3BfYnRmJmFjdGlvbj1jbGlja1JlZGlyZWN0JmRvTm90TG9nQ2xpY2s9dHJ1ZQ==", "Go")</f>
        <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2020-08-27T19:25:54Z</dcterms:created>
  <dcterms:modified xsi:type="dcterms:W3CDTF">2020-08-27T19:25:54Z</dcterms:modified>
</cp:coreProperties>
</file>