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商品タイトル</t>
        </is>
      </c>
      <c r="B1" t="inlineStr">
        <is>
          <t>金額</t>
        </is>
      </c>
      <c r="C1" t="inlineStr">
        <is>
          <t>レビュー点数</t>
        </is>
      </c>
      <c r="D1" t="inlineStr">
        <is>
          <t>リンク</t>
        </is>
      </c>
    </row>
    <row r="2">
      <c r="A2" t="inlineStr">
        <is>
          <t>【精米】新潟県北魚沼産 (産地直送 広瀬・守門産) 白米 コシヒカリ 10kg(5kgX2袋)</t>
        </is>
      </c>
      <c r="B2" t="inlineStr">
        <is>
          <t>￥8,100</t>
        </is>
      </c>
      <c r="C2" t="inlineStr">
        <is>
          <t>4.9</t>
        </is>
      </c>
      <c r="D2">
        <f>HYPERLINK("https://www.amazon.co.jp/30%E5%B9%B4%E7%94%A3-%E3%80%90%E7%B2%BE%E7%B1%B3%E3%80%91%E6%96%B0%E6%BD%9F%E7%9C%8C%E5%8C%97%E9%AD%9A%E6%B2%BC%E7%94%A3-%E5%BA%83%E7%80%AC%E3%83%BB%E5%AE%88%E9%96%80%E7%94%A3-%E3%82%B3%E3%82%B7%E3%83%92%E3%82%AB%E3%83%AA-5kgX2%E8%A2%8B/dp/B0047JGAF4/ref=sr_1_1?__mk_ja_JP=%E3%82%AB%E3%82%BF%E3%82%AB%E3%83%8A&amp;dchild=1&amp;keywords=%E7%B1%B3&amp;qid=1598691814&amp;sr=8-1", "Go")</f>
        <v/>
      </c>
    </row>
    <row r="3">
      <c r="A3" t="inlineStr">
        <is>
          <t>【精米】新潟県産 白米 コシヒカリ 10kg（5kg×2袋）新潟辰巳屋 (産地直送米)</t>
        </is>
      </c>
      <c r="B3" t="inlineStr">
        <is>
          <t>￥5,880</t>
        </is>
      </c>
      <c r="C3" t="inlineStr">
        <is>
          <t>4.6</t>
        </is>
      </c>
      <c r="D3">
        <f>HYPERLINK("https://www.amazon.co.jp/%E3%80%90%E6%96%B0%E7%B1%B3%E3%80%9130%E5%B9%B4%E7%94%A3-%E6%96%B0%E6%BD%9F%E7%9C%8C%E7%94%A3-%E3%82%B3%E3%82%B7%E3%83%92%E3%82%AB%E3%83%AA-10kg%EF%BC%885kg%C3%972%E8%A2%8B%EF%BC%89%E6%96%B0%E6%BD%9F%E8%BE%B0%E5%B7%B3%E5%B1%8B-%E7%94%A3%E5%9C%B0%E7%9B%B4%E9%80%81%E7%B1%B3/dp/B005MWRXO2/ref=sr_1_2?__mk_ja_JP=%E3%82%AB%E3%82%BF%E3%82%AB%E3%83%8A&amp;dchild=1&amp;keywords=%E7%B1%B3&amp;qid=1598691814&amp;sr=8-2", "Go")</f>
        <v/>
      </c>
    </row>
    <row r="4">
      <c r="A4" t="inlineStr">
        <is>
          <t>【元年産】有機JAS認証 無農薬 ミルキークイーン 白米 1等 10kg 兵庫県産</t>
        </is>
      </c>
      <c r="B4" t="inlineStr">
        <is>
          <t>￥7,880</t>
        </is>
      </c>
      <c r="C4" t="inlineStr">
        <is>
          <t>4.7</t>
        </is>
      </c>
      <c r="D4">
        <f>HYPERLINK("https://www.amazon.co.jp/%E5%85%B5%E5%BA%AB%E7%9C%8C%E7%94%A3-%E7%84%A1%E8%BE%B2%E8%96%AC-%E3%83%9F%E3%83%AB%E3%82%AD%E3%83%BC%E3%82%AF%E3%82%A4%E3%83%BC%E3%83%B3-15kg-%E5%B9%B3%E6%88%9030%E5%B9%B4%E7%94%A3/dp/B01D3KEXQK/ref=sr_1_3?__mk_ja_JP=%E3%82%AB%E3%82%BF%E3%82%AB%E3%83%8A&amp;dchild=1&amp;keywords=%E7%B1%B3&amp;qid=1598691814&amp;sr=8-3", "Go")</f>
        <v/>
      </c>
    </row>
    <row r="5">
      <c r="A5" t="inlineStr">
        <is>
          <t>金芽米 タニタ食堂の金芽米 9kg ( 4.5kg ×2)</t>
        </is>
      </c>
      <c r="B5" t="inlineStr">
        <is>
          <t>￥5,050</t>
        </is>
      </c>
      <c r="C5" t="inlineStr">
        <is>
          <t>4.6</t>
        </is>
      </c>
      <c r="D5">
        <f>HYPERLINK("https://www.amazon.co.jp/%E9%87%91%E8%8A%BD%E7%B1%B3-%E3%82%BF%E3%83%8B%E3%82%BF%E9%A3%9F%E5%A0%82%E3%81%AE%E9%87%91%E8%8A%BD%E7%B1%B3-9kg-4-5kg-%C3%972/dp/B00ABAN204/ref=sr_1_5?__mk_ja_JP=%E3%82%AB%E3%82%BF%E3%82%AB%E3%83%8A&amp;dchild=1&amp;keywords=%E7%B1%B3&amp;qid=1598691814&amp;sr=8-5", "Go")</f>
        <v/>
      </c>
    </row>
    <row r="6">
      <c r="A6" t="inlineStr">
        <is>
          <t>新玄 サプリ米 ビタミン・鉄分 50g×5個 ハウスウェルネスフーズ</t>
        </is>
      </c>
      <c r="B6" t="inlineStr">
        <is>
          <t>￥2,350</t>
        </is>
      </c>
      <c r="C6" t="inlineStr">
        <is>
          <t>4.7</t>
        </is>
      </c>
      <c r="D6">
        <f>HYPERLINK("https://www.amazon.co.jp/%E6%96%B0%E7%8E%84-%E3%82%B5%E3%83%97%E3%83%AA%E7%B1%B3-%E3%83%93%E3%82%BF%E3%83%9F%E3%83%B3%E3%83%BB%E9%89%84%E5%88%86-50g%C3%975%E5%80%8B-%E3%83%8F%E3%82%A6%E3%82%B9%E3%82%A6%E3%82%A7%E3%83%AB%E3%83%8D%E3%82%B9%E3%83%95%E3%83%BC%E3%82%BA/dp/B00I7HDTMO/ref=sr_1_6?__mk_ja_JP=%E3%82%AB%E3%82%BF%E3%82%AB%E3%83%8A&amp;dchild=1&amp;keywords=%E7%B1%B3&amp;qid=1598691814&amp;sr=8-6", "Go")</f>
        <v/>
      </c>
    </row>
    <row r="7">
      <c r="A7" t="inlineStr">
        <is>
          <t>【精米】 つや姫 無洗米 10kg (5kgx2袋) 山形県産 令和 元年産 特別栽培米 米</t>
        </is>
      </c>
      <c r="B7" t="inlineStr">
        <is>
          <t>￥5,480</t>
        </is>
      </c>
      <c r="C7" t="inlineStr">
        <is>
          <t>4.6</t>
        </is>
      </c>
      <c r="D7">
        <f>HYPERLINK("https://www.amazon.co.jp/%E3%80%90%E7%B2%BE%E7%B1%B3%E3%80%91-10kg-5kgx2%E8%A2%8B-%E5%B1%B1%E5%BD%A2%E7%9C%8C%E7%94%A3-%E7%89%B9%E5%88%A5%E6%A0%BD%E5%9F%B9%E7%B1%B3/dp/B07THD8GPC/ref=sr_1_7?__mk_ja_JP=%E3%82%AB%E3%82%BF%E3%82%AB%E3%83%8A&amp;dchild=1&amp;keywords=%E7%B1%B3&amp;qid=1598691814&amp;sr=8-7", "Go")</f>
        <v/>
      </c>
    </row>
    <row r="8">
      <c r="A8" t="inlineStr">
        <is>
          <t>【精米】 石川県産 白米 ひゃくまん穀 5kg 令和元年産</t>
        </is>
      </c>
      <c r="B8" t="inlineStr">
        <is>
          <t>￥2,965</t>
        </is>
      </c>
      <c r="C8" t="inlineStr">
        <is>
          <t>4.6</t>
        </is>
      </c>
      <c r="D8">
        <f>HYPERLINK("https://www.amazon.co.jp/%E3%80%90%E7%B2%BE%E7%B1%B3%E3%80%91-%E7%9F%B3%E5%B7%9D%E7%9C%8C%E7%94%A3-%E3%81%B2%E3%82%83%E3%81%8F%E3%81%BE%E3%82%93%E7%A9%80-5kg-%E4%BB%A4%E5%92%8C%E5%85%83%E5%B9%B4%E7%94%A3/dp/B07Y2WWTC3/ref=sr_1_9?__mk_ja_JP=%E3%82%AB%E3%82%BF%E3%82%AB%E3%83%8A&amp;dchild=1&amp;keywords=%E7%B1%B3&amp;qid=1598691814&amp;sr=8-9", "Go")</f>
        <v/>
      </c>
    </row>
    <row r="9">
      <c r="A9" t="inlineStr">
        <is>
          <t>山形県産 特別栽培 つや姫 精米１０ｋｇ (５ｋｇ×２)</t>
        </is>
      </c>
      <c r="B9" t="inlineStr">
        <is>
          <t>￥5,580</t>
        </is>
      </c>
      <c r="C9" t="inlineStr">
        <is>
          <t>4.6</t>
        </is>
      </c>
      <c r="D9">
        <f>HYPERLINK("https://www.amazon.co.jp/%E5%B1%B1%E5%BD%A2%E7%9C%8C%E7%94%A3-%E7%89%B9%E5%88%A5%E6%A0%BD%E5%9F%B9-%E3%81%A4%E3%82%84%E5%A7%AB-%E7%B2%BE%E7%B1%B3%EF%BC%91%EF%BC%90%EF%BD%8B%EF%BD%87-%EF%BC%95%EF%BD%8B%EF%BD%87%C3%97%EF%BC%92/dp/B00CB6W1WQ/ref=sr_1_10?__mk_ja_JP=%E3%82%AB%E3%82%BF%E3%82%AB%E3%83%8A&amp;dchild=1&amp;keywords=%E7%B1%B3&amp;qid=1598691814&amp;sr=8-10", "Go")</f>
        <v/>
      </c>
    </row>
    <row r="10">
      <c r="A10" t="inlineStr">
        <is>
          <t>【精米】北海道産 無洗米 ホクレン きたくりん 5kg 令和元年産</t>
        </is>
      </c>
      <c r="B10" t="inlineStr"/>
      <c r="C10" t="inlineStr">
        <is>
          <t>4.6</t>
        </is>
      </c>
      <c r="D10">
        <f>HYPERLINK("https://www.amazon.co.jp/%E3%80%90%E7%B2%BE%E7%B1%B3%E3%80%91%E5%8C%97%E6%B5%B7%E9%81%93%E7%94%A3-%E7%84%A1%E6%B4%97%E7%B1%B3-%E3%83%9B%E3%82%AF%E3%83%AC%E3%83%B3-%E3%81%8D%E3%81%9F%E3%81%8F%E3%82%8A%E3%82%93-%E5%B9%B3%E6%88%9030%E5%B9%B4%E7%94%A3/dp/B07DCXGF4R/ref=sr_1_11?__mk_ja_JP=%E3%82%AB%E3%82%BF%E3%82%AB%E3%83%8A&amp;dchild=1&amp;keywords=%E7%B1%B3&amp;qid=1598691814&amp;sr=8-11", "Go")</f>
        <v/>
      </c>
    </row>
    <row r="11">
      <c r="A11" t="inlineStr">
        <is>
          <t>【精米】北海道ゆめぴりか 10kg(5kg×2袋) 上川・空知産限定 令和元年産</t>
        </is>
      </c>
      <c r="B11" t="inlineStr">
        <is>
          <t>￥5,180</t>
        </is>
      </c>
      <c r="C11" t="inlineStr">
        <is>
          <t>4.6</t>
        </is>
      </c>
      <c r="D11">
        <f>HYPERLINK("https://www.amazon.co.jp/%E3%80%90%E7%B2%BE%E7%B1%B3%E3%80%91%E6%96%B0%E7%B1%B3-%E5%8C%97%E6%B5%B7%E9%81%93%E3%82%86%E3%82%81%E3%81%B4%E3%82%8A%E3%81%8B-%E3%82%82%E3%81%9B%E3%81%86%E3%81%97%E7%94%A3-10kg-%E5%B9%B3%E6%88%9030%E5%B9%B4%E7%94%A3/dp/B01IP4W1QI/ref=sr_1_12?__mk_ja_JP=%E3%82%AB%E3%82%BF%E3%82%AB%E3%83%8A&amp;dchild=1&amp;keywords=%E7%B1%B3&amp;qid=1598691814&amp;sr=8-12", "Go")</f>
        <v/>
      </c>
    </row>
    <row r="12">
      <c r="A12" t="inlineStr">
        <is>
          <t>【精米】新潟県産(新潟辰巳屋産地直送米) 白米 こしいぶき10kg（5ｋｇ×2袋)</t>
        </is>
      </c>
      <c r="B12" t="inlineStr">
        <is>
          <t>￥4,900</t>
        </is>
      </c>
      <c r="C12" t="inlineStr">
        <is>
          <t>4.5</t>
        </is>
      </c>
      <c r="D12">
        <f>HYPERLINK("https://www.amazon.co.jp/30%E5%B9%B4%E7%94%A3-%E6%96%B0%E7%B1%B3-%E3%80%90%E7%B2%BE%E7%B1%B3%E3%80%91%E6%96%B0%E6%BD%9F%E7%9C%8C%E7%94%A3-%E6%96%B0%E6%BD%9F%E8%BE%B0%E5%B7%B3%E5%B1%8B%E7%94%A3%E5%9C%B0%E7%9B%B4%E9%80%81%E7%B1%B3-%E3%81%93%E3%81%97%E3%81%84%E3%81%B6%E3%81%8D10kg%EF%BC%885%EF%BD%8B%EF%BD%87%C3%972%E8%A2%8B/dp/B005LUS6IC/ref=sr_1_13?__mk_ja_JP=%E3%82%AB%E3%82%BF%E3%82%AB%E3%83%8A&amp;dchild=1&amp;keywords=%E7%B1%B3&amp;qid=1598691814&amp;sr=8-13", "Go")</f>
        <v/>
      </c>
    </row>
    <row r="13">
      <c r="A13" t="inlineStr">
        <is>
          <t>【令和元年産】白米 山形県産 雪若丸 10kg (5kg×2袋) 【ハーベストシーズン】 【精米】【HARVEST SEASON】</t>
        </is>
      </c>
      <c r="B13" t="inlineStr">
        <is>
          <t>￥4,799</t>
        </is>
      </c>
      <c r="C13" t="inlineStr">
        <is>
          <t>4.9</t>
        </is>
      </c>
      <c r="D13">
        <f>HYPERLINK("https://www.amazon.co.jp/%E3%80%90%E4%BB%A4%E5%92%8C%E5%85%83%E5%B9%B4%E7%94%A3%E3%80%91%E7%99%BD%E7%B1%B3-5kg%C3%972%E8%A2%8B-%E3%80%90%E3%83%8F%E3%83%BC%E3%83%99%E3%82%B9%E3%83%88%E3%82%B7%E3%83%BC%E3%82%BA%E3%83%B3%E3%80%91-%E3%80%90%E7%B2%BE%E7%B1%B3%E3%80%91%E3%80%90HARVEST-SEASON%E3%80%91/dp/B084GJJB96/ref=sr_1_14?__mk_ja_JP=%E3%82%AB%E3%82%BF%E3%82%AB%E3%83%8A&amp;dchild=1&amp;keywords=%E7%B1%B3&amp;qid=1598691814&amp;sr=8-14", "Go")</f>
        <v/>
      </c>
    </row>
    <row r="14">
      <c r="A14" t="inlineStr">
        <is>
          <t>【精米】青天の霹靂 青森県産初の米最高評価「特A」米 5キロ</t>
        </is>
      </c>
      <c r="B14" t="inlineStr">
        <is>
          <t>￥3,480</t>
        </is>
      </c>
      <c r="C14" t="inlineStr">
        <is>
          <t>4.5</t>
        </is>
      </c>
      <c r="D14">
        <f>HYPERLINK("https://www.amazon.co.jp/%E9%9D%92%E5%A4%A9%E3%81%AE%E9%9C%B9%E9%9D%82-%E3%80%90%E7%B2%BE%E7%B1%B3%E3%80%91%E9%9D%92%E5%A4%A9%E3%81%AE%E9%9C%B9%E9%9D%82-%E9%9D%92%E6%A3%AE%E7%9C%8C%E7%94%A3%E5%88%9D%E3%81%AE%E7%B1%B3%E6%9C%80%E9%AB%98%E8%A9%95%E4%BE%A1%E3%80%8C%E7%89%B9A%E3%80%8D%E7%B1%B3-5%E3%82%AD%E3%83%AD/dp/B016DHMJ3Y/ref=sr_1_15?__mk_ja_JP=%E3%82%AB%E3%82%BF%E3%82%AB%E3%83%8A&amp;dchild=1&amp;keywords=%E7%B1%B3&amp;qid=1598691814&amp;sr=8-15", "Go")</f>
        <v/>
      </c>
    </row>
    <row r="15">
      <c r="A15" t="inlineStr">
        <is>
          <t>【精米】新潟県産新之助 令和元年産 2kg</t>
        </is>
      </c>
      <c r="B15" t="inlineStr">
        <is>
          <t>￥ 2,478</t>
        </is>
      </c>
      <c r="C15" t="inlineStr">
        <is>
          <t>4.5</t>
        </is>
      </c>
      <c r="D15">
        <f>HYPERLINK("https://www.amazon.co.jp/%E6%96%B0%E6%BD%9F%E3%82%B1%E3%83%B3%E3%83%99%E3%82%A4-%E3%80%90%E7%B2%BE%E7%B1%B3%E3%80%91%E6%96%B0%E6%BD%9F%E7%9C%8C%E7%94%A3%E6%96%B0%E4%B9%8B%E5%8A%A9-%E5%B9%B3%E6%88%9030%E5%B9%B4%E7%94%A3-2kg/dp/B07L6JJ754/ref=sr_1_16?__mk_ja_JP=%E3%82%AB%E3%82%BF%E3%82%AB%E3%83%8A&amp;dchild=1&amp;keywords=%E7%B1%B3&amp;qid=1598691814&amp;sr=8-16", "Go")</f>
        <v/>
      </c>
    </row>
    <row r="16">
      <c r="A16" t="inlineStr">
        <is>
          <t>山形のお米食べ比べセット 『こめイロ6』 つや姫 夢ごこち コシヒカリ 等 6品種 450g×6袋 令和元年産</t>
        </is>
      </c>
      <c r="B16" t="inlineStr">
        <is>
          <t>￥4,780</t>
        </is>
      </c>
      <c r="C16" t="inlineStr">
        <is>
          <t>4.7</t>
        </is>
      </c>
      <c r="D16">
        <f>HYPERLINK("https://www.amazon.co.jp/%E3%80%90%E6%96%B0%E7%B1%B3%E3%80%91%E5%B1%B1%E5%BD%A2%E3%81%AE%E3%81%8A%E7%B1%B3%E9%A3%9F%E3%81%B9%E6%AF%94%E3%81%B9%E3%82%BB%E3%83%83%E3%83%88-%E3%80%8E%E3%81%93%E3%82%81%E3%82%A4%E3%83%AD6%E3%80%8F-%E3%82%B3%E3%82%B7%E3%83%92%E3%82%AB%E3%83%AA-450g%C3%976%E8%A2%8B-%E5%B9%B3%E6%88%9030%E5%B9%B4%E7%94%A3/dp/B00DEYYC6M/ref=sr_1_17?__mk_ja_JP=%E3%82%AB%E3%82%BF%E3%82%AB%E3%83%8A&amp;dchild=1&amp;keywords=%E7%B1%B3&amp;qid=1598691814&amp;sr=8-17", "Go")</f>
        <v/>
      </c>
    </row>
    <row r="17">
      <c r="A17" t="inlineStr">
        <is>
          <t>令和 元年度産 特別栽培米 島根県産 仁多 コシヒカリ 5kg 奥出雲 仁多米 (白米精米（精米後約4.5kg）)</t>
        </is>
      </c>
      <c r="B17" t="inlineStr">
        <is>
          <t>￥3,380</t>
        </is>
      </c>
      <c r="C17" t="inlineStr">
        <is>
          <t>4.6</t>
        </is>
      </c>
      <c r="D17">
        <f>HYPERLINK("https://www.amazon.co.jp/30%E5%B9%B4%E7%94%A3-%E7%89%B9%E5%88%A5%E6%A0%BD%E5%9F%B9%E7%B1%B3-%E5%B3%B6%E6%A0%B9%E7%9C%8C%E7%94%A3-%E3%82%B3%E3%82%B7%E3%83%92%E3%82%AB%E3%83%AA-%E7%99%BD%E7%B1%B3%E7%B2%BE%E7%B1%B3%EF%BC%88%E7%B2%BE%E7%B1%B3%E5%BE%8C%E7%B4%844-5kg%EF%BC%89/dp/B018XO9W30/ref=sr_1_19?__mk_ja_JP=%E3%82%AB%E3%82%BF%E3%82%AB%E3%83%8A&amp;dchild=1&amp;keywords=%E7%B1%B3&amp;qid=1598691814&amp;sr=8-19", "Go")</f>
        <v/>
      </c>
    </row>
    <row r="18">
      <c r="A18" t="inlineStr">
        <is>
          <t>令和元年産 熊本産 特別栽培米 森のくまさん JAうき 10kg (5kg×2袋) (白米精米（精米後約4.5k×2）)</t>
        </is>
      </c>
      <c r="B18" t="inlineStr">
        <is>
          <t>￥5,080</t>
        </is>
      </c>
      <c r="C18" t="inlineStr">
        <is>
          <t>4.6</t>
        </is>
      </c>
      <c r="D18">
        <f>HYPERLINK("https://www.amazon.co.jp/30%E5%B9%B4%E7%94%A3-%E7%89%B9%E5%88%A5%E6%A0%BD%E5%9F%B9%E7%B1%B3-%E6%A3%AE%E3%81%AE%E3%81%8F%E3%81%BE%E3%81%95%E3%82%93-5kg%C3%972%E8%A2%8B-%E7%99%BD%E7%B1%B3%E7%B2%BE%E7%B1%B3%EF%BC%88%E7%B2%BE%E7%B1%B3%E5%BE%8C%E7%B4%844-5k%C3%972%EF%BC%89/dp/B00PNPGJS4/ref=sr_1_20?__mk_ja_JP=%E3%82%AB%E3%82%BF%E3%82%AB%E3%83%8A&amp;dchild=1&amp;keywords=%E7%B1%B3&amp;qid=1598691814&amp;sr=8-20", "Go")</f>
        <v/>
      </c>
    </row>
    <row r="19">
      <c r="A19" t="inlineStr">
        <is>
          <t>令和元年産 山形県産 つや姫 雪若丸 各5kg精米セット</t>
        </is>
      </c>
      <c r="B19" t="inlineStr">
        <is>
          <t>￥5,280</t>
        </is>
      </c>
      <c r="C19" t="inlineStr">
        <is>
          <t>4.7</t>
        </is>
      </c>
      <c r="D19">
        <f>HYPERLINK("https://www.amazon.co.jp/%E5%B1%B1%E5%BD%A2%E7%9C%8C%E7%94%A3-%E3%81%A4%E3%82%84%E5%A7%AB-%E9%9B%AA%E8%8B%A5%E4%B8%B8-%EF%BC%95kg-%E3%82%BB%E3%83%83%E3%83%88/dp/B07MJ5RC91/ref=sr_1_21?__mk_ja_JP=%E3%82%AB%E3%82%BF%E3%82%AB%E3%83%8A&amp;dchild=1&amp;keywords=%E7%B1%B3&amp;qid=1598691814&amp;sr=8-21", "Go")</f>
        <v/>
      </c>
    </row>
    <row r="20">
      <c r="A20" t="inlineStr">
        <is>
          <t>【令和元年産】無洗米 山形県産 特別栽培米 つや姫 10kg (5kg×2袋) 令和元年産 【ハーベストシーズン】 【精米】【HARVEST SEASON】</t>
        </is>
      </c>
      <c r="B20" t="inlineStr">
        <is>
          <t>￥5,699</t>
        </is>
      </c>
      <c r="C20" t="inlineStr">
        <is>
          <t>4.5</t>
        </is>
      </c>
      <c r="D20">
        <f>HYPERLINK("https://www.amazon.co.jp/%E3%80%90%E6%96%B0%E7%B1%B3%E3%80%91%E3%80%90%E7%B2%BE%E7%B1%B3%E3%80%91%E5%B1%B1%E5%BD%A2%E7%9C%8C%E7%94%A3-5kg%C3%972%E8%A2%8B-%E3%80%90%E3%83%8F%E3%83%BC%E3%83%99%E3%82%B9%E3%83%88%E3%82%B7%E3%83%BC%E3%82%BA%E3%83%B3%E3%80%91-%E3%80%90HARVEST-SEASON%E3%80%91/dp/B00H2CVI5A/ref=sr_1_22?__mk_ja_JP=%E3%82%AB%E3%82%BF%E3%82%AB%E3%83%8A&amp;dchild=1&amp;keywords=%E7%B1%B3&amp;qid=1598691814&amp;sr=8-22", "Go")</f>
        <v/>
      </c>
    </row>
    <row r="21">
      <c r="A21" t="inlineStr">
        <is>
          <t>【精米】秋田県産 農家直送 あきたこまち 20㎏（5㎏×4袋）令和元年産 古代米（赤米or黒米）お試し袋付き</t>
        </is>
      </c>
      <c r="B21" t="inlineStr">
        <is>
          <t>￥8,980</t>
        </is>
      </c>
      <c r="C21" t="inlineStr">
        <is>
          <t>4.5</t>
        </is>
      </c>
      <c r="D21">
        <f>HYPERLINK("https://www.amazon.co.jp/%E6%96%B0%E7%B1%B3%E3%80%90%E7%B2%BE%E7%B1%B3%E3%80%91-%E7%99%BD%E7%B1%B3%E3%81%82%E3%81%8D%E3%81%9F%E3%81%93%E3%81%BE%E3%81%A1-5kg%C3%974%E8%A2%8B-%E5%B9%B3%E6%88%9030%E5%B9%B4%E7%94%A3-%E5%8F%A4%E4%BB%A3%E7%B1%B3%E4%BB%98%E3%81%8D/dp/B01M0RS8P2/ref=sr_1_23?__mk_ja_JP=%E3%82%AB%E3%82%BF%E3%82%AB%E3%83%8A&amp;dchild=1&amp;keywords=%E7%B1%B3&amp;qid=1598691814&amp;sr=8-23", "Go")</f>
        <v/>
      </c>
    </row>
    <row r="22">
      <c r="A22" t="inlineStr">
        <is>
          <t>無洗米 福井産コシヒカリ 10kg (5kg×2袋) 令和 元年度</t>
        </is>
      </c>
      <c r="B22" t="inlineStr">
        <is>
          <t>￥5,480</t>
        </is>
      </c>
      <c r="C22" t="inlineStr">
        <is>
          <t>5</t>
        </is>
      </c>
      <c r="D22">
        <f>HYPERLINK("https://www.amazon.co.jp/30%E5%B9%B4%E7%94%A3-100-%E7%A6%8F%E4%BA%95%E7%94%A3%E3%82%B3%E3%82%B7%E3%83%92%E3%82%AB%E3%83%AA-10kg-5kg%C3%972%E8%A2%8B/dp/B00UC6N91Y/ref=sr_1_24?__mk_ja_JP=%E3%82%AB%E3%82%BF%E3%82%AB%E3%83%8A&amp;dchild=1&amp;keywords=%E7%B1%B3&amp;qid=1598691814&amp;sr=8-24", "Go")</f>
        <v/>
      </c>
    </row>
    <row r="23">
      <c r="A23" t="inlineStr">
        <is>
          <t>【精米】 島根県産 無洗米 きぬむすめ 5㎏ 令和元年産</t>
        </is>
      </c>
      <c r="B23" t="inlineStr">
        <is>
          <t>￥2,786</t>
        </is>
      </c>
      <c r="C23" t="inlineStr">
        <is>
          <t>4.9</t>
        </is>
      </c>
      <c r="D23">
        <f>HYPERLINK("https://www.amazon.co.jp/%E3%80%90%E7%B2%BE%E7%B1%B3%E3%80%91-%E5%B3%B6%E6%A0%B9%E7%9C%8C%E7%94%A3-%E7%84%A1%E6%B4%97%E7%B1%B3-%E3%81%8D%E3%81%AC%E3%82%80%E3%81%99%E3%82%81-%E4%BB%A4%E5%92%8C%E5%85%83%E5%B9%B4%E7%94%A3/dp/B085FCP2B2/ref=sr_1_25?__mk_ja_JP=%E3%82%AB%E3%82%BF%E3%82%AB%E3%83%8A&amp;dchild=1&amp;keywords=%E7%B1%B3&amp;qid=1598691814&amp;sr=8-25", "Go")</f>
        <v/>
      </c>
    </row>
    <row r="24">
      <c r="A24" t="inlineStr">
        <is>
          <t>【精米】新潟県北魚沼産（産地直送 広瀬・守門産） 白米 コシヒカリ 5kg</t>
        </is>
      </c>
      <c r="B24" t="inlineStr">
        <is>
          <t>￥4,530</t>
        </is>
      </c>
      <c r="C24" t="inlineStr">
        <is>
          <t>4.6</t>
        </is>
      </c>
      <c r="D24">
        <f>HYPERLINK("https://www.amazon.co.jp/30%E5%B9%B4%E7%94%A3%E3%80%90%E7%B2%BE%E7%B1%B3%E3%80%91%E6%96%B0%E6%BD%9F%E7%9C%8C%E5%8C%97%E9%AD%9A%E6%B2%BC%E7%94%A3%EF%BC%88%E7%94%A3%E5%9C%B0%E7%9B%B4%E9%80%81-%E5%BA%83%E7%80%AC%E3%83%BB%E5%AE%88%E9%96%80%E7%94%A3%EF%BC%89-%E7%99%BD%E7%B1%B3-%E3%82%B3%E3%82%B7%E3%83%92%E3%82%AB%E3%83%AA-5kg/dp/B0042PFM84/ref=sr_1_26?__mk_ja_JP=%E3%82%AB%E3%82%BF%E3%82%AB%E3%83%8A&amp;dchild=1&amp;keywords=%E7%B1%B3&amp;qid=1598691814&amp;sr=8-26", "Go")</f>
        <v/>
      </c>
    </row>
    <row r="25">
      <c r="A25" t="inlineStr">
        <is>
          <t>白米 10kg コシヒカリ 農薬不使用 令和元年産（2019年産 新米） 石川県 白山市産 有機肥料で育てた減農薬米 (10kg)</t>
        </is>
      </c>
      <c r="B25" t="inlineStr">
        <is>
          <t>￥4,400</t>
        </is>
      </c>
      <c r="C25" t="inlineStr">
        <is>
          <t>4.5</t>
        </is>
      </c>
      <c r="D25">
        <f>HYPERLINK("https://www.amazon.co.jp/10kg-%E6%AE%8B%E7%95%99%E8%BE%B2%E8%96%AC%E3%82%BC%E3%83%AD-%E5%B9%B3%E6%88%9030%E5%B9%B4%E7%94%A3%EF%BC%882018%E5%B9%B4%E6%96%B0%E7%B1%B3%EF%BC%89-%E6%9C%89%E6%A9%9F%E8%82%A5%E6%96%99%E3%81%A7%E8%82%B2%E3%81%A6%E3%81%9F%E6%B8%9B%E8%BE%B2%E8%96%AC%E7%B1%B3-%E3%82%B3%E3%82%B7%E3%83%92%E3%82%AB%E3%83%AA/dp/B00U66KXN2/ref=sr_1_27?__mk_ja_JP=%E3%82%AB%E3%82%BF%E3%82%AB%E3%83%8A&amp;dchild=1&amp;keywords=%E7%B1%B3&amp;qid=1598691814&amp;sr=8-27", "Go")</f>
        <v/>
      </c>
    </row>
    <row r="26">
      <c r="A26" t="inlineStr">
        <is>
          <t>【精米】岡山県産 白米 「朝日米」 5kg×2袋 令和元年産</t>
        </is>
      </c>
      <c r="B26" t="inlineStr">
        <is>
          <t>￥4,806</t>
        </is>
      </c>
      <c r="C26" t="inlineStr">
        <is>
          <t>4.6</t>
        </is>
      </c>
      <c r="D26">
        <f>HYPERLINK("https://www.amazon.co.jp/%E3%80%90%E7%B2%BE%E7%B1%B3-%E6%96%B0%E7%B1%B3%E3%80%91%E5%B2%A1%E5%B1%B1%E7%9C%8C%E7%94%A3-%E3%80%8C%E6%9C%9D%E6%97%A5%E7%B1%B3%E3%80%8D-5kg%C3%972%E8%A2%8B-%E5%B9%B3%E6%88%9030%E5%B9%B4%E7%94%A3/dp/B00JWSA5PG/ref=sr_1_28?__mk_ja_JP=%E3%82%AB%E3%82%BF%E3%82%AB%E3%83%8A&amp;dchild=1&amp;keywords=%E7%B1%B3&amp;qid=1598691814&amp;sr=8-28", "Go")</f>
        <v/>
      </c>
    </row>
    <row r="27">
      <c r="A27" t="inlineStr">
        <is>
          <t>【出荷日に精米】 福井県産 いちほまれ 白米 5kg 令和元年産 特A米</t>
        </is>
      </c>
      <c r="B27" t="inlineStr">
        <is>
          <t>￥3,750</t>
        </is>
      </c>
      <c r="C27" t="inlineStr">
        <is>
          <t>4.6</t>
        </is>
      </c>
      <c r="D27">
        <f>HYPERLINK("https://www.amazon.co.jp/%E3%80%90%E5%87%BA%E8%8D%B7%E6%97%A5%E3%81%AB%E7%B2%BE%E7%B1%B3%E3%80%91-%E7%A6%8F%E4%BA%95%E7%9C%8C%E7%94%A3-%E3%81%84%E3%81%A1%E3%81%BB%E3%81%BE%E3%82%8C-5kg-%E5%B9%B3%E6%88%9030%E5%B9%B4%E7%94%A3/dp/B07KLXYV48/ref=sr_1_29?__mk_ja_JP=%E3%82%AB%E3%82%BF%E3%82%AB%E3%83%8A&amp;dchild=1&amp;keywords=%E7%B1%B3&amp;qid=1598691814&amp;sr=8-29", "Go")</f>
        <v/>
      </c>
    </row>
    <row r="28">
      <c r="A28" t="inlineStr">
        <is>
          <t>【令和元年産】山形県産 無洗米 あきたこまち 10kg (5kg×2袋) 【ハーベストシーズン】【精米】【HARVEST SEASON】</t>
        </is>
      </c>
      <c r="B28" t="inlineStr">
        <is>
          <t>￥4,699</t>
        </is>
      </c>
      <c r="C28" t="inlineStr">
        <is>
          <t>4.5</t>
        </is>
      </c>
      <c r="D28">
        <f>HYPERLINK("https://www.amazon.co.jp/%E3%80%90%E6%96%B0%E7%B1%B3%E3%80%91%E3%80%90%E7%B2%BE%E7%B1%B3%E3%80%91-%E3%81%82%E3%81%8D%E3%81%9F%E3%81%93%E3%81%BE%E3%81%A1-%E3%80%90%E3%83%8F%E3%83%BC%E3%83%99%E3%82%B9%E3%83%88%E3%82%B7%E3%83%BC%E3%82%BA%E3%83%B3%E3%80%91-%E3%80%90HARVEST-SEASON%E3%80%91/dp/B071YPD79J/ref=sr_1_30?__mk_ja_JP=%E3%82%AB%E3%82%BF%E3%82%AB%E3%83%8A&amp;dchild=1&amp;keywords=%E7%B1%B3&amp;qid=1598691814&amp;sr=8-30", "Go")</f>
        <v/>
      </c>
    </row>
    <row r="29">
      <c r="A29" t="inlineStr">
        <is>
          <t>魚沼産こしひかり特別栽培米「雪椿」令和元年産 (5Kg)</t>
        </is>
      </c>
      <c r="B29" t="inlineStr">
        <is>
          <t>￥6,480</t>
        </is>
      </c>
      <c r="C29" t="inlineStr">
        <is>
          <t>4.6</t>
        </is>
      </c>
      <c r="D29">
        <f>HYPERLINK("https://www.amazon.co.jp/%E4%B8%8D%E6%98%8E-%E9%AD%9A%E6%B2%BC%E7%94%A3%E3%81%93%E3%81%97%E3%81%B2%E3%81%8B%E3%82%8A%E7%89%B9%E5%88%A5%E6%A0%BD%E5%9F%B9%E7%B1%B3%E3%80%8C%E9%9B%AA%E6%A4%BF%E3%80%8D30%E5%B9%B4%E5%BA%A6%E7%94%A3-5Kg/dp/B07431C4TL/ref=sr_1_31?__mk_ja_JP=%E3%82%AB%E3%82%BF%E3%82%AB%E3%83%8A&amp;dchild=1&amp;keywords=%E7%B1%B3&amp;qid=1598691814&amp;sr=8-31", "Go")</f>
        <v/>
      </c>
    </row>
    <row r="30">
      <c r="A30" t="inlineStr">
        <is>
          <t>【精米】青森県産 白米 青天の霹靂 5kg 令和元年産</t>
        </is>
      </c>
      <c r="B30" t="inlineStr">
        <is>
          <t>￥2,980</t>
        </is>
      </c>
      <c r="C30" t="inlineStr">
        <is>
          <t>4.5</t>
        </is>
      </c>
      <c r="D30">
        <f>HYPERLINK("https://www.amazon.co.jp/%E3%80%90%E7%B2%BE%E7%B1%B3%E3%80%91%E9%9D%92%E6%A3%AE%E7%9C%8C%E7%94%A3-%E7%99%BD%E7%B1%B3-%E9%9D%92%E5%A4%A9%E3%81%AE%E9%9C%B9%E9%9D%82-5kg-%E5%B9%B3%E6%88%9029%E5%B9%B4%E7%94%A3/dp/B01H59OD5G/ref=sr_1_32?__mk_ja_JP=%E3%82%AB%E3%82%BF%E3%82%AB%E3%83%8A&amp;dchild=1&amp;keywords=%E7%B1%B3&amp;qid=1598691814&amp;sr=8-32", "Go")</f>
        <v/>
      </c>
    </row>
    <row r="31">
      <c r="A31" t="inlineStr">
        <is>
          <t>【精米】 秋田県産 農家直送 あきたこまち 10㎏（5㎏×2袋）令和元年産 古代米（赤米or黒米）お試し袋付き</t>
        </is>
      </c>
      <c r="B31" t="inlineStr">
        <is>
          <t>￥4,680</t>
        </is>
      </c>
      <c r="C31" t="inlineStr">
        <is>
          <t>4.4</t>
        </is>
      </c>
      <c r="D31">
        <f>HYPERLINK("https://www.amazon.co.jp/%E6%96%B0%E7%B1%B3%E3%80%90%E7%B2%BE%E7%B1%B3%E3%80%91-%E7%99%BD%E7%B1%B3%E3%81%82%E3%81%8D%E3%81%9F%E3%81%93%E3%81%BE%E3%81%A1-%E5%AD%90%E3%81%A9%E3%82%82%E3%81%AB%E9%A3%9F%E3%81%B9%E3%81%95%E3%81%9B%E3%81%9F%E3%81%84%E3%81%8A%E7%B1%B3-5kg%C3%972%E8%A2%8B-%E5%B9%B3%E6%88%9030%E5%B9%B4%E7%94%A3/dp/B00C494TCA/ref=sr_1_33?__mk_ja_JP=%E3%82%AB%E3%82%BF%E3%82%AB%E3%83%8A&amp;dchild=1&amp;keywords=%E7%B1%B3&amp;qid=1598691814&amp;sr=8-33", "Go")</f>
        <v/>
      </c>
    </row>
    <row r="32">
      <c r="A32" t="inlineStr">
        <is>
          <t>【新米予約】皇室献上農家のつや姫 令和２年産 山形県小国町 石垣恵子産 おぐに木酢米(農薬6割減・化学肥料5割減) つや姫 白米 (3kg)</t>
        </is>
      </c>
      <c r="B32" t="inlineStr">
        <is>
          <t>￥3,280</t>
        </is>
      </c>
      <c r="C32" t="inlineStr">
        <is>
          <t>4.5</t>
        </is>
      </c>
      <c r="D32">
        <f>HYPERLINK("https://www.amazon.co.jp/%E3%80%90%E6%96%B0%E7%B1%B3%E3%80%91%E5%B1%B1%E5%BD%A2%E7%9C%8C%E5%B0%8F%E5%9B%BD%E7%94%BA-%E7%9A%87%E5%AE%A4%E7%8C%AE%E4%B8%8A%E8%BE%B2%E5%AE%B6-%E7%9F%B3%E5%9E%A3%E6%AD%A3%E6%86%B2%E7%94%A3-%E7%89%B9%E5%88%A5%E6%A0%BD%E5%9F%B9%E7%B1%B3%E3%81%A4%E3%82%84%E5%A7%AB-%E5%B9%B3%E6%88%9030%E5%B9%B4%E7%94%A3/dp/B014S9UL66/ref=sr_1_34?__mk_ja_JP=%E3%82%AB%E3%82%BF%E3%82%AB%E3%83%8A&amp;dchild=1&amp;keywords=%E7%B1%B3&amp;qid=1598691814&amp;sr=8-34", "Go")</f>
        <v/>
      </c>
    </row>
    <row r="33">
      <c r="A33" t="inlineStr">
        <is>
          <t>令和 元年度産 特別栽培米 島根県産 仁多 コシヒカリ 10kg （5kg×2袋） 奥出雲 仁多米 (白米精米 約4.5kg×2袋でお届け)</t>
        </is>
      </c>
      <c r="B33" t="inlineStr">
        <is>
          <t>￥5,980</t>
        </is>
      </c>
      <c r="C33" t="inlineStr">
        <is>
          <t>4.6</t>
        </is>
      </c>
      <c r="D33">
        <f>HYPERLINK("https://www.amazon.co.jp/30%E5%B9%B4%E7%94%A3-%E7%89%B9%E5%88%A5%E6%A0%BD%E5%9F%B9%E7%B1%B3-%E3%82%B3%E3%82%B7%E3%83%92%E3%82%AB%E3%83%AA-%EF%BC%885kg%C3%972%E8%A2%8B%EF%BC%89-%E7%B4%844-5kg%C3%972%E8%A2%8B%E3%81%A7%E3%81%8A%E5%B1%8A%E3%81%91/dp/B018XULKKM/ref=sr_1_35?__mk_ja_JP=%E3%82%AB%E3%82%BF%E3%82%AB%E3%83%8A&amp;dchild=1&amp;keywords=%E7%B1%B3&amp;qid=1598691814&amp;sr=8-35", "Go")</f>
        <v/>
      </c>
    </row>
    <row r="34">
      <c r="A34" t="inlineStr">
        <is>
          <t>《令和元年新米》【受注精米】令和元年産新潟県産コシヒカリ 5kg×2袋 （精米）</t>
        </is>
      </c>
      <c r="B34" t="inlineStr">
        <is>
          <t>￥4,980</t>
        </is>
      </c>
      <c r="C34" t="inlineStr">
        <is>
          <t>4.4</t>
        </is>
      </c>
      <c r="D34">
        <f>HYPERLINK("https://www.amazon.co.jp/%E3%81%8A%E7%B1%B3%E3%81%AE%E3%81%9F%E3%81%8B%E3%81%95%E3%81%8B-%E3%80%90%E5%8F%97%E6%B3%A8%E7%B2%BE%E7%B1%B3%E3%80%91%E3%80%9030%E5%B9%B4%E7%94%A3%E6%96%B0%E7%B1%B3%E3%80%91%E6%96%B0%E6%BD%9F%E7%9C%8C%E7%94%A3%E3%82%B3%E3%82%B7%E3%83%92%E3%82%AB%E3%83%AA-5kg%C3%972%E8%A2%8B-%EF%BC%88%E7%B2%BE%E7%B1%B3%EF%BC%89/dp/B07HJV57S5/ref=sr_1_36?__mk_ja_JP=%E3%82%AB%E3%82%BF%E3%82%AB%E3%83%8A&amp;dchild=1&amp;keywords=%E7%B1%B3&amp;qid=1598691814&amp;sr=8-36", "Go")</f>
        <v/>
      </c>
    </row>
    <row r="35">
      <c r="A35" t="inlineStr">
        <is>
          <t>藤食糧 無洗米　もち米　5kg(5kg×1袋)</t>
        </is>
      </c>
      <c r="B35" t="inlineStr">
        <is>
          <t>￥2,750</t>
        </is>
      </c>
      <c r="C35" t="inlineStr">
        <is>
          <t>5</t>
        </is>
      </c>
      <c r="D35">
        <f>HYPERLINK("https://www.amazon.co.jp/%E6%A0%AA%E5%BC%8F%E4%BC%9A%E7%A4%BE%E8%97%A4%E9%A3%9F%E7%B3%A7-%E8%97%A4%E9%A3%9F%E7%B3%A7-%E7%84%A1%E6%B4%97%E7%B1%B3-%E3%82%82%E3%81%A1%E7%B1%B3-5kg-5kg%C3%971%E8%A2%8B/dp/B01BXRAAKS/ref=sr_1_37?__mk_ja_JP=%E3%82%AB%E3%82%BF%E3%82%AB%E3%83%8A&amp;dchild=1&amp;keywords=%E7%B1%B3&amp;qid=1598691814&amp;sr=8-37", "Go")</f>
        <v/>
      </c>
    </row>
    <row r="36">
      <c r="A36" t="inlineStr">
        <is>
          <t>南魚沼産コシヒカリ真空パック　白米　令和元年新潟県 (真空パック)５kg×２＝１０kg</t>
        </is>
      </c>
      <c r="B36" t="inlineStr">
        <is>
          <t>￥7,700</t>
        </is>
      </c>
      <c r="C36" t="inlineStr">
        <is>
          <t>4.8</t>
        </is>
      </c>
      <c r="D36">
        <f>HYPERLINK("https://www.amazon.co.jp/%E9%AD%9A%E6%B2%BC%E7%94%A3%E3%82%B3%E3%82%B7%E3%83%92%E3%82%AB%E3%83%AA%E9%80%9A%E8%B2%A9%E3%81%AE%E3%80%90%E5%A4%9A%E5%B7%9D%E7%B1%B3%E5%BA%97%E3%80%91-%E5%8D%97%E9%AD%9A%E6%B2%BC%E7%94%A3%E3%82%B3%E3%82%B7%E3%83%92%E3%82%AB%E3%83%AA%E7%9C%9F%E7%A9%BA%E3%83%91%E3%83%83%E3%82%AF-%E7%99%BD%E7%B1%B3-%E5%B9%B3%E6%88%9030%E5%B9%B4%E5%BA%A6%E6%96%B0%E6%BD%9F%E7%9C%8C-%E7%9C%9F%E7%A9%BA%E3%83%91%E3%83%83%E3%82%AF-%EF%BC%95kg%C3%97%EF%BC%92%EF%BC%9D%EF%BC%91%EF%BC%90kg/dp/B008OFX5LY/ref=sr_1_38?__mk_ja_JP=%E3%82%AB%E3%82%BF%E3%82%AB%E3%83%8A&amp;dchild=1&amp;keywords=%E7%B1%B3&amp;qid=1598691814&amp;sr=8-38", "Go")</f>
        <v/>
      </c>
    </row>
    <row r="37">
      <c r="A37" t="inlineStr">
        <is>
          <t>米 白米 特A評価 森のくまさん 10kg (2kg×5袋) 熊本県産 令和元年産(2019年)【米袋は真空包装】</t>
        </is>
      </c>
      <c r="B37" t="inlineStr">
        <is>
          <t>￥5,280</t>
        </is>
      </c>
      <c r="C37" t="inlineStr">
        <is>
          <t>4.7</t>
        </is>
      </c>
      <c r="D37">
        <f>HYPERLINK("https://www.amazon.co.jp/%E7%89%B9A%E3%83%A9%E3%83%B3%E3%82%AF-%E6%A3%AE%E3%81%AE%E3%81%8F%E3%81%BE%E3%81%95%E3%82%93-10kg-2kg%C3%975%E8%A2%8B-%E7%86%8A%E6%9C%AC%E7%9C%8C%E7%94%A3-%E5%B9%B3%E6%88%9029%E5%B9%B4%E5%BA%A6%E7%94%A3/dp/B07C2QVVNN/ref=sr_1_39?__mk_ja_JP=%E3%82%AB%E3%82%BF%E3%82%AB%E3%83%8A&amp;dchild=1&amp;keywords=%E7%B1%B3&amp;qid=1598691814&amp;sr=8-39", "Go")</f>
        <v/>
      </c>
    </row>
    <row r="38">
      <c r="A38" t="inlineStr">
        <is>
          <t>金芽米(無洗米)ベストセレクト 10kg【5kg×2袋】</t>
        </is>
      </c>
      <c r="B38" t="inlineStr">
        <is>
          <t>￥5,400</t>
        </is>
      </c>
      <c r="C38" t="inlineStr">
        <is>
          <t>4.5</t>
        </is>
      </c>
      <c r="D38">
        <f>HYPERLINK("https://www.amazon.co.jp/%E6%9D%B1%E6%B4%8B%E3%83%A9%E3%82%A4%E3%82%B9-%E9%87%91%E8%8A%BD%E7%B1%B3-%E7%84%A1%E6%B4%97%E7%B1%B3-%E3%83%99%E3%82%B9%E3%83%88%E3%82%BB%E3%83%AC%E3%82%AF%E3%83%88-10kg%E3%80%905kg%C3%972%E8%A2%8B%E3%80%91/dp/B00KPKONJ4/ref=sr_1_40?__mk_ja_JP=%E3%82%AB%E3%82%BF%E3%82%AB%E3%83%8A&amp;dchild=1&amp;keywords=%E7%B1%B3&amp;qid=1598691814&amp;sr=8-40", "Go")</f>
        <v/>
      </c>
    </row>
    <row r="39">
      <c r="A39" t="inlineStr">
        <is>
          <t>【精米】 長粒米 佐賀産 ホシユタカ 5kg　業務用 令和元年産 【和-CHO-RYU-MAI】</t>
        </is>
      </c>
      <c r="B39" t="inlineStr">
        <is>
          <t>￥2,898</t>
        </is>
      </c>
      <c r="C39" t="inlineStr">
        <is>
          <t>4.6</t>
        </is>
      </c>
      <c r="D39">
        <f>HYPERLINK("https://www.amazon.co.jp/%E3%80%90%E7%B2%BE%E7%B1%B3%E3%80%91-%E9%95%B7%E7%B2%92%E7%B1%B3-%E3%83%9B%E3%82%B7%E3%83%A6%E3%82%BF%E3%82%AB-%E5%B9%B3%E6%88%9029%E5%B9%B4%E7%94%A3-%E3%80%90%E5%92%8C-CHO-RYU-MAI%E3%80%91/dp/B00WU7R9AK/ref=sr_1_41?__mk_ja_JP=%E3%82%AB%E3%82%BF%E3%82%AB%E3%83%8A&amp;dchild=1&amp;keywords=%E7%B1%B3&amp;qid=1598691814&amp;sr=8-41", "Go")</f>
        <v/>
      </c>
    </row>
    <row r="40">
      <c r="A40" t="inlineStr">
        <is>
          <t>令和元年産「つや姫」発祥の地鶴岡市藤島より直送特別栽培「つや姫」無洗米仕上げ10kg</t>
        </is>
      </c>
      <c r="B40" t="inlineStr">
        <is>
          <t>￥5,791</t>
        </is>
      </c>
      <c r="C40" t="inlineStr">
        <is>
          <t>4.5</t>
        </is>
      </c>
      <c r="D40">
        <f>HYPERLINK("https://www.amazon.co.jp/%E5%BA%84%E5%86%85%E3%81%AE%E6%B0%B4%E7%94%B0%E3%82%92%E5%AE%88%E3%82%8B%E4%BC%9A-30%E5%B9%B4%E7%94%A3-%E6%96%B0%E7%B1%B3-%E3%80%8C%E3%81%A4%E3%82%84%E5%A7%AB%E3%80%8D%E7%99%BA%E7%A5%A5%E3%81%AE%E5%9C%B0%E9%B6%B4%E5%B2%A1%E5%B8%82%E8%97%A4%E5%B3%B6%E3%82%88%E3%82%8A%E7%9B%B4%E9%80%81%E7%89%B9%E5%88%A5%E6%A0%BD%E5%9F%B9%E3%80%8C%E3%81%A4%E3%82%84%E5%A7%AB%E3%80%8D%E7%84%A1%E6%B4%97%E7%B1%B3%E4%BB%95%E4%B8%8A%E3%81%9210kg/dp/B00IFR0YR4/ref=sr_1_42?__mk_ja_JP=%E3%82%AB%E3%82%BF%E3%82%AB%E3%83%8A&amp;dchild=1&amp;keywords=%E7%B1%B3&amp;qid=1598691814&amp;sr=8-42", "Go")</f>
        <v/>
      </c>
    </row>
    <row r="41">
      <c r="A41" t="inlineStr">
        <is>
          <t>野沢農産【無洗米】令和元年産 長野県産 つきあかり 5kg</t>
        </is>
      </c>
      <c r="B41" t="inlineStr">
        <is>
          <t>￥2,591</t>
        </is>
      </c>
      <c r="C41" t="inlineStr">
        <is>
          <t>4.4</t>
        </is>
      </c>
      <c r="D41">
        <f>HYPERLINK("https://www.amazon.co.jp/%E9%87%8E%E6%B2%A2%E8%BE%B2%E7%94%A3-%E9%87%8E%E6%B2%A2%E8%BE%B2%E7%94%A3%E3%80%90%E7%84%A1%E6%B4%97%E7%B1%B3%E3%80%91%E4%BB%A4%E5%92%8C%E5%85%83%E5%B9%B4%E7%94%A3-%E9%95%B7%E9%87%8E%E7%9C%8C%E7%94%A3-%E3%81%A4%E3%81%8D%E3%81%82%E3%81%8B%E3%82%8A-5kg/dp/B084HBFJZR/ref=sr_1_43?__mk_ja_JP=%E3%82%AB%E3%82%BF%E3%82%AB%E3%83%8A&amp;dchild=1&amp;keywords=%E7%B1%B3&amp;qid=1598691814&amp;sr=8-43", "Go")</f>
        <v/>
      </c>
    </row>
    <row r="42">
      <c r="A42" t="inlineStr">
        <is>
          <t>弁次郎商店 ジャスミン米 タイ王国産 MFD2019.12.02 香り米 白米 2kg タイ米 弁ちゃん印 無洗米</t>
        </is>
      </c>
      <c r="B42" t="inlineStr">
        <is>
          <t>￥1,886</t>
        </is>
      </c>
      <c r="C42" t="inlineStr">
        <is>
          <t>4.4</t>
        </is>
      </c>
      <c r="D42">
        <f>HYPERLINK("https://www.amazon.co.jp/%E3%82%B8%E3%83%A3%E3%82%B9%E3%83%9F%E3%83%B3%E7%B1%B3-MFD2018-01-18-%E6%9C%80%E6%96%B0%E3%83%AD%E3%83%83%E3%83%88-special-quality/dp/B0072CJTJ2/ref=sr_1_44?__mk_ja_JP=%E3%82%AB%E3%82%BF%E3%82%AB%E3%83%8A&amp;dchild=1&amp;keywords=%E7%B1%B3&amp;qid=1598691814&amp;sr=8-44", "Go")</f>
        <v/>
      </c>
    </row>
    <row r="43">
      <c r="A43" t="inlineStr">
        <is>
          <t>令和元年産「つや姫」発祥の地 鶴岡市 藤島より直送 特別栽培「つや姫」白米 10kg</t>
        </is>
      </c>
      <c r="B43" t="inlineStr">
        <is>
          <t>￥5,791</t>
        </is>
      </c>
      <c r="C43" t="inlineStr">
        <is>
          <t>4.4</t>
        </is>
      </c>
      <c r="D43">
        <f>HYPERLINK("https://www.amazon.co.jp/30%E5%B9%B4%E7%94%A3-%E3%80%8C%E3%81%A4%E3%82%84%E5%A7%AB%E3%80%8D%E7%99%BA%E7%A5%A5%E3%81%AE%E5%9C%B0-%E8%97%A4%E5%B3%B6%E3%82%88%E3%82%8A%E7%9B%B4%E9%80%81-%E7%89%B9%E5%88%A5%E6%A0%BD%E5%9F%B9%E3%80%8C%E3%81%A4%E3%82%84%E5%A7%AB%E3%80%8D%E7%99%BD%E7%B1%B3-10kg/dp/B00H6AN2WK/ref=sr_1_45?__mk_ja_JP=%E3%82%AB%E3%82%BF%E3%82%AB%E3%83%8A&amp;dchild=1&amp;keywords=%E7%B1%B3&amp;qid=1598691814&amp;sr=8-45", "Go")</f>
        <v/>
      </c>
    </row>
    <row r="44">
      <c r="A44" t="inlineStr">
        <is>
          <t>令和 2年産 新米 熊本産 特別栽培米 コシヒカリ 10kg (5kg×2袋) 天草地区指定 (白米精米（精米後約4.5k×2）)</t>
        </is>
      </c>
      <c r="B44" t="inlineStr">
        <is>
          <t>￥5,280</t>
        </is>
      </c>
      <c r="C44" t="inlineStr">
        <is>
          <t>4.4</t>
        </is>
      </c>
      <c r="D44">
        <f>HYPERLINK("https://www.amazon.co.jp/30%E5%B9%B4%E7%94%A3-%E7%89%B9%E5%88%A5%E6%A0%BD%E5%9F%B9%E7%B1%B3-%E3%82%B3%E3%82%B7%E3%83%92%E3%82%AB%E3%83%AA-5kg%C3%972%E8%A2%8B-%E7%99%BD%E7%B1%B3%E7%B2%BE%E7%B1%B3%EF%BC%88%E7%B2%BE%E7%B1%B3%E5%BE%8C%E7%B4%844-5k%C3%972%EF%BC%89/dp/B014WPIR5I/ref=sr_1_46?__mk_ja_JP=%E3%82%AB%E3%82%BF%E3%82%AB%E3%83%8A&amp;dchild=1&amp;keywords=%E7%B1%B3&amp;qid=1598691814&amp;sr=8-46", "Go")</f>
        <v/>
      </c>
    </row>
    <row r="45">
      <c r="A45" t="inlineStr">
        <is>
          <t>（産地直送米）令和元年産 新之助 5kg 白米 新潟米 産地精米 新之助 新米</t>
        </is>
      </c>
      <c r="B45" t="inlineStr">
        <is>
          <t>￥2,988</t>
        </is>
      </c>
      <c r="C45" t="inlineStr">
        <is>
          <t>4.4</t>
        </is>
      </c>
      <c r="D45">
        <f>HYPERLINK("https://www.amazon.co.jp/30%E5%B9%B4%E7%94%A3-%E6%96%B0%E4%B9%8B%E5%8A%A9-%E6%96%B0%E6%BD%9F%E7%9C%8C%E7%94%A3-%E6%96%B0%E6%BD%9F%E3%83%96%E3%83%A9%E3%83%B3%E3%83%89%E7%B1%B3-%E3%81%97%E3%82%93%E3%81%AE%E3%81%99%E3%81%91/dp/B078JS4QSB/ref=sr_1_47?__mk_ja_JP=%E3%82%AB%E3%82%BF%E3%82%AB%E3%83%8A&amp;dchild=1&amp;keywords=%E7%B1%B3&amp;qid=1598691814&amp;sr=8-47", "Go")</f>
        <v/>
      </c>
    </row>
    <row r="46">
      <c r="A46" t="inlineStr">
        <is>
          <t>【精米】 お米ギフト 食べ比べ 化粧箱入り (2合袋(300g)x6種類)</t>
        </is>
      </c>
      <c r="B46" t="inlineStr">
        <is>
          <t>￥3,280</t>
        </is>
      </c>
      <c r="C46" t="inlineStr">
        <is>
          <t>4.6</t>
        </is>
      </c>
      <c r="D46">
        <f>HYPERLINK("https://www.amazon.co.jp/%E3%80%90%E7%B2%BE%E7%B1%B3%E3%80%91-%E3%81%8A%E7%B1%B3%E3%82%AE%E3%83%95%E3%83%88-%E9%A3%9F%E3%81%B9%E6%AF%94%E3%81%B9-%E5%8C%96%E7%B2%A7%E7%AE%B1%E5%85%A5%E3%82%8A-300g/dp/B00GRYLTWQ/ref=sr_1_48?__mk_ja_JP=%E3%82%AB%E3%82%BF%E3%82%AB%E3%83%8A&amp;dchild=1&amp;keywords=%E7%B1%B3&amp;qid=1598691814&amp;sr=8-48", "Go")</f>
        <v/>
      </c>
    </row>
    <row r="47">
      <c r="A47" t="inlineStr">
        <is>
          <t>【精米】[Amazon限定ブランド] 580.com 秋田県産 白米 あきたこまち 5kg 令和元年産</t>
        </is>
      </c>
      <c r="B47" t="inlineStr">
        <is>
          <t>￥ 2,654</t>
        </is>
      </c>
      <c r="C47" t="inlineStr">
        <is>
          <t>4.1</t>
        </is>
      </c>
      <c r="D47">
        <f>HYPERLINK("https://www.amazon.co.jp/%E3%80%90%E7%B2%BE%E7%B1%B3%E3%80%91-Amazon%E9%99%90%E5%AE%9A%E3%83%96%E3%83%A9%E3%83%B3%E3%83%89-580-com-%E3%81%82%E3%81%8D%E3%81%9F%E3%81%93%E3%81%BE%E3%81%A1-%E5%B9%B3%E6%88%9030%E5%B9%B4%E7%94%A3/dp/B07NG6KZ2T/ref=sr_1_49_sspa?__mk_ja_JP=%E3%82%AB%E3%82%BF%E3%82%AB%E3%83%8A&amp;dchild=1&amp;keywords=%E7%B1%B3&amp;qid=1598691814&amp;sr=8-49-spons&amp;psc=1&amp;spLa=ZW5jcnlwdGVkUXVhbGlmaWVyPUEzUktPMDhCSUZYWU4zJmVuY3J5cHRlZElkPUEwMTM1NTA4Mlc4UkZZMURXVTdHUCZlbmNyeXB0ZWRBZElkPUEzTkdaSFVJRE9aRVFTJndpZGdldE5hbWU9c3BfYnRmJmFjdGlvbj1jbGlja1JlZGlyZWN0JmRvTm90TG9nQ2xpY2s9dHJ1ZQ==", "Go")</f>
        <v/>
      </c>
    </row>
    <row r="48">
      <c r="A48" t="inlineStr">
        <is>
          <t>スマート米：青森県 まっしぐら (5kg)：残留農薬ゼロ</t>
        </is>
      </c>
      <c r="B48" t="inlineStr">
        <is>
          <t>￥3,781</t>
        </is>
      </c>
      <c r="C48" t="inlineStr">
        <is>
          <t>4</t>
        </is>
      </c>
      <c r="D48">
        <f>HYPERLINK("https://www.amazon.co.jp/%E3%82%B9%E3%83%9E%E3%83%BC%E3%83%88%E7%B1%B3-%E3%83%97%E3%83%AC%E3%83%9F%E3%82%A2%E3%83%A0-%EF%BC%9A%E9%9D%92%E6%A3%AE%E7%9C%8C-%E3%81%BE%E3%81%A3%E3%81%97%E3%81%90%E3%82%89-%EF%BC%9A%E6%AE%8B%E7%95%99%E8%BE%B2%E8%96%AC%E3%82%BC%E3%83%AD/dp/B07MYQBRZ8/ref=sr_1_50_sspa?__mk_ja_JP=%E3%82%AB%E3%82%BF%E3%82%AB%E3%83%8A&amp;dchild=1&amp;keywords=%E7%B1%B3&amp;qid=1598691814&amp;sr=8-50-spons&amp;psc=1&amp;spLa=ZW5jcnlwdGVkUXVhbGlmaWVyPUEzUktPMDhCSUZYWU4zJmVuY3J5cHRlZElkPUEwMTM1NTA4Mlc4UkZZMURXVTdHUCZlbmNyeXB0ZWRBZElkPUEyNTlCMjY5Qjk5M1JHJndpZGdldE5hbWU9c3BfYnRmJmFjdGlvbj1jbGlja1JlZGlyZWN0JmRvTm90TG9nQ2xpY2s9dHJ1ZQ==", "Go")</f>
        <v/>
      </c>
    </row>
    <row r="49">
      <c r="A49" t="inlineStr">
        <is>
          <t>【精米】 [Amazon限定ブランド] 580.com 宮城県産 無洗米 つや姫 5kg 令和元年産</t>
        </is>
      </c>
      <c r="B49" t="inlineStr">
        <is>
          <t>￥2,701</t>
        </is>
      </c>
      <c r="C49" t="inlineStr">
        <is>
          <t>4.2</t>
        </is>
      </c>
      <c r="D49">
        <f>HYPERLINK("https://www.amazon.co.jp/%E3%80%90%E7%B2%BE%E7%B1%B3%E3%80%91-Amazon%E9%99%90%E5%AE%9A%E3%83%96%E3%83%A9%E3%83%B3%E3%83%89-580-com-%E5%AE%AE%E5%9F%8E%E7%9C%8C%E7%94%A3-%E5%B9%B3%E6%88%9030%E5%B9%B4%E7%94%A3/dp/B07NGBBLTH/ref=sr_1_51_sspa?__mk_ja_JP=%E3%82%AB%E3%82%BF%E3%82%AB%E3%83%8A&amp;dchild=1&amp;keywords=%E7%B1%B3&amp;qid=1598691814&amp;sr=8-51-spons&amp;psc=1&amp;spLa=ZW5jcnlwdGVkUXVhbGlmaWVyPUEzUktPMDhCSUZYWU4zJmVuY3J5cHRlZElkPUEwMTM1NTA4Mlc4UkZZMURXVTdHUCZlbmNyeXB0ZWRBZElkPUEzNTBPTzFRRDc5N1ROJndpZGdldE5hbWU9c3BfYnRmJmFjdGlvbj1jbGlja1JlZGlyZWN0JmRvTm90TG9nQ2xpY2s9dHJ1ZQ==", "Go")</f>
        <v/>
      </c>
    </row>
    <row r="50">
      <c r="A50" t="inlineStr">
        <is>
          <t>限定特価(1等米使用) 令和元年産 新潟産 コシヒカリ 10㎏ (5㎏×2) （食味分析80点以上） 白米 精米 新潟 コシヒカリ 新潟県産 コシヒカリ 5㎏ × 2 お米 産地直送米</t>
        </is>
      </c>
      <c r="B50" t="inlineStr">
        <is>
          <t>￥4,866</t>
        </is>
      </c>
      <c r="C50" t="inlineStr">
        <is>
          <t>4.3</t>
        </is>
      </c>
      <c r="D50">
        <f>HYPERLINK("https://www.amazon.co.jp/%EF%BC%88%E9%99%90%E5%AE%9A%E7%89%B9%E4%BE%A1%EF%BC%89%E7%94%A3%E5%9C%B0%E7%9B%B4%E9%80%81%E7%B1%B3%EF%BC%88%EF%BC%91%E7%AD%89%E7%B1%B3%E3%81%AE%E3%81%BF%E4%BD%BF%E7%94%A8%E3%81%A7%E3%81%99%EF%BC%89-30%E5%B9%B4%E7%94%A3-%E3%82%B3%E3%82%B7%E3%83%92%E3%82%AB%E3%83%AA-%E6%96%B0%E6%BD%9F-%E3%81%93%E3%81%97%E3%81%B2%E3%81%8B%E3%82%8A/dp/B07KS2RFVV/ref=sr_1_52_sspa?__mk_ja_JP=%E3%82%AB%E3%82%BF%E3%82%AB%E3%83%8A&amp;dchild=1&amp;keywords=%E7%B1%B3&amp;qid=1598691814&amp;sr=8-52-spons&amp;psc=1&amp;spLa=ZW5jcnlwdGVkUXVhbGlmaWVyPUEzUktPMDhCSUZYWU4zJmVuY3J5cHRlZElkPUEwMTM1NTA4Mlc4UkZZMURXVTdHUCZlbmNyeXB0ZWRBZElkPUFUWFdNWTZUWDdHU0Umd2lkZ2V0TmFtZT1zcF9idGYmYWN0aW9uPWNsaWNrUmVkaXJlY3QmZG9Ob3RMb2dDbGljaz10cnVl", "Go")</f>
        <v/>
      </c>
    </row>
    <row r="51">
      <c r="A51" t="inlineStr">
        <is>
          <t>【精米】[Amazon限定ブランド] 580.com 会津産 白米 コシヒカリ 5kg 令和元年産</t>
        </is>
      </c>
      <c r="B51" t="inlineStr">
        <is>
          <t>￥2,795</t>
        </is>
      </c>
      <c r="C51" t="inlineStr">
        <is>
          <t>4.1</t>
        </is>
      </c>
      <c r="D51">
        <f>HYPERLINK("https://www.amazon.co.jp/%E3%80%90%E7%B2%BE%E7%B1%B3%E3%80%91%E3%80%90Amazon-co-jp%E9%99%90%E5%AE%9A%E3%80%91%E4%BC%9A%E6%B4%A5%E7%94%A3-%E7%99%BD%E7%B1%B3-%E3%82%B3%E3%82%B7%E3%83%92%E3%82%AB%E3%83%AA-5kg-%E5%B9%B3%E6%88%9030%E5%B9%B4%E7%94%A3/dp/B00YC3M086/ref=sr_1_49_sspa?__mk_ja_JP=%E3%82%AB%E3%82%BF%E3%82%AB%E3%83%8A&amp;dchild=1&amp;keywords=%E7%B1%B3&amp;qid=1598692008&amp;sr=8-49-spons&amp;psc=1&amp;spLa=ZW5jcnlwdGVkUXVhbGlmaWVyPUEySzBOOTRYVzBIMk82JmVuY3J5cHRlZElkPUEwOTUzMTI4MUFDVzY4OEVGSko1UiZlbmNyeXB0ZWRBZElkPUEzNjA1V1Q1MzZSR0g0JndpZGdldE5hbWU9c3BfYXRmX25leHQmYWN0aW9uPWNsaWNrUmVkaXJlY3QmZG9Ob3RMb2dDbGljaz10cnVl", "Go")</f>
        <v/>
      </c>
    </row>
    <row r="52">
      <c r="A52" t="inlineStr">
        <is>
          <t>【精米】[Amazon限定ブランド] 580.com 秋田県産 無洗米 あきたこまち 10kg 令和元年産</t>
        </is>
      </c>
      <c r="B52" t="inlineStr">
        <is>
          <t>￥ 2,654</t>
        </is>
      </c>
      <c r="C52" t="inlineStr">
        <is>
          <t>4.1</t>
        </is>
      </c>
      <c r="D52">
        <f>HYPERLINK("https://www.amazon.co.jp/%E3%80%90%E7%B2%BE%E7%B1%B3%E3%80%91-Amazon%E9%99%90%E5%AE%9A%E3%83%96%E3%83%A9%E3%83%B3%E3%83%89-580-com-%E3%81%82%E3%81%8D%E3%81%9F%E3%81%93%E3%81%BE%E3%81%A1-%E5%B9%B3%E6%88%9030%E5%B9%B4%E7%94%A3/dp/B07NVMSWCC/ref=sr_1_51_sspa?__mk_ja_JP=%E3%82%AB%E3%82%BF%E3%82%AB%E3%83%8A&amp;dchild=1&amp;keywords=%E7%B1%B3&amp;qid=1598692008&amp;sr=8-51-spons&amp;psc=1&amp;spLa=ZW5jcnlwdGVkUXVhbGlmaWVyPUEySzBOOTRYVzBIMk82JmVuY3J5cHRlZElkPUEwOTUzMTI4MUFDVzY4OEVGSko1UiZlbmNyeXB0ZWRBZElkPUEyVjRQS0hQTFZLTzRLJndpZGdldE5hbWU9c3BfYXRmX25leHQmYWN0aW9uPWNsaWNrUmVkaXJlY3QmZG9Ob3RMb2dDbGljaz10cnVl", "Go")</f>
        <v/>
      </c>
    </row>
    <row r="53">
      <c r="A53" t="inlineStr">
        <is>
          <t>【精米】[Amazon限定ブランド] 580.com 宮城県産 白米 つや姫 5kg 令和元年産</t>
        </is>
      </c>
      <c r="B53" t="inlineStr"/>
      <c r="C53" t="inlineStr">
        <is>
          <t>4.2</t>
        </is>
      </c>
      <c r="D53">
        <f>HYPERLINK("https://www.amazon.co.jp/%E3%80%90%E7%B2%BE%E7%B1%B3%E3%80%91%E3%80%90-Amazon-co-jp-%E9%99%90%E5%AE%9A%E3%80%91%E5%AE%AE%E5%9F%8E%E7%9C%8C%E7%94%A3-%E3%81%A4%E3%82%84%E5%A7%AB-%E5%B9%B3%E6%88%9030%E5%B9%B4%E7%94%A3/dp/B00WJNO21E/ref=sr_1_52_sspa?__mk_ja_JP=%E3%82%AB%E3%82%BF%E3%82%AB%E3%83%8A&amp;dchild=1&amp;keywords=%E7%B1%B3&amp;qid=1598692008&amp;sr=8-52-spons&amp;psc=1&amp;spLa=ZW5jcnlwdGVkUXVhbGlmaWVyPUEySzBOOTRYVzBIMk82JmVuY3J5cHRlZElkPUEwOTUzMTI4MUFDVzY4OEVGSko1UiZlbmNyeXB0ZWRBZElkPUEzOTFOQ1RUOUtGMkRJJndpZGdldE5hbWU9c3BfYXRmX25leHQmYWN0aW9uPWNsaWNrUmVkaXJlY3QmZG9Ob3RMb2dDbGljaz10cnVl", "Go")</f>
        <v/>
      </c>
    </row>
    <row r="54">
      <c r="A54" t="inlineStr">
        <is>
          <t>東洋ライス 金芽米(無洗米)ゴールドセレクト 5kg</t>
        </is>
      </c>
      <c r="B54" t="inlineStr">
        <is>
          <t>￥3,750</t>
        </is>
      </c>
      <c r="C54" t="inlineStr">
        <is>
          <t>4.6</t>
        </is>
      </c>
      <c r="D54">
        <f>HYPERLINK("https://www.amazon.co.jp/%E6%9D%B1%E6%B4%8B%E3%83%A9%E3%82%A4%E3%82%B9-%E9%87%91%E8%8A%BD%E7%B1%B3-%E7%84%A1%E6%B4%97%E7%B1%B3-%E3%82%B4%E3%83%BC%E3%83%AB%E3%83%89%E3%82%BB%E3%83%AC%E3%82%AF%E3%83%88-5kg/dp/B003HHDNY8/ref=sr_1_53?__mk_ja_JP=%E3%82%AB%E3%82%BF%E3%82%AB%E3%83%8A&amp;dchild=1&amp;keywords=%E7%B1%B3&amp;qid=1598692008&amp;sr=8-53", "Go")</f>
        <v/>
      </c>
    </row>
    <row r="55">
      <c r="A55" t="inlineStr">
        <is>
          <t>令和元年産 朱鷺と暮らす郷 特別栽培米 コシヒカリ 精米5kg 新潟県佐渡産 JA佐渡</t>
        </is>
      </c>
      <c r="B55" t="inlineStr">
        <is>
          <t>￥3,600</t>
        </is>
      </c>
      <c r="C55" t="inlineStr">
        <is>
          <t>4.5</t>
        </is>
      </c>
      <c r="D55">
        <f>HYPERLINK("https://www.amazon.co.jp/%E6%9C%B1%E9%B7%BA%E3%81%A8%E6%9A%AE%E3%82%89%E3%81%99%E9%83%B7-%E5%B9%B3%E6%88%9030%E5%B9%B4%E7%94%A3%E3%82%B3%E3%82%B7%E3%83%92%E3%82%AB%E3%83%AA%E6%96%B0%E7%B1%B3-5kg-%E6%96%B0%E6%BD%9F%E7%9C%8C%E4%BD%90%E6%B8%A1%E7%94%A3-JA%E4%BD%90%E6%B8%A1/dp/B075L54TRX/ref=sr_1_54?__mk_ja_JP=%E3%82%AB%E3%82%BF%E3%82%AB%E3%83%8A&amp;dchild=1&amp;keywords=%E7%B1%B3&amp;qid=1598692008&amp;sr=8-54", "Go")</f>
        <v/>
      </c>
    </row>
    <row r="56">
      <c r="A56" t="inlineStr">
        <is>
          <t>【精米】 はくばく もっちり美味しい発芽玄米 1Kg</t>
        </is>
      </c>
      <c r="B56" t="inlineStr"/>
      <c r="C56" t="inlineStr">
        <is>
          <t>4.6</t>
        </is>
      </c>
      <c r="D56">
        <f>HYPERLINK("https://www.amazon.co.jp/%E3%81%AF%E3%81%8F%E3%81%B0%E3%81%8F-4902571478607-%E3%80%90%E7%B2%BE%E7%B1%B3%E3%80%91-%E3%82%82%E3%81%A3%E3%81%A1%E3%82%8A%E7%BE%8E%E5%91%B3%E3%81%97%E3%81%84%E7%99%BA%E8%8A%BD%E7%8E%84%E7%B1%B3-1Kg/dp/B085D2H617/ref=sr_1_55?__mk_ja_JP=%E3%82%AB%E3%82%BF%E3%82%AB%E3%83%8A&amp;dchild=1&amp;keywords=%E7%B1%B3&amp;qid=1598692008&amp;sr=8-55", "Go")</f>
        <v/>
      </c>
    </row>
    <row r="57">
      <c r="A57" t="inlineStr">
        <is>
          <t>【精米】 新潟県産 こしいぶき 10kg （5kg×2袋） 令和元年産 新潟県直送</t>
        </is>
      </c>
      <c r="B57" t="inlineStr">
        <is>
          <t>￥4,690</t>
        </is>
      </c>
      <c r="C57" t="inlineStr">
        <is>
          <t>4.4</t>
        </is>
      </c>
      <c r="D57">
        <f>HYPERLINK("https://www.amazon.co.jp/%E6%9C%89%E9%99%90%E4%BC%9A%E7%A4%BE-%E6%98%9F%E5%B1%B1%E7%B1%B3%E5%BA%97-%E3%80%9030%E5%B9%B4%E7%94%A3%E3%83%BB%E6%96%B0%E7%B1%B3%E3%80%91%E6%96%B0%E6%BD%9F%E7%9C%8C%E7%94%A3%E3%81%93%E3%81%97%E3%81%84%E3%81%B6%E3%81%8D-10kg%EF%BC%885kg%C3%972%E8%A2%8B%EF%BC%89-%E7%B2%BE%E7%B1%B3-%E7%99%BD%E7%B1%B3/dp/B00DWKGBX0/ref=sr_1_56?__mk_ja_JP=%E3%82%AB%E3%82%BF%E3%82%AB%E3%83%8A&amp;dchild=1&amp;keywords=%E7%B1%B3&amp;qid=1598692008&amp;sr=8-56", "Go")</f>
        <v/>
      </c>
    </row>
    <row r="58">
      <c r="A58" t="inlineStr">
        <is>
          <t>宮城県産つや姫 10kg (5kg×2) 令和1年産 白米 お米</t>
        </is>
      </c>
      <c r="B58" t="inlineStr">
        <is>
          <t>￥4,780</t>
        </is>
      </c>
      <c r="C58" t="inlineStr">
        <is>
          <t>4.7</t>
        </is>
      </c>
      <c r="D58">
        <f>HYPERLINK("https://www.amazon.co.jp/%E5%AE%AE%E5%9F%8E%E7%9C%8C%E7%94%A3%E3%81%A4%E3%82%84%E5%A7%AB-10kg-%EF%BC%885kg%C3%972%EF%BC%89-%E5%B9%B3%E6%88%9030%E5%B9%B4%E7%94%A3-%E7%99%BD%E7%B1%B3/dp/B00TARM1X8/ref=sr_1_57?__mk_ja_JP=%E3%82%AB%E3%82%BF%E3%82%AB%E3%83%8A&amp;dchild=1&amp;keywords=%E7%B1%B3&amp;qid=1598692008&amp;sr=8-57", "Go")</f>
        <v/>
      </c>
    </row>
    <row r="59">
      <c r="A59" t="inlineStr">
        <is>
          <t>【精米】 福島県産 ミルキークイーン 10kg 白米 令和元年産 【会津CROPS】 【グラントマト】</t>
        </is>
      </c>
      <c r="B59" t="inlineStr">
        <is>
          <t>￥4,999</t>
        </is>
      </c>
      <c r="C59" t="inlineStr">
        <is>
          <t>4.4</t>
        </is>
      </c>
      <c r="D59">
        <f>HYPERLINK("https://www.amazon.co.jp/%E4%BC%9A%E6%B4%A5CROPSby%E3%82%B0%E3%83%A9%E3%83%B3%E3%83%88%E3%83%9E%E3%83%88-%E3%80%90%E7%B2%BE%E7%B1%B3%E3%80%91%E7%A6%8F%E5%B3%B6%E7%9C%8C%E7%94%A3-%E7%99%BD%E7%B1%B3-%E3%83%9F%E3%83%AB%E3%82%AD%E3%83%BC%E3%82%AF%E3%82%A4%E3%83%BC%E3%83%B3-10kg-%E5%B9%B3%E6%88%9029%E5%B9%B4%E7%94%A3-%E3%80%90%E4%BC%9A%E6%B4%A5CROPS%E3%80%91%E3%80%90%E3%82%B0%E3%83%A9%E3%83%B3%E3%83%88%E3%83%9E%E3%83%88%E3%80%91/dp/B01B3U21FM/ref=sr_1_58?__mk_ja_JP=%E3%82%AB%E3%82%BF%E3%82%AB%E3%83%8A&amp;dchild=1&amp;keywords=%E7%B1%B3&amp;qid=1598692008&amp;sr=8-58", "Go")</f>
        <v/>
      </c>
    </row>
    <row r="60">
      <c r="A60" t="inlineStr">
        <is>
          <t>九州熊本のお米 精白米 化学肥料 除草剤不使用 EM農法 菊池米 5kg 令和元年産</t>
        </is>
      </c>
      <c r="B60" t="inlineStr">
        <is>
          <t>￥3,680</t>
        </is>
      </c>
      <c r="C60" t="inlineStr">
        <is>
          <t>4.4</t>
        </is>
      </c>
      <c r="D60">
        <f>HYPERLINK("https://www.amazon.co.jp/%E4%B9%9D%E5%B7%9E%E7%86%8A%E6%9C%AC%E3%81%AE%E6%96%B0%E7%B1%B3-%E5%8C%96%E5%AD%A6%E8%82%A5%E6%96%99-%E9%99%A4%E8%8D%89%E5%89%A4%E4%B8%8D%E4%BD%BF%E7%94%A8-EM%E8%BE%B2%E6%B3%95-%E5%B9%B3%E6%88%9030%E5%B9%B4%E7%94%A3/dp/B00Q4OWQ6C/ref=sr_1_59?__mk_ja_JP=%E3%82%AB%E3%82%BF%E3%82%AB%E3%83%8A&amp;dchild=1&amp;keywords=%E7%B1%B3&amp;qid=1598692008&amp;sr=8-59", "Go")</f>
        <v/>
      </c>
    </row>
    <row r="61">
      <c r="A61" t="inlineStr">
        <is>
          <t>優良金賞受賞農家 しまさき農園産 特別栽培米つや姫 白米 令和元年産 (5kg)</t>
        </is>
      </c>
      <c r="B61" t="inlineStr">
        <is>
          <t>￥4,080</t>
        </is>
      </c>
      <c r="C61" t="inlineStr">
        <is>
          <t>4.5</t>
        </is>
      </c>
      <c r="D61">
        <f>HYPERLINK("https://www.amazon.co.jp/%E3%80%90%E6%96%B0%E7%B1%B3%E3%80%91%E5%84%AA%E8%89%AF%E9%87%91%E8%B3%9E%E5%8F%97%E8%B3%9E%E8%BE%B2%E5%AE%B6-%E3%81%97%E3%81%BE%E3%81%95%E3%81%8D%E8%BE%B2%E5%9C%92%E7%94%A3-%E7%89%B9%E5%88%A5%E6%A0%BD%E5%9F%B9%E7%B1%B3%E3%81%A4%E3%82%84%E5%A7%AB-%E4%BB%A4%E5%92%8C%E5%85%83%E5%B9%B4%E7%94%A3-5kg/dp/B07QPRFFJZ/ref=sr_1_60?__mk_ja_JP=%E3%82%AB%E3%82%BF%E3%82%AB%E3%83%8A&amp;dchild=1&amp;keywords=%E7%B1%B3&amp;qid=1598692008&amp;sr=8-60", "Go")</f>
        <v/>
      </c>
    </row>
    <row r="62">
      <c r="A62" t="inlineStr">
        <is>
          <t>【精米】新潟県産(辰巳屋産地直送米) 白米 こしいぶき 5ｋｇ</t>
        </is>
      </c>
      <c r="B62" t="inlineStr">
        <is>
          <t>￥2,960</t>
        </is>
      </c>
      <c r="C62" t="inlineStr">
        <is>
          <t>4.5</t>
        </is>
      </c>
      <c r="D62">
        <f>HYPERLINK("https://www.amazon.co.jp/30%E5%B9%B4%E7%94%A3-%E6%96%B0%E7%B1%B3%E3%80%90%E7%B2%BE%E7%B1%B3%E3%80%91%E6%96%B0%E6%BD%9F%E7%9C%8C%E7%94%A3-%E8%BE%B0%E5%B7%B3%E5%B1%8B%E7%94%A3%E5%9C%B0%E7%9B%B4%E9%80%81%E7%B1%B3-%E3%81%93%E3%81%97%E3%81%84%E3%81%B6%E3%81%8D-5%EF%BD%8B%EF%BD%87/dp/B014N8IFAG/ref=sr_1_61?__mk_ja_JP=%E3%82%AB%E3%82%BF%E3%82%AB%E3%83%8A&amp;dchild=1&amp;keywords=%E7%B1%B3&amp;qid=1598692008&amp;sr=8-61", "Go")</f>
        <v/>
      </c>
    </row>
    <row r="63">
      <c r="A63" t="inlineStr">
        <is>
          <t>【令和元年産】おやじの米 山形県鶴岡産 特別栽培米 つや姫（せがれの肥料仕込）白米 (5kg)</t>
        </is>
      </c>
      <c r="B63" t="inlineStr">
        <is>
          <t>￥4,980</t>
        </is>
      </c>
      <c r="C63" t="inlineStr">
        <is>
          <t>4.5</t>
        </is>
      </c>
      <c r="D63">
        <f>HYPERLINK("https://www.amazon.co.jp/%E3%80%90%E4%BB%A4%E5%92%8C%E5%85%83%E5%B9%B4%E7%94%A3-%E6%96%B0%E7%B1%B3%E3%80%91%E3%81%8A%E3%82%84%E3%81%98%E3%81%AE%E7%B1%B3-%E5%B1%B1%E5%BD%A2%E7%9C%8C%E9%B6%B4%E5%B2%A1%E7%94%A3-%E7%89%B9%E5%88%A5%E6%A0%BD%E5%9F%B9%E7%B1%B3-%E3%81%A4%E3%82%84%E5%A7%AB%EF%BC%88%E3%81%9B%E3%81%8C%E3%82%8C%E3%81%AE%E8%82%A5%E6%96%99%E4%BB%95%E8%BE%BC%EF%BC%89%E7%99%BD%E7%B1%B3/dp/B07TYVGQT3/ref=sr_1_62?__mk_ja_JP=%E3%82%AB%E3%82%BF%E3%82%AB%E3%83%8A&amp;dchild=1&amp;keywords=%E7%B1%B3&amp;qid=1598692008&amp;sr=8-62", "Go")</f>
        <v/>
      </c>
    </row>
    <row r="64">
      <c r="A64" t="inlineStr">
        <is>
          <t>【精米】雪室貯蔵米 熊本県産森のくまさん 5kg</t>
        </is>
      </c>
      <c r="B64" t="inlineStr">
        <is>
          <t>￥ 2,701</t>
        </is>
      </c>
      <c r="C64" t="inlineStr">
        <is>
          <t>5</t>
        </is>
      </c>
      <c r="D64">
        <f>HYPERLINK("https://www.amazon.co.jp/%E5%90%89%E5%85%86%E6%A5%BD-%E3%80%90%E7%B2%BE%E7%B1%B3%E3%80%91%E9%9B%AA%E5%AE%A4%E8%B2%AF%E8%94%B5%E7%B1%B3-%E7%86%8A%E6%9C%AC%E7%9C%8C%E7%94%A3%E6%A3%AE%E3%81%AE%E3%81%8F%E3%81%BE%E3%81%95%E3%82%93-5kg/dp/B06XKSSC1N/ref=sr_1_63?__mk_ja_JP=%E3%82%AB%E3%82%BF%E3%82%AB%E3%83%8A&amp;dchild=1&amp;keywords=%E7%B1%B3&amp;qid=1598692008&amp;sr=8-63", "Go")</f>
        <v/>
      </c>
    </row>
    <row r="65">
      <c r="A65" t="inlineStr">
        <is>
          <t>《2019年産》『六代目が厳選した特別栽培の仁多米』 奥出雲産コシヒカリ 5㎏ 【島根県産】</t>
        </is>
      </c>
      <c r="B65" t="inlineStr">
        <is>
          <t>￥3,280</t>
        </is>
      </c>
      <c r="C65" t="inlineStr">
        <is>
          <t>5</t>
        </is>
      </c>
      <c r="D65">
        <f>HYPERLINK("https://www.amazon.co.jp/%E7%89%A9%E9%83%A8%E7%B1%B3%E7%A9%80%E5%BA%97-%E3%80%8A%E5%B9%B3%E6%88%9030%E5%B9%B4%E7%94%A3%E3%80%8B%E6%96%B0%E7%B1%B3%E3%80%8E%E5%85%AD%E4%BB%A3%E7%9B%AE%E3%81%8C%E5%8E%B3%E9%81%B8%E3%81%97%E3%81%9F%E7%89%B9%E5%88%A5%E6%A0%BD%E5%9F%B9%E3%81%AE%E4%BB%81%E5%A4%9A%E7%B1%B3%E3%80%8F-%E5%A5%A5%E5%87%BA%E9%9B%B2%E7%94%A3%E3%82%B3%E3%82%B7%E3%83%92%E3%82%AB%E3%83%AA-5%E3%8E%8F-%E3%80%90%E5%B3%B6%E6%A0%B9%E7%9C%8C%E7%94%A3%E3%80%91/dp/B00AO2N416/ref=sr_1_64?__mk_ja_JP=%E3%82%AB%E3%82%BF%E3%82%AB%E3%83%8A&amp;dchild=1&amp;keywords=%E7%B1%B3&amp;qid=1598692008&amp;sr=8-64", "Go")</f>
        <v/>
      </c>
    </row>
    <row r="66">
      <c r="A66" t="inlineStr">
        <is>
          <t>【精米】[Amazon限定ブランド] 580.com 秋田県産 白米 あきたこまち 5kg 令和元年産</t>
        </is>
      </c>
      <c r="B66" t="inlineStr">
        <is>
          <t>現在在庫切れです。</t>
        </is>
      </c>
      <c r="C66" t="inlineStr">
        <is>
          <t>4.1</t>
        </is>
      </c>
      <c r="D66">
        <f>HYPERLINK("https://www.amazon.co.jp/%E3%80%90%E7%B2%BE%E7%B1%B3%E3%80%91-Amazon%E9%99%90%E5%AE%9A%E3%83%96%E3%83%A9%E3%83%B3%E3%83%89-580-com-%E3%81%82%E3%81%8D%E3%81%9F%E3%81%93%E3%81%BE%E3%81%A1-%E4%BB%A4%E5%92%8C%E5%85%83%E5%B9%B4%E7%94%A3/dp/B07SC6H49W/ref=sr_1_65_sspa?__mk_ja_JP=%E3%82%AB%E3%82%BF%E3%82%AB%E3%83%8A&amp;dchild=1&amp;keywords=%E7%B1%B3&amp;qid=1598692008&amp;s=pantry&amp;sr=8-65-spons&amp;psc=1&amp;spLa=ZW5jcnlwdGVkUXVhbGlmaWVyPUEySzBOOTRYVzBIMk82JmVuY3J5cHRlZElkPUEwOTUzMTI4MUFDVzY4OEVGSko1UiZlbmNyeXB0ZWRBZElkPUExT1lYSTI2WjNMOVkwJndpZGdldE5hbWU9c3BfbXRmJmFjdGlvbj1jbGlja1JlZGlyZWN0JmRvTm90TG9nQ2xpY2s9dHJ1ZQ==", "Go")</f>
        <v/>
      </c>
    </row>
    <row r="67">
      <c r="A67" t="inlineStr">
        <is>
          <t>[Amazonブランド] Happy Belly パックご飯 秋田県産あきたこまち 180g×24個(白米)</t>
        </is>
      </c>
      <c r="B67" t="inlineStr"/>
      <c r="C67" t="inlineStr">
        <is>
          <t>4.3</t>
        </is>
      </c>
      <c r="D67">
        <f>HYPERLINK("https://www.amazon.co.jp/Amazon%E3%83%96%E3%83%A9%E3%83%B3%E3%83%89-Happy-Belly-%E7%A7%8B%E7%94%B0%E7%9C%8C%E7%94%A3%E3%81%82%E3%81%8D%E3%81%9F%E3%81%93%E3%81%BE%E3%81%A1-180g%C3%9724%E5%80%8B/dp/B07SL576JV/ref=sr_1_66_sspa?__mk_ja_JP=%E3%82%AB%E3%82%BF%E3%82%AB%E3%83%8A&amp;dchild=1&amp;keywords=%E7%B1%B3&amp;qid=1598692008&amp;sr=8-66-spons&amp;psc=1&amp;spLa=ZW5jcnlwdGVkUXVhbGlmaWVyPUEySzBOOTRYVzBIMk82JmVuY3J5cHRlZElkPUEwOTUzMTI4MUFDVzY4OEVGSko1UiZlbmNyeXB0ZWRBZElkPUExVDE1REo0MUNWVlhOJndpZGdldE5hbWU9c3BfbXRmJmFjdGlvbj1jbGlja1JlZGlyZWN0JmRvTm90TG9nQ2xpY2s9dHJ1ZQ==", "Go")</f>
        <v/>
      </c>
    </row>
    <row r="68">
      <c r="A68" t="inlineStr">
        <is>
          <t>【精米】[Amazonブランド]Happy Belly 北海道産 ななつぼし 5kg 農薬節減米 令和元年産</t>
        </is>
      </c>
      <c r="B68" t="inlineStr"/>
      <c r="C68" t="inlineStr">
        <is>
          <t>4.1</t>
        </is>
      </c>
      <c r="D68">
        <f>HYPERLINK("https://www.amazon.co.jp/Amazon%E3%83%96%E3%83%A9%E3%83%B3%E3%83%89-Happy-Belly-%E8%BE%B2%E8%96%AC%E7%AF%80%E6%B8%9B%E7%B1%B3-%E5%B9%B3%E6%88%9030%E5%B9%B4%E7%94%A3/dp/B0784BWCZX/ref=sr_1_67_sspa?__mk_ja_JP=%E3%82%AB%E3%82%BF%E3%82%AB%E3%83%8A&amp;dchild=1&amp;keywords=%E7%B1%B3&amp;qid=1598692008&amp;sr=8-67-spons&amp;psc=1&amp;spLa=ZW5jcnlwdGVkUXVhbGlmaWVyPUEySzBOOTRYVzBIMk82JmVuY3J5cHRlZElkPUEwOTUzMTI4MUFDVzY4OEVGSko1UiZlbmNyeXB0ZWRBZElkPUEyTUkyNTZTUTRWTjlZJndpZGdldE5hbWU9c3BfbXRmJmFjdGlvbj1jbGlja1JlZGlyZWN0JmRvTm90TG9nQ2xpY2s9dHJ1ZQ==", "Go")</f>
        <v/>
      </c>
    </row>
    <row r="69">
      <c r="A69" t="inlineStr">
        <is>
          <t>【精米】熊本県産くまさんの輝き5kg</t>
        </is>
      </c>
      <c r="B69" t="inlineStr">
        <is>
          <t>￥ 2,478</t>
        </is>
      </c>
      <c r="C69" t="inlineStr">
        <is>
          <t>4.5</t>
        </is>
      </c>
      <c r="D69">
        <f>HYPERLINK("https://www.amazon.co.jp/%E7%86%8A%E6%9C%AC%E3%83%91%E3%83%BC%E3%83%AB%E3%83%A9%E3%82%A4%E3%82%B9-%E3%80%90%E7%B2%BE%E7%B1%B3%E3%80%91%E7%86%8A%E6%9C%AC%E7%9C%8C%E7%94%A3%E3%81%8F%E3%81%BE%E3%81%95%E3%82%93%E3%81%AE%E8%BC%9D%E3%81%8D5kg/dp/B07B962P44/ref=sr_1_68?__mk_ja_JP=%E3%82%AB%E3%82%BF%E3%82%AB%E3%83%8A&amp;dchild=1&amp;keywords=%E7%B1%B3&amp;qid=1598692008&amp;sr=8-68", "Go")</f>
        <v/>
      </c>
    </row>
    <row r="70">
      <c r="A70" t="inlineStr">
        <is>
          <t>龍の瞳 2㎏ 岐阜産 新米 令和元年産</t>
        </is>
      </c>
      <c r="B70" t="inlineStr">
        <is>
          <t>￥3,100</t>
        </is>
      </c>
      <c r="C70" t="inlineStr">
        <is>
          <t>4.7</t>
        </is>
      </c>
      <c r="D70">
        <f>HYPERLINK("https://www.amazon.co.jp/%E9%BE%8D%E3%81%AE%E7%9E%B3-2%E3%8E%8F-%E5%B2%90%E9%98%9C%E7%94%A3-%E6%96%B0%E7%B1%B3-%E4%BB%A4%E5%92%8C%E5%85%83%E5%B9%B4%E7%94%A3/dp/B07ZNPFLHT/ref=sr_1_69?__mk_ja_JP=%E3%82%AB%E3%82%BF%E3%82%AB%E3%83%8A&amp;dchild=1&amp;keywords=%E7%B1%B3&amp;qid=1598692008&amp;sr=8-69", "Go")</f>
        <v/>
      </c>
    </row>
    <row r="71">
      <c r="A71" t="inlineStr">
        <is>
          <t>《令和元年新米》【受注精米】新潟県産 新之助 ５kg×2袋（精米）</t>
        </is>
      </c>
      <c r="B71" t="inlineStr">
        <is>
          <t>￥6,400</t>
        </is>
      </c>
      <c r="C71" t="inlineStr">
        <is>
          <t>4.7</t>
        </is>
      </c>
      <c r="D71">
        <f>HYPERLINK("https://www.amazon.co.jp/%E3%81%8A%E7%B1%B3%E3%81%AE%E3%81%9F%E3%81%8B%E3%81%95%E3%81%8B-%E3%80%90%E5%8F%97%E6%B3%A8%E7%B2%BE%E7%B1%B3%E3%80%91%E3%80%90%E5%B9%B3%E6%88%9030%E5%B9%B4%E7%94%A3%E3%80%91%E6%96%B0%E6%BD%9F%E7%9C%8C%E7%94%A3-%E6%96%B0%E4%B9%8B%E5%8A%A9-%EF%BC%95kg%C3%972%E8%A2%8B%EF%BC%88%E7%B2%BE%E7%B1%B3%EF%BC%89/dp/B07JCLQL5L/ref=sr_1_70?__mk_ja_JP=%E3%82%AB%E3%82%BF%E3%82%AB%E3%83%8A&amp;dchild=1&amp;keywords=%E7%B1%B3&amp;qid=1598692008&amp;sr=8-70", "Go")</f>
        <v/>
      </c>
    </row>
    <row r="72">
      <c r="A72" t="inlineStr">
        <is>
          <t>【送料無料・白米】岩手県産ひとめぼれ30kgを精米します /一等米限定 /注文後精米 /つきたて新鮮</t>
        </is>
      </c>
      <c r="B72" t="inlineStr">
        <is>
          <t>￥12,680</t>
        </is>
      </c>
      <c r="C72" t="inlineStr">
        <is>
          <t>4.4</t>
        </is>
      </c>
      <c r="D72">
        <f>HYPERLINK("https://www.amazon.co.jp/%E5%B2%A9%E6%89%8B%E7%9C%8C%E3%80%8C%E8%BE%B2%E3%81%AE%E5%8C%A0%E3%80%8D-%E3%80%90%E9%80%81%E6%96%99%E7%84%A1%E6%96%99%E3%83%BB%E7%99%BD%E7%B1%B3%E3%80%91%E5%B2%A9%E6%89%8B%E7%9C%8C%E7%94%A3%E3%81%B2%E3%81%A8%E3%82%81%E3%81%BC%E3%82%8C30kg%E3%82%92%E7%B2%BE%E7%B1%B3%E3%81%97%E3%81%BE%E3%81%99-%E4%B8%80%E7%AD%89%E7%B1%B3%E9%99%90%E5%AE%9A-%E6%B3%A8%E6%96%87%E5%BE%8C%E7%B2%BE%E7%B1%B3-%E3%81%A4%E3%81%8D%E3%81%9F%E3%81%A6%E6%96%B0%E9%AE%AE/dp/B07S9RD7PF/ref=sr_1_71?__mk_ja_JP=%E3%82%AB%E3%82%BF%E3%82%AB%E3%83%8A&amp;dchild=1&amp;keywords=%E7%B1%B3&amp;qid=1598692008&amp;sr=8-71", "Go")</f>
        <v/>
      </c>
    </row>
    <row r="73">
      <c r="A73" t="inlineStr">
        <is>
          <t>令和元年産 奈良産 ヒノヒカリ 5kg 明日香 レンゲ栽培米 (7分づき（精米後約4.65kg）)</t>
        </is>
      </c>
      <c r="B73" t="inlineStr">
        <is>
          <t>￥2,780</t>
        </is>
      </c>
      <c r="C73" t="inlineStr">
        <is>
          <t>4.4</t>
        </is>
      </c>
      <c r="D73">
        <f>HYPERLINK("https://www.amazon.co.jp/30%E5%B9%B4%E7%94%A3-%E5%A5%88%E8%89%AF%E7%94%A3-%E3%83%92%E3%83%8E%E3%83%92%E3%82%AB%E3%83%AA-%E3%83%AC%E3%83%B3%E3%82%B2%E6%A0%BD%E5%9F%B9%E7%B1%B3-7%E5%88%86%E3%81%A5%E3%81%8D%EF%BC%88%E7%B2%BE%E7%B1%B3%E5%BE%8C%E7%B4%844-65kg%EF%BC%89/dp/B017A38Z7E/ref=sr_1_72?__mk_ja_JP=%E3%82%AB%E3%82%BF%E3%82%AB%E3%83%8A&amp;dchild=1&amp;keywords=%E7%B1%B3&amp;qid=1598692008&amp;sr=8-72", "Go")</f>
        <v/>
      </c>
    </row>
    <row r="74">
      <c r="A74" t="inlineStr">
        <is>
          <t>一升 米 1 歳 2合*5個 一升餅の代わり 新潟産コシヒカリ (お祝い赤)</t>
        </is>
      </c>
      <c r="B74" t="inlineStr">
        <is>
          <t>￥2,780</t>
        </is>
      </c>
      <c r="C74" t="inlineStr">
        <is>
          <t>4.6</t>
        </is>
      </c>
      <c r="D74">
        <f>HYPERLINK("https://www.amazon.co.jp/%E4%B8%80%E5%8D%87-2%E5%90%88-%E4%B8%80%E5%8D%87%E9%A4%85%E3%81%AE%E4%BB%A3%E3%82%8F%E3%82%8A-%E6%96%B0%E6%BD%9F%E7%94%A3%E3%82%B3%E3%82%B7%E3%83%92%E3%82%AB%E3%83%AA-%E3%81%8A%E7%A5%9D%E3%81%84%E8%B5%A4/dp/B07V21J6XP/ref=sr_1_73?__mk_ja_JP=%E3%82%AB%E3%82%BF%E3%82%AB%E3%83%8A&amp;dchild=1&amp;keywords=%E7%B1%B3&amp;qid=1598692008&amp;sr=8-73", "Go")</f>
        <v/>
      </c>
    </row>
    <row r="75">
      <c r="A75" t="inlineStr">
        <is>
          <t>（限定特価）令和元年産 新潟県産 新之助 10kg (5kg×2) (１等米)　白米 精米（新潟プレミアムブランド米） お米</t>
        </is>
      </c>
      <c r="B75" t="inlineStr">
        <is>
          <t>￥5,399</t>
        </is>
      </c>
      <c r="C75" t="inlineStr">
        <is>
          <t>4.4</t>
        </is>
      </c>
      <c r="D75">
        <f>HYPERLINK("https://www.amazon.co.jp/%E7%89%B9%E4%BE%A1%EF%BC%88%E7%94%A3%E5%9C%B0%E7%9B%B4%E9%80%81%E7%B1%B3%EF%BC%89%E4%BB%A4%E5%92%8C%E5%85%83%E5%B9%B4%E7%94%A3-%E6%96%B0%E4%B9%8B%E5%8A%A9-5kg%C3%972-%E6%96%B0%E7%B1%B3-5%E3%8E%8F%C3%972-%E6%96%B0%E6%BD%9F%E3%83%96%E3%83%A9%E3%83%B3%E3%83%89%E7%B1%B3/dp/B07XKR1MDX/ref=sr_1_75?__mk_ja_JP=%E3%82%AB%E3%82%BF%E3%82%AB%E3%83%8A&amp;dchild=1&amp;keywords=%E7%B1%B3&amp;qid=1598692008&amp;sr=8-75", "Go")</f>
        <v/>
      </c>
    </row>
    <row r="76">
      <c r="A76" t="inlineStr">
        <is>
          <t>【精米】 福島県産 「ふくしまの米」 ギフトセット (コシヒカリ ひとめぼれ 天のつぶ 里山のつぶ 各1個) 300g ×4個</t>
        </is>
      </c>
      <c r="B76" t="inlineStr">
        <is>
          <t>￥2,580</t>
        </is>
      </c>
      <c r="C76" t="inlineStr">
        <is>
          <t>4.5</t>
        </is>
      </c>
      <c r="D76">
        <f>HYPERLINK("https://www.amazon.co.jp/%E3%80%8C%E3%81%B5%E3%81%8F%E3%81%97%E3%81%BE%E3%81%AE%E7%B1%B3%E3%80%8D-%E3%82%AE%E3%83%95%E3%83%88%E3%82%BB%E3%83%83%E3%83%88-%E3%82%B3%E3%82%B7%E3%83%92%E3%82%AB%E3%83%AA-%E3%81%B2%E3%81%A8%E3%82%81%E3%81%BC%E3%82%8C-%E9%87%8C%E5%B1%B1%E3%81%AE%E3%81%A4%E3%81%B6/dp/B07VVCMMPM/ref=sr_1_76?__mk_ja_JP=%E3%82%AB%E3%82%BF%E3%82%AB%E3%83%8A&amp;dchild=1&amp;keywords=%E7%B1%B3&amp;qid=1598692008&amp;sr=8-76", "Go")</f>
        <v/>
      </c>
    </row>
    <row r="77">
      <c r="A77" t="inlineStr">
        <is>
          <t>【白米】奈良県産ひのひかり30kgを精米します /注文後精米 /つきたて新鮮</t>
        </is>
      </c>
      <c r="B77" t="inlineStr">
        <is>
          <t>￥11,980</t>
        </is>
      </c>
      <c r="C77" t="inlineStr">
        <is>
          <t>4.7</t>
        </is>
      </c>
      <c r="D77">
        <f>HYPERLINK("https://www.amazon.co.jp/%E5%A5%88%E8%89%AF%E7%9C%8C%E3%80%8C%E8%BE%B2%E3%81%AE%E5%8C%A0%E3%80%8D-%E3%80%90%E7%B2%BE%E7%B1%B3%E7%84%A1%E6%96%99%E3%83%BB%E7%99%BD%E7%B1%B3%E3%80%91%E5%A5%88%E8%89%AF%E7%9C%8C%E7%94%A3%E3%81%B2%E3%81%AE%E3%81%B2%E3%81%8B%E3%82%8A30kg%E3%82%92%E7%B2%BE%E7%B1%B3%E3%81%97%E3%81%BE%E3%81%99-%E3%81%A4%E3%81%8D%E3%81%9F%E3%81%A6%E6%96%B0%E9%AE%AE/dp/B079NYFBJK/ref=sr_1_77?__mk_ja_JP=%E3%82%AB%E3%82%BF%E3%82%AB%E3%83%8A&amp;dchild=1&amp;keywords=%E7%B1%B3&amp;qid=1598692008&amp;sr=8-77", "Go")</f>
        <v/>
      </c>
    </row>
    <row r="78">
      <c r="A78" t="inlineStr">
        <is>
          <t>【精米】福島県会津若松市産 坂内農園のお米 特別栽培米 白米 コシヒカリ 5kg 令和元年産</t>
        </is>
      </c>
      <c r="B78" t="inlineStr">
        <is>
          <t>￥3,180</t>
        </is>
      </c>
      <c r="C78" t="inlineStr">
        <is>
          <t>4.4</t>
        </is>
      </c>
      <c r="D78">
        <f>HYPERLINK("https://www.amazon.co.jp/%E3%80%90%E7%B2%BE%E7%B1%B3%E3%80%91%E7%A6%8F%E5%B3%B6%E7%9C%8C%E4%BC%9A%E6%B4%A5%E8%8B%A5%E6%9D%BE%E5%B8%82%E7%94%A3-%E5%9D%82%E5%86%85%E8%BE%B2%E5%9C%92%E3%81%AE%E3%81%8A%E7%B1%B3-%E7%89%B9%E5%88%A5%E6%A0%BD%E5%9F%B9%E7%B1%B3-%E3%82%B3%E3%82%B7%E3%83%92%E3%82%AB%E3%83%AA-%E5%B9%B3%E6%88%9030%E5%B9%B4%E7%94%A3/dp/B06Y64WHTW/ref=sr_1_78?__mk_ja_JP=%E3%82%AB%E3%82%BF%E3%82%AB%E3%83%8A&amp;dchild=1&amp;keywords=%E7%B1%B3&amp;qid=1598692008&amp;sr=8-78", "Go")</f>
        <v/>
      </c>
    </row>
    <row r="79">
      <c r="A79" t="inlineStr">
        <is>
          <t>野沢農産【精米】令和元年産 長野県産 コシヒカリ 5kg</t>
        </is>
      </c>
      <c r="B79" t="inlineStr">
        <is>
          <t>￥2,092 (￥0 / g)</t>
        </is>
      </c>
      <c r="C79" t="inlineStr">
        <is>
          <t>4.3</t>
        </is>
      </c>
      <c r="D79">
        <f>HYPERLINK("https://www.amazon.co.jp/%E9%87%8E%E6%B2%A2%E8%BE%B2%E7%94%A3%E7%94%9F%E7%94%A3%E7%B5%84%E5%90%88-%E5%B9%B3%E6%88%9030%E5%B9%B4%E7%94%A3-%E9%95%B7%E9%87%8E%E7%9C%8C%E7%94%A3-%E3%82%B3%E3%82%B7%E3%83%92%E3%82%AB%E3%83%AA-5kg/dp/B07NDVQ1FQ/ref=sr_1_79?__mk_ja_JP=%E3%82%AB%E3%82%BF%E3%82%AB%E3%83%8A&amp;dchild=1&amp;keywords=%E7%B1%B3&amp;qid=1598692008&amp;sr=8-79", "Go")</f>
        <v/>
      </c>
    </row>
    <row r="80">
      <c r="A80" t="inlineStr">
        <is>
          <t>【精米】[Amazon限定ブランド] 580.com 千葉県産 白米 ふさこがね 5kg 令和元年産</t>
        </is>
      </c>
      <c r="B80" t="inlineStr">
        <is>
          <t>￥2,309</t>
        </is>
      </c>
      <c r="C80" t="inlineStr">
        <is>
          <t>4</t>
        </is>
      </c>
      <c r="D80">
        <f>HYPERLINK("https://www.amazon.co.jp/Amazon%E9%99%90%E5%AE%9A%E3%83%96%E3%83%A9%E3%83%B3%E3%83%89-%E3%80%90%E7%B2%BE%E7%B1%B3%E3%80%91-%E5%8D%83%E8%91%89%E7%9C%8C%E7%94%A3-%E3%81%B5%E3%81%95%E3%81%93%E3%81%8C%E3%81%AD-%E4%BB%A4%E5%92%8C%E5%85%83%E5%B9%B4%E7%94%A3/dp/B07WRPR4TV/ref=sr_1_80_sspa?__mk_ja_JP=%E3%82%AB%E3%82%BF%E3%82%AB%E3%83%8A&amp;dchild=1&amp;keywords=%E7%B1%B3&amp;qid=1598692008&amp;sr=8-80-spons&amp;psc=1&amp;spLa=ZW5jcnlwdGVkUXVhbGlmaWVyPUEySzBOOTRYVzBIMk82JmVuY3J5cHRlZElkPUEwOTUzMTI4MUFDVzY4OEVGSko1UiZlbmNyeXB0ZWRBZElkPUExTlRaRjJLSk1XSUVGJndpZGdldE5hbWU9c3BfbXRmJmFjdGlvbj1jbGlja1JlZGlyZWN0JmRvTm90TG9nQ2xpY2s9dHJ1ZQ==", "Go")</f>
        <v/>
      </c>
    </row>
    <row r="81">
      <c r="A81" t="inlineStr">
        <is>
          <t>【受注精米】 山形県産 つや姫 新米 令和元年産 2kg 「お米はここまで美味しくなれました。」</t>
        </is>
      </c>
      <c r="B81" t="inlineStr">
        <is>
          <t>￥1,400</t>
        </is>
      </c>
      <c r="C81" t="inlineStr">
        <is>
          <t>4.6</t>
        </is>
      </c>
      <c r="D81">
        <f>HYPERLINK("https://www.amazon.co.jp/%E3%80%90%E5%8F%97%E6%B3%A8%E7%B2%BE%E7%B1%B3%E3%80%91-%E5%B1%B1%E5%BD%A2%E7%9C%8C%E7%94%A3-%E3%81%A4%E3%82%84%E5%A7%AB-%E5%B9%B3%E6%88%9030%E5%B9%B4%E7%94%A3-%E3%80%8C%E3%81%8A%E7%B1%B3%E3%81%AF%E3%81%93%E3%81%93%E3%81%BE%E3%81%A7%E7%BE%8E%E5%91%B3%E3%81%97%E3%81%8F%E3%81%AA%E3%82%8C%E3%81%BE%E3%81%97%E3%81%9F%E3%80%82%E3%80%8D/dp/B01MRAHZRK/ref=sr_1_83?__mk_ja_JP=%E3%82%AB%E3%82%BF%E3%82%AB%E3%83%8A&amp;dchild=1&amp;keywords=%E7%B1%B3&amp;qid=1598692008&amp;sr=8-83", "Go")</f>
        <v/>
      </c>
    </row>
    <row r="82">
      <c r="A82" t="inlineStr">
        <is>
          <t>【金芽米】【無洗米】つや姫（山形おきたま産）（旨み層を残した特別な無洗米） 4.5kg［受注精米］（令和元年産） (4.5kg×2もございます)</t>
        </is>
      </c>
      <c r="B82" t="inlineStr">
        <is>
          <t>￥2,920</t>
        </is>
      </c>
      <c r="C82" t="inlineStr">
        <is>
          <t>4.4</t>
        </is>
      </c>
      <c r="D82">
        <f>HYPERLINK("https://www.amazon.co.jp/%E5%B1%B1%E5%BD%A2%E7%9C%8C%E7%94%A3%E3%81%A4%E3%82%84%E5%A7%AB-%E3%80%90%E7%84%A1%E6%B4%97%E7%B1%B3%E3%80%91%E3%81%A4%E3%82%84%E5%A7%AB%EF%BC%88%E5%B1%B1%E5%BD%A2%E3%81%8A%E3%81%8D%E3%81%9F%E3%81%BE%E7%94%A3%EF%BC%89%EF%BC%88%E6%97%A8%E3%81%BF%E5%B1%A4%E3%82%92%E6%AE%8B%E3%81%97%E3%81%9F%E7%89%B9%E5%88%A5%E3%81%AA%E7%84%A1%E6%B4%97%E7%B1%B3%EF%BC%89-4-5kg%EF%BC%BB%E5%8F%97%E6%B3%A8%E7%B2%BE%E7%B1%B3%EF%BC%BD-4-5kg/dp/B07JH2KM5G/ref=sr_1_84?__mk_ja_JP=%E3%82%AB%E3%82%BF%E3%82%AB%E3%83%8A&amp;dchild=1&amp;keywords=%E7%B1%B3&amp;qid=1598692008&amp;sr=8-84", "Go")</f>
        <v/>
      </c>
    </row>
    <row r="83">
      <c r="A83" t="inlineStr">
        <is>
          <t>令和元年産　山形県産　雪若丸　精米５kg×２</t>
        </is>
      </c>
      <c r="B83" t="inlineStr">
        <is>
          <t>￥4,980</t>
        </is>
      </c>
      <c r="C83" t="inlineStr">
        <is>
          <t>4.5</t>
        </is>
      </c>
      <c r="D83">
        <f>HYPERLINK("https://www.amazon.co.jp/%E5%B1%B1%E5%BD%A2%E7%B1%B3%E3%81%AE%E4%B8%B9%E9%87%8E%E5%95%86%E5%BA%97-%E5%B1%B1%E5%BD%A2%E7%9C%8C%E7%94%A3-%E9%9B%AA%E8%8B%A5%E4%B8%B8-%E7%B2%BE%E7%B1%B3%EF%BC%95kg%C3%97%EF%BC%92/dp/B07HFV1ZDC/ref=sr_1_85?__mk_ja_JP=%E3%82%AB%E3%82%BF%E3%82%AB%E3%83%8A&amp;dchild=1&amp;keywords=%E7%B1%B3&amp;qid=1598692008&amp;sr=8-85", "Go")</f>
        <v/>
      </c>
    </row>
    <row r="84">
      <c r="A84" t="inlineStr">
        <is>
          <t>【精米】山口県産 白米 雪蔵仕込み こしひかり 5㎏ 令和元年産</t>
        </is>
      </c>
      <c r="B84" t="inlineStr"/>
      <c r="C84" t="inlineStr">
        <is>
          <t>4.5</t>
        </is>
      </c>
      <c r="D84">
        <f>HYPERLINK("https://www.amazon.co.jp/%E3%80%90%E7%B2%BE%E7%B1%B3%E3%80%91%E5%B1%B1%E5%8F%A3%E7%9C%8C%E7%94%A3-%E7%99%BD%E7%B1%B3-%E9%9B%AA%E8%94%B5%E4%BB%95%E8%BE%BC%E3%81%BF-%E3%81%93%E3%81%97%E3%81%B2%E3%81%8B%E3%82%8A-%E5%B9%B3%E6%88%9030%E5%B9%B4%E7%94%A3/dp/B007RKC91O/ref=sr_1_86?__mk_ja_JP=%E3%82%AB%E3%82%BF%E3%82%AB%E3%83%8A&amp;dchild=1&amp;keywords=%E7%B1%B3&amp;qid=1598692008&amp;sr=8-86", "Go")</f>
        <v/>
      </c>
    </row>
    <row r="85">
      <c r="A85" t="inlineStr">
        <is>
          <t>【精米】岩手県産 白米 銀河のしずく 5kg 令和元年産</t>
        </is>
      </c>
      <c r="B85" t="inlineStr">
        <is>
          <t>￥ 3,100</t>
        </is>
      </c>
      <c r="C85" t="inlineStr">
        <is>
          <t>4.3</t>
        </is>
      </c>
      <c r="D85">
        <f>HYPERLINK("https://www.amazon.co.jp/%E3%80%90%E7%B2%BE%E7%B1%B3%E3%80%91%E5%B2%A9%E6%89%8B%E7%9C%8C%E7%94%A3-%E7%99%BD%E7%B1%B3-%E9%8A%80%E6%B2%B3%E3%81%AE%E3%81%97%E3%81%9A%E3%81%8F-5kg-%E5%B9%B3%E6%88%9030%E5%B9%B4%E7%94%A3/dp/B0772NZK5N/ref=sr_1_87?__mk_ja_JP=%E3%82%AB%E3%82%BF%E3%82%AB%E3%83%8A&amp;dchild=1&amp;keywords=%E7%B1%B3&amp;qid=1598692008&amp;sr=8-87", "Go")</f>
        <v/>
      </c>
    </row>
    <row r="86">
      <c r="A86" t="inlineStr">
        <is>
          <t>令和元年産 越後の米穀商高田屋 魚沼産コシヒカリ 精白米10kg</t>
        </is>
      </c>
      <c r="B86" t="inlineStr">
        <is>
          <t>￥5,800</t>
        </is>
      </c>
      <c r="C86" t="inlineStr">
        <is>
          <t>4.4</t>
        </is>
      </c>
      <c r="D86">
        <f>HYPERLINK("https://www.amazon.co.jp/%E6%96%B0%E7%B1%B3-%E8%B6%8A%E5%BE%8C%E3%81%AE%E7%B1%B3%E7%A9%80%E5%95%86%E9%AB%98%E7%94%B0%E5%B1%8B-%E9%AD%9A%E6%B2%BC%E7%94%A3%E3%82%B3%E3%82%B7%E3%83%92%E3%82%AB%E3%83%AA-%E7%B2%BE%E7%99%BD%E7%B1%B310kg-30%E5%B9%B4%E7%94%A3/dp/B00OVJXIU0/ref=sr_1_88?__mk_ja_JP=%E3%82%AB%E3%82%BF%E3%82%AB%E3%83%8A&amp;dchild=1&amp;keywords=%E7%B1%B3&amp;qid=1598692008&amp;sr=8-88", "Go")</f>
        <v/>
      </c>
    </row>
    <row r="87">
      <c r="A87" t="inlineStr">
        <is>
          <t>野沢農産 無洗米 令和元年産 特A産地 新潟県 魚沼産コシヒカリ 5kg</t>
        </is>
      </c>
      <c r="B87" t="inlineStr">
        <is>
          <t>￥3,121 (￥1 / g)</t>
        </is>
      </c>
      <c r="C87" t="inlineStr">
        <is>
          <t>4.3</t>
        </is>
      </c>
      <c r="D87">
        <f>HYPERLINK("https://www.amazon.co.jp/%E9%87%8E%E6%B2%A2%E8%BE%B2%E7%94%A3%E7%94%9F%E7%94%A3%E7%B5%84%E5%90%88-%E4%BB%A4%E5%92%8C%E5%85%83%E5%B9%B4%E7%94%A3-%E6%96%B0%E6%BD%9F%E7%9C%8C-%E9%AD%9A%E6%B2%BC%E7%94%A3%E3%82%B3%E3%82%B7%E3%83%92%E3%82%AB%E3%83%AA-5kg/dp/B07VDX9DKZ/ref=sr_1_89?__mk_ja_JP=%E3%82%AB%E3%82%BF%E3%82%AB%E3%83%8A&amp;dchild=1&amp;keywords=%E7%B1%B3&amp;qid=1598692008&amp;sr=8-89", "Go")</f>
        <v/>
      </c>
    </row>
    <row r="88">
      <c r="A88" t="inlineStr">
        <is>
          <t>限定特価(1等米使用) 令和元年産 新潟産 コシヒカリ 10㎏ (5㎏×2) （食味分析80点以上） 白米 精米 新潟 コシヒカリ 新潟県産 コシヒカリ 5㎏ × 2 お米 産地直送米</t>
        </is>
      </c>
      <c r="B88" t="inlineStr">
        <is>
          <t>￥4,866</t>
        </is>
      </c>
      <c r="C88" t="inlineStr">
        <is>
          <t>4.3</t>
        </is>
      </c>
      <c r="D88">
        <f>HYPERLINK("https://www.amazon.co.jp/%EF%BC%88%E9%99%90%E5%AE%9A%E7%89%B9%E4%BE%A1%EF%BC%89%E7%94%A3%E5%9C%B0%E7%9B%B4%E9%80%81%E7%B1%B3%EF%BC%88%EF%BC%91%E7%AD%89%E7%B1%B3%E3%81%AE%E3%81%BF%E4%BD%BF%E7%94%A8%E3%81%A7%E3%81%99%EF%BC%89-30%E5%B9%B4%E7%94%A3-%E3%82%B3%E3%82%B7%E3%83%92%E3%82%AB%E3%83%AA-%E6%96%B0%E6%BD%9F-%E3%81%93%E3%81%97%E3%81%B2%E3%81%8B%E3%82%8A/dp/B07KS2RFVV/ref=sr_1_90?__mk_ja_JP=%E3%82%AB%E3%82%BF%E3%82%AB%E3%83%8A&amp;dchild=1&amp;keywords=%E7%B1%B3&amp;qid=1598692008&amp;sr=8-90", "Go")</f>
        <v/>
      </c>
    </row>
    <row r="89">
      <c r="A89" t="inlineStr">
        <is>
          <t>【精米】青森県産 白米 青天の霹靂 2kg 令和元年産</t>
        </is>
      </c>
      <c r="B89" t="inlineStr">
        <is>
          <t>￥ 2,478</t>
        </is>
      </c>
      <c r="C89" t="inlineStr">
        <is>
          <t>4.3</t>
        </is>
      </c>
      <c r="D89">
        <f>HYPERLINK("https://www.amazon.co.jp/%E3%80%90%E7%B2%BE%E7%B1%B3%E3%80%91%E9%9D%92%E6%A3%AE%E7%9C%8C%E7%94%A3-%E7%99%BD%E7%B1%B3-%E9%9D%92%E5%A4%A9%E3%81%AE%E9%9C%B9%E9%9D%82-2kg-%E5%B9%B3%E6%88%9030%E5%B9%B4%E7%94%A3/dp/B01FTYBCZS/ref=sr_1_91?__mk_ja_JP=%E3%82%AB%E3%82%BF%E3%82%AB%E3%83%8A&amp;dchild=1&amp;keywords=%E7%B1%B3&amp;qid=1598692008&amp;sr=8-91", "Go")</f>
        <v/>
      </c>
    </row>
    <row r="90">
      <c r="A90" t="inlineStr">
        <is>
          <t>《令和元年新米》【受注精米】令和元年産新潟県産コシヒカリ 5kg （精米）</t>
        </is>
      </c>
      <c r="B90" t="inlineStr">
        <is>
          <t>￥2,880</t>
        </is>
      </c>
      <c r="C90" t="inlineStr">
        <is>
          <t>4.3</t>
        </is>
      </c>
      <c r="D90">
        <f>HYPERLINK("https://www.amazon.co.jp/%E3%81%8A%E7%B1%B3%E3%81%AE%E3%81%9F%E3%81%8B%E3%81%95%E3%81%8B-%E3%80%90%E5%8F%97%E6%B3%A8%E7%B2%BE%E7%B1%B3%E3%80%91%E3%80%9030%E5%B9%B4%E7%94%A3%E6%96%B0%E7%B1%B3%E3%80%91%E6%96%B0%E6%BD%9F%E7%9C%8C%E7%94%A3%E3%82%B3%E3%82%B7%E3%83%92%E3%82%AB%E3%83%AA-5kg-%EF%BC%88%E7%B2%BE%E7%B1%B3%EF%BC%89/dp/B07H1C9D2S/ref=sr_1_92?__mk_ja_JP=%E3%82%AB%E3%82%BF%E3%82%AB%E3%83%8A&amp;dchild=1&amp;keywords=%E7%B1%B3&amp;qid=1598692008&amp;sr=8-92", "Go")</f>
        <v/>
      </c>
    </row>
    <row r="91">
      <c r="A91" t="inlineStr">
        <is>
          <t>弁次郎商店 ジャスミン米 タイ王国産 MFD2019.12.02 香り米 白米 5kg タイ米 弁ちゃん印</t>
        </is>
      </c>
      <c r="B91" t="inlineStr">
        <is>
          <t>￥3,280</t>
        </is>
      </c>
      <c r="C91" t="inlineStr">
        <is>
          <t>4.3</t>
        </is>
      </c>
      <c r="D91">
        <f>HYPERLINK("https://www.amazon.co.jp/dp/B004UJHS8Y/ref=sr_1_93?__mk_ja_JP=%E3%82%AB%E3%82%BF%E3%82%AB%E3%83%8A&amp;dchild=1&amp;keywords=%E7%B1%B3&amp;qid=1598692008&amp;sr=8-93", "Go")</f>
        <v/>
      </c>
    </row>
    <row r="92">
      <c r="A92" t="inlineStr">
        <is>
          <t>福島県田村産 白米 天のつぶ 10kg(5kg×2袋) 令和元年産　新品種</t>
        </is>
      </c>
      <c r="B92" t="inlineStr">
        <is>
          <t>￥4,360</t>
        </is>
      </c>
      <c r="C92" t="inlineStr">
        <is>
          <t>4.4</t>
        </is>
      </c>
      <c r="D92">
        <f>HYPERLINK("https://www.amazon.co.jp/%E7%A6%8F%E5%B3%B6%E7%9C%8C%E7%94%B0%E6%9D%91%E7%94%A3-%E5%A4%A9%E3%81%AE%E3%81%A4%E3%81%B6-10kg-5kg%C3%972%E8%A2%8B-%E5%B9%B3%E6%88%9030%E5%B9%B4%E7%94%A3/dp/B018FT2JCY/ref=sr_1_94?__mk_ja_JP=%E3%82%AB%E3%82%BF%E3%82%AB%E3%83%8A&amp;dchild=1&amp;keywords=%E7%B1%B3&amp;qid=1598692008&amp;sr=8-94", "Go")</f>
        <v/>
      </c>
    </row>
    <row r="93">
      <c r="A93" t="inlineStr">
        <is>
          <t>新潟辰巳屋 新潟県産(産地直送米) 白米 コシヒカリ 5kg</t>
        </is>
      </c>
      <c r="B93" t="inlineStr">
        <is>
          <t>￥3,300</t>
        </is>
      </c>
      <c r="C93" t="inlineStr">
        <is>
          <t>4.3</t>
        </is>
      </c>
      <c r="D93">
        <f>HYPERLINK("https://www.amazon.co.jp/%E6%96%B0%E6%BD%9F%E8%BE%B0%E5%B7%B3%E5%B1%8B-%E6%96%B0%E6%BD%9F%E7%9C%8C%E7%94%A3-%E7%94%A3%E5%9C%B0%E7%9B%B4%E9%80%81%E7%B1%B3-%E3%82%B3%E3%82%B7%E3%83%92%E3%82%AB%E3%83%AA-5kg/dp/B0043DRACQ/ref=sr_1_95?__mk_ja_JP=%E3%82%AB%E3%82%BF%E3%82%AB%E3%83%8A&amp;dchild=1&amp;keywords=%E7%B1%B3&amp;qid=1598692008&amp;sr=8-95", "Go")</f>
        <v/>
      </c>
    </row>
    <row r="94">
      <c r="A94" t="inlineStr">
        <is>
          <t>【精米】山形県産 白米 つや姫 5kg 令和元年産</t>
        </is>
      </c>
      <c r="B94" t="inlineStr">
        <is>
          <t>￥ 5,470</t>
        </is>
      </c>
      <c r="C94" t="inlineStr">
        <is>
          <t>4.7</t>
        </is>
      </c>
      <c r="D94">
        <f>HYPERLINK("https://www.amazon.co.jp/%E3%80%90%E7%B2%BE%E7%B1%B3%E3%80%91%E5%B1%B1%E5%BD%A2%E7%9C%8C%E7%94%A3-%E7%99%BD%E7%B1%B3-%E3%81%A4%E3%82%84%E5%A7%AB-5kg-%E5%B9%B3%E6%88%9030%E5%B9%B4%E7%94%A3/dp/B07CJ5CHM2/ref=sr_1_96?__mk_ja_JP=%E3%82%AB%E3%82%BF%E3%82%AB%E3%83%8A&amp;dchild=1&amp;keywords=%E7%B1%B3&amp;qid=1598692008&amp;sr=8-96", "Go")</f>
        <v/>
      </c>
    </row>
    <row r="95">
      <c r="A95" t="inlineStr">
        <is>
          <t>【窒素ｶﾞｽ充填ﾊﾟｯｸで鮮度長持ち】令和元年産　新潟県産コシヒカリ　『里山の米』10kg（5kg×2）</t>
        </is>
      </c>
      <c r="B95" t="inlineStr">
        <is>
          <t>￥4,900</t>
        </is>
      </c>
      <c r="C95" t="inlineStr">
        <is>
          <t>4.7</t>
        </is>
      </c>
      <c r="D95">
        <f>HYPERLINK("https://www.amazon.co.jp/%E9%87%91%E5%AD%90%E7%B1%B3%E5%BA%97-%E6%96%B0%E7%B1%B3%E5%85%A5%E8%8D%B7-%E3%80%90%E7%AA%92%E7%B4%A0%EF%BD%B6%EF%BE%9E%EF%BD%BD%E5%85%85%E5%A1%AB%EF%BE%8A%EF%BE%9F%EF%BD%AF%EF%BD%B8%E3%81%A7%E9%AE%AE%E5%BA%A6%E9%95%B7%E6%8C%81%E3%81%A1%E3%80%91%E5%B9%B3%E6%88%9030%E5%B9%B4%E7%94%A3-%E6%96%B0%E6%BD%9F%E7%9C%8C%E7%94%A3%E3%82%B3%E3%82%B7%E3%83%92%E3%82%AB%E3%83%AA-%E3%80%8E%E9%87%8C%E5%B1%B1%E3%81%AE%E7%B1%B3%E3%80%8F10kg%EF%BC%885kg%C3%972%EF%BC%89/dp/B00EUVXMXC/ref=sr_1_97?__mk_ja_JP=%E3%82%AB%E3%82%BF%E3%82%AB%E3%83%8A&amp;dchild=1&amp;keywords=%E7%B1%B3&amp;qid=1598692008&amp;sr=8-97", "Go")</f>
        <v/>
      </c>
    </row>
    <row r="96">
      <c r="A96" t="inlineStr">
        <is>
          <t>【新米】令和元年産福島県中通り産ひとめぼれ25kg 白米</t>
        </is>
      </c>
      <c r="B96" t="inlineStr">
        <is>
          <t>￥9,600</t>
        </is>
      </c>
      <c r="C96" t="inlineStr">
        <is>
          <t>4.3</t>
        </is>
      </c>
      <c r="D96">
        <f>HYPERLINK("https://www.amazon.co.jp/%E3%81%8A%E7%B1%B3%E8%B2%A9%E5%A3%B2%E3%81%AE%E5%A4%A7%E8%B3%80%E5%95%86%E5%BA%97-%E3%80%90%E6%96%B0%E7%B1%B3%E3%80%9130%E5%B9%B4%E7%94%A3%E7%A6%8F%E5%B3%B6%E7%9C%8C%E4%B8%AD%E9%80%9A%E3%82%8A%E7%94%A3%E3%81%B2%E3%81%A8%E3%82%81%E3%81%BC%E3%82%8C25kg-%E7%99%BD%E7%B1%B3/dp/B00VFJU6H2/ref=sr_1_98?__mk_ja_JP=%E3%82%AB%E3%82%BF%E3%82%AB%E3%83%8A&amp;dchild=1&amp;keywords=%E7%B1%B3&amp;qid=1598692008&amp;sr=8-98", "Go")</f>
        <v/>
      </c>
    </row>
    <row r="97">
      <c r="A97" t="inlineStr">
        <is>
          <t>奥出雲 仁多米 令和元年産 白米 (5kg)</t>
        </is>
      </c>
      <c r="B97" t="inlineStr">
        <is>
          <t>￥4,480</t>
        </is>
      </c>
      <c r="C97" t="inlineStr">
        <is>
          <t>4.5</t>
        </is>
      </c>
      <c r="D97">
        <f>HYPERLINK("https://www.amazon.co.jp/%E5%A5%A5%E5%87%BA%E9%9B%B2-%E4%BB%81%E5%A4%9A%E7%B1%B3-%E6%96%B0%E7%B1%B3-%E5%B9%B3%E6%88%9030%E5%B9%B4-5kg/dp/B00G77M90O/ref=sr_1_99?__mk_ja_JP=%E3%82%AB%E3%82%BF%E3%82%AB%E3%83%8A&amp;dchild=1&amp;keywords=%E7%B1%B3&amp;qid=1598692008&amp;sr=8-99", "Go")</f>
        <v/>
      </c>
    </row>
    <row r="98">
      <c r="A98" t="inlineStr">
        <is>
          <t>【精米】 タイ香り米(タイ米) 5kg</t>
        </is>
      </c>
      <c r="B98" t="inlineStr">
        <is>
          <t>￥3,000</t>
        </is>
      </c>
      <c r="C98" t="inlineStr">
        <is>
          <t>4.3</t>
        </is>
      </c>
      <c r="D98">
        <f>HYPERLINK("https://www.amazon.co.jp/%E3%82%B4%E3%83%BC%E3%83%AB%E3%83%87%E3%83%B3%E3%83%95%E3%82%A7%E3%83%8B%E3%83%83%E3%82%AF%E3%82%B9-%E9%AB%98%E7%B4%9A%E9%A6%99%E3%82%8A%E7%B1%B3%EF%BC%88%E3%82%B8%E3%83%A3%E3%82%B9%E3%83%9F%E3%83%B3%E7%B1%B3%EF%BC%89%E3%82%BF%E3%82%A4%E7%B1%B3-5kg/dp/B00I1R286I/ref=sr_1_100?__mk_ja_JP=%E3%82%AB%E3%82%BF%E3%82%AB%E3%83%8A&amp;dchild=1&amp;keywords=%E7%B1%B3&amp;qid=1598692008&amp;sr=8-100", "Go")</f>
        <v/>
      </c>
    </row>
    <row r="99">
      <c r="A99" t="inlineStr">
        <is>
          <t>令和 元年産 北海道産 ゆめぴりか 10kg (5kg×2袋) JA美唄指定米 (白米精米（精米後約4.5k×2）)</t>
        </is>
      </c>
      <c r="B99" t="inlineStr">
        <is>
          <t>￥5,480</t>
        </is>
      </c>
      <c r="C99" t="inlineStr">
        <is>
          <t>4.3</t>
        </is>
      </c>
      <c r="D99">
        <f>HYPERLINK("https://www.amazon.co.jp/30%E5%B9%B4%E7%94%A3-%E5%8C%97%E6%B5%B7%E9%81%93%E7%94%A3-%E3%82%86%E3%82%81%E3%81%B4%E3%82%8A%E3%81%8B-5kg%C3%972%E8%A2%8B-%E7%99%BD%E7%B1%B3%E7%B2%BE%E7%B1%B3%EF%BC%88%E7%B2%BE%E7%B1%B3%E5%BE%8C%E7%B4%844-5k%C3%972%EF%BC%89/dp/B00ORZDJBQ/ref=sr_1_101?__mk_ja_JP=%E3%82%AB%E3%82%BF%E3%82%AB%E3%83%8A&amp;dchild=1&amp;keywords=%E7%B1%B3&amp;qid=1598692008&amp;sr=8-101", "Go")</f>
        <v/>
      </c>
    </row>
    <row r="100">
      <c r="A100" t="inlineStr">
        <is>
          <t>【精米】 福島県産 白米 里山のつぶ 10kg 令和元年産</t>
        </is>
      </c>
      <c r="B100" t="inlineStr">
        <is>
          <t>￥5,707</t>
        </is>
      </c>
      <c r="C100" t="inlineStr">
        <is>
          <t>4.4</t>
        </is>
      </c>
      <c r="D100">
        <f>HYPERLINK("https://www.amazon.co.jp/%E3%80%90%E7%B2%BE%E7%B1%B3%E3%80%91-%E7%A6%8F%E5%B3%B6%E7%9C%8C%E7%94%A3-%E9%87%8C%E5%B1%B1%E3%81%AE%E3%81%A4%E3%81%B6-10kg-%E4%BB%A4%E5%92%8C%E5%85%83%E5%B9%B4%E7%94%A3/dp/B07VVCK2JJ/ref=sr_1_102?__mk_ja_JP=%E3%82%AB%E3%82%BF%E3%82%AB%E3%83%8A&amp;dchild=1&amp;keywords=%E7%B1%B3&amp;qid=1598692008&amp;sr=8-102", "Go")</f>
        <v/>
      </c>
    </row>
    <row r="101">
      <c r="A101" t="inlineStr">
        <is>
          <t>金芽米(無洗米) 長野県産あきたこまち 10kg【5kg×2袋】</t>
        </is>
      </c>
      <c r="B101" t="inlineStr">
        <is>
          <t>￥5,180</t>
        </is>
      </c>
      <c r="C101" t="inlineStr">
        <is>
          <t>4.3</t>
        </is>
      </c>
      <c r="D101">
        <f>HYPERLINK("https://www.amazon.co.jp/%E6%9D%B1%E6%B4%8B%E3%83%A9%E3%82%A4%E3%82%B9-%E9%87%91%E8%8A%BD%E7%B1%B3-%E9%95%B7%E9%87%8E%E7%9C%8C%E7%94%A3%E3%81%82%E3%81%8D%E3%81%9F%E3%81%93%E3%81%BE%E3%81%A1-10kg-5kg%C3%972%E8%A2%8B/dp/B00DKHWSW8/ref=sr_1_103?__mk_ja_JP=%E3%82%AB%E3%82%BF%E3%82%AB%E3%83%8A&amp;dchild=1&amp;keywords=%E7%B1%B3&amp;qid=1598692008&amp;sr=8-103", "Go")</f>
        <v/>
      </c>
    </row>
    <row r="102">
      <c r="A102" t="inlineStr">
        <is>
          <t>令和元年産最終セール！！【無洗米5kg】秋田県産 あきたこまち 厳選米　米びつ当番【天鷹唐辛子】プレゼント付き</t>
        </is>
      </c>
      <c r="B102" t="inlineStr">
        <is>
          <t>￥2,680</t>
        </is>
      </c>
      <c r="C102" t="inlineStr">
        <is>
          <t>4.3</t>
        </is>
      </c>
      <c r="D102">
        <f>HYPERLINK("https://www.amazon.co.jp/%E3%83%8E%E3%83%BC%E3%83%96%E3%83%A9%E3%83%B3%E3%83%89%E5%93%81-%E4%BB%A4%E5%92%8C%E5%85%83%E5%B9%B4%E7%94%A3%E6%9C%80%E7%B5%82%E3%82%BB%E3%83%BC%E3%83%AB%EF%BC%81%EF%BC%81%E3%80%90%E7%84%A1%E6%B4%97%E7%B1%B35kg%E3%80%91%E7%A7%8B%E7%94%B0%E7%9C%8C%E7%94%A3-%E3%81%82%E3%81%8D%E3%81%9F%E3%81%93%E3%81%BE%E3%81%A1-%E5%8E%B3%E9%81%B8%E7%B1%B3-%E7%B1%B3%E3%81%B3%E3%81%A4%E5%BD%93%E7%95%AA%E3%80%90%E5%A4%A9%E9%B7%B9%E5%94%90%E8%BE%9B%E5%AD%90%E3%80%91%E3%83%97%E3%83%AC%E3%82%BC%E3%83%B3%E3%83%88%E4%BB%98%E3%81%8D/dp/B0859F5P82/ref=sr_1_104?__mk_ja_JP=%E3%82%AB%E3%82%BF%E3%82%AB%E3%83%8A&amp;dchild=1&amp;keywords=%E7%B1%B3&amp;qid=1598692008&amp;sr=8-104", "Go")</f>
        <v/>
      </c>
    </row>
    <row r="103">
      <c r="A103" t="inlineStr">
        <is>
          <t>九州食糧 くまさんの輝き 白米 熊本県産 令和元年産 5kg</t>
        </is>
      </c>
      <c r="B103" t="inlineStr">
        <is>
          <t>￥2,480</t>
        </is>
      </c>
      <c r="C103" t="inlineStr">
        <is>
          <t>4.5</t>
        </is>
      </c>
      <c r="D103">
        <f>HYPERLINK("https://www.amazon.co.jp/%E4%B9%9D%E5%B7%9E%E9%A3%9F%E7%B3%A7-%E3%81%8F%E3%81%BE%E3%81%95%E3%82%93%E3%81%AE%E8%BC%9D%E3%81%8D-%E7%86%8A%E6%9C%AC%E7%9C%8C%E7%94%A3-%E5%B9%B3%E6%88%9030%E5%B9%B4%E7%94%A3-5kg/dp/B07LG5V45Y/ref=sr_1_106?__mk_ja_JP=%E3%82%AB%E3%82%BF%E3%82%AB%E3%83%8A&amp;dchild=1&amp;keywords=%E7%B1%B3&amp;qid=1598692008&amp;sr=8-106", "Go")</f>
        <v/>
      </c>
    </row>
    <row r="104">
      <c r="A104" t="inlineStr">
        <is>
          <t>【精米】[Amazon限定ブランド] 580.com 秋田県産 白米 あきたこまち 10kg 令和元年産</t>
        </is>
      </c>
      <c r="B104" t="inlineStr">
        <is>
          <t>￥5,047</t>
        </is>
      </c>
      <c r="C104" t="inlineStr">
        <is>
          <t>4.1</t>
        </is>
      </c>
      <c r="D104">
        <f>HYPERLINK("https://www.amazon.co.jp/%E3%80%90%E7%B2%BE%E7%B1%B3%E3%80%91-Amazon%E9%99%90%E5%AE%9A%E3%83%96%E3%83%A9%E3%83%B3%E3%83%89-580-com-%E3%81%82%E3%81%8D%E3%81%9F%E3%81%93%E3%81%BE%E3%81%A1-%E5%B9%B3%E6%88%9030%E5%B9%B4%E7%94%A3/dp/B07NVLDFGM/ref=sr_1_97_sspa?__mk_ja_JP=%E3%82%AB%E3%82%BF%E3%82%AB%E3%83%8A&amp;dchild=1&amp;keywords=%E7%B1%B3&amp;qid=1598692232&amp;sr=8-97-spons&amp;psc=1&amp;spLa=ZW5jcnlwdGVkUXVhbGlmaWVyPUEyWUM5VElXT0NPRldTJmVuY3J5cHRlZElkPUEwODM0NTg1MTlIQTlYSDdBOTQyRSZlbmNyeXB0ZWRBZElkPUEyQkpJUkNJQzEyWURMJndpZGdldE5hbWU9c3BfYXRmX25leHQmYWN0aW9uPWNsaWNrUmVkaXJlY3QmZG9Ob3RMb2dDbGljaz10cnVl", "Go")</f>
        <v/>
      </c>
    </row>
    <row r="105">
      <c r="A105" t="inlineStr">
        <is>
          <t>【精米】[Amazon限定ブランド] 580.com 会津産 無洗米 コシヒカリ 10kg 令和元年産</t>
        </is>
      </c>
      <c r="B105" t="inlineStr">
        <is>
          <t>￥5,470</t>
        </is>
      </c>
      <c r="C105" t="inlineStr">
        <is>
          <t>4.1</t>
        </is>
      </c>
      <c r="D105">
        <f>HYPERLINK("https://www.amazon.co.jp/%E3%80%90%E7%B2%BE%E7%B1%B3%E3%80%91%E3%80%90Amazon-co-jp%E9%99%90%E5%AE%9A%E3%80%91%E4%BC%9A%E6%B4%A5%E7%94%A3-%E7%84%A1%E6%B4%97%E7%B1%B3-%E3%82%B3%E3%82%B7%E3%83%92%E3%82%AB%E3%83%AA-10kg-%E5%B9%B3%E6%88%9030%E5%B9%B4%E7%94%A3/dp/B00YC3LYK6/ref=sr_1_98_sspa?__mk_ja_JP=%E3%82%AB%E3%82%BF%E3%82%AB%E3%83%8A&amp;dchild=1&amp;keywords=%E7%B1%B3&amp;qid=1598692232&amp;sr=8-98-spons&amp;psc=1&amp;spLa=ZW5jcnlwdGVkUXVhbGlmaWVyPUEyWUM5VElXT0NPRldTJmVuY3J5cHRlZElkPUEwODM0NTg1MTlIQTlYSDdBOTQyRSZlbmNyeXB0ZWRBZElkPUExT1MzU0FGRThCODA3JndpZGdldE5hbWU9c3BfYXRmX25leHQmYWN0aW9uPWNsaWNrUmVkaXJlY3QmZG9Ob3RMb2dDbGljaz10cnVl", "Go")</f>
        <v/>
      </c>
    </row>
    <row r="106">
      <c r="A106" t="inlineStr">
        <is>
          <t>【精米】[Amazon限定ブランド] 580.com 千葉県産 無洗米 ふさこがね 5kg 令和元年産</t>
        </is>
      </c>
      <c r="B106" t="inlineStr">
        <is>
          <t>￥2,668</t>
        </is>
      </c>
      <c r="C106" t="inlineStr">
        <is>
          <t>4</t>
        </is>
      </c>
      <c r="D106">
        <f>HYPERLINK("https://www.amazon.co.jp/Amazon%E9%99%90%E5%AE%9A%E3%83%96%E3%83%A9%E3%83%B3%E3%83%89-%E3%80%90%E7%B2%BE%E7%B1%B3%E3%80%91-%E5%8D%83%E8%91%89%E7%9C%8C%E7%94%A3-%E3%81%B5%E3%81%95%E3%81%93%E3%81%8C%E3%81%AD-%E4%BB%A4%E5%92%8C%E5%85%83%E5%B9%B4%E7%94%A3/dp/B07WXWT43C/ref=sr_1_100_sspa?__mk_ja_JP=%E3%82%AB%E3%82%BF%E3%82%AB%E3%83%8A&amp;dchild=1&amp;keywords=%E7%B1%B3&amp;qid=1598692232&amp;sr=8-100-spons&amp;psc=1&amp;spLa=ZW5jcnlwdGVkUXVhbGlmaWVyPUEyWUM5VElXT0NPRldTJmVuY3J5cHRlZElkPUEwODM0NTg1MTlIQTlYSDdBOTQyRSZlbmNyeXB0ZWRBZElkPUEySUYwWThCNDZUMUJZJndpZGdldE5hbWU9c3BfYXRmX25leHQmYWN0aW9uPWNsaWNrUmVkaXJlY3QmZG9Ob3RMb2dDbGljaz10cnVl", "Go")</f>
        <v/>
      </c>
    </row>
    <row r="107">
      <c r="A107" t="inlineStr">
        <is>
          <t>【もち米　玄米】山形産　ひめのもち　5kg</t>
        </is>
      </c>
      <c r="B107" t="inlineStr">
        <is>
          <t>￥2,999</t>
        </is>
      </c>
      <c r="C107" t="inlineStr">
        <is>
          <t>4.5</t>
        </is>
      </c>
      <c r="D107">
        <f>HYPERLINK("https://www.amazon.co.jp/%E3%80%90%E3%82%82%E3%81%A1%E7%B1%B3-%E7%8E%84%E7%B1%B3%E3%80%91%E5%B1%B1%E5%BD%A2%E7%94%A3-%E3%81%B2%E3%82%81%E3%81%AE%E3%82%82%E3%81%A1-5kg-30%E5%B9%B4%E7%94%A3/dp/B007JE2TJ0/ref=sr_1_101?__mk_ja_JP=%E3%82%AB%E3%82%BF%E3%82%AB%E3%83%8A&amp;dchild=1&amp;keywords=%E7%B1%B3&amp;qid=1598692232&amp;sr=8-101", "Go")</f>
        <v/>
      </c>
    </row>
    <row r="108">
      <c r="A108" t="inlineStr">
        <is>
          <t>【精米】新潟県産 白米 新之助 2kg 令和元年産</t>
        </is>
      </c>
      <c r="B108" t="inlineStr">
        <is>
          <t>￥1,480</t>
        </is>
      </c>
      <c r="C108" t="inlineStr">
        <is>
          <t>4.3</t>
        </is>
      </c>
      <c r="D108">
        <f>HYPERLINK("https://www.amazon.co.jp/%E3%80%90%E7%B2%BE%E7%B1%B3%E3%80%91%E6%96%B0%E6%BD%9F%E7%9C%8C%E7%94%A3-%E7%99%BD%E7%B1%B3-%E6%96%B0%E4%B9%8B%E5%8A%A9-2kg-%E5%B9%B3%E6%88%9029%E5%B9%B4%E7%94%A3/dp/B077TQ84WS/ref=sr_1_102?__mk_ja_JP=%E3%82%AB%E3%82%BF%E3%82%AB%E3%83%8A&amp;dchild=1&amp;keywords=%E7%B1%B3&amp;qid=1598692232&amp;sr=8-102", "Go")</f>
        <v/>
      </c>
    </row>
    <row r="109">
      <c r="A109" t="inlineStr">
        <is>
          <t>【精米】あかふじ今日のごはん秋田あきたこまち 1.5kg</t>
        </is>
      </c>
      <c r="B109" t="inlineStr">
        <is>
          <t>￥ 2,478</t>
        </is>
      </c>
      <c r="C109" t="inlineStr">
        <is>
          <t>4.4</t>
        </is>
      </c>
      <c r="D109">
        <f>HYPERLINK("https://www.amazon.co.jp/%E7%A5%9E%E6%98%8E-%E3%80%90%E7%B2%BE%E7%B1%B3%E3%80%91%E3%81%82%E3%81%8B%E3%81%B5%E3%81%98%E4%BB%8A%E6%97%A5%E3%81%AE%E3%81%94%E3%81%AF%E3%82%93%E7%A7%8B%E7%94%B0%E3%81%82%E3%81%8D%E3%81%9F%E3%81%93%E3%81%BE%E3%81%A1-1-5kg/dp/B00OON2GG0/ref=sr_1_103?__mk_ja_JP=%E3%82%AB%E3%82%BF%E3%82%AB%E3%83%8A&amp;dchild=1&amp;keywords=%E7%B1%B3&amp;qid=1598692232&amp;sr=8-103", "Go")</f>
        <v/>
      </c>
    </row>
    <row r="110">
      <c r="A110" t="inlineStr">
        <is>
          <t>金芽米(無洗米)長野県産コシヒカリ 10kg【5kg×2袋】</t>
        </is>
      </c>
      <c r="B110" t="inlineStr">
        <is>
          <t>￥5,430</t>
        </is>
      </c>
      <c r="C110" t="inlineStr">
        <is>
          <t>4.3</t>
        </is>
      </c>
      <c r="D110">
        <f>HYPERLINK("https://www.amazon.co.jp/%E6%9D%B1%E6%B4%8B%E3%83%A9%E3%82%A4%E3%82%B9-%E9%87%91%E8%8A%BD%E7%B1%B3-%E7%84%A1%E6%B4%97%E7%B1%B3-%E9%95%B7%E9%87%8E%E7%9C%8C%E7%94%A3%E3%82%B3%E3%82%B7%E3%83%92%E3%82%AB%E3%83%AA-10kg%E3%80%905kg%C3%972%E8%A2%8B%E3%80%91/dp/B00DIYKL6I/ref=sr_1_104?__mk_ja_JP=%E3%82%AB%E3%82%BF%E3%82%AB%E3%83%8A&amp;dchild=1&amp;keywords=%E7%B1%B3&amp;qid=1598692232&amp;sr=8-104", "Go")</f>
        <v/>
      </c>
    </row>
    <row r="111">
      <c r="A111" t="inlineStr">
        <is>
          <t>新潟県産 コシヒカリ 山並 白米 10kg (5kg×2 袋) 令和元年産</t>
        </is>
      </c>
      <c r="B111" t="inlineStr">
        <is>
          <t>￥4,890</t>
        </is>
      </c>
      <c r="C111" t="inlineStr">
        <is>
          <t>4.3</t>
        </is>
      </c>
      <c r="D111">
        <f>HYPERLINK("https://www.amazon.co.jp/%E3%80%90%E7%B2%BE%E7%B1%B3%E3%80%91%E6%96%B0%E6%BD%9F%E7%9C%8C%E7%94%A3-%E3%82%B3%E3%82%B7%E3%83%92%E3%82%AB%E3%83%AA-10kg-5kg%C3%972%E8%A2%8B-%E5%B9%B3%E6%88%9030%E5%B9%B4%E7%94%A3/dp/B00O8NLX8I/ref=sr_1_105?__mk_ja_JP=%E3%82%AB%E3%82%BF%E3%82%AB%E3%83%8A&amp;dchild=1&amp;keywords=%E7%B1%B3&amp;qid=1598692232&amp;sr=8-105", "Go")</f>
        <v/>
      </c>
    </row>
    <row r="112">
      <c r="A112" t="inlineStr">
        <is>
          <t>【元年産】JAS有機栽培米あきたこまち　白米５ｋｇ（真空パック2.5ｋｇ×2）</t>
        </is>
      </c>
      <c r="B112" t="inlineStr">
        <is>
          <t>￥3,940</t>
        </is>
      </c>
      <c r="C112" t="inlineStr">
        <is>
          <t>4.5</t>
        </is>
      </c>
      <c r="D112">
        <f>HYPERLINK("https://www.amazon.co.jp/%E3%81%82%E3%81%8D%E3%81%9F%E3%81%93%E3%81%BE%E3%81%A1%E7%94%A3%E7%9B%B4%E8%BE%B2%E5%A0%B4%E8%87%AA%E7%84%B6%E5%B7%A5%E6%88%BF-%E3%80%90%E6%96%B0%E7%B1%B330%E5%B9%B4%E7%94%A3%E3%80%91JAS%E6%9C%89%E6%A9%9F%E6%A0%BD%E5%9F%B9%E7%B1%B3%E3%81%82%E3%81%8D%E3%81%9F%E3%81%93%E3%81%BE%E3%81%A1-%E7%99%BD%E7%B1%B3%EF%BC%95%EF%BD%8B%EF%BD%87%EF%BC%88%E7%9C%9F%E7%A9%BA%E3%83%91%E3%83%83%E3%82%AF2-5%EF%BD%8B%EF%BD%87%C3%972%EF%BC%89/dp/B00CJPYD3O/ref=sr_1_106?__mk_ja_JP=%E3%82%AB%E3%82%BF%E3%82%AB%E3%83%8A&amp;dchild=1&amp;keywords=%E7%B1%B3&amp;qid=1598692232&amp;sr=8-106", "Go")</f>
        <v/>
      </c>
    </row>
    <row r="113">
      <c r="A113" t="inlineStr">
        <is>
          <t>米 お米 10kg きぬむすめ 令和元年岡山産 (5kg×2袋)</t>
        </is>
      </c>
      <c r="B113" t="inlineStr">
        <is>
          <t>￥4,280</t>
        </is>
      </c>
      <c r="C113" t="inlineStr">
        <is>
          <t>4.4</t>
        </is>
      </c>
      <c r="D113">
        <f>HYPERLINK("https://www.amazon.co.jp/%E3%82%82%E3%82%82%E3%81%9F%E3%82%8D%E3%81%86%E5%8D%B0-30%E5%B9%B4%E7%94%A3%E5%B2%A1%E5%B1%B1%E7%9C%8C%E7%94%A3%E3%81%8D%E3%81%AC%E3%82%80%E3%81%99%E3%82%81-10kg%E3%80%905kg%C3%972%E8%A2%8B%E3%80%91/dp/B07H918XK4/ref=sr_1_107?__mk_ja_JP=%E3%82%AB%E3%82%BF%E3%82%AB%E3%83%8A&amp;dchild=1&amp;keywords=%E7%B1%B3&amp;qid=1598692232&amp;sr=8-107", "Go")</f>
        <v/>
      </c>
    </row>
    <row r="114">
      <c r="A114" t="inlineStr">
        <is>
          <t>令和元年産 無洗米 金芽米 タニタ食堂の金芽米 9kg ( 4.5kg×2) 計量カップ付 窒素充填</t>
        </is>
      </c>
      <c r="B114" t="inlineStr">
        <is>
          <t>￥5,180</t>
        </is>
      </c>
      <c r="C114" t="inlineStr">
        <is>
          <t>4.3</t>
        </is>
      </c>
      <c r="D114">
        <f>HYPERLINK("https://www.amazon.co.jp/H29%E5%B9%B4%E7%94%A3-%E7%84%A1%E6%B4%97%E7%B1%B3-%E3%82%BF%E3%83%8B%E3%82%BF%E9%A3%9F%E5%A0%82%E3%81%AE%E9%87%91%E8%8A%BD%E7%B1%B3-4-5kg%C3%972-%E8%A8%88%E9%87%8F%E3%82%AB%E3%83%83%E3%83%97%E4%BB%98/dp/B01MDS5I6E/ref=sr_1_109?__mk_ja_JP=%E3%82%AB%E3%82%BF%E3%82%AB%E3%83%8A&amp;dchild=1&amp;keywords=%E7%B1%B3&amp;qid=1598692232&amp;sr=8-109", "Go")</f>
        <v/>
      </c>
    </row>
    <row r="115">
      <c r="A115" t="inlineStr">
        <is>
          <t>(産地直送米)(１等米） 令和元年産 新潟県産 岩船産 コシヒカリ 精米 白米 米 こめ ２０kg（5kg☓4）</t>
        </is>
      </c>
      <c r="B115" t="inlineStr">
        <is>
          <t>￥9,780</t>
        </is>
      </c>
      <c r="C115" t="inlineStr">
        <is>
          <t>4.6</t>
        </is>
      </c>
      <c r="D115">
        <f>HYPERLINK("https://www.amazon.co.jp/%E7%94%A3%E5%9C%B0%E7%9B%B4%E9%80%81%E7%B1%B3-%EF%BC%91%E7%AD%89%E7%B1%B3%EF%BC%89-%E5%B9%B3%E6%88%9030%E5%B9%B4%E7%94%A3-%E3%82%B3%E3%82%B7%E3%83%92%E3%82%AB%E3%83%AA-20kg%EF%BC%885kg%E2%98%934%EF%BC%89/dp/B07JKTLP8R/ref=sr_1_110?__mk_ja_JP=%E3%82%AB%E3%82%BF%E3%82%AB%E3%83%8A&amp;dchild=1&amp;keywords=%E7%B1%B3&amp;qid=1598692232&amp;sr=8-110", "Go")</f>
        <v/>
      </c>
    </row>
    <row r="116">
      <c r="A116" t="inlineStr">
        <is>
          <t>岐阜県産 龍の瞳 白米 令和元年産 (5kg)</t>
        </is>
      </c>
      <c r="B116" t="inlineStr">
        <is>
          <t>￥9,999</t>
        </is>
      </c>
      <c r="C116" t="inlineStr">
        <is>
          <t>4.4</t>
        </is>
      </c>
      <c r="D116">
        <f>HYPERLINK("https://www.amazon.co.jp/%E5%B2%90%E9%98%9C%E7%9C%8C%E7%94%A3-%E9%BE%8D%E3%81%AE%E7%9E%B3-%E7%99%BD%E7%B1%B3-%E5%B9%B3%E6%88%9030%E5%B9%B4%E7%94%A3-5kg/dp/B00Z9V9UJW/ref=sr_1_111?__mk_ja_JP=%E3%82%AB%E3%82%BF%E3%82%AB%E3%83%8A&amp;dchild=1&amp;keywords=%E7%B1%B3&amp;qid=1598692232&amp;sr=8-111", "Go")</f>
        <v/>
      </c>
    </row>
    <row r="117">
      <c r="A117" t="inlineStr">
        <is>
          <t>令和元年産 山形産 特別栽培米 つや姫 10kg (5kg×2袋) JAおきたま つやひめ (白米精米（精米後約4.5kg×2）)</t>
        </is>
      </c>
      <c r="B117" t="inlineStr">
        <is>
          <t>￥5,580</t>
        </is>
      </c>
      <c r="C117" t="inlineStr">
        <is>
          <t>4.3</t>
        </is>
      </c>
      <c r="D117">
        <f>HYPERLINK("https://www.amazon.co.jp/30%E5%B9%B4%E7%94%A3-%E7%89%B9%E5%88%A5%E6%A0%BD%E5%9F%B9%E7%B1%B3-%E3%81%A4%E3%82%84%E5%A7%AB-5kg%C3%972%E8%A2%8B-%E7%99%BD%E7%B1%B3%E7%B2%BE%E7%B1%B3%EF%BC%88%E7%B2%BE%E7%B1%B3%E5%BE%8C%E7%B4%844-5kg%C3%972%EF%BC%89/dp/B016XIEM6U/ref=sr_1_112?__mk_ja_JP=%E3%82%AB%E3%82%BF%E3%82%AB%E3%83%8A&amp;dchild=1&amp;keywords=%E7%B1%B3&amp;qid=1598692232&amp;sr=8-112", "Go")</f>
        <v/>
      </c>
    </row>
    <row r="118">
      <c r="A118" t="inlineStr">
        <is>
          <t>【令和元年産】減農薬　満開ゆめぴりか 5kg（5kg×1袋） 白米（または玄米） 北海道産 [特別栽培米 ゆめぴりか]【産地の北海道から全国発送】【ユメピリカ】【ゆめピリカ】【夢ぴりか】【5キロ】</t>
        </is>
      </c>
      <c r="B118" t="inlineStr">
        <is>
          <t>￥2,780</t>
        </is>
      </c>
      <c r="C118" t="inlineStr">
        <is>
          <t>4</t>
        </is>
      </c>
      <c r="D118">
        <f>HYPERLINK("https://www.amazon.co.jp/%E3%80%90%E6%B8%9B%E8%BE%B2%E8%96%AC%E3%80%91%E3%82%86%E3%82%81%E3%81%B4%E3%82%8A%E3%81%8B-5kg%EF%BC%885kg%C3%971%E8%A2%8B%EF%BC%89-%E7%99%BD%E7%B1%B3%EF%BC%88%E3%81%BE%E3%81%9F%E3%81%AF%E7%8E%84%E7%B1%B3%EF%BC%89-%E5%B9%B3%E6%88%9026%E5%B9%B4%E5%BA%A6%E7%94%A3-%E3%80%90%E7%94%A3%E5%9C%B0%E3%81%AE%E5%8C%97%E6%B5%B7%E9%81%93%E3%81%8B%E3%82%89%E5%85%A8%E5%9B%BD%E7%99%BA%E9%80%81%E3%80%91%E3%80%90%E3%83%A6%E3%83%A1%E3%83%94%E3%83%AA%E3%82%AB%E3%80%91%E3%80%90%E3%82%86%E3%82%81%E3%83%94%E3%83%AA%E3%82%AB%E3%80%91%E3%80%90%E5%A4%A2%E3%81%B4%E3%82%8A%E3%81%8B%E3%80%91%E3%80%905%E3%82%AD%E3%83%AD%E3%80%91/dp/B00I7JKP8S/ref=sr_1_113_sspa?__mk_ja_JP=%E3%82%AB%E3%82%BF%E3%82%AB%E3%83%8A&amp;dchild=1&amp;keywords=%E7%B1%B3&amp;qid=1598692232&amp;sr=8-113-spons&amp;psc=1&amp;spLa=ZW5jcnlwdGVkUXVhbGlmaWVyPUEyWUM5VElXT0NPRldTJmVuY3J5cHRlZElkPUEwODM0NTg1MTlIQTlYSDdBOTQyRSZlbmNyeXB0ZWRBZElkPUEzVFhNVUpaTkEzQlJaJndpZGdldE5hbWU9c3BfbXRmJmFjdGlvbj1jbGlja1JlZGlyZWN0JmRvTm90TG9nQ2xpY2s9dHJ1ZQ==", "Go")</f>
        <v/>
      </c>
    </row>
    <row r="119">
      <c r="A119" t="inlineStr">
        <is>
          <t>(精米)熊本県産三度のときめきヒノヒカリ 5kg 令和元年産</t>
        </is>
      </c>
      <c r="B119" t="inlineStr">
        <is>
          <t>￥2,480</t>
        </is>
      </c>
      <c r="C119" t="inlineStr">
        <is>
          <t>4.5</t>
        </is>
      </c>
      <c r="D119">
        <f>HYPERLINK("https://www.amazon.co.jp/%E7%B2%BE%E7%B1%B3-%E7%86%8A%E6%9C%AC%E7%9C%8C%E7%94%A3%E4%B8%89%E5%BA%A6%E3%81%AE%E3%81%A8%E3%81%8D%E3%82%81%E3%81%8D%E3%83%92%E3%83%8E%E3%83%92%E3%82%AB%E3%83%AA-5kg-%E5%B9%B3%E6%88%9030%E5%B9%B4%E7%94%A3/dp/B00J3O895W/ref=sr_1_116?__mk_ja_JP=%E3%82%AB%E3%82%BF%E3%82%AB%E3%83%8A&amp;dchild=1&amp;keywords=%E7%B1%B3&amp;qid=1598692232&amp;sr=8-116", "Go")</f>
        <v/>
      </c>
    </row>
    <row r="120">
      <c r="A120" t="inlineStr">
        <is>
          <t>【精米】 富山県産 白米 富富富 5kg 令和元年産</t>
        </is>
      </c>
      <c r="B120" t="inlineStr">
        <is>
          <t>￥2,290</t>
        </is>
      </c>
      <c r="C120" t="inlineStr">
        <is>
          <t>4.2</t>
        </is>
      </c>
      <c r="D120">
        <f>HYPERLINK("https://www.amazon.co.jp/%E3%80%90%E7%B2%BE%E7%B1%B3%E3%80%91-%E5%AF%8C%E5%B1%B1%E7%9C%8C%E7%94%A3-%E5%AF%8C%E5%AF%8C%E5%AF%8C-5kg-%E4%BB%A4%E5%92%8C%E5%85%83%E5%B9%B4%E7%94%A3/dp/B0823TPXNZ/ref=sr_1_117?__mk_ja_JP=%E3%82%AB%E3%82%BF%E3%82%AB%E3%83%8A&amp;dchild=1&amp;keywords=%E7%B1%B3&amp;qid=1598692232&amp;s=pantry&amp;sr=8-117", "Go")</f>
        <v/>
      </c>
    </row>
    <row r="121">
      <c r="A121" t="inlineStr">
        <is>
          <t>【令和元年産】無洗米 山形県産 雪若丸 10kg (5kg×2袋) 【ハーベストシーズン】 【精米】【HARVEST SEASON】</t>
        </is>
      </c>
      <c r="B121" t="inlineStr">
        <is>
          <t>￥4,999</t>
        </is>
      </c>
      <c r="C121" t="inlineStr">
        <is>
          <t>4.4</t>
        </is>
      </c>
      <c r="D121">
        <f>HYPERLINK("https://www.amazon.co.jp/%E3%80%90%E7%B2%BE%E7%B1%B3%E3%80%91%E5%B1%B1%E5%BD%A2%E7%9C%8C%E7%94%A3-5kg%C3%972%E8%A2%8B-%E3%80%90%E3%83%8F%E3%83%BC%E3%83%99%E3%82%B9%E3%83%88%E3%82%B7%E3%83%BC%E3%82%BA%E3%83%B3%E3%80%91-%E3%80%90HARVEST-SEASON%E3%80%91/dp/B07LDQHJ2H/ref=sr_1_118?__mk_ja_JP=%E3%82%AB%E3%82%BF%E3%82%AB%E3%83%8A&amp;dchild=1&amp;keywords=%E7%B1%B3&amp;qid=1598692232&amp;sr=8-118", "Go")</f>
        <v/>
      </c>
    </row>
    <row r="122">
      <c r="A122" t="inlineStr">
        <is>
          <t>山形県産 あきたこまち 30kg 紙袋 令和元年度産 (白米 9kg×3袋)</t>
        </is>
      </c>
      <c r="B122" t="inlineStr">
        <is>
          <t>￥11,500</t>
        </is>
      </c>
      <c r="C122" t="inlineStr">
        <is>
          <t>4.3</t>
        </is>
      </c>
      <c r="D122">
        <f>HYPERLINK("https://www.amazon.co.jp/%E3%81%82%E3%81%8D%E3%81%9F%E3%81%93%E3%81%BE%E3%81%A1-%E5%B9%B3%E6%88%9030%E5%B9%B4%E5%BA%A6%E7%94%A3-%EF%BC%88%E9%80%81%E6%96%99%E8%BE%BC%EF%BC%89-10kg%C3%973%E8%A2%8B-%E7%99%BD%E7%B1%B3%E3%81%AB%E7%B2%BE%E7%B1%B3%E3%81%99%E3%82%8B/dp/B00NHFU3W0/ref=sr_1_119?__mk_ja_JP=%E3%82%AB%E3%82%BF%E3%82%AB%E3%83%8A&amp;dchild=1&amp;keywords=%E7%B1%B3&amp;qid=1598692232&amp;sr=8-119", "Go")</f>
        <v/>
      </c>
    </row>
    <row r="123">
      <c r="A123" t="inlineStr">
        <is>
          <t>令和元年産 【玄米】 山形県産 はえぬき 1等米 30kg</t>
        </is>
      </c>
      <c r="B123" t="inlineStr">
        <is>
          <t>￥10,580</t>
        </is>
      </c>
      <c r="C123" t="inlineStr">
        <is>
          <t>4.5</t>
        </is>
      </c>
      <c r="D123">
        <f>HYPERLINK("https://www.amazon.co.jp/%E6%96%B0%E7%B1%B3%EF%BC%93%EF%BC%90%E5%B9%B4%E7%94%A3-%E3%80%90%E7%8E%84%E7%B1%B3%E3%80%91-%E5%B1%B1%E5%BD%A2%E7%9C%8C%E7%94%A3-%E3%81%AF%E3%81%88%E3%81%AC%E3%81%8D-30kg/dp/B00I5HPGW2/ref=sr_1_120?__mk_ja_JP=%E3%82%AB%E3%82%BF%E3%82%AB%E3%83%8A&amp;dchild=1&amp;keywords=%E7%B1%B3&amp;qid=1598692232&amp;sr=8-120", "Go")</f>
        <v/>
      </c>
    </row>
    <row r="124">
      <c r="A124" t="inlineStr">
        <is>
          <t>【精米】長野県飯山産 無洗米(袋再利用) 白米 JAながの 「幻の米」 「特A」受賞米 こしひかり 5kgx2袋 令和元年産</t>
        </is>
      </c>
      <c r="B124" t="inlineStr">
        <is>
          <t>￥5,840</t>
        </is>
      </c>
      <c r="C124" t="inlineStr">
        <is>
          <t>4.6</t>
        </is>
      </c>
      <c r="D124">
        <f>HYPERLINK("https://www.amazon.co.jp/%E3%80%90%E7%B2%BE%E7%B1%B3%E3%80%91%E9%95%B7%E9%87%8E%E7%9C%8C%E9%A3%AF%E5%B1%B1%E7%94%A3-JA%E3%81%AA%E3%81%8C%E3%81%AE-%E3%80%8C%E7%89%B9A%E3%80%8D%E5%8F%97%E8%B3%9E%E7%B1%B3-5kgx2%E8%A2%8B-%E3%80%90%E4%BA%88%E7%B4%84%E8%B2%A9%E5%A3%B2%E3%80%91/dp/B016ODSB52/ref=sr_1_121?__mk_ja_JP=%E3%82%AB%E3%82%BF%E3%82%AB%E3%83%8A&amp;dchild=1&amp;keywords=%E7%B1%B3&amp;qid=1598692232&amp;sr=8-121", "Go")</f>
        <v/>
      </c>
    </row>
    <row r="125">
      <c r="A125" t="inlineStr">
        <is>
          <t>伊勢志摩産 伊勢ひかり ～縁起のいい「奇跡のお米」～ つきたて産地直送/契約栽培米（イセヒカリ）(5kg（白米 ）)</t>
        </is>
      </c>
      <c r="B125" t="inlineStr">
        <is>
          <t>￥4,100</t>
        </is>
      </c>
      <c r="C125" t="inlineStr">
        <is>
          <t>4.3</t>
        </is>
      </c>
      <c r="D125">
        <f>HYPERLINK("https://www.amazon.co.jp/%E4%BC%8A%E5%8B%A2%E5%BF%97%E6%91%A9%E7%94%A3-%E4%BC%8A%E5%8B%A2%E3%81%B2%E3%81%8B%E3%82%8A-%EF%BD%9E%E7%B8%81%E8%B5%B7%E3%81%AE%E3%81%84%E3%81%84%E3%80%8C%E5%A5%87%E8%B7%A1%E3%81%AE%E3%81%8A%E7%B1%B3%E3%80%8D%EF%BD%9E-%E3%81%A4%E3%81%8D%E3%81%9F%E3%81%A6%E7%94%A3%E5%9C%B0%E7%9B%B4%E9%80%81-5kg%EF%BC%88%E7%99%BD%E7%B1%B3%EF%BC%89/dp/B00OLECH20/ref=sr_1_122?__mk_ja_JP=%E3%82%AB%E3%82%BF%E3%82%AB%E3%83%8A&amp;dchild=1&amp;keywords=%E7%B1%B3&amp;qid=1598692232&amp;sr=8-122", "Go")</f>
        <v/>
      </c>
    </row>
    <row r="126">
      <c r="A126" t="inlineStr">
        <is>
          <t>【送料無料・白米】三重県伊賀産こしひかり25kg /産地直送 /つきたて新鮮</t>
        </is>
      </c>
      <c r="B126" t="inlineStr">
        <is>
          <t>￥10,880</t>
        </is>
      </c>
      <c r="C126" t="inlineStr">
        <is>
          <t>4.3</t>
        </is>
      </c>
      <c r="D126">
        <f>HYPERLINK("https://www.amazon.co.jp/%E4%B8%89%E9%87%8D%E7%9C%8C%E4%BC%8A%E8%B3%80%E3%80%8C%E8%BE%B2%E3%81%AE%E5%8C%A0%E3%80%8D-%E3%80%90%E7%B2%BE%E7%B1%B3%E7%84%A1%E6%96%99%E3%83%BB%E7%99%BD%E7%B1%B3%E3%80%91%E4%B8%89%E9%87%8D%E7%9C%8C%E4%BC%8A%E8%B3%80%E7%94%A3%E3%81%93%E3%81%97%E3%81%B2%E3%81%8B%E3%82%8A30kg%E3%82%92%E7%B2%BE%E7%B1%B3%E3%81%97%E3%81%BE%E3%81%99-%E7%94%A3%E5%9C%B0%E7%9B%B4%E9%80%81-%E3%81%A4%E3%81%8D%E3%81%9F%E3%81%A6%E6%96%B0%E9%AE%AE-%E7%99%BD%E7%B1%B3/dp/B01HXORNJQ/ref=sr_1_123?__mk_ja_JP=%E3%82%AB%E3%82%BF%E3%82%AB%E3%83%8A&amp;dchild=1&amp;keywords=%E7%B1%B3&amp;qid=1598692232&amp;sr=8-123", "Go")</f>
        <v/>
      </c>
    </row>
    <row r="127">
      <c r="A127" t="inlineStr">
        <is>
          <t>令和元年産　山形県産　雪若丸　精米５kg</t>
        </is>
      </c>
      <c r="B127" t="inlineStr">
        <is>
          <t>￥2,880</t>
        </is>
      </c>
      <c r="C127" t="inlineStr">
        <is>
          <t>4.3</t>
        </is>
      </c>
      <c r="D127">
        <f>HYPERLINK("https://www.amazon.co.jp/%E5%B1%B1%E5%BD%A2%E7%B1%B3%E3%81%AE%E4%B8%B9%E9%87%8E%E5%95%86%E5%BA%97-%E5%B1%B1%E5%BD%A2%E7%9C%8C%E7%94%A3-%E9%9B%AA%E8%8B%A5%E4%B8%B8-%E7%B2%BE%E7%B1%B3%EF%BC%95kg/dp/B07HFWBBHY/ref=sr_1_124?__mk_ja_JP=%E3%82%AB%E3%82%BF%E3%82%AB%E3%83%8A&amp;dchild=1&amp;keywords=%E7%B1%B3&amp;qid=1598692232&amp;sr=8-124", "Go")</f>
        <v/>
      </c>
    </row>
    <row r="128">
      <c r="A128" t="inlineStr">
        <is>
          <t>【精米】広島県産 コシヒカリ 5kg 令和元年産</t>
        </is>
      </c>
      <c r="B128" t="inlineStr">
        <is>
          <t>￥ 2,478</t>
        </is>
      </c>
      <c r="C128" t="inlineStr">
        <is>
          <t>4.7</t>
        </is>
      </c>
      <c r="D128">
        <f>HYPERLINK("https://www.amazon.co.jp/%E5%85%A8%E8%BE%B2%E3%83%91%E3%83%BC%E3%83%AB%E3%83%A9%E3%82%A4%E3%82%B9-%E3%80%90%E7%B2%BE%E7%B1%B3%E3%80%91%E5%BA%83%E5%B3%B6%E7%9C%8C%E7%94%A3-%E3%82%B3%E3%82%B7%E3%83%92%E3%82%AB%E3%83%AA-5kg-%E5%B9%B3%E6%88%9030%E5%B9%B4%E7%94%A3/dp/B072J5314Z/ref=sr_1_125?__mk_ja_JP=%E3%82%AB%E3%82%BF%E3%82%AB%E3%83%8A&amp;dchild=1&amp;keywords=%E7%B1%B3&amp;qid=1598692232&amp;sr=8-125", "Go")</f>
        <v/>
      </c>
    </row>
    <row r="129">
      <c r="A129" t="inlineStr">
        <is>
          <t>米 白米 特A評価 いちほまれ 10kg(2kg×5袋) 福井県産 令和元年産(2019年)【米袋は真空包装】</t>
        </is>
      </c>
      <c r="B129" t="inlineStr">
        <is>
          <t>￥5,880</t>
        </is>
      </c>
      <c r="C129" t="inlineStr">
        <is>
          <t>4.3</t>
        </is>
      </c>
      <c r="D129">
        <f>HYPERLINK("https://www.amazon.co.jp/%E7%89%B9A%E8%A9%95%E4%BE%A1-%E3%81%84%E3%81%A1%E3%81%BB%E3%81%BE%E3%82%8C-10kg-2kg%C3%975%E8%A2%8B-%E5%B9%B3%E6%88%9030%E5%B9%B4%E5%BA%A6%E7%94%A3/dp/B07J1Q2H7X/ref=sr_1_126?__mk_ja_JP=%E3%82%AB%E3%82%BF%E3%82%AB%E3%83%8A&amp;dchild=1&amp;keywords=%E7%B1%B3&amp;qid=1598692232&amp;sr=8-126", "Go")</f>
        <v/>
      </c>
    </row>
    <row r="130">
      <c r="A130" t="inlineStr">
        <is>
          <t>新潟県産 ミルキークイーン 白米 2kg 令和元年産</t>
        </is>
      </c>
      <c r="B130" t="inlineStr">
        <is>
          <t>￥1,810</t>
        </is>
      </c>
      <c r="C130" t="inlineStr">
        <is>
          <t>4.2</t>
        </is>
      </c>
      <c r="D130">
        <f>HYPERLINK("https://www.amazon.co.jp/%E3%80%90%E6%96%B0%E7%B1%B3%E3%80%91%E3%80%90%E7%B2%BE%E7%B1%B3%E3%80%91-%E6%96%B0%E6%BD%9F%E7%9C%8C%E7%94%A3-%E3%83%9F%E3%83%AB%E3%82%AD%E3%83%BC%E3%82%AF%E3%82%A4%E3%83%BC%E3%83%B3-2kg-%E5%B9%B3%E6%88%9030%E5%B9%B4%E7%94%A3/dp/B06Y63KYXV/ref=sr_1_128_sspa?__mk_ja_JP=%E3%82%AB%E3%82%BF%E3%82%AB%E3%83%8A&amp;dchild=1&amp;keywords=%E7%B1%B3&amp;qid=1598692232&amp;sr=8-128-spons&amp;psc=1&amp;spLa=ZW5jcnlwdGVkUXVhbGlmaWVyPUEyWUM5VElXT0NPRldTJmVuY3J5cHRlZElkPUEwODM0NTg1MTlIQTlYSDdBOTQyRSZlbmNyeXB0ZWRBZElkPUEzMUZUWFBQN1EwWFJKJndpZGdldE5hbWU9c3BfbXRmJmFjdGlvbj1jbGlja1JlZGlyZWN0JmRvTm90TG9nQ2xpY2s9dHJ1ZQ==", "Go")</f>
        <v/>
      </c>
    </row>
    <row r="131">
      <c r="A131" t="inlineStr">
        <is>
          <t>マクファ MAKFA そばの実 800g ハラル認証品 (そば米) １個</t>
        </is>
      </c>
      <c r="B131" t="inlineStr">
        <is>
          <t>￥1,626</t>
        </is>
      </c>
      <c r="C131" t="inlineStr">
        <is>
          <t>4.1</t>
        </is>
      </c>
      <c r="D131">
        <f>HYPERLINK("https://www.amazon.co.jp/%E3%83%9E%E3%82%AF%E3%83%95%E3%82%A1-MAKFA-%E3%81%9D%E3%81%B0%E3%81%AE%E5%AE%9F-800g-%E3%83%8F%E3%83%A9%E3%83%AB%E8%AA%8D%E8%A8%BC%E5%93%81/dp/B07CNHR48K/ref=sr_1_130_sspa?__mk_ja_JP=%E3%82%AB%E3%82%BF%E3%82%AB%E3%83%8A&amp;dchild=1&amp;keywords=%E7%B1%B3&amp;qid=1598692232&amp;sr=8-130-spons&amp;psc=1&amp;smid=A2V4UH01IQWSSC&amp;spLa=ZW5jcnlwdGVkUXVhbGlmaWVyPUEyWUM5VElXT0NPRldTJmVuY3J5cHRlZElkPUEwODM0NTg1MTlIQTlYSDdBOTQyRSZlbmNyeXB0ZWRBZElkPUEzNFYzNFlBMFJaTEpYJndpZGdldE5hbWU9c3BfbXRmJmFjdGlvbj1jbGlja1JlZGlyZWN0JmRvTm90TG9nQ2xpY2s9dHJ1ZQ==", "Go")</f>
        <v/>
      </c>
    </row>
    <row r="132">
      <c r="A132" t="inlineStr">
        <is>
          <t>真空パック 新潟産コシヒカリ 無洗米 10kg (1kg×10袋)</t>
        </is>
      </c>
      <c r="B132" t="inlineStr">
        <is>
          <t>￥6,480</t>
        </is>
      </c>
      <c r="C132" t="inlineStr">
        <is>
          <t>5</t>
        </is>
      </c>
      <c r="D132">
        <f>HYPERLINK("https://www.amazon.co.jp/%E7%9C%9F%E7%A9%BA%E3%83%91%E3%83%83%E3%82%AF-%E6%96%B0%E6%BD%9F%E7%94%A3%E3%82%B3%E3%82%B7%E3%83%92%E3%82%AB%E3%83%AA-%E7%84%A1%E6%B4%97%E7%B1%B3-10kg-1kg%C3%9710%E8%A2%8B/dp/B00YBNN2LQ/ref=sr_1_131?__mk_ja_JP=%E3%82%AB%E3%82%BF%E3%82%AB%E3%83%8A&amp;dchild=1&amp;keywords=%E7%B1%B3&amp;qid=1598692232&amp;sr=8-131", "Go")</f>
        <v/>
      </c>
    </row>
    <row r="133">
      <c r="A133" t="inlineStr">
        <is>
          <t>【米俵】　京都丹後産コシヒカリ　５ｋｇ　　結婚祝い</t>
        </is>
      </c>
      <c r="B133" t="inlineStr">
        <is>
          <t>￥5,500</t>
        </is>
      </c>
      <c r="C133" t="inlineStr">
        <is>
          <t>4.6</t>
        </is>
      </c>
      <c r="D133">
        <f>HYPERLINK("https://www.amazon.co.jp/%E7%A5%9D%E3%81%84%E7%B1%B3%E6%9C%AC%E8%88%97-%E3%80%90%E7%B1%B3%E4%BF%B5%E3%80%91-%E4%BA%AC%E9%83%BD%E4%B8%B9%E5%BE%8C%E7%94%A3%E3%82%B3%E3%82%B7%E3%83%92%E3%82%AB%E3%83%AA-%EF%BC%95%EF%BD%8B%EF%BD%87-%E7%B5%90%E5%A9%9A%E7%A5%9D%E3%81%84/dp/B006E4CNBU/ref=sr_1_132?__mk_ja_JP=%E3%82%AB%E3%82%BF%E3%82%AB%E3%83%8A&amp;dchild=1&amp;keywords=%E7%B1%B3&amp;qid=1598692232&amp;sr=8-132", "Go")</f>
        <v/>
      </c>
    </row>
    <row r="134">
      <c r="A134" t="inlineStr">
        <is>
          <t>【精米】新潟県 佐渡産 コシヒカリ 朱鷺と暮らす郷 令和元年産 白米 米 コメ （5㎏×1袋）</t>
        </is>
      </c>
      <c r="B134" t="inlineStr">
        <is>
          <t>￥3,800</t>
        </is>
      </c>
      <c r="C134" t="inlineStr">
        <is>
          <t>4.5</t>
        </is>
      </c>
      <c r="D134">
        <f>HYPERLINK("https://www.amazon.co.jp/%E3%80%9013%E5%B9%B4%E9%80%A3%E7%B6%9A-%E3%82%B3%E3%82%B7%E3%83%92%E3%82%AB%E3%83%AA-%E6%9C%B1%E9%B7%BA%E3%81%A8%E6%9A%AE%E3%82%89%E3%81%99%E9%83%B7-%E6%96%B0%E6%BD%9F%E4%B8%89%E5%A4%A7%E7%B1%B3-%E5%B9%B3%E6%88%9030%E5%B9%B4%E7%94%A3/dp/B07926H8BP/ref=sr_1_133?__mk_ja_JP=%E3%82%AB%E3%82%BF%E3%82%AB%E3%83%8A&amp;dchild=1&amp;keywords=%E7%B1%B3&amp;qid=1598692232&amp;sr=8-133", "Go")</f>
        <v/>
      </c>
    </row>
    <row r="135">
      <c r="A135" t="inlineStr">
        <is>
          <t>夏の感謝セール！！【令和元年産】おやじの米 山形県鶴岡産 特別栽培米 雪若丸（せがれの肥料仕込）白米 (5kg)</t>
        </is>
      </c>
      <c r="B135" t="inlineStr">
        <is>
          <t>￥2,980</t>
        </is>
      </c>
      <c r="C135" t="inlineStr">
        <is>
          <t>4.8</t>
        </is>
      </c>
      <c r="D135">
        <f>HYPERLINK("https://www.amazon.co.jp/%E3%80%90%E4%BB%A4%E5%92%8C%E5%85%83%E5%B9%B4%E7%94%A3%E3%80%91%E3%81%8A%E3%82%84%E3%81%98%E3%81%AE%E7%B1%B3-%E5%B1%B1%E5%BD%A2%E7%9C%8C%E9%B6%B4%E5%B2%A1%E7%94%A3-%E7%89%B9%E5%88%A5%E6%A0%BD%E5%9F%B9%E7%B1%B3-%E9%9B%AA%E8%8B%A5%E4%B8%B8%EF%BC%88%E3%81%9B%E3%81%8C%E3%82%8C%E3%81%AE%E8%82%A5%E6%96%99%E4%BB%95%E8%BE%BC%EF%BC%89%E7%99%BD%E7%B1%B3-5kg/dp/B07WTB5DRH/ref=sr_1_134?__mk_ja_JP=%E3%82%AB%E3%82%BF%E3%82%AB%E3%83%8A&amp;dchild=1&amp;keywords=%E7%B1%B3&amp;qid=1598692232&amp;sr=8-134", "Go")</f>
        <v/>
      </c>
    </row>
    <row r="136">
      <c r="A136" t="inlineStr">
        <is>
          <t>限定1,450食【ガールズ＆パンツァー】くまもと姉妹 まほ・みほの想い出米(300g) 限定グラフィックカード1枚封入</t>
        </is>
      </c>
      <c r="B136" t="inlineStr">
        <is>
          <t>￥1,000</t>
        </is>
      </c>
      <c r="C136" t="inlineStr">
        <is>
          <t>5</t>
        </is>
      </c>
      <c r="D136">
        <f>HYPERLINK("https://www.amazon.co.jp/%E9%99%90%E5%AE%9A1-450%E9%A3%9F%E3%80%90%E3%82%AC%E3%83%BC%E3%83%AB%E3%82%BA%EF%BC%86%E3%83%91%E3%83%B3%E3%83%84%E3%82%A1%E3%83%BC%E3%80%91%E3%81%8F%E3%81%BE%E3%82%82%E3%81%A8%E5%A7%89%E5%A6%B9-%E3%81%BE%E3%81%BB%E3%83%BB%E3%81%BF%E3%81%BB%E3%81%AE%E6%83%B3%E3%81%84%E5%87%BA%E7%B1%B3-300g-%E9%99%90%E5%AE%9A%E3%82%B0%E3%83%A9%E3%83%95%E3%82%A3%E3%83%83%E3%82%AF%E3%82%AB%E3%83%BC%E3%83%891%E6%9E%9A%E5%B0%81%E5%85%A5/dp/B085WMLSBC/ref=sr_1_135?__mk_ja_JP=%E3%82%AB%E3%82%BF%E3%82%AB%E3%83%8A&amp;dchild=1&amp;keywords=%E7%B1%B3&amp;qid=1598692232&amp;sr=8-135", "Go")</f>
        <v/>
      </c>
    </row>
    <row r="137">
      <c r="A137" t="inlineStr">
        <is>
          <t>新米 令和２年産 昔ながらの魚沼産こしひかり 白米 精米5kg</t>
        </is>
      </c>
      <c r="B137" t="inlineStr">
        <is>
          <t>￥3,980</t>
        </is>
      </c>
      <c r="C137" t="inlineStr">
        <is>
          <t>4.6</t>
        </is>
      </c>
      <c r="D137">
        <f>HYPERLINK("https://www.amazon.co.jp/%E8%B6%8A%E5%BE%8C%E3%81%AE%E7%B1%B3%E7%A9%80%E5%95%86%E9%AB%98%E7%94%B0%E5%B1%8B-%E9%AD%9A%E6%B2%BC%E7%94%A3-%E6%98%94%E3%81%AA%E3%81%8C%E3%82%89%E3%81%AE%E9%AD%9A%E6%B2%BC%E7%94%A3%E3%81%93%E3%81%97%E3%81%B2%E3%81%8B%E3%82%8A-%E7%B2%BE%E7%B1%B35kg-%E5%B9%B3%E6%88%9030%E5%B9%B4%E7%94%A3/dp/B0721LQMQM/ref=sr_1_136?__mk_ja_JP=%E3%82%AB%E3%82%BF%E3%82%AB%E3%83%8A&amp;dchild=1&amp;keywords=%E7%B1%B3&amp;qid=1598692232&amp;sr=8-136", "Go")</f>
        <v/>
      </c>
    </row>
    <row r="138">
      <c r="A138" t="inlineStr">
        <is>
          <t>コシヒカリ 白米 10kg 会津産 令和元年産 お米 ※九州は送料別途500円、沖縄・離島は送料別途1000円</t>
        </is>
      </c>
      <c r="B138" t="inlineStr">
        <is>
          <t>￥4,880</t>
        </is>
      </c>
      <c r="C138" t="inlineStr">
        <is>
          <t>4.5</t>
        </is>
      </c>
      <c r="D138">
        <f>HYPERLINK("https://www.amazon.co.jp/%E3%82%B3%E3%82%B7%E3%83%92%E3%82%AB%E3%83%AA-10kg-%E4%BC%9A%E6%B4%A5%E7%94%A3-30%E5%B9%B4%E7%94%A3-%E2%80%BB%E4%B9%9D%E5%B7%9E%E3%81%AF%E9%80%81%E6%96%99%E5%88%A5%E9%80%94500%E5%86%86%E3%83%BB%E6%B2%96%E7%B8%84%E3%81%AF%E9%80%81%E6%96%99%E5%88%A5%E9%80%941000%E5%86%86/dp/B005XIN2OU/ref=sr_1_138?__mk_ja_JP=%E3%82%AB%E3%82%BF%E3%82%AB%E3%83%8A&amp;dchild=1&amp;keywords=%E7%B1%B3&amp;qid=1598692232&amp;sr=8-138", "Go")</f>
        <v/>
      </c>
    </row>
    <row r="139">
      <c r="A139" t="inlineStr">
        <is>
          <t>【新米】 令和元年産 福島県中通り産 コシヒカリ10kg 白米</t>
        </is>
      </c>
      <c r="B139" t="inlineStr">
        <is>
          <t>￥4,400</t>
        </is>
      </c>
      <c r="C139" t="inlineStr">
        <is>
          <t>4.4</t>
        </is>
      </c>
      <c r="D139">
        <f>HYPERLINK("https://www.amazon.co.jp/%E3%81%8A%E7%B1%B3%E8%B2%A9%E5%A3%B2%E3%81%AE%E5%A4%A7%E8%B3%80%E5%95%86%E5%BA%97-%E3%80%90%E6%96%B0%E7%B1%B3%E3%80%9130%E5%B9%B4%E7%94%A3%E7%A6%8F%E5%B3%B6%E7%9C%8C%E4%B8%AD%E9%80%9A%E3%82%8A%E7%94%A3%E3%82%B3%E3%82%B7%E3%83%92%E3%82%AB%E3%83%AA10kg-%E7%99%BD%E7%B1%B3/dp/B013DK0XCI/ref=sr_1_139?__mk_ja_JP=%E3%82%AB%E3%82%BF%E3%82%AB%E3%83%8A&amp;dchild=1&amp;keywords=%E7%B1%B3&amp;qid=1598692232&amp;sr=8-139", "Go")</f>
        <v/>
      </c>
    </row>
    <row r="140">
      <c r="A140" t="inlineStr">
        <is>
          <t>【セット買い】【Amazon.co.jp 限定】 キリン アルカリイオンの水 PET (2L×9本) +【精米】【Amazon.co.jp限定】秋田県産 無洗米 あきたこまち 5kg 平成30年産</t>
        </is>
      </c>
      <c r="B140" t="inlineStr">
        <is>
          <t>￥3,814</t>
        </is>
      </c>
      <c r="C140" t="inlineStr">
        <is>
          <t>5</t>
        </is>
      </c>
      <c r="D140">
        <f>HYPERLINK("https://www.amazon.co.jp/%E3%80%90%E3%82%BB%E3%83%83%E3%83%88%E8%B2%B7%E3%81%84%E3%80%91%E3%80%90Amazon-co-jp-%E3%82%A2%E3%83%AB%E3%82%AB%E3%83%AA%E3%82%A4%E3%82%AA%E3%83%B3%E3%81%AE%E6%B0%B4-%E3%80%90%E7%B2%BE%E7%B1%B3%E3%80%91%E3%80%90Amazon-co-jp%E9%99%90%E5%AE%9A%E3%80%91%E7%A7%8B%E7%94%B0%E7%9C%8C%E7%94%A3-%E3%81%82%E3%81%8D%E3%81%9F%E3%81%93%E3%81%BE%E3%81%A1-%E5%B9%B3%E6%88%9030%E5%B9%B4%E7%94%A3/dp/B07RL6BB4P/ref=sr_1_140?__mk_ja_JP=%E3%82%AB%E3%82%BF%E3%82%AB%E3%83%8A&amp;dchild=1&amp;keywords=%E7%B1%B3&amp;qid=1598692232&amp;sr=8-140", "Go")</f>
        <v/>
      </c>
    </row>
    <row r="141">
      <c r="A141" t="inlineStr">
        <is>
          <t>【精米】 新潟県 白米 新之助 5kg 令和元年産</t>
        </is>
      </c>
      <c r="B141" t="inlineStr">
        <is>
          <t>￥2,808</t>
        </is>
      </c>
      <c r="C141" t="inlineStr">
        <is>
          <t>4.3</t>
        </is>
      </c>
      <c r="D141">
        <f>HYPERLINK("https://www.amazon.co.jp/%E3%80%90%E7%B2%BE%E7%B1%B3%E3%80%91-%E6%96%B0%E6%BD%9F%E7%9C%8C-%E6%96%B0%E4%B9%8B%E5%8A%A9-5kg-%E4%BB%A4%E5%92%8C%E5%85%83%E5%B9%B4%E7%94%A3/dp/B0823VLHGN/ref=sr_1_142?__mk_ja_JP=%E3%82%AB%E3%82%BF%E3%82%AB%E3%83%8A&amp;dchild=1&amp;keywords=%E7%B1%B3&amp;qid=1598692232&amp;s=pantry&amp;sr=8-142", "Go")</f>
        <v/>
      </c>
    </row>
    <row r="142">
      <c r="A142" t="inlineStr">
        <is>
          <t>【精米】秋田県産 白米 あきたこまち 5kg 令和元年産</t>
        </is>
      </c>
      <c r="B142" t="inlineStr">
        <is>
          <t>￥ 5,047</t>
        </is>
      </c>
      <c r="C142" t="inlineStr">
        <is>
          <t>4.2</t>
        </is>
      </c>
      <c r="D142">
        <f>HYPERLINK("https://www.amazon.co.jp/%E3%80%90%E7%B2%BE%E7%B1%B3%E3%80%91%E7%A7%8B%E7%94%B0%E7%9C%8C%E7%94%A3-%E7%99%BD%E7%B1%B3-%E3%81%82%E3%81%8D%E3%81%9F%E3%81%93%E3%81%BE%E3%81%A1-5kg-%E5%B9%B3%E6%88%9030%E5%B9%B4%E7%94%A3/dp/B00406DL9M/ref=sr_1_143?__mk_ja_JP=%E3%82%AB%E3%82%BF%E3%82%AB%E3%83%8A&amp;dchild=1&amp;keywords=%E7%B1%B3&amp;qid=1598692232&amp;sr=8-143", "Go")</f>
        <v/>
      </c>
    </row>
    <row r="143">
      <c r="A143" t="inlineStr">
        <is>
          <t>野沢農産 無洗米 令和元年産 特A産地 長野県北信州産コシヒカリ 5kg</t>
        </is>
      </c>
      <c r="B143" t="inlineStr">
        <is>
          <t>￥2,461 (￥0 / g)</t>
        </is>
      </c>
      <c r="C143" t="inlineStr">
        <is>
          <t>4.2</t>
        </is>
      </c>
      <c r="D143">
        <f>HYPERLINK("https://www.amazon.co.jp/%E8%8F%9C%E3%81%AE%E8%8A%B1-%E9%95%B7%E9%87%8E%E7%9C%8C%E7%94%A3-%E9%87%8E%E6%B2%A2%E3%81%AE%E3%81%93%E3%81%97%E3%81%B2%E3%81%8B%E3%82%8A5kg-%E5%B9%B3%E6%88%9029%E5%B9%B4%E7%94%A3/dp/B07BKRGT23/ref=sr_1_144?__mk_ja_JP=%E3%82%AB%E3%82%BF%E3%82%AB%E3%83%8A&amp;dchild=1&amp;keywords=%E7%B1%B3&amp;qid=1598692232&amp;sr=8-144", "Go")</f>
        <v/>
      </c>
    </row>
    <row r="144">
      <c r="A144" t="inlineStr">
        <is>
          <t>【精米】山形県産 白米 雪若丸 2kg 令和元年産</t>
        </is>
      </c>
      <c r="B144" t="inlineStr">
        <is>
          <t>￥1,280</t>
        </is>
      </c>
      <c r="C144" t="inlineStr">
        <is>
          <t>4.4</t>
        </is>
      </c>
      <c r="D144">
        <f>HYPERLINK("https://www.amazon.co.jp/%E3%80%90%E7%B2%BE%E7%B1%B3%E3%80%91%E5%B1%B1%E5%BD%A2%E7%9C%8C%E7%94%A3-%E7%99%BD%E7%B1%B3-%E9%9B%AA%E8%8B%A5%E4%B8%B8-2kg-%E5%B9%B3%E6%88%9030%E5%B9%B4%E7%94%A3/dp/B07HR5VY34/ref=sr_1_145?__mk_ja_JP=%E3%82%AB%E3%82%BF%E3%82%AB%E3%83%8A&amp;dchild=1&amp;keywords=%E7%B1%B3&amp;qid=1598692232&amp;sr=8-145", "Go")</f>
        <v/>
      </c>
    </row>
    <row r="145">
      <c r="A145" t="inlineStr">
        <is>
          <t>【Amazon.co.jp限定】　金芽米(無洗米) 5kg</t>
        </is>
      </c>
      <c r="B145" t="inlineStr">
        <is>
          <t>￥2,307</t>
        </is>
      </c>
      <c r="C145" t="inlineStr">
        <is>
          <t>4.2</t>
        </is>
      </c>
      <c r="D145">
        <f>HYPERLINK("https://www.amazon.co.jp/%E9%87%91%E8%8A%BD%E7%B1%B3-%E3%80%90%E7%B2%BE%E7%B1%B3%E3%80%91%E3%80%90Amazon-co-jp-%E9%99%90%E5%AE%9A%E3%80%91%E9%87%91%E8%8A%BD%E7%B1%B3-Amazon%E3%82%BB%E3%83%AC%E3%82%AF%E3%83%88-5kg/dp/B07L6SKBG8/ref=sr_1_146?__mk_ja_JP=%E3%82%AB%E3%82%BF%E3%82%AB%E3%83%8A&amp;dchild=1&amp;keywords=%E7%B1%B3&amp;qid=1598692232&amp;sr=8-146", "Go")</f>
        <v/>
      </c>
    </row>
    <row r="146">
      <c r="A146" t="inlineStr">
        <is>
          <t>野沢農産 無洗米 令和元年産 長野県産 風さやか 5kg</t>
        </is>
      </c>
      <c r="B146" t="inlineStr">
        <is>
          <t>￥2,299 (￥0 / g)</t>
        </is>
      </c>
      <c r="C146" t="inlineStr">
        <is>
          <t>4.2</t>
        </is>
      </c>
      <c r="D146">
        <f>HYPERLINK("https://www.amazon.co.jp/%E9%87%8E%E6%B2%A2%E8%BE%B2%E7%94%A3%E7%94%9F%E7%94%A3%E7%B5%84%E5%90%88-%E9%95%B7%E9%87%8E%E7%9C%8C%E7%94%A3-%E9%A2%A8%E3%81%95%E3%82%84%E3%81%8B-%E5%B9%B3%E6%88%9030%E5%B9%B4%E7%94%A3-5kg/dp/B07LD8L6MV/ref=sr_1_147?__mk_ja_JP=%E3%82%AB%E3%82%BF%E3%82%AB%E3%83%8A&amp;dchild=1&amp;keywords=%E7%B1%B3&amp;qid=1598692232&amp;sr=8-147", "Go")</f>
        <v/>
      </c>
    </row>
    <row r="147">
      <c r="A147" t="inlineStr">
        <is>
          <t>【精米】北海道産 無洗米 ホクレン ゆめぴりか 5kg 令和元年産</t>
        </is>
      </c>
      <c r="B147" t="inlineStr">
        <is>
          <t>￥3,180</t>
        </is>
      </c>
      <c r="C147" t="inlineStr">
        <is>
          <t>4.2</t>
        </is>
      </c>
      <c r="D147">
        <f>HYPERLINK("https://www.amazon.co.jp/%E3%80%90%E7%B2%BE%E7%B1%B3%E3%80%91%E5%8C%97%E6%B5%B7%E9%81%93%E7%94%A3-%E7%84%A1%E6%B4%97%E7%B1%B3-%E3%83%9B%E3%82%AF%E3%83%AC%E3%83%B3-%E3%82%86%E3%82%81%E3%81%B4%E3%82%8A%E3%81%8B-%E5%B9%B3%E6%88%9030%E5%B9%B4%E7%94%A3/dp/B007ODIYZY/ref=sr_1_149?__mk_ja_JP=%E3%82%AB%E3%82%BF%E3%82%AB%E3%83%8A&amp;dchild=1&amp;keywords=%E7%B1%B3&amp;qid=1598692232&amp;sr=8-149", "Go")</f>
        <v/>
      </c>
    </row>
    <row r="148">
      <c r="A148" t="inlineStr">
        <is>
          <t>【精米】 [Amazon限定ブランド] 580.com 宮城県産 無洗米 つや姫 5kg 令和元年産</t>
        </is>
      </c>
      <c r="B148" t="inlineStr">
        <is>
          <t>￥2,701</t>
        </is>
      </c>
      <c r="C148" t="inlineStr">
        <is>
          <t>4.2</t>
        </is>
      </c>
      <c r="D148">
        <f>HYPERLINK("https://www.amazon.co.jp/%E3%80%90%E7%B2%BE%E7%B1%B3%E3%80%91-Amazon%E9%99%90%E5%AE%9A%E3%83%96%E3%83%A9%E3%83%B3%E3%83%89-580-com-%E5%AE%AE%E5%9F%8E%E7%9C%8C%E7%94%A3-%E5%B9%B3%E6%88%9030%E5%B9%B4%E7%94%A3/dp/B07NGBBLTH/ref=sr_1_150?__mk_ja_JP=%E3%82%AB%E3%82%BF%E3%82%AB%E3%83%8A&amp;dchild=1&amp;keywords=%E7%B1%B3&amp;qid=1598692232&amp;sr=8-150", "Go")</f>
        <v/>
      </c>
    </row>
    <row r="149">
      <c r="A149" t="inlineStr">
        <is>
          <t>【精米】山形県産 白米 雪若丸 5kg 令和元年産</t>
        </is>
      </c>
      <c r="B149" t="inlineStr">
        <is>
          <t>￥ 5,470</t>
        </is>
      </c>
      <c r="C149" t="inlineStr">
        <is>
          <t>4.2</t>
        </is>
      </c>
      <c r="D149">
        <f>HYPERLINK("https://www.amazon.co.jp/%E3%80%90%E7%B2%BE%E7%B1%B3%E3%80%91%E5%B1%B1%E5%BD%A2%E7%9C%8C%E7%94%A3-%E7%99%BD%E7%B1%B3-%E9%9B%AA%E8%8B%A5%E4%B8%B8-5kg-%E5%B9%B3%E6%88%9030%E5%B9%B4%E7%94%A3/dp/B07JH3DD1S/ref=sr_1_151?__mk_ja_JP=%E3%82%AB%E3%82%BF%E3%82%AB%E3%83%8A&amp;dchild=1&amp;keywords=%E7%B1%B3&amp;qid=1598692232&amp;sr=8-151", "Go")</f>
        <v/>
      </c>
    </row>
    <row r="150">
      <c r="A150" t="inlineStr">
        <is>
          <t>【西日本】 愛媛県産 白米 もりもりごはん10kg　10kg 1袋　【10kg】</t>
        </is>
      </c>
      <c r="B150" t="inlineStr">
        <is>
          <t>￥3,977</t>
        </is>
      </c>
      <c r="C150" t="inlineStr">
        <is>
          <t>4.2</t>
        </is>
      </c>
      <c r="D150">
        <f>HYPERLINK("https://www.amazon.co.jp/%E3%80%90%E8%A5%BF%E6%97%A5%E6%9C%AC%E3%80%91-%E6%84%9B%E5%AA%9B%E7%9C%8C%E7%94%A3-%E7%99%BD%E7%B1%B3-%E3%82%82%E3%82%8A%E3%82%82%E3%82%8A%E3%81%94%E3%81%AF%E3%82%9310kg-10kg-1%E8%A2%8B-%E3%80%9010kg%E3%80%91/dp/B00A9ENM20/ref=sr_1_152?__mk_ja_JP=%E3%82%AB%E3%82%BF%E3%82%AB%E3%83%8A&amp;dchild=1&amp;keywords=%E7%B1%B3&amp;qid=1598692232&amp;sr=8-152", "Go")</f>
        <v/>
      </c>
    </row>
    <row r="151">
      <c r="A151" t="inlineStr">
        <is>
          <t>野沢農産 無洗米 令和元年産 長野県北信産 特A 特別栽培米 コシヒカリ ぶなの水 5kg</t>
        </is>
      </c>
      <c r="B151" t="inlineStr">
        <is>
          <t>￥2,905</t>
        </is>
      </c>
      <c r="C151" t="inlineStr">
        <is>
          <t>4.2</t>
        </is>
      </c>
      <c r="D151">
        <f>HYPERLINK("https://www.amazon.co.jp/%E3%81%B6%E3%81%AA%E3%81%AE%E6%B0%B4-%E9%95%B7%E9%87%8E%E7%9C%8C%E7%94%A3-%E3%81%B6%E3%81%AA%E3%81%AE%E6%B0%B45kg-%E5%B9%B3%E6%88%9029%E5%B9%B4%E7%94%A3/dp/B00A6MI4UK/ref=sr_1_153?__mk_ja_JP=%E3%82%AB%E3%82%BF%E3%82%AB%E3%83%8A&amp;dchild=1&amp;keywords=%E7%B1%B3&amp;qid=1598692232&amp;sr=8-153", "Go")</f>
        <v/>
      </c>
    </row>
    <row r="152">
      <c r="A152" t="inlineStr">
        <is>
          <t>新潟県産 ミルキークイーン 白米 5kg 令和元年産</t>
        </is>
      </c>
      <c r="B152" t="inlineStr">
        <is>
          <t>￥3,290</t>
        </is>
      </c>
      <c r="C152" t="inlineStr">
        <is>
          <t>4.2</t>
        </is>
      </c>
      <c r="D152">
        <f>HYPERLINK("https://www.amazon.co.jp/%E3%80%90%E6%96%B0%E7%B1%B3%E3%80%91%E3%80%90%E7%B2%BE%E7%B1%B3%E3%80%91-%E6%96%B0%E6%BD%9F%E7%9C%8C%E7%94%A3-%E3%83%9F%E3%83%AB%E3%82%AD%E3%83%BC%E3%82%AF%E3%82%A4%E3%83%BC%E3%83%B3-5kg-%E5%B9%B3%E6%88%9030%E5%B9%B4%E7%94%A3/dp/B00A8C1VGM/ref=sr_1_154?__mk_ja_JP=%E3%82%AB%E3%82%BF%E3%82%AB%E3%83%8A&amp;dchild=1&amp;keywords=%E7%B1%B3&amp;qid=1598692232&amp;sr=8-154", "Go")</f>
        <v/>
      </c>
    </row>
    <row r="153">
      <c r="A153" t="inlineStr">
        <is>
          <t>B-O-D　精米年月日2020年7月上旬　【精米】 山形県産 つや姫 1等米 10kg （5kg×2袋) 送料無料（一部を除く）</t>
        </is>
      </c>
      <c r="B153" t="inlineStr">
        <is>
          <t>￥4,880</t>
        </is>
      </c>
      <c r="C153" t="inlineStr">
        <is>
          <t>4</t>
        </is>
      </c>
      <c r="D153">
        <f>HYPERLINK("https://www.amazon.co.jp/BOD-%E6%96%B0%E7%B1%B3%E4%BB%A4%E5%92%8C%E5%85%83%E5%B9%B4%E7%94%A3%E3%80%90%E7%B2%BE%E7%B1%B3%E3%80%91-%E5%B1%B1%E5%BD%A2%E7%9C%8C%E7%94%A3-10kg-%EF%BC%885kg%C3%972%E8%A2%8B-%E9%80%81%E6%96%99%E7%84%A1%E6%96%99%EF%BC%88%E4%B8%80%E9%83%A8%E3%82%92%E9%99%A4%E3%81%8F%EF%BC%89/dp/B082FKPMP6/ref=sr_1_156_sspa?__mk_ja_JP=%E3%82%AB%E3%82%BF%E3%82%AB%E3%83%8A&amp;dchild=1&amp;keywords=%E7%B1%B3&amp;qid=1598692232&amp;sr=8-156-spons&amp;psc=1&amp;spLa=ZW5jcnlwdGVkUXVhbGlmaWVyPUEyWUM5VElXT0NPRldTJmVuY3J5cHRlZElkPUEwODM0NTg1MTlIQTlYSDdBOTQyRSZlbmNyeXB0ZWRBZElkPUFKRTlURDNURkpITFEmd2lkZ2V0TmFtZT1zcF9idGYmYWN0aW9uPWNsaWNrUmVkaXJlY3QmZG9Ob3RMb2dDbGljaz10cnVl", "Go")</f>
        <v/>
      </c>
    </row>
    <row r="154">
      <c r="A154" t="inlineStr">
        <is>
          <t>【令和元年産】減農薬　満開ゆめぴりか 5kg（5kg×1袋） 玄米（または白米） 北海道産 [特別栽培米 ゆめぴりか]【産地の北海道から全国発送】【ユメピリカ】【ゆめピリカ】【夢ぴりか】【5キロ】</t>
        </is>
      </c>
      <c r="B154" t="inlineStr">
        <is>
          <t>￥2,780</t>
        </is>
      </c>
      <c r="C154" t="inlineStr">
        <is>
          <t>4</t>
        </is>
      </c>
      <c r="D154">
        <f>HYPERLINK("https://www.amazon.co.jp/%E3%80%90%E6%B8%9B%E8%BE%B2%E8%96%AC%E3%80%91%E3%82%86%E3%82%81%E3%81%B4%E3%82%8A%E3%81%8B-5kg%EF%BC%885kg%C3%971%E8%A2%8B%EF%BC%89-%E7%8E%84%E7%B1%B3%EF%BC%88%E3%81%BE%E3%81%9F%E3%81%AF%E7%99%BD%E7%B1%B3%EF%BC%89-%E5%B9%B3%E6%88%9026%E5%B9%B4%E5%BA%A6%E7%94%A3-%E3%80%90%E7%94%A3%E5%9C%B0%E3%81%AE%E5%8C%97%E6%B5%B7%E9%81%93%E3%81%8B%E3%82%89%E5%85%A8%E5%9B%BD%E7%99%BA%E9%80%81%E3%80%91%E3%80%90%E3%83%A6%E3%83%A1%E3%83%94%E3%83%AA%E3%82%AB%E3%80%91%E3%80%90%E3%82%86%E3%82%81%E3%83%94%E3%83%AA%E3%82%AB%E3%80%91%E3%80%90%E5%A4%A2%E3%81%B4%E3%82%8A%E3%81%8B%E3%80%91%E3%80%905%E3%82%AD%E3%83%AD%E3%80%91/dp/B00I7JKN5S/ref=sr_1_145_sspa?__mk_ja_JP=%E3%82%AB%E3%82%BF%E3%82%AB%E3%83%8A&amp;dchild=1&amp;keywords=%E7%B1%B3&amp;qid=1598692446&amp;sr=8-145-spons&amp;psc=1&amp;spLa=ZW5jcnlwdGVkUXVhbGlmaWVyPUFXNUpaS0g2MDlSMEomZW5jcnlwdGVkSWQ9QTA4Njk5NDYxMVFJN1ZPREVQOVJCJmVuY3J5cHRlZEFkSWQ9QTJYS1c3S0FDSTJYS1Qmd2lkZ2V0TmFtZT1zcF9hdGZfbmV4dCZhY3Rpb249Y2xpY2tSZWRpcmVjdCZkb05vdExvZ0NsaWNrPXRydWU=", "Go")</f>
        <v/>
      </c>
    </row>
    <row r="155">
      <c r="A155" t="inlineStr">
        <is>
          <t>【精米】[Amazonブランド]Happy Belly 無洗米 北海道産 農薬節減米 ななつぼし 5kg 令和元年産</t>
        </is>
      </c>
      <c r="B155" t="inlineStr">
        <is>
          <t>￥ 2,913</t>
        </is>
      </c>
      <c r="C155" t="inlineStr">
        <is>
          <t>4.1</t>
        </is>
      </c>
      <c r="D155">
        <f>HYPERLINK("https://www.amazon.co.jp/Amazon%E3%83%96%E3%83%A9%E3%83%B3%E3%83%89-Happy-Belly-%E8%BE%B2%E8%96%AC%E7%AF%80%E6%B8%9B%E7%B1%B3-%E5%B9%B3%E6%88%9030%E5%B9%B4%E7%94%A3/dp/B078BMDCD6/ref=sr_1_146_sspa?__mk_ja_JP=%E3%82%AB%E3%82%BF%E3%82%AB%E3%83%8A&amp;dchild=1&amp;keywords=%E7%B1%B3&amp;qid=1598692446&amp;sr=8-146-spons&amp;psc=1&amp;spLa=ZW5jcnlwdGVkUXVhbGlmaWVyPUFXNUpaS0g2MDlSMEomZW5jcnlwdGVkSWQ9QTA4Njk5NDYxMVFJN1ZPREVQOVJCJmVuY3J5cHRlZEFkSWQ9QVZFTEU2SEdIR1JGNCZ3aWRnZXROYW1lPXNwX2F0Zl9uZXh0JmFjdGlvbj1jbGlja1JlZGlyZWN0JmRvTm90TG9nQ2xpY2s9dHJ1ZQ==", "Go")</f>
        <v/>
      </c>
    </row>
    <row r="156">
      <c r="A156" t="inlineStr">
        <is>
          <t>【精米】佐賀県産 白米 ひのひかり 5kg 令和元年産</t>
        </is>
      </c>
      <c r="B156" t="inlineStr">
        <is>
          <t>￥ 5,389</t>
        </is>
      </c>
      <c r="C156" t="inlineStr">
        <is>
          <t>4.2</t>
        </is>
      </c>
      <c r="D156">
        <f>HYPERLINK("https://www.amazon.co.jp/%E3%80%90%E7%B2%BE%E7%B1%B3%E3%80%91%E4%BD%90%E8%B3%80%E7%9C%8C%E7%94%A3-%E7%99%BD%E7%B1%B3-%E3%81%B2%E3%81%AE%E3%81%B2%E3%81%8B%E3%82%8A-5kg-%E5%B9%B3%E6%88%9030%E5%B9%B4%E7%94%A3/dp/B008XF7T1C/ref=sr_1_149?__mk_ja_JP=%E3%82%AB%E3%82%BF%E3%82%AB%E3%83%8A&amp;dchild=1&amp;keywords=%E7%B1%B3&amp;qid=1598692446&amp;sr=8-149", "Go")</f>
        <v/>
      </c>
    </row>
    <row r="157">
      <c r="A157" t="inlineStr">
        <is>
          <t>【白米】伊勢志摩産こしひかり30kgを精米します/産地直送/つきたて新鮮</t>
        </is>
      </c>
      <c r="B157" t="inlineStr">
        <is>
          <t>￥11,280</t>
        </is>
      </c>
      <c r="C157" t="inlineStr">
        <is>
          <t>4.2</t>
        </is>
      </c>
      <c r="D157">
        <f>HYPERLINK("https://www.amazon.co.jp/%E5%BE%A1%E9%A3%9F%E3%81%A4%E5%9B%BD%E4%BC%8A%E5%8B%A2%E5%BF%97%E6%91%A9-%E3%80%8C%E8%BE%B2%E3%81%AE%E5%8C%A0%E3%80%8D-%E3%80%90%E7%B2%BE%E7%B1%B3%E7%84%A1%E6%96%99%E3%83%BB%E7%99%BD%E7%B1%B3%E3%80%91%E4%BC%8A%E5%8B%A2%E5%BF%97%E6%91%A9%E7%94%A3%E3%81%93%E3%81%97%E3%81%B2%E3%81%8B%E3%82%8A30kg%E3%82%92%E7%B2%BE%E7%B1%B3%E3%81%97%E3%81%BE%E3%81%99-%E7%94%A3%E5%9C%B0%E7%9B%B4%E9%80%81-%E3%81%A4%E3%81%8D%E3%81%9F%E3%81%A6%E6%96%B0%E9%AE%AE/dp/B00NAQ35GW/ref=sr_1_150?__mk_ja_JP=%E3%82%AB%E3%82%BF%E3%82%AB%E3%83%8A&amp;dchild=1&amp;keywords=%E7%B1%B3&amp;qid=1598692446&amp;sr=8-150", "Go")</f>
        <v/>
      </c>
    </row>
    <row r="158">
      <c r="A158" t="inlineStr">
        <is>
          <t>【精米】福島県産 白米 コシヒカリ 5kg 令和元年産</t>
        </is>
      </c>
      <c r="B158" t="inlineStr">
        <is>
          <t>￥1,980</t>
        </is>
      </c>
      <c r="C158" t="inlineStr">
        <is>
          <t>4.2</t>
        </is>
      </c>
      <c r="D158">
        <f>HYPERLINK("https://www.amazon.co.jp/%E3%80%90%E7%B2%BE%E7%B1%B3%E3%80%91%E7%A6%8F%E5%B3%B6%E7%9C%8C%E7%94%A3-%E7%99%BD%E7%B1%B3-%E3%82%B3%E3%82%B7%E3%83%92%E3%82%AB%E3%83%AA-5kg-%E5%B9%B3%E6%88%9030%E5%B9%B4%E7%94%A3/dp/B06XRTJFLY/ref=sr_1_151?__mk_ja_JP=%E3%82%AB%E3%82%BF%E3%82%AB%E3%83%8A&amp;dchild=1&amp;keywords=%E7%B1%B3&amp;qid=1598692446&amp;s=pantry&amp;sr=8-151", "Go")</f>
        <v/>
      </c>
    </row>
    <row r="159">
      <c r="A159" t="inlineStr">
        <is>
          <t>【精米】全農パールライス 宮城県産 白米 だて正夢 5kg 令和元年産</t>
        </is>
      </c>
      <c r="B159" t="inlineStr">
        <is>
          <t>￥ 5,087</t>
        </is>
      </c>
      <c r="C159" t="inlineStr">
        <is>
          <t>4.2</t>
        </is>
      </c>
      <c r="D159">
        <f>HYPERLINK("https://www.amazon.co.jp/%E3%80%90%E7%B2%BE%E7%B1%B3%E3%80%91%E5%85%A8%E8%BE%B2%E3%83%91%E3%83%BC%E3%83%AB%E3%83%A9%E3%82%A4%E3%82%B9-%E5%AE%AE%E5%9F%8E%E7%9C%8C%E7%94%A3-%E3%81%A0%E3%81%A6%E6%AD%A3%E5%A4%A2-5kg-%E5%B9%B3%E6%88%9030%E5%B9%B4%E7%94%A3/dp/B07JP6NTZK/ref=sr_1_152?__mk_ja_JP=%E3%82%AB%E3%82%BF%E3%82%AB%E3%83%8A&amp;dchild=1&amp;keywords=%E7%B1%B3&amp;qid=1598692446&amp;sr=8-152", "Go")</f>
        <v/>
      </c>
    </row>
    <row r="160">
      <c r="A160" t="inlineStr">
        <is>
          <t>結びの神10kg　伊勢の新しいお米です ～ 伊勢神宮奉納米 ～ (白米)</t>
        </is>
      </c>
      <c r="B160" t="inlineStr">
        <is>
          <t>￥5,600</t>
        </is>
      </c>
      <c r="C160" t="inlineStr">
        <is>
          <t>4.3</t>
        </is>
      </c>
      <c r="D160">
        <f>HYPERLINK("https://www.amazon.co.jp/%E7%B5%90%E3%81%B3%E3%81%AE%E7%A5%9E10kg-%E4%BC%8A%E5%8B%A2%E3%81%AE%E6%96%B0%E3%81%97%E3%81%84%E3%81%8A%E7%B1%B3%E3%81%A7%E3%81%99-%EF%BD%9E-%E4%BC%8A%E5%8B%A2%E7%A5%9E%E5%AE%AE%E5%A5%89%E7%B4%8D%E7%B1%B3-%E7%99%BD%E7%B1%B3/dp/B018V6OXIO/ref=sr_1_153?__mk_ja_JP=%E3%82%AB%E3%82%BF%E3%82%AB%E3%83%8A&amp;dchild=1&amp;keywords=%E7%B1%B3&amp;qid=1598692446&amp;sr=8-153", "Go")</f>
        <v/>
      </c>
    </row>
    <row r="161">
      <c r="A161" t="inlineStr">
        <is>
          <t>【精米】新潟県産 無洗米 コシヒカリ 5kg 令和元年産</t>
        </is>
      </c>
      <c r="B161" t="inlineStr"/>
      <c r="C161" t="inlineStr">
        <is>
          <t>4.2</t>
        </is>
      </c>
      <c r="D161">
        <f>HYPERLINK("https://www.amazon.co.jp/%E3%80%90%E7%B2%BE%E7%B1%B3%E3%80%91%E6%96%B0%E6%BD%9F%E7%9C%8C%E7%94%A3-%E7%84%A1%E6%B4%97%E7%B1%B3-%E3%82%B3%E3%82%B7%E3%83%92%E3%82%AB%E3%83%AA-5kg-%E5%B9%B3%E6%88%9030%E5%B9%B4%E7%94%A3/dp/B01LZ8NKWT/ref=sr_1_154?__mk_ja_JP=%E3%82%AB%E3%82%BF%E3%82%AB%E3%83%8A&amp;dchild=1&amp;keywords=%E7%B1%B3&amp;qid=1598692446&amp;sr=8-154", "Go")</f>
        <v/>
      </c>
    </row>
    <row r="162">
      <c r="A162" t="inlineStr">
        <is>
          <t>無洗米 穂風 ほのか 10kg (5kg×2袋) 【国内産100％使用した 当店オリジナルブレンド】 【ハーベストシーズン】 【HARVEST SEASON】</t>
        </is>
      </c>
      <c r="B162" t="inlineStr">
        <is>
          <t>￥4,198</t>
        </is>
      </c>
      <c r="C162" t="inlineStr">
        <is>
          <t>4.2</t>
        </is>
      </c>
      <c r="D162">
        <f>HYPERLINK("https://www.amazon.co.jp/%E3%80%90%E5%9B%BD%E5%86%85%E7%94%A3100%EF%BC%85%E4%BD%BF%E7%94%A8%E3%81%97%E3%81%9F-%E5%BD%93%E5%BA%97%E3%82%AA%E3%83%AA%E3%82%B8%E3%83%8A%E3%83%AB%E3%83%96%E3%83%AC%E3%83%B3%E3%83%89%E3%80%91-%E3%80%90%E3%83%8F%E3%83%BC%E3%83%99%E3%82%B9%E3%83%88%E3%82%B7%E3%83%BC%E3%82%BA%E3%83%B3%E3%80%91-%E3%80%90HARVEST-SEASON%E3%80%91/dp/B07PHWBV2V/ref=sr_1_156?__mk_ja_JP=%E3%82%AB%E3%82%BF%E3%82%AB%E3%83%8A&amp;dchild=1&amp;keywords=%E7%B1%B3&amp;qid=1598692446&amp;sr=8-156", "Go")</f>
        <v/>
      </c>
    </row>
    <row r="163">
      <c r="A163" t="inlineStr">
        <is>
          <t>【精米】【Amazon.co.jp限定】会津産 無洗米 コシヒカリ 2kg 令和元年産</t>
        </is>
      </c>
      <c r="B163" t="inlineStr">
        <is>
          <t>￥1,283</t>
        </is>
      </c>
      <c r="C163" t="inlineStr">
        <is>
          <t>4.2</t>
        </is>
      </c>
      <c r="D163">
        <f>HYPERLINK("https://www.amazon.co.jp/%E3%80%90%E7%B2%BE%E7%B1%B3%E3%80%91%E3%80%90Amazon-co-jp%E9%99%90%E5%AE%9A%E3%80%91%E4%BC%9A%E6%B4%A5%E7%94%A3-%E7%84%A1%E6%B4%97%E7%B1%B3-%E3%82%B3%E3%82%B7%E3%83%92%E3%82%AB%E3%83%AA-2kg-%E5%B9%B3%E6%88%9030%E5%B9%B4%E7%94%A3/dp/B0777HL1GV/ref=sr_1_157?__mk_ja_JP=%E3%82%AB%E3%82%BF%E3%82%AB%E3%83%8A&amp;dchild=1&amp;keywords=%E7%B1%B3&amp;qid=1598692446&amp;sr=8-157", "Go")</f>
        <v/>
      </c>
    </row>
    <row r="164">
      <c r="A164" t="inlineStr">
        <is>
          <t>野沢農産 無洗米 令和元年産 長野県 ミルキークイーン 5kg</t>
        </is>
      </c>
      <c r="B164" t="inlineStr">
        <is>
          <t>￥2,650</t>
        </is>
      </c>
      <c r="C164" t="inlineStr">
        <is>
          <t>4.2</t>
        </is>
      </c>
      <c r="D164">
        <f>HYPERLINK("https://www.amazon.co.jp/%E9%87%8E%E6%B2%A2%E8%BE%B2%E7%94%A3%E7%94%9F%E7%94%A3%E7%B5%84%E5%90%88-%E9%95%B7%E9%87%8E%E7%9C%8C%E7%94%A3-%E3%83%9F%E3%83%AB%E3%82%AD%E3%83%BC%E3%82%AF%E3%82%A4%E3%83%BC%E3%83%B3-%E5%B9%B3%E6%88%9030%E5%B9%B4%E7%94%A3-5kg/dp/B07LFMPH88/ref=sr_1_158?__mk_ja_JP=%E3%82%AB%E3%82%BF%E3%82%AB%E3%83%8A&amp;dchild=1&amp;keywords=%E7%B1%B3&amp;qid=1598692446&amp;sr=8-158", "Go")</f>
        <v/>
      </c>
    </row>
    <row r="165">
      <c r="A165" t="inlineStr">
        <is>
          <t>【精米】鳥取県産 白米 コシヒカリ 5kg 令和元年産</t>
        </is>
      </c>
      <c r="B165" t="inlineStr">
        <is>
          <t>￥ 5,389</t>
        </is>
      </c>
      <c r="C165" t="inlineStr">
        <is>
          <t>4.2</t>
        </is>
      </c>
      <c r="D165">
        <f>HYPERLINK("https://www.amazon.co.jp/%E3%80%90%E7%B2%BE%E7%B1%B3%E3%80%91%E9%B3%A5%E5%8F%96%E7%9C%8C%E7%94%A3-%E7%99%BD%E7%B1%B3-%E3%82%B3%E3%82%B7%E3%83%92%E3%82%AB%E3%83%AA-5kg-%E5%B9%B3%E6%88%9030%E5%B9%B4%E7%94%A3/dp/B00BQ767NK/ref=sr_1_159?__mk_ja_JP=%E3%82%AB%E3%82%BF%E3%82%AB%E3%83%8A&amp;dchild=1&amp;keywords=%E7%B1%B3&amp;qid=1598692446&amp;sr=8-159", "Go")</f>
        <v/>
      </c>
    </row>
    <row r="166">
      <c r="A166" t="inlineStr">
        <is>
          <t>令和 2年産 新米 熊本産 特別栽培米 コシヒカリ 5kg 天草地区指定 (白米精米（精米後約4.5kg）)</t>
        </is>
      </c>
      <c r="B166" t="inlineStr">
        <is>
          <t>￥2,980</t>
        </is>
      </c>
      <c r="C166" t="inlineStr">
        <is>
          <t>4.3</t>
        </is>
      </c>
      <c r="D166">
        <f>HYPERLINK("https://www.amazon.co.jp/%E5%85%83%E5%B9%B4%E7%94%A3-%E7%89%B9%E5%88%A5%E6%A0%BD%E5%9F%B9%E7%B1%B3-%E3%82%B3%E3%82%B7%E3%83%92%E3%82%AB%E3%83%AA-%E5%A4%A9%E8%8D%89%E5%9C%B0%E5%8C%BA%E6%8C%87%E5%AE%9A-%E7%99%BD%E7%B1%B3%E7%B2%BE%E7%B1%B3%EF%BC%88%E7%B2%BE%E7%B1%B3%E5%BE%8C%E7%B4%844-5kg%EF%BC%89/dp/B07WWL5GRP/ref=sr_1_160?__mk_ja_JP=%E3%82%AB%E3%82%BF%E3%82%AB%E3%83%8A&amp;dchild=1&amp;keywords=%E7%B1%B3&amp;qid=1598692446&amp;sr=8-160", "Go")</f>
        <v/>
      </c>
    </row>
    <row r="167">
      <c r="A167" t="inlineStr">
        <is>
          <t>【米俵】　京都丹後産コシヒカリ　５ｋｇ　　結婚祝い</t>
        </is>
      </c>
      <c r="B167" t="inlineStr">
        <is>
          <t>￥5,500</t>
        </is>
      </c>
      <c r="C167" t="inlineStr">
        <is>
          <t>4.6</t>
        </is>
      </c>
      <c r="D167">
        <f>HYPERLINK("https://www.amazon.co.jp/%E7%A5%9D%E3%81%84%E7%B1%B3%E6%9C%AC%E8%88%97-%E3%80%90%E7%B1%B3%E4%BF%B5%E3%80%91-%E4%BA%AC%E9%83%BD%E4%B8%B9%E5%BE%8C%E7%94%A3%E3%82%B3%E3%82%B7%E3%83%92%E3%82%AB%E3%83%AA-%EF%BC%95%EF%BD%8B%EF%BD%87-%E7%B5%90%E5%A9%9A%E7%A5%9D%E3%81%84/dp/B006E4CNBU/ref=sr_1_163_sspa?__mk_ja_JP=%E3%82%AB%E3%82%BF%E3%82%AB%E3%83%8A&amp;dchild=1&amp;keywords=%E7%B1%B3&amp;qid=1598692446&amp;sr=8-163-spons&amp;psc=1&amp;spLa=ZW5jcnlwdGVkUXVhbGlmaWVyPUFXNUpaS0g2MDlSMEomZW5jcnlwdGVkSWQ9QTA4Njk5NDYxMVFJN1ZPREVQOVJCJmVuY3J5cHRlZEFkSWQ9QTFDT0JONThaV0YxSUMmd2lkZ2V0TmFtZT1zcF9tdGYmYWN0aW9uPWNsaWNrUmVkaXJlY3QmZG9Ob3RMb2dDbGljaz10cnVl", "Go")</f>
        <v/>
      </c>
    </row>
    <row r="168">
      <c r="A168" t="inlineStr">
        <is>
          <t>インド産 バスマティ ライス 高級品種 basmathi rice 弁印 5kg + バスマティ籾玄米3粒 (5kg+3P)</t>
        </is>
      </c>
      <c r="B168" t="inlineStr">
        <is>
          <t>￥5,280</t>
        </is>
      </c>
      <c r="C168" t="inlineStr">
        <is>
          <t>4.3</t>
        </is>
      </c>
      <c r="D168">
        <f>HYPERLINK("https://www.amazon.co.jp/dp/B008KC5LTU/ref=sr_1_164?__mk_ja_JP=%E3%82%AB%E3%82%BF%E3%82%AB%E3%83%8A&amp;dchild=1&amp;keywords=%E7%B1%B3&amp;qid=1598692446&amp;sr=8-164", "Go")</f>
        <v/>
      </c>
    </row>
    <row r="169">
      <c r="A169" t="inlineStr">
        <is>
          <t>【元年産】JAS有機栽培米あきたこまち　胚芽米５㎏（真空パック2.5㎏×2）</t>
        </is>
      </c>
      <c r="B169" t="inlineStr">
        <is>
          <t>￥3,940</t>
        </is>
      </c>
      <c r="C169" t="inlineStr">
        <is>
          <t>4.7</t>
        </is>
      </c>
      <c r="D169">
        <f>HYPERLINK("https://www.amazon.co.jp/%E3%81%82%E3%81%8D%E3%81%9F%E3%81%93%E3%81%BE%E3%81%A1%E7%94%A3%E7%9B%B4%E8%BE%B2%E5%A0%B4%E8%87%AA%E7%84%B6%E5%B7%A5%E6%88%BF-%E3%80%90%E6%96%B0%E7%B1%B330%E5%B9%B4%E7%94%A3%E3%80%91JAS%E6%9C%89%E6%A9%9F%E6%A0%BD%E5%9F%B9%E7%B1%B3%E3%81%82%E3%81%8D%E3%81%9F%E3%81%93%E3%81%BE%E3%81%A1-%E8%83%9A%E8%8A%BD%E7%B1%B3%EF%BC%95%EF%BD%8B%EF%BD%87%EF%BC%88%E7%9C%9F%E7%A9%BA%E3%83%91%E3%83%83%E3%82%AF2-5%EF%BD%8B%EF%BD%87%C3%972%EF%BC%89/dp/B01BIPHMQ0/ref=sr_1_165?__mk_ja_JP=%E3%82%AB%E3%82%BF%E3%82%AB%E3%83%8A&amp;dchild=1&amp;keywords=%E7%B1%B3&amp;qid=1598692446&amp;sr=8-165", "Go")</f>
        <v/>
      </c>
    </row>
    <row r="170">
      <c r="A170" t="inlineStr">
        <is>
          <t>アロマチック ジャスミンライス MFD2019.12.02 白米 2kg 真空スタンドパック 香り米 弁印</t>
        </is>
      </c>
      <c r="B170" t="inlineStr">
        <is>
          <t>￥2,398</t>
        </is>
      </c>
      <c r="C170" t="inlineStr">
        <is>
          <t>4.7</t>
        </is>
      </c>
      <c r="D170">
        <f>HYPERLINK("https://www.amazon.co.jp/%E3%82%A2%E3%83%AD%E3%83%9E%E3%83%81%E3%83%83%E3%82%AF-%E3%82%B8%E3%83%A3%E3%82%B9%E3%83%9F%E3%83%B3%E3%83%A9%E3%82%A4%E3%82%B9-MFD2018-1-18-2kg-%E7%9C%9F%E7%A9%BA%E3%82%B9%E3%82%BF%E3%83%B3%E3%83%89%E3%83%91%E3%83%83%E3%82%AF/dp/B00M9VINWK/ref=sr_1_166?__mk_ja_JP=%E3%82%AB%E3%82%BF%E3%82%AB%E3%83%8A&amp;dchild=1&amp;keywords=%E7%B1%B3&amp;qid=1598692446&amp;sr=8-166", "Go")</f>
        <v/>
      </c>
    </row>
    <row r="171">
      <c r="A171" t="inlineStr">
        <is>
          <t>《令和元年産》【受注精米】新潟県長岡産コシヒカリ 5kg×2袋 （精米）</t>
        </is>
      </c>
      <c r="B171" t="inlineStr">
        <is>
          <t>￥4,980</t>
        </is>
      </c>
      <c r="C171" t="inlineStr">
        <is>
          <t>4.7</t>
        </is>
      </c>
      <c r="D171">
        <f>HYPERLINK("https://www.amazon.co.jp/%E3%81%8A%E7%B1%B3%E3%81%AE%E3%81%9F%E3%81%8B%E3%81%95%E3%81%8B-%E3%80%8A%E4%BB%A4%E5%92%8C%E5%85%83%E5%B9%B4%E7%94%A3%E3%80%8B%E3%80%90%E5%8F%97%E6%B3%A8%E7%B2%BE%E7%B1%B3%E3%80%91%E6%96%B0%E6%BD%9F%E7%9C%8C%E9%95%B7%E5%B2%A1%E7%94%A3%E3%82%B3%E3%82%B7%E3%83%92%E3%82%AB%E3%83%AA-5kg%C3%972%E8%A2%8B-%EF%BC%88%E7%B2%BE%E7%B1%B3%EF%BC%89/dp/B086KVLF62/ref=sr_1_167?__mk_ja_JP=%E3%82%AB%E3%82%BF%E3%82%AB%E3%83%8A&amp;dchild=1&amp;keywords=%E7%B1%B3&amp;qid=1598692446&amp;sr=8-167", "Go")</f>
        <v/>
      </c>
    </row>
    <row r="172">
      <c r="A172" t="inlineStr">
        <is>
          <t>【ギフト 化粧箱入り】【キューブ米】【令和元年産】 無洗米 銘米 詰め合わせ 6種セット 4.5kg : 2合(300g)×15個 【食べ比べ お試しセット】【ハーベストシーズン】 【HARVEST SEASON】</t>
        </is>
      </c>
      <c r="B172" t="inlineStr">
        <is>
          <t>￥5,500</t>
        </is>
      </c>
      <c r="C172" t="inlineStr">
        <is>
          <t>4.7</t>
        </is>
      </c>
      <c r="D172">
        <f>HYPERLINK("https://www.amazon.co.jp/%E5%8C%96%E7%B2%A7%E7%AE%B1%E5%85%A5%E3%82%8A%E3%80%91%E3%80%90%E3%82%AD%E3%83%A5%E3%83%BC%E3%83%96%E7%B1%B3%E3%80%91-%E8%A9%B0%E3%82%81%E5%90%88%E3%82%8F%E3%81%9B-6%E7%A8%AE%E3%82%BB%E3%83%83%E3%83%88-4-5kg-%E3%81%8A%E8%A9%A6%E3%81%97%E3%82%BB%E3%83%83%E3%83%88%E3%80%91%E3%80%90%E3%83%8F%E3%83%BC%E3%83%99%E3%82%B9%E3%83%88%E3%82%B7%E3%83%BC%E3%82%BA%E3%83%B3%E3%80%91/dp/B01MRK5MB2/ref=sr_1_168?__mk_ja_JP=%E3%82%AB%E3%82%BF%E3%82%AB%E3%83%8A&amp;dchild=1&amp;keywords=%E7%B1%B3&amp;qid=1598692446&amp;sr=8-168", "Go")</f>
        <v/>
      </c>
    </row>
    <row r="173">
      <c r="A173" t="inlineStr">
        <is>
          <t>限定特価(特A１等米使用）令和元年産 新潟 魚沼産 コシヒカリ 10kg (5kgx2) (食味分析80点以上）精米 白米 新潟県産 コシヒカリ 新潟 コシヒカリ 新潟産 コシヒカリ 魚沼産 コシヒカリ 産地直送米</t>
        </is>
      </c>
      <c r="B173" t="inlineStr">
        <is>
          <t>￥5,788</t>
        </is>
      </c>
      <c r="C173" t="inlineStr">
        <is>
          <t>4.2</t>
        </is>
      </c>
      <c r="D173">
        <f>HYPERLINK("https://www.amazon.co.jp/%E9%99%90%E5%AE%9A%E7%89%B9%E4%BE%A1%EF%BC%88%E7%94%A3%E5%9C%B0%E7%9B%B4%E9%80%81%E7%B1%B3%EF%BC%89-1%E7%AD%89%E7%B1%B3%E3%81%AE%E3%81%BF%E4%BD%BF%E7%94%A8%E3%81%A7%E3%81%99-%EF%BC%8930%E5%B9%B4%E7%94%A3-%E3%82%B3%E3%82%B7%E3%83%92%E3%82%AB%E3%83%AA-5kgx2/dp/B07KXB213Z/ref=sr_1_169?__mk_ja_JP=%E3%82%AB%E3%82%BF%E3%82%AB%E3%83%8A&amp;dchild=1&amp;keywords=%E7%B1%B3&amp;qid=1598692446&amp;sr=8-169", "Go")</f>
        <v/>
      </c>
    </row>
    <row r="174">
      <c r="A174" t="inlineStr">
        <is>
          <t>新潟県産 魚沼産コシヒカリ 産直 白米 5kg 令和元年産</t>
        </is>
      </c>
      <c r="B174" t="inlineStr">
        <is>
          <t>￥3,500</t>
        </is>
      </c>
      <c r="C174" t="inlineStr">
        <is>
          <t>4.2</t>
        </is>
      </c>
      <c r="D174">
        <f>HYPERLINK("https://www.amazon.co.jp/%E3%80%90%E6%96%B0%E7%B1%B3%E3%80%91%E3%80%90%E7%B2%BE%E7%B1%B3%E3%80%91-%E6%96%B0%E6%BD%9F%E7%9C%8C%E9%AD%9A%E6%B2%BC%E7%94%A3-%E3%82%B3%E3%82%B7%E3%83%92%E3%82%AB%E3%83%AA-5kg-%E5%B9%B3%E6%88%9030%E5%B9%B4%E7%94%A3/dp/B01KTBN7K4/ref=sr_1_170?__mk_ja_JP=%E3%82%AB%E3%82%BF%E3%82%AB%E3%83%8A&amp;dchild=1&amp;keywords=%E7%B1%B3&amp;qid=1598692446&amp;sr=8-170", "Go")</f>
        <v/>
      </c>
    </row>
    <row r="175">
      <c r="A175" t="inlineStr">
        <is>
          <t>【精米】【 Amazon.co.jp 限定】栃木県産 無洗米 コシヒカリ 10kg 令和元年産</t>
        </is>
      </c>
      <c r="B175" t="inlineStr"/>
      <c r="C175" t="inlineStr">
        <is>
          <t>4.2</t>
        </is>
      </c>
      <c r="D175">
        <f>HYPERLINK("https://www.amazon.co.jp/%E3%80%90%E7%B2%BE%E7%B1%B3%E3%80%91%E3%80%90-Amazon-co-jp-%E9%99%90%E5%AE%9A%E3%80%91%E6%A0%83%E6%9C%A8%E7%9C%8C%E7%94%A3-%E3%82%B3%E3%82%B7%E3%83%92%E3%82%AB%E3%83%AA-%E5%B9%B3%E6%88%9030%E5%B9%B4%E7%94%A3/dp/B01BL6H9ZK/ref=sr_1_172?__mk_ja_JP=%E3%82%AB%E3%82%BF%E3%82%AB%E3%83%8A&amp;dchild=1&amp;keywords=%E7%B1%B3&amp;qid=1598692446&amp;sr=8-172", "Go")</f>
        <v/>
      </c>
    </row>
    <row r="176">
      <c r="A176" t="inlineStr">
        <is>
          <t>【精米】新潟県魚沼産 白米 こしひかり 5kg 令和元年産</t>
        </is>
      </c>
      <c r="B176" t="inlineStr">
        <is>
          <t>￥3,404</t>
        </is>
      </c>
      <c r="C176" t="inlineStr">
        <is>
          <t>4.3</t>
        </is>
      </c>
      <c r="D176">
        <f>HYPERLINK("https://www.amazon.co.jp/%E3%80%90%E7%B2%BE%E7%B1%B3%E3%80%91%E6%96%B0%E6%BD%9F%E7%9C%8C%E9%AD%9A%E6%B2%BC%E7%94%A3-%E7%99%BD%E7%B1%B3-%E3%81%93%E3%81%97%E3%81%B2%E3%81%8B%E3%82%8A-5kg-%E5%B9%B3%E6%88%9030%E5%B9%B4%E7%94%A3/dp/B00406DL6A/ref=sr_1_173?__mk_ja_JP=%E3%82%AB%E3%82%BF%E3%82%AB%E3%83%8A&amp;dchild=1&amp;keywords=%E7%B1%B3&amp;qid=1598692446&amp;sr=8-173", "Go")</f>
        <v/>
      </c>
    </row>
    <row r="177">
      <c r="A177" t="inlineStr">
        <is>
          <t>宮崎県産 無洗米 ひのひかり 10kg (5kg×2袋) 令和元年産</t>
        </is>
      </c>
      <c r="B177" t="inlineStr">
        <is>
          <t>￥5,470</t>
        </is>
      </c>
      <c r="C177" t="inlineStr">
        <is>
          <t>4.3</t>
        </is>
      </c>
      <c r="D177">
        <f>HYPERLINK("https://www.amazon.co.jp/%E5%AE%AE%E5%B4%8E%E7%9C%8C%E7%94%A3-%E3%81%B2%E3%81%AE%E3%81%B2%E3%81%8B%E3%82%8A-10kg-5kg%C3%972%E8%A2%8B-%E5%B9%B3%E6%88%9030%E5%B9%B4%E7%94%A3/dp/B005547M7U/ref=sr_1_175?__mk_ja_JP=%E3%82%AB%E3%82%BF%E3%82%AB%E3%83%8A&amp;dchild=1&amp;keywords=%E7%B1%B3&amp;qid=1598692446&amp;sr=8-175", "Go")</f>
        <v/>
      </c>
    </row>
    <row r="178">
      <c r="A178" t="inlineStr">
        <is>
          <t>マクファ MAKFA そばの実 800g ハラル認証品 (そば米) ２個</t>
        </is>
      </c>
      <c r="B178" t="inlineStr">
        <is>
          <t>￥ 2,160</t>
        </is>
      </c>
      <c r="C178" t="inlineStr">
        <is>
          <t>4.1</t>
        </is>
      </c>
      <c r="D178">
        <f>HYPERLINK("https://www.amazon.co.jp/%E3%83%9E%E3%82%AF%E3%83%95%E3%82%A1-MAKFA-%E3%81%9D%E3%81%B0%E3%81%AE%E5%AE%9F-800g-%E3%83%8F%E3%83%A9%E3%83%AB%E8%AA%8D%E8%A8%BC%E5%93%81/dp/B07CNXHBLQ/ref=sr_1_176_sspa?__mk_ja_JP=%E3%82%AB%E3%82%BF%E3%82%AB%E3%83%8A&amp;dchild=1&amp;keywords=%E7%B1%B3&amp;qid=1598692446&amp;sr=8-176-spons&amp;psc=1&amp;smid=A2V4UH01IQWSSC&amp;spLa=ZW5jcnlwdGVkUXVhbGlmaWVyPUFXNUpaS0g2MDlSMEomZW5jcnlwdGVkSWQ9QTA4Njk5NDYxMVFJN1ZPREVQOVJCJmVuY3J5cHRlZEFkSWQ9QTNCVVdZMlJZRlVKVEYmd2lkZ2V0TmFtZT1zcF9tdGYmYWN0aW9uPWNsaWNrUmVkaXJlY3QmZG9Ob3RMb2dDbGljaz10cnVl", "Go")</f>
        <v/>
      </c>
    </row>
    <row r="179">
      <c r="A179" t="inlineStr">
        <is>
          <t>新之助 2kg 白米 新潟県産 令和元年産 シングルチャック袋</t>
        </is>
      </c>
      <c r="B179" t="inlineStr">
        <is>
          <t>￥1,740</t>
        </is>
      </c>
      <c r="C179" t="inlineStr">
        <is>
          <t>4.2</t>
        </is>
      </c>
      <c r="D179">
        <f>HYPERLINK("https://www.amazon.co.jp/%E3%80%90%E7%B2%BE%E7%B1%B3%E3%80%91%E6%96%B0%E6%BD%9F%E7%9C%8C%E7%94%A3-%E6%96%B0%E4%B9%8B%E5%8A%A9-%E3%82%B7%E3%83%B3%E3%82%B0%E3%83%AB%E3%83%81%E3%83%A3%E3%83%83%E3%82%AF%E8%A2%8B-%E5%B9%B3%E6%88%9030%E5%B9%B4%E7%94%A3-%E4%BB%8A%E8%AD%B0%E5%95%86%E5%BA%97%E7%B2%BE%E7%B1%B3%E5%95%86%E5%93%81/dp/B07HCC9TJR/ref=sr_1_178_sspa?__mk_ja_JP=%E3%82%AB%E3%82%BF%E3%82%AB%E3%83%8A&amp;dchild=1&amp;keywords=%E7%B1%B3&amp;qid=1598692446&amp;sr=8-178-spons&amp;psc=1&amp;spLa=ZW5jcnlwdGVkUXVhbGlmaWVyPUFXNUpaS0g2MDlSMEomZW5jcnlwdGVkSWQ9QTA4Njk5NDYxMVFJN1ZPREVQOVJCJmVuY3J5cHRlZEFkSWQ9QUFWNTQ2UUpPWTJLRSZ3aWRnZXROYW1lPXNwX210ZiZhY3Rpb249Y2xpY2tSZWRpcmVjdCZkb05vdExvZ0NsaWNrPXRydWU=", "Go")</f>
        <v/>
      </c>
    </row>
    <row r="180">
      <c r="A180" t="inlineStr">
        <is>
          <t>新之助 2kg 白米 新潟県産 令和元年産 シングルチャック袋</t>
        </is>
      </c>
      <c r="B180" t="inlineStr">
        <is>
          <t>￥1,740</t>
        </is>
      </c>
      <c r="C180" t="inlineStr">
        <is>
          <t>4.2</t>
        </is>
      </c>
      <c r="D180">
        <f>HYPERLINK("https://www.amazon.co.jp/%E3%80%90%E7%B2%BE%E7%B1%B3%E3%80%91%E6%96%B0%E6%BD%9F%E7%9C%8C%E7%94%A3-%E6%96%B0%E4%B9%8B%E5%8A%A9-%E3%82%B7%E3%83%B3%E3%82%B0%E3%83%AB%E3%83%81%E3%83%A3%E3%83%83%E3%82%AF%E8%A2%8B-%E5%B9%B3%E6%88%9030%E5%B9%B4%E7%94%A3-%E4%BB%8A%E8%AD%B0%E5%95%86%E5%BA%97%E7%B2%BE%E7%B1%B3%E5%95%86%E5%93%81/dp/B07HCC9TJR/ref=sr_1_179?__mk_ja_JP=%E3%82%AB%E3%82%BF%E3%82%AB%E3%83%8A&amp;dchild=1&amp;keywords=%E7%B1%B3&amp;qid=1598692446&amp;sr=8-179", "Go")</f>
        <v/>
      </c>
    </row>
    <row r="181">
      <c r="A181" t="inlineStr">
        <is>
          <t>【精米】宮城県 登米市産 特別栽培米 白米 ひとめぼれ 5kg 令和元年産</t>
        </is>
      </c>
      <c r="B181" t="inlineStr">
        <is>
          <t>￥2,474</t>
        </is>
      </c>
      <c r="C181" t="inlineStr">
        <is>
          <t>4.2</t>
        </is>
      </c>
      <c r="D181">
        <f>HYPERLINK("https://www.amazon.co.jp/%E3%80%90%E7%B2%BE%E7%B1%B3%E3%80%91%E5%AE%AE%E5%9F%8E%E7%9C%8C-%E7%99%BB%E7%B1%B3%E5%B8%82%E7%94%A3-%E7%89%B9%E5%88%A5%E6%A0%BD%E5%9F%B9%E7%B1%B3-%E3%81%B2%E3%81%A8%E3%82%81%E3%81%BC%E3%82%8C-%E5%B9%B3%E6%88%9029%E5%B9%B4%E7%94%A3/dp/B004067Q7U/ref=sr_1_180?__mk_ja_JP=%E3%82%AB%E3%82%BF%E3%82%AB%E3%83%8A&amp;dchild=1&amp;keywords=%E7%B1%B3&amp;qid=1598692446&amp;sr=8-180", "Go")</f>
        <v/>
      </c>
    </row>
    <row r="182">
      <c r="A182" t="inlineStr">
        <is>
          <t>【令和元年産】無洗米 富山県産 つきあかり 10kg (5kg×2袋) 【ハーベストシーズン】【精米】【HARVEST SEASON】</t>
        </is>
      </c>
      <c r="B182" t="inlineStr">
        <is>
          <t>￥4,599</t>
        </is>
      </c>
      <c r="C182" t="inlineStr">
        <is>
          <t>4.5</t>
        </is>
      </c>
      <c r="D182">
        <f>HYPERLINK("https://www.amazon.co.jp/%E3%80%90%E4%BB%A4%E5%92%8C%E5%85%83%E5%B9%B4%E7%94%A3%E3%80%91%E7%84%A1%E6%B4%97%E7%B1%B3-%E3%81%A4%E3%81%8D%E3%81%82%E3%81%8B%E3%82%8A-5kg%C3%972%E8%A2%8B-%E3%80%90%E3%83%8F%E3%83%BC%E3%83%99%E3%82%B9%E3%83%88%E3%82%B7%E3%83%BC%E3%82%BA%E3%83%B3%E3%80%91%E3%80%90%E7%B2%BE%E7%B1%B3%E3%80%91%E3%80%90HARVEST-SEASON%E3%80%91/dp/B0827FN1FW/ref=sr_1_181?__mk_ja_JP=%E3%82%AB%E3%82%BF%E3%82%AB%E3%83%8A&amp;dchild=1&amp;keywords=%E7%B1%B3&amp;qid=1598692446&amp;sr=8-181", "Go")</f>
        <v/>
      </c>
    </row>
    <row r="183">
      <c r="A183" t="inlineStr">
        <is>
          <t>令和元年産 特別栽培米 北びわこ プレミアム コシヒカリ10kg (5kg×2袋) 滋賀県産 近江米 (7分づき 約4.65kg×2袋でお届け)</t>
        </is>
      </c>
      <c r="B183" t="inlineStr">
        <is>
          <t>￥5,280</t>
        </is>
      </c>
      <c r="C183" t="inlineStr">
        <is>
          <t>4.5</t>
        </is>
      </c>
      <c r="D183">
        <f>HYPERLINK("https://www.amazon.co.jp/30%E5%B9%B4%E7%94%A3-%E7%89%B9%E5%88%A5%E6%A0%BD%E5%9F%B9%E7%B1%B3-%E3%83%97%E3%83%AC%E3%83%9F%E3%82%A2%E3%83%A0-%E3%82%B3%E3%82%B7%E3%83%92%E3%82%AB%E3%83%AA10kg-5kg%C3%972%E8%A2%8B/dp/B01HEYMO1C/ref=sr_1_182?__mk_ja_JP=%E3%82%AB%E3%82%BF%E3%82%AB%E3%83%8A&amp;dchild=1&amp;keywords=%E7%B1%B3&amp;qid=1598692446&amp;sr=8-182", "Go")</f>
        <v/>
      </c>
    </row>
    <row r="184">
      <c r="A184" t="inlineStr">
        <is>
          <t>【精米】【日本米飯管理士協会認定】北海道産 白米 ゆめぴりか 5kg 令和元年産</t>
        </is>
      </c>
      <c r="B184" t="inlineStr">
        <is>
          <t>￥ 2,913</t>
        </is>
      </c>
      <c r="C184" t="inlineStr">
        <is>
          <t>4.2</t>
        </is>
      </c>
      <c r="D184">
        <f>HYPERLINK("https://www.amazon.co.jp/%E3%80%90%E7%B2%BE%E7%B1%B3%E3%80%91%E5%8C%97%E6%B5%B7%E9%81%93%E7%94%A3-%E7%99%BD%E7%B1%B3-%E3%82%86%E3%82%81%E3%81%B4%E3%82%8A%E3%81%8B-5kg-%E5%B9%B3%E6%88%9030%E5%B9%B4%E7%94%A3/dp/B00P8XAK1I/ref=sr_1_183?__mk_ja_JP=%E3%82%AB%E3%82%BF%E3%82%AB%E3%83%8A&amp;dchild=1&amp;keywords=%E7%B1%B3&amp;qid=1598692446&amp;sr=8-183", "Go")</f>
        <v/>
      </c>
    </row>
    <row r="185">
      <c r="A185" t="inlineStr">
        <is>
          <t>【精米】生鮮米 5品種食べ比べセット 2合×5銘柄 (北海道産ゆめぴりか 山形県産つや姫 新潟県産こしひかり 宮城県産ひとめぼれ 秋田県産あきたこまち) 白米 令和元年産</t>
        </is>
      </c>
      <c r="B185" t="inlineStr"/>
      <c r="C185" t="inlineStr">
        <is>
          <t>4.2</t>
        </is>
      </c>
      <c r="D185">
        <f>HYPERLINK("https://www.amazon.co.jp/5%E5%93%81%E7%A8%AE%E9%A3%9F%E3%81%B9%E6%AF%94%E3%81%B9%E3%82%BB%E3%83%83%E3%83%88-%E5%8C%97%E6%B5%B7%E9%81%93%E7%94%A3%E3%82%86%E3%82%81%E3%81%B4%E3%82%8A%E3%81%8B-%E6%96%B0%E6%BD%9F%E7%9C%8C%E7%94%A3%E3%81%93%E3%81%97%E3%81%B2%E3%81%8B%E3%82%8A-%E5%AE%AE%E5%9F%8E%E7%9C%8C%E7%94%A3%E3%81%B2%E3%81%A8%E3%82%81%E3%81%BC%E3%82%8C-%E7%A7%8B%E7%94%B0%E7%9C%8C%E7%94%A3%E3%81%82%E3%81%8D%E3%81%9F%E3%81%93%E3%81%BE%E3%81%A1/dp/B06XBHK8V8/ref=sr_1_184?__mk_ja_JP=%E3%82%AB%E3%82%BF%E3%82%AB%E3%83%8A&amp;dchild=1&amp;keywords=%E7%B1%B3&amp;qid=1598692446&amp;sr=8-184", "Go")</f>
        <v/>
      </c>
    </row>
    <row r="186">
      <c r="A186" t="inlineStr">
        <is>
          <t>【精米】生鮮米 無洗米 山形県産 つや姫 1.5kg 平成30年産</t>
        </is>
      </c>
      <c r="B186" t="inlineStr">
        <is>
          <t>￥1,579</t>
        </is>
      </c>
      <c r="C186" t="inlineStr">
        <is>
          <t>4.2</t>
        </is>
      </c>
      <c r="D186">
        <f>HYPERLINK("https://www.amazon.co.jp/%E3%80%90%E7%B2%BE%E7%B1%B3%E3%80%91%E7%94%9F%E9%AE%AE%E7%B1%B3-%E7%84%A1%E6%B4%97%E7%B1%B3-%E5%B1%B1%E5%BD%A2%E7%9C%8C%E7%94%A3-1-5kg-%E5%B9%B3%E6%88%9030%E5%B9%B4%E7%94%A3/dp/B07WVRRNB7/ref=sr_1_185?__mk_ja_JP=%E3%82%AB%E3%82%BF%E3%82%AB%E3%83%8A&amp;dchild=1&amp;keywords=%E7%B1%B3&amp;qid=1598692446&amp;s=pantry&amp;sr=8-185", "Go")</f>
        <v/>
      </c>
    </row>
    <row r="187">
      <c r="A187" t="inlineStr">
        <is>
          <t>【精米】生鮮米 無洗米 新潟県 魚沼産 こしひかり 1.5kg 平成30年産</t>
        </is>
      </c>
      <c r="B187" t="inlineStr">
        <is>
          <t>￥1,780</t>
        </is>
      </c>
      <c r="C187" t="inlineStr">
        <is>
          <t>4.2</t>
        </is>
      </c>
      <c r="D187">
        <f>HYPERLINK("https://www.amazon.co.jp/%E3%80%90%E7%B2%BE%E7%B1%B3%E3%80%91%E7%94%9F%E9%AE%AE%E7%B1%B3-%E7%84%A1%E6%B4%97%E7%B1%B3-%E3%81%93%E3%81%97%E3%81%B2%E3%81%8B%E3%82%8A-1-5kg-%E5%B9%B3%E6%88%9030%E5%B9%B4%E7%94%A3/dp/B07WNP5Q1H/ref=sr_1_186?__mk_ja_JP=%E3%82%AB%E3%82%BF%E3%82%AB%E3%83%8A&amp;dchild=1&amp;keywords=%E7%B1%B3&amp;qid=1598692446&amp;s=pantry&amp;sr=8-186", "Go")</f>
        <v/>
      </c>
    </row>
    <row r="188">
      <c r="A188" t="inlineStr">
        <is>
          <t>【精米】生鮮米 白米 北海道産 ななつぼし 1.5kg 平成30年産</t>
        </is>
      </c>
      <c r="B188" t="inlineStr">
        <is>
          <t>￥1,280</t>
        </is>
      </c>
      <c r="C188" t="inlineStr">
        <is>
          <t>4.2</t>
        </is>
      </c>
      <c r="D188">
        <f>HYPERLINK("https://www.amazon.co.jp/%E3%80%90%E7%B2%BE%E7%B1%B3%E3%80%91%E7%94%9F%E9%AE%AE%E7%B1%B3-%E5%8C%97%E6%B5%B7%E9%81%93%E7%94%A3-%E3%81%AA%E3%81%AA%E3%81%A4%E3%81%BC%E3%81%97-1-5kg-%E5%B9%B3%E6%88%9030%E5%B9%B4%E7%94%A3/dp/B07WRJP8FW/ref=sr_1_187?__mk_ja_JP=%E3%82%AB%E3%82%BF%E3%82%AB%E3%83%8A&amp;dchild=1&amp;keywords=%E7%B1%B3&amp;qid=1598692446&amp;s=pantry&amp;sr=8-187", "Go")</f>
        <v/>
      </c>
    </row>
    <row r="189">
      <c r="A189" t="inlineStr">
        <is>
          <t>【精米】生鮮米 白米 北海道産 ゆめぴりか 1.5kg 平成30年産</t>
        </is>
      </c>
      <c r="B189" t="inlineStr">
        <is>
          <t>￥1,480</t>
        </is>
      </c>
      <c r="C189" t="inlineStr">
        <is>
          <t>4.2</t>
        </is>
      </c>
      <c r="D189">
        <f>HYPERLINK("https://www.amazon.co.jp/%E3%80%90%E7%B2%BE%E7%B1%B3%E3%80%91%E7%94%9F%E9%AE%AE%E7%B1%B3-%E5%8C%97%E6%B5%B7%E9%81%93%E7%94%A3-%E3%82%86%E3%82%81%E3%81%B4%E3%82%8A%E3%81%8B-1-5kg-%E5%B9%B3%E6%88%9030%E5%B9%B4%E7%94%A3/dp/B07WVQHRT3/ref=sr_1_188?__mk_ja_JP=%E3%82%AB%E3%82%BF%E3%82%AB%E3%83%8A&amp;dchild=1&amp;keywords=%E7%B1%B3&amp;qid=1598692446&amp;s=pantry&amp;sr=8-188", "Go")</f>
        <v/>
      </c>
    </row>
    <row r="190">
      <c r="A190" t="inlineStr">
        <is>
          <t>【精米】生鮮米 白米 新潟県 魚沼産 こしひかり 1.5kg 平成30年産</t>
        </is>
      </c>
      <c r="B190" t="inlineStr">
        <is>
          <t>￥1,679</t>
        </is>
      </c>
      <c r="C190" t="inlineStr">
        <is>
          <t>4.2</t>
        </is>
      </c>
      <c r="D190">
        <f>HYPERLINK("https://www.amazon.co.jp/%E3%80%90%E7%B2%BE%E7%B1%B3%E3%80%91%E7%94%9F%E9%AE%AE%E7%B1%B3-%E6%96%B0%E6%BD%9F%E7%9C%8C-%E3%81%93%E3%81%97%E3%81%B2%E3%81%8B%E3%82%8A-1-5kg-%E5%B9%B3%E6%88%9030%E5%B9%B4%E7%94%A3/dp/B07WR3DJN7/ref=sr_1_189?__mk_ja_JP=%E3%82%AB%E3%82%BF%E3%82%AB%E3%83%8A&amp;dchild=1&amp;keywords=%E7%B1%B3&amp;qid=1598692446&amp;s=pantry&amp;sr=8-189", "Go")</f>
        <v/>
      </c>
    </row>
    <row r="191">
      <c r="A191" t="inlineStr">
        <is>
          <t>【精米】生鮮米 白米 山形県産 つや姫 1.8kg 平成30年産</t>
        </is>
      </c>
      <c r="B191" t="inlineStr">
        <is>
          <t>￥1,780</t>
        </is>
      </c>
      <c r="C191" t="inlineStr">
        <is>
          <t>4.2</t>
        </is>
      </c>
      <c r="D191">
        <f>HYPERLINK("https://www.amazon.co.jp/%E3%80%90%E7%B2%BE%E7%B1%B3%E3%80%91%E7%94%9F%E9%AE%AE%E7%B1%B3-%E5%B1%B1%E5%BD%A2%E7%9C%8C%E7%94%A3-%E3%81%A4%E3%82%84%E5%A7%AB-1-8kg-%E5%B9%B3%E6%88%9030%E5%B9%B4%E7%94%A3/dp/B07WRJNJ2T/ref=sr_1_190?__mk_ja_JP=%E3%82%AB%E3%82%BF%E3%82%AB%E3%83%8A&amp;dchild=1&amp;keywords=%E7%B1%B3&amp;qid=1598692446&amp;s=pantry&amp;sr=8-190", "Go")</f>
        <v/>
      </c>
    </row>
    <row r="192">
      <c r="A192" t="inlineStr">
        <is>
          <t>スペイン産バレンシア米１キロ</t>
        </is>
      </c>
      <c r="B192" t="inlineStr">
        <is>
          <t>￥1,680</t>
        </is>
      </c>
      <c r="C192" t="inlineStr">
        <is>
          <t>4.3</t>
        </is>
      </c>
      <c r="D192">
        <f>HYPERLINK("https://www.amazon.co.jp/ZADES-%E3%82%B9%E3%83%9A%E3%82%A4%E3%83%B3%E7%94%A3%E3%83%90%E3%83%AC%E3%83%B3%E3%82%B7%E3%82%A2%E7%B1%B3%EF%BC%91%E3%82%AD%E3%83%AD/dp/B073DRW193/ref=sr_1_191?__mk_ja_JP=%E3%82%AB%E3%82%BF%E3%82%AB%E3%83%8A&amp;dchild=1&amp;keywords=%E7%B1%B3&amp;qid=1598692446&amp;sr=8-191", "Go")</f>
        <v/>
      </c>
    </row>
    <row r="193">
      <c r="A193" t="inlineStr">
        <is>
          <t>【精米】低温製法米 白米 無洗米 秋田県産 あきたこまち チャック付き 2kg 令和元年産</t>
        </is>
      </c>
      <c r="B193" t="inlineStr"/>
      <c r="C193" t="inlineStr">
        <is>
          <t>4.2</t>
        </is>
      </c>
      <c r="D193">
        <f>HYPERLINK("https://www.amazon.co.jp/%E3%80%90%E7%B2%BE%E7%B1%B3%E3%80%91%E4%BD%8E%E6%B8%A9%E8%A3%BD%E6%B3%95%E7%B1%B3-%E7%A7%8B%E7%94%B0%E7%9C%8C%E7%94%A3-%E3%81%82%E3%81%8D%E3%81%9F%E3%81%93%E3%81%BE%E3%81%A1-%E3%83%81%E3%83%A3%E3%83%83%E3%82%AF%E4%BB%98%E3%81%8D-%E5%B9%B3%E6%88%9030%E5%B9%B4%E7%94%A3/dp/B06ZZQGKX3/ref=sr_1_192?__mk_ja_JP=%E3%82%AB%E3%82%BF%E3%82%AB%E3%83%8A&amp;dchild=1&amp;keywords=%E7%B1%B3&amp;qid=1598692446&amp;sr=8-192", "Go")</f>
        <v/>
      </c>
    </row>
    <row r="194">
      <c r="A194" t="inlineStr">
        <is>
          <t>【精米】アイリスオーヤマ 低温製法米 宮城県産 つや姫 2kg</t>
        </is>
      </c>
      <c r="B194" t="inlineStr">
        <is>
          <t>￥1,780</t>
        </is>
      </c>
      <c r="C194" t="inlineStr">
        <is>
          <t>4.2</t>
        </is>
      </c>
      <c r="D194">
        <f>HYPERLINK("https://www.amazon.co.jp/%E3%80%90%E7%B2%BE%E7%B1%B3%E3%80%91%E3%82%A2%E3%82%A4%E3%83%AA%E3%82%B9%E3%82%AA%E3%83%BC%E3%83%A4%E3%83%9E-%E4%BD%8E%E6%B8%A9%E8%A3%BD%E6%B3%95%E7%B1%B3-%E5%AE%AE%E5%9F%8E%E7%9C%8C%E7%94%A3-%E3%81%A4%E3%82%84%E5%A7%AB-2kg/dp/B07WVRCT6K/ref=sr_1_193?__mk_ja_JP=%E3%82%AB%E3%82%BF%E3%82%AB%E3%83%8A&amp;dchild=1&amp;keywords=%E7%B1%B3&amp;qid=1598692446&amp;s=pantry&amp;sr=8-193", "Go")</f>
        <v/>
      </c>
    </row>
    <row r="195">
      <c r="A195" t="inlineStr">
        <is>
          <t>【精米】京都府丹後産 コシヒカリ 5kg 令和元年産</t>
        </is>
      </c>
      <c r="B195" t="inlineStr">
        <is>
          <t>￥ 2,913</t>
        </is>
      </c>
      <c r="C195" t="inlineStr">
        <is>
          <t>4.2</t>
        </is>
      </c>
      <c r="D195">
        <f>HYPERLINK("https://www.amazon.co.jp/%E5%85%A8%E8%BE%B2%E3%83%91%E3%83%BC%E3%83%AB%E3%83%A9%E3%82%A4%E3%82%B9-%E3%80%90%E7%B2%BE%E7%B1%B3%E3%80%91%E4%BA%AC%E9%83%BD%E5%BA%9C%E4%B8%B9%E5%BE%8C%E7%94%A3-%E3%82%B3%E3%82%B7%E3%83%92%E3%82%AB%E3%83%AA-5kg-%E5%B9%B3%E6%88%9030%E5%B9%B4%E7%94%A3/dp/B07K71LFPX/ref=sr_1_194?__mk_ja_JP=%E3%82%AB%E3%82%BF%E3%82%AB%E3%83%8A&amp;dchild=1&amp;keywords=%E7%B1%B3&amp;qid=1598692446&amp;sr=8-194", "Go")</f>
        <v/>
      </c>
    </row>
    <row r="196">
      <c r="A196" t="inlineStr">
        <is>
          <t>無洗米25kg【最高ランク特Ａ地区】宮城県登米市産 ひとめぼれ 【玄米30kg/白米25kg/無洗米25kg】要選択 １等米</t>
        </is>
      </c>
      <c r="B196" t="inlineStr">
        <is>
          <t>￥10,480</t>
        </is>
      </c>
      <c r="C196" t="inlineStr">
        <is>
          <t>4.2</t>
        </is>
      </c>
      <c r="D196">
        <f>HYPERLINK("https://www.amazon.co.jp/%E7%84%A1%E6%B4%97%E7%B1%B325kg%E3%80%90%E6%9C%80%E9%AB%98%E3%83%A9%E3%83%B3%E3%82%AF%E7%89%B9%EF%BC%A1%E5%9C%B0%E5%8C%BA%E3%80%91%E5%AE%AE%E5%9F%8E%E7%9C%8C%E7%99%BB%E7%B1%B3%E5%B8%82%E7%94%A3-%E3%81%B2%E3%81%A8%E3%82%81%E3%81%BC%E3%82%8C-%E3%80%90%E7%8E%84%E7%B1%B330kg-%E7%99%BD%E7%B1%B325kg-%E7%84%A1%E6%B4%97%E7%B1%B325kg%E3%80%91%E8%A6%81%E9%81%B8%E6%8A%9E/dp/B07FNFFKSB/ref=sr_1_195?__mk_ja_JP=%E3%82%AB%E3%82%BF%E3%82%AB%E3%83%8A&amp;dchild=1&amp;keywords=%E7%B1%B3&amp;qid=1598692446&amp;sr=8-195", "Go")</f>
        <v/>
      </c>
    </row>
    <row r="197">
      <c r="A197" t="inlineStr">
        <is>
          <t>【令和元年産】 滋賀県産 特別栽培米 無洗米 みずかがみ 10kg (5kg×2袋) 【環境こだわり農産物】【ハーベストシーズン】【精米】 【HARVEST SEASON】</t>
        </is>
      </c>
      <c r="B197" t="inlineStr">
        <is>
          <t>￥4,799</t>
        </is>
      </c>
      <c r="C197" t="inlineStr">
        <is>
          <t>4.4</t>
        </is>
      </c>
      <c r="D197">
        <f>HYPERLINK("https://www.amazon.co.jp/%E3%80%90%E7%B2%BE%E7%B1%B3%E3%80%91%E3%80%90%E6%96%B0%E7%B1%B3%E3%80%91%E3%80%90%E7%92%B0%E5%A2%83%E3%81%93%E3%81%A0%E3%82%8F%E3%82%8A%E8%BE%B2%E7%94%A3%E7%89%A9%E3%80%91-%E5%B9%B3%E6%88%9030%E5%B9%B4%E7%94%A3-%E3%80%90%E3%83%8F%E3%83%BC%E3%83%99%E3%82%B9%E3%83%88%E3%82%B7%E3%83%BC%E3%82%BA%E3%83%B3%E3%80%91-%E3%80%90HARVEST-SEASON%E3%80%91/dp/B06W595KHY/ref=sr_1_196?__mk_ja_JP=%E3%82%AB%E3%82%BF%E3%82%AB%E3%83%8A&amp;dchild=1&amp;keywords=%E7%B1%B3&amp;qid=1598692446&amp;sr=8-196", "Go")</f>
        <v/>
      </c>
    </row>
    <row r="198">
      <c r="A198" t="inlineStr">
        <is>
          <t>令和元年産 新潟県産 ミルキークイーン 5kg 特別栽培米 白米</t>
        </is>
      </c>
      <c r="B198" t="inlineStr">
        <is>
          <t>￥3,500</t>
        </is>
      </c>
      <c r="C198" t="inlineStr">
        <is>
          <t>4.3</t>
        </is>
      </c>
      <c r="D198">
        <f>HYPERLINK("https://www.amazon.co.jp/%E4%BB%A4%E5%92%8C%E5%85%83%E5%B9%B4%E7%94%A3-%E6%96%B0%E6%BD%9F%E7%9C%8C%E7%94%A3-%E3%83%9F%E3%83%AB%E3%82%AD%E3%83%BC%E3%82%AF%E3%82%A4%E3%83%BC%E3%83%B3-5kg-%E7%89%B9%E5%88%A5%E6%A0%BD%E5%9F%B9%E7%B1%B3/dp/B00PRFUXZA/ref=sr_1_198?__mk_ja_JP=%E3%82%AB%E3%82%BF%E3%82%AB%E3%83%8A&amp;dchild=1&amp;keywords=%E7%B1%B3&amp;qid=1598692446&amp;sr=8-198", "Go")</f>
        <v/>
      </c>
    </row>
    <row r="199">
      <c r="A199" t="inlineStr">
        <is>
          <t>【おまけ付き】秋田県産 農家直送 あきたこまち 無洗米3㎏ 令和元年産 / 古代米お試し袋付き</t>
        </is>
      </c>
      <c r="B199" t="inlineStr">
        <is>
          <t>￥2,000</t>
        </is>
      </c>
      <c r="C199" t="inlineStr">
        <is>
          <t>4.3</t>
        </is>
      </c>
      <c r="D199">
        <f>HYPERLINK("https://www.amazon.co.jp/%E6%96%B0%E7%B1%B3%E3%80%90%E7%B2%BE%E7%B1%B3%E3%80%91-%E7%84%A1%E6%B4%97%E7%B1%B3%E3%81%82%E3%81%8D%E3%81%9F%E3%81%93%E3%81%BE%E3%81%A1-%E5%AD%90%E3%81%A9%E3%82%82%E3%81%AB%E9%A3%9F%E3%81%B9%E3%81%95%E3%81%9B%E3%81%9F%E3%81%84%E3%81%8A%E7%B1%B3-%E5%B9%B3%E6%88%9030%E5%B9%B4%E7%94%A3-%E5%8F%A4%E4%BB%A3%E7%B1%B3%E4%BB%98%E3%81%8D/dp/B075XFFP4C/ref=sr_1_200?__mk_ja_JP=%E3%82%AB%E3%82%BF%E3%82%AB%E3%83%8A&amp;dchild=1&amp;keywords=%E7%B1%B3&amp;qid=1598692446&amp;sr=8-200", "Go")</f>
        <v/>
      </c>
    </row>
    <row r="200">
      <c r="A200" t="inlineStr">
        <is>
          <t>米 お米 5kg ひのひかり胚芽米 令和元年岡山県産 送料無料</t>
        </is>
      </c>
      <c r="B200" t="inlineStr">
        <is>
          <t>￥2,480</t>
        </is>
      </c>
      <c r="C200" t="inlineStr">
        <is>
          <t>4.3</t>
        </is>
      </c>
      <c r="D200">
        <f>HYPERLINK("https://www.amazon.co.jp/%E3%82%82%E3%82%82%E3%81%9F%E3%82%8D%E3%81%86%E5%8D%B0-30%E5%B9%B4%E7%94%A3%E5%B2%A1%E5%B1%B1%E7%9C%8C%E7%94%A3%E3%81%B2%E3%81%AE%E3%81%B2%E3%81%8B%E3%82%8A%E8%83%9A%E8%8A%BD%E7%B1%B3-5kg/dp/B07H93W5PJ/ref=sr_1_201?__mk_ja_JP=%E3%82%AB%E3%82%BF%E3%82%AB%E3%83%8A&amp;dchild=1&amp;keywords=%E7%B1%B3&amp;qid=1598692446&amp;sr=8-201", "Go")</f>
        <v/>
      </c>
    </row>
    <row r="201">
      <c r="A201" t="inlineStr">
        <is>
          <t>【精米】 岐阜県産 白米 美濃ハツシモ 2kg 令和元年産</t>
        </is>
      </c>
      <c r="B201" t="inlineStr">
        <is>
          <t>￥1,179</t>
        </is>
      </c>
      <c r="C201" t="inlineStr">
        <is>
          <t>4.3</t>
        </is>
      </c>
      <c r="D201">
        <f>HYPERLINK("https://www.amazon.co.jp/%E3%80%90%E7%B2%BE%E7%B1%B3%E3%80%91-%E5%B2%90%E9%98%9C%E7%9C%8C%E7%94%A3-%E7%BE%8E%E6%BF%83%E3%83%8F%E3%83%84%E3%82%B7%E3%83%A2-2kg-%E4%BB%A4%E5%92%8C%E5%85%83%E5%B9%B4%E7%94%A3/dp/B07XP13QVJ/ref=sr_1_202?__mk_ja_JP=%E3%82%AB%E3%82%BF%E3%82%AB%E3%83%8A&amp;dchild=1&amp;keywords=%E7%B1%B3&amp;qid=1598692446&amp;sr=8-202", "Go")</f>
        <v/>
      </c>
    </row>
    <row r="202">
      <c r="A202" t="inlineStr">
        <is>
          <t>【受注精米】《令和元年産》越後長岡コシヒカリ 5kg (精米)【匠の技】三つのこだわり「十二代目由兵衛の米」</t>
        </is>
      </c>
      <c r="B202" t="inlineStr">
        <is>
          <t>￥3,480</t>
        </is>
      </c>
      <c r="C202" t="inlineStr">
        <is>
          <t>4.2</t>
        </is>
      </c>
      <c r="D202">
        <f>HYPERLINK("https://www.amazon.co.jp/%E3%81%8A%E7%B1%B3%E3%81%AE%E3%81%9F%E3%81%8B%E3%81%95%E3%81%8B-%E3%80%90%E5%8F%97%E6%B3%A8%E7%B2%BE%E7%B1%B3%E3%80%91%E3%80%8A%E4%BB%A4%E5%92%8C%E5%85%83%E5%B9%B4%E7%94%A3%E3%80%8B%E8%B6%8A%E5%BE%8C%E9%95%B7%E5%B2%A1%E3%82%B3%E3%82%B7%E3%83%92%E3%82%AB%E3%83%AA-5kg-%E7%B2%BE%E7%B1%B3-%E3%80%90%E5%8C%A0%E3%81%AE%E6%8A%80%E3%80%91%E4%B8%89%E3%81%A4%E3%81%AE%E3%81%93%E3%81%A0%E3%82%8F%E3%82%8A%E3%80%8C%E5%8D%81%E4%BA%8C%E4%BB%A3%E7%9B%AE%E7%94%B1%E5%85%B5%E8%A1%9B%E3%81%AE%E7%B1%B3%E3%80%8D/dp/B085T1LRXH/ref=sr_1_203_sspa?__mk_ja_JP=%E3%82%AB%E3%82%BF%E3%82%AB%E3%83%8A&amp;dchild=1&amp;keywords=%E7%B1%B3&amp;qid=1598692446&amp;sr=8-203-spons&amp;psc=1&amp;spLa=ZW5jcnlwdGVkUXVhbGlmaWVyPUFXNUpaS0g2MDlSMEomZW5jcnlwdGVkSWQ9QTA4Njk5NDYxMVFJN1ZPREVQOVJCJmVuY3J5cHRlZEFkSWQ9QTE3VlVTRjNTRVNVV0Ymd2lkZ2V0TmFtZT1zcF9idGYmYWN0aW9uPWNsaWNrUmVkaXJlY3QmZG9Ob3RMb2dDbGljaz10cnVl", "Go")</f>
        <v/>
      </c>
    </row>
    <row r="203">
      <c r="A203" t="inlineStr">
        <is>
          <t>【精米】[Amazonブランド]Happy Belly 北海道産 無洗米 農薬節減米 ゆめぴりか 5kg 令和元年産</t>
        </is>
      </c>
      <c r="B203" t="inlineStr"/>
      <c r="C203" t="inlineStr">
        <is>
          <t>4</t>
        </is>
      </c>
      <c r="D203">
        <f>HYPERLINK("https://www.amazon.co.jp/Amazon%E3%83%96%E3%83%A9%E3%83%B3%E3%83%89-Happy-Belly-%E8%BE%B2%E8%96%AC%E7%AF%80%E6%B8%9B%E7%B1%B3-%E5%B9%B3%E6%88%9030%E5%B9%B4%E7%94%A3/dp/B07KWZ4ZSD/ref=sr_1_194_sspa?__mk_ja_JP=%E3%82%AB%E3%82%BF%E3%82%AB%E3%83%8A&amp;dchild=1&amp;keywords=%E7%B1%B3&amp;qid=1598692654&amp;sr=8-194-spons&amp;psc=1&amp;spLa=ZW5jcnlwdGVkUXVhbGlmaWVyPUEzQzM0UjZXVkVVM0swJmVuY3J5cHRlZElkPUEwNzgzNjY3M1QzNFJFVjJHRTlaNyZlbmNyeXB0ZWRBZElkPUEyRVFLNzVVOUo2TzJDJndpZGdldE5hbWU9c3BfYXRmX25leHQmYWN0aW9uPWNsaWNrUmVkaXJlY3QmZG9Ob3RMb2dDbGljaz10cnVl", "Go")</f>
        <v/>
      </c>
    </row>
    <row r="204">
      <c r="A204" t="inlineStr">
        <is>
          <t>【精米】[Amazon限定ブランド] 580.com 宮城県産 無洗米 つや姫 10kg 令和元年産</t>
        </is>
      </c>
      <c r="B204" t="inlineStr">
        <is>
          <t>￥5,087</t>
        </is>
      </c>
      <c r="C204" t="inlineStr">
        <is>
          <t>4.2</t>
        </is>
      </c>
      <c r="D204">
        <f>HYPERLINK("https://www.amazon.co.jp/%E3%80%90%E7%B2%BE%E7%B1%B3%E3%80%91%E3%80%90-Amazon-co-jp-%E9%99%90%E5%AE%9A%E3%80%91%E5%AE%AE%E5%9F%8E%E7%9C%8C%E7%94%A3-10kg-%E5%B9%B3%E6%88%9029%E5%B9%B4%E7%94%A3/dp/B00WJNO2GE/ref=sr_1_196_sspa?__mk_ja_JP=%E3%82%AB%E3%82%BF%E3%82%AB%E3%83%8A&amp;dchild=1&amp;keywords=%E7%B1%B3&amp;qid=1598692654&amp;sr=8-196-spons&amp;psc=1&amp;spLa=ZW5jcnlwdGVkUXVhbGlmaWVyPUEzQzM0UjZXVkVVM0swJmVuY3J5cHRlZElkPUEwNzgzNjY3M1QzNFJFVjJHRTlaNyZlbmNyeXB0ZWRBZElkPUEzQUg0R1lRQ1pXTU5XJndpZGdldE5hbWU9c3BfYXRmX25leHQmYWN0aW9uPWNsaWNrUmVkaXJlY3QmZG9Ob3RMb2dDbGljaz10cnVl", "Go")</f>
        <v/>
      </c>
    </row>
    <row r="205">
      <c r="A205" t="inlineStr">
        <is>
          <t>【精米】精米 宮城県産 無洗米 ひとめぼれ5kg 令和元年産</t>
        </is>
      </c>
      <c r="B205" t="inlineStr">
        <is>
          <t>￥ 5,470</t>
        </is>
      </c>
      <c r="C205" t="inlineStr">
        <is>
          <t>4.3</t>
        </is>
      </c>
      <c r="D205">
        <f>HYPERLINK("https://www.amazon.co.jp/%E3%80%90%E7%B2%BE%E7%B1%B3%E3%80%91%E7%B2%BE%E7%B1%B3-%E5%AE%AE%E5%9F%8E%E7%9C%8C%E7%94%A3-%E7%84%A1%E6%B4%97%E7%B1%B3-%E3%81%B2%E3%81%A8%E3%82%81%E3%81%BC%E3%82%8C5kg-%E5%B9%B3%E6%88%9030%E5%B9%B4%E7%94%A3/dp/B00326Q53U/ref=sr_1_197?__mk_ja_JP=%E3%82%AB%E3%82%BF%E3%82%AB%E3%83%8A&amp;dchild=1&amp;keywords=%E7%B1%B3&amp;qid=1598692654&amp;sr=8-197", "Go")</f>
        <v/>
      </c>
    </row>
    <row r="206">
      <c r="A206" t="inlineStr">
        <is>
          <t>【農家直売】新之助 無洗米２ｋｇ 一等米 令和元年産新潟県旧越路町産 新潟ブランド米</t>
        </is>
      </c>
      <c r="B206" t="inlineStr">
        <is>
          <t>￥2,130</t>
        </is>
      </c>
      <c r="C206" t="inlineStr">
        <is>
          <t>4.2</t>
        </is>
      </c>
      <c r="D206">
        <f>HYPERLINK("https://www.amazon.co.jp/%E8%B6%8A%E3%81%AE%E9%87%91%E7%BF%94-%E3%80%90%E7%B2%BE%E7%B1%B3%E3%80%91%E6%96%B0%E4%B9%8B%E5%8A%A9-%E7%84%A1%E6%B4%97%E7%B1%B3%EF%BC%92%EF%BD%8B%EF%BD%87-GGAP%E8%AA%8D%E8%A8%BC%E5%8F%96%E5%BE%97%E8%BE%B2%E5%9C%92-%E6%96%B0%E6%BD%9F%E7%9C%8C%E6%97%A7%E8%B6%8A%E8%B7%AF%E7%94%BA%E7%94%A3-%E6%96%B0%E6%BD%9F%E3%83%96%E3%83%A9%E3%83%B3%E3%83%89%E7%B1%B3/dp/B07KZW2976/ref=sr_1_198?__mk_ja_JP=%E3%82%AB%E3%82%BF%E3%82%AB%E3%83%8A&amp;dchild=1&amp;keywords=%E7%B1%B3&amp;qid=1598692654&amp;sr=8-198", "Go")</f>
        <v/>
      </c>
    </row>
    <row r="207">
      <c r="A207" t="inlineStr">
        <is>
          <t>【精米】ホクレン 北海道産 無洗米 ゆめぴりか 2kg 令和元年産</t>
        </is>
      </c>
      <c r="B207" t="inlineStr">
        <is>
          <t>￥1,857</t>
        </is>
      </c>
      <c r="C207" t="inlineStr">
        <is>
          <t>4.8</t>
        </is>
      </c>
      <c r="D207">
        <f>HYPERLINK("https://www.amazon.co.jp/%E3%80%90%E7%B2%BE%E7%B1%B3%E3%80%91%E3%83%9B%E3%82%AF%E3%83%AC%E3%83%B3-%E5%8C%97%E6%B5%B7%E9%81%93%E7%94%A3-%E7%84%A1%E6%B4%97%E7%B1%B3-%E3%82%86%E3%82%81%E3%81%B4%E3%82%8A%E3%81%8B-%E5%B9%B3%E6%88%9026%E5%B9%B4%E7%94%A3/dp/B007LGTUKW/ref=sr_1_199?__mk_ja_JP=%E3%82%AB%E3%82%BF%E3%82%AB%E3%83%8A&amp;dchild=1&amp;keywords=%E7%B1%B3&amp;qid=1598692654&amp;sr=8-199", "Go")</f>
        <v/>
      </c>
    </row>
    <row r="208">
      <c r="A208" t="inlineStr">
        <is>
          <t>令和2年度産 新潟県産 昔ながらのコシヒカリ 100% 極レア 精米 白米 10Kg(5Kg×2) 産地直送米 熊谷農園</t>
        </is>
      </c>
      <c r="B208" t="inlineStr">
        <is>
          <t>￥5,999</t>
        </is>
      </c>
      <c r="C208" t="inlineStr">
        <is>
          <t>4.8</t>
        </is>
      </c>
      <c r="D208">
        <f>HYPERLINK("https://www.amazon.co.jp/%E4%BB%A4%E5%92%8C2%E5%B9%B4%E5%BA%A6%E7%94%A3-%E6%98%94%E3%81%AA%E3%81%8C%E3%82%89%E3%81%AE%E3%82%B3%E3%82%B7%E3%83%92%E3%82%AB%E3%83%AA-5Kg%C3%972-%E7%94%A3%E5%9C%B0%E7%9B%B4%E9%80%81%E7%B1%B3-%E7%86%8A%E8%B0%B7%E8%BE%B2%E5%9C%92/dp/B0866DC9QX/ref=sr_1_201?__mk_ja_JP=%E3%82%AB%E3%82%BF%E3%82%AB%E3%83%8A&amp;dchild=1&amp;keywords=%E7%B1%B3&amp;qid=1598692654&amp;sr=8-201", "Go")</f>
        <v/>
      </c>
    </row>
    <row r="209">
      <c r="A209" t="inlineStr">
        <is>
          <t>福井県 いちほまれ 白米［無洗米加工］ 10kg 令和元年産</t>
        </is>
      </c>
      <c r="B209" t="inlineStr">
        <is>
          <t>￥6,460</t>
        </is>
      </c>
      <c r="C209" t="inlineStr">
        <is>
          <t>4.8</t>
        </is>
      </c>
      <c r="D209">
        <f>HYPERLINK("https://www.amazon.co.jp/%E7%A6%8F%E4%BA%95%E7%9C%8C-%E3%81%84%E3%81%A1%E3%81%BB%E3%81%BE%E3%82%8C-%E7%99%BD%E7%B1%B3%EF%BC%BB%E7%84%A1%E6%B4%97%E7%B1%B3%E5%8A%A0%E5%B7%A5%EF%BC%BD-10kg-%E4%BB%A4%E5%92%8C%E5%85%83%E5%B9%B4%E7%94%A3/dp/B081GKWQQX/ref=sr_1_202?__mk_ja_JP=%E3%82%AB%E3%82%BF%E3%82%AB%E3%83%8A&amp;dchild=1&amp;keywords=%E7%B1%B3&amp;qid=1598692654&amp;sr=8-202", "Go")</f>
        <v/>
      </c>
    </row>
    <row r="210">
      <c r="A210" t="inlineStr">
        <is>
          <t>【最高ランク特Ａ地区】宮城県登米市産 ひとめぼれ【無洗米】30kg(5kg×6袋) １等米</t>
        </is>
      </c>
      <c r="B210" t="inlineStr">
        <is>
          <t>￥12,480</t>
        </is>
      </c>
      <c r="C210" t="inlineStr">
        <is>
          <t>4.6</t>
        </is>
      </c>
      <c r="D210">
        <f>HYPERLINK("https://www.amazon.co.jp/%E6%B8%85%E6%B5%81%E7%B1%B3-%E3%80%90%E6%9C%80%E9%AB%98%E3%83%A9%E3%83%B3%E3%82%AF%E7%89%B9%EF%BC%A1%E5%9C%B0%E5%8C%BA%E3%80%91%E5%AE%AE%E5%9F%8E%E7%9C%8C%E7%99%BB%E7%B1%B3%E5%B8%82%E7%94%A3-%E3%81%B2%E3%81%A8%E3%82%81%E3%81%BC%E3%82%8C%E3%80%90%E7%84%A1%E6%B4%97%E7%B1%B3%E3%80%9130kg-5kg%C3%976%E8%A2%8B-%EF%BC%91%E7%AD%89%E7%B1%B3/dp/B077P2NG44/ref=sr_1_203?__mk_ja_JP=%E3%82%AB%E3%82%BF%E3%82%AB%E3%83%8A&amp;dchild=1&amp;keywords=%E7%B1%B3&amp;qid=1598692654&amp;sr=8-203", "Go")</f>
        <v/>
      </c>
    </row>
    <row r="211">
      <c r="A211" t="inlineStr">
        <is>
          <t>【新米 精米】長崎県産 農家直送 にこまる 子供に食べさせたいお米 20kg 令和元年産</t>
        </is>
      </c>
      <c r="B211" t="inlineStr">
        <is>
          <t>￥10,980</t>
        </is>
      </c>
      <c r="C211" t="inlineStr">
        <is>
          <t>4.6</t>
        </is>
      </c>
      <c r="D211">
        <f>HYPERLINK("https://www.amazon.co.jp/%E7%B2%BE%E7%B1%B3%E3%80%91%E9%95%B7%E5%B4%8E%E7%9C%8C%E7%94%A3-%E8%BE%B2%E5%AE%B6%E7%9B%B4%E9%80%81-%E3%81%AB%E3%81%93%E3%81%BE%E3%82%8B-%E5%AD%90%E4%BE%9B%E3%81%AB%E9%A3%9F%E3%81%B9%E3%81%95%E3%81%9B%E3%81%9F%E3%81%84%E3%81%8A%E7%B1%B3-%E5%B9%B3%E6%88%9030%E5%B9%B4%E7%94%A3/dp/B06ZZYMVHQ/ref=sr_1_204?__mk_ja_JP=%E3%82%AB%E3%82%BF%E3%82%AB%E3%83%8A&amp;dchild=1&amp;keywords=%E7%B1%B3&amp;qid=1598692654&amp;sr=8-204", "Go")</f>
        <v/>
      </c>
    </row>
    <row r="212">
      <c r="A212" t="inlineStr">
        <is>
          <t>米 白米 青天の霹靂 10kg(2kg×5袋) 特A評価青森県産 令和元年産(2019年)度産 【米袋は真空包装】</t>
        </is>
      </c>
      <c r="B212" t="inlineStr">
        <is>
          <t>￥6,000</t>
        </is>
      </c>
      <c r="C212" t="inlineStr">
        <is>
          <t>4.2</t>
        </is>
      </c>
      <c r="D212">
        <f>HYPERLINK("https://www.amazon.co.jp/%E9%9D%92%E5%A4%A9%E3%81%AE%E9%9C%B9%E9%9D%82-10kg-2kg%C3%975%E8%A2%8B-%E7%89%B9A%E3%83%A9%E3%83%B3%E3%82%AF%E9%9D%92%E6%A3%AE%E7%9C%8C%E7%94%A3-%E5%B9%B3%E6%88%9030%E5%B9%B4%E5%BA%A6%E7%94%A3/dp/B06XFLV3YQ/ref=sr_1_205?__mk_ja_JP=%E3%82%AB%E3%82%BF%E3%82%AB%E3%83%8A&amp;dchild=1&amp;keywords=%E7%B1%B3&amp;qid=1598692654&amp;sr=8-205", "Go")</f>
        <v/>
      </c>
    </row>
    <row r="213">
      <c r="A213" t="inlineStr">
        <is>
          <t>【精米】 白米 兵庫県産 きぬむすめ 10kg (5kg×2袋) 令和1年産</t>
        </is>
      </c>
      <c r="B213" t="inlineStr">
        <is>
          <t>￥4,180</t>
        </is>
      </c>
      <c r="C213" t="inlineStr">
        <is>
          <t>4.9</t>
        </is>
      </c>
      <c r="D213">
        <f>HYPERLINK("https://www.amazon.co.jp/%E3%80%90%E7%B2%BE%E7%B1%B3%E3%80%91-%E5%85%B5%E5%BA%AB%E7%9C%8C%E7%94%A3-%E3%81%8D%E3%81%AC%E3%82%80%E3%81%99%E3%82%81-5kg%C3%972%E8%A2%8B-%E5%B9%B3%E6%88%9030%E5%B9%B4%E7%94%A3/dp/B01EQPGIKU/ref=sr_1_206?__mk_ja_JP=%E3%82%AB%E3%82%BF%E3%82%AB%E3%83%8A&amp;dchild=1&amp;keywords=%E7%B1%B3&amp;qid=1598692654&amp;sr=8-206", "Go")</f>
        <v/>
      </c>
    </row>
    <row r="214">
      <c r="A214" t="inlineStr">
        <is>
          <t>【精米】 長野県産 白米 風さやか 5kg 令和元年産</t>
        </is>
      </c>
      <c r="B214" t="inlineStr">
        <is>
          <t>￥ 2,913</t>
        </is>
      </c>
      <c r="C214" t="inlineStr">
        <is>
          <t>4.2</t>
        </is>
      </c>
      <c r="D214">
        <f>HYPERLINK("https://www.amazon.co.jp/%E3%83%9E%E3%82%A4%E3%83%91%E3%83%BC%E3%83%AB%E9%95%B7%E9%87%8E-27%E5%B9%B4%E5%BA%A6%E7%94%A3-%E9%95%B7%E9%87%8E%E7%9C%8C%E7%94%A3-%E9%A2%A8%E3%81%95%E3%82%84%E3%81%8B-5Kg/dp/B019MAAKIK/ref=sr_1_207?__mk_ja_JP=%E3%82%AB%E3%82%BF%E3%82%AB%E3%83%8A&amp;dchild=1&amp;keywords=%E7%B1%B3&amp;qid=1598692654&amp;sr=8-207", "Go")</f>
        <v/>
      </c>
    </row>
    <row r="215">
      <c r="A215" t="inlineStr">
        <is>
          <t>《令和元年新米》【受注精米】新潟県産 新之助 ５kg（精米）</t>
        </is>
      </c>
      <c r="B215" t="inlineStr">
        <is>
          <t>￥3,480</t>
        </is>
      </c>
      <c r="C215" t="inlineStr">
        <is>
          <t>4.2</t>
        </is>
      </c>
      <c r="D215">
        <f>HYPERLINK("https://www.amazon.co.jp/%E3%81%8A%E7%B1%B3%E3%81%AE%E3%81%9F%E3%81%8B%E3%81%95%E3%81%8B-%E3%80%90%E5%8F%97%E6%B3%A8%E7%B2%BE%E7%B1%B3%E3%80%91%E3%80%9030%E5%B9%B4%E7%94%A3%E6%96%B0%E7%B1%B3%E3%80%91%E6%96%B0%E6%BD%9F%E7%9C%8C%E7%94%A3-%E6%96%B0%E4%B9%8B%E5%8A%A9-%EF%BC%95kg%EF%BC%88%E7%B2%BE%E7%B1%B3%EF%BC%89/dp/B07HMVY9K6/ref=sr_1_208?__mk_ja_JP=%E3%82%AB%E3%82%BF%E3%82%AB%E3%83%8A&amp;dchild=1&amp;keywords=%E7%B1%B3&amp;qid=1598692654&amp;sr=8-208", "Go")</f>
        <v/>
      </c>
    </row>
    <row r="216">
      <c r="A216" t="inlineStr">
        <is>
          <t>【精米】[Amazon限定ブランド] 580.com 宮城県産 無洗米 つや姫 5kg 令和元年産</t>
        </is>
      </c>
      <c r="B216" t="inlineStr">
        <is>
          <t>現在在庫切れです。</t>
        </is>
      </c>
      <c r="C216" t="inlineStr">
        <is>
          <t>4.2</t>
        </is>
      </c>
      <c r="D216">
        <f>HYPERLINK("https://www.amazon.co.jp/%E3%80%90%E7%B2%BE%E7%B1%B3%E3%80%91-Amazon%E9%99%90%E5%AE%9A%E3%83%96%E3%83%A9%E3%83%B3%E3%83%89-580-com-%E5%AE%AE%E5%9F%8E%E7%9C%8C%E7%94%A3-%E5%B9%B3%E6%88%9030%E5%B9%B4%E7%94%A3/dp/B07SB4Q9ZV/ref=sr_1_211_sspa?__mk_ja_JP=%E3%82%AB%E3%82%BF%E3%82%AB%E3%83%8A&amp;dchild=1&amp;keywords=%E7%B1%B3&amp;qid=1598692654&amp;s=pantry&amp;sr=8-211-spons&amp;psc=1&amp;spLa=ZW5jcnlwdGVkUXVhbGlmaWVyPUEzQzM0UjZXVkVVM0swJmVuY3J5cHRlZElkPUEwNzgzNjY3M1QzNFJFVjJHRTlaNyZlbmNyeXB0ZWRBZElkPUEzNTk2QlU3NzlPVE1QJndpZGdldE5hbWU9c3BfbXRmJmFjdGlvbj1jbGlja1JlZGlyZWN0JmRvTm90TG9nQ2xpY2s9dHJ1ZQ==", "Go")</f>
        <v/>
      </c>
    </row>
    <row r="217">
      <c r="A217" t="inlineStr">
        <is>
          <t>【精米】熊本県産厳選米くまさんの力 10kg</t>
        </is>
      </c>
      <c r="B217" t="inlineStr">
        <is>
          <t>￥ 2,913</t>
        </is>
      </c>
      <c r="C217" t="inlineStr">
        <is>
          <t>4.2</t>
        </is>
      </c>
      <c r="D217">
        <f>HYPERLINK("https://www.amazon.co.jp/%E7%86%8A%E6%9C%AC%E3%83%91%E3%83%BC%E3%83%AB%E3%83%A9%E3%82%A4%E3%82%B9-%E3%80%90%E7%B2%BE%E7%B1%B3%E3%80%91%E7%86%8A%E6%9C%AC%E7%9C%8C%E7%94%A3%E5%8E%B3%E9%81%B8%E7%B1%B3%E3%81%8F%E3%81%BE%E3%81%95%E3%82%93%E3%81%AE%E5%8A%9B-10kg/dp/B00L33ZVSO/ref=sr_1_212?__mk_ja_JP=%E3%82%AB%E3%82%BF%E3%82%AB%E3%83%8A&amp;dchild=1&amp;keywords=%E7%B1%B3&amp;qid=1598692654&amp;sr=8-212", "Go")</f>
        <v/>
      </c>
    </row>
    <row r="218">
      <c r="A218" t="inlineStr">
        <is>
          <t>米 白米 銀河のしずく 10kg (2kg×5袋) 岩手県産 令和元年産(2019年)【米袋は真空包装】</t>
        </is>
      </c>
      <c r="B218" t="inlineStr">
        <is>
          <t>￥5,280</t>
        </is>
      </c>
      <c r="C218" t="inlineStr">
        <is>
          <t>4.7</t>
        </is>
      </c>
      <c r="D218">
        <f>HYPERLINK("https://www.amazon.co.jp/%E9%8A%80%E6%B2%B3%E3%81%AE%E3%81%97%E3%81%9A%E3%81%8F-10kg-2kg%C3%975%E8%A2%8B-%E5%B2%A9%E6%89%8B%E7%9C%8C%E7%94%A3-%E5%B9%B3%E6%88%9030%E5%B9%B4%E5%BA%A6%E7%94%A3/dp/B077TS9VZ8/ref=sr_1_213?__mk_ja_JP=%E3%82%AB%E3%82%BF%E3%82%AB%E3%83%8A&amp;dchild=1&amp;keywords=%E7%B1%B3&amp;qid=1598692654&amp;sr=8-213", "Go")</f>
        <v/>
      </c>
    </row>
    <row r="219">
      <c r="A219" t="inlineStr">
        <is>
          <t>【新米予約】皇室献上農家のコシヒカリ 山形県小国町 石垣恵子産 おぐに木酢米(農薬・化学肥料5割減) 白米 令和２年産 (5kg×2)</t>
        </is>
      </c>
      <c r="B219" t="inlineStr">
        <is>
          <t>￥7,350</t>
        </is>
      </c>
      <c r="C219" t="inlineStr">
        <is>
          <t>4.4</t>
        </is>
      </c>
      <c r="D219">
        <f>HYPERLINK("https://www.amazon.co.jp/%E3%80%90%E6%96%B0%E7%B1%B3%E3%80%91%E7%9A%87%E5%AE%A4%E7%8C%AE%E4%B8%8A%E8%BE%B2%E5%AE%B6-%E5%B1%B1%E5%BD%A2%E7%9C%8C%E5%B0%8F%E5%9B%BD%E7%94%BA-%E7%9F%B3%E5%9E%A3%E6%AD%A3%E6%86%B2%E7%94%A3-%E7%89%B9%E5%88%A5%E6%A0%BD%E5%9F%B9%E7%B1%B3%E3%82%B3%E3%82%B7%E3%83%92%E3%82%AB%E3%83%AA-%E5%B9%B3%E6%88%9030%E5%B9%B4%E7%94%A3/dp/B014SCWGNY/ref=sr_1_214?__mk_ja_JP=%E3%82%AB%E3%82%BF%E3%82%AB%E3%83%8A&amp;dchild=1&amp;keywords=%E7%B1%B3&amp;qid=1598692654&amp;sr=8-214", "Go")</f>
        <v/>
      </c>
    </row>
    <row r="220">
      <c r="A220" t="inlineStr">
        <is>
          <t>胚芽米 2kg</t>
        </is>
      </c>
      <c r="B220" t="inlineStr">
        <is>
          <t>￥1,280</t>
        </is>
      </c>
      <c r="C220" t="inlineStr">
        <is>
          <t>4.3</t>
        </is>
      </c>
      <c r="D220">
        <f>HYPERLINK("https://www.amazon.co.jp/%E3%83%9F%E3%83%84%E3%83%8F%E3%82%B7-%E8%83%9A%E8%8A%BD%E7%B1%B3-2kg/dp/B0057UAKV2/ref=sr_1_216?__mk_ja_JP=%E3%82%AB%E3%82%BF%E3%82%AB%E3%83%8A&amp;dchild=1&amp;keywords=%E7%B1%B3&amp;qid=1598692654&amp;sr=8-216", "Go")</f>
        <v/>
      </c>
    </row>
    <row r="221">
      <c r="A221" t="inlineStr">
        <is>
          <t>お米 青天の霹靂 2キロ (2袋)</t>
        </is>
      </c>
      <c r="B221" t="inlineStr">
        <is>
          <t>￥2,780</t>
        </is>
      </c>
      <c r="C221" t="inlineStr">
        <is>
          <t>4.2</t>
        </is>
      </c>
      <c r="D221">
        <f>HYPERLINK("https://www.amazon.co.jp/%E9%9D%92%E5%A4%A9%E3%81%AE%E9%9C%B9%E9%9D%82-%E3%81%8A%E7%B1%B3-2%E3%82%AD%E3%83%AD-2%E8%A2%8B/dp/B07BK119WP/ref=sr_1_217?__mk_ja_JP=%E3%82%AB%E3%82%BF%E3%82%AB%E3%83%8A&amp;dchild=1&amp;keywords=%E7%B1%B3&amp;qid=1598692654&amp;sr=8-217", "Go")</f>
        <v/>
      </c>
    </row>
    <row r="222">
      <c r="A222" t="inlineStr">
        <is>
          <t>【精米】福島県産 白米 天のつぶ5kg 令和元年産</t>
        </is>
      </c>
      <c r="B222" t="inlineStr">
        <is>
          <t>￥2,480</t>
        </is>
      </c>
      <c r="C222" t="inlineStr">
        <is>
          <t>4.2</t>
        </is>
      </c>
      <c r="D222">
        <f>HYPERLINK("https://www.amazon.co.jp/%E3%82%80%E3%82%89%E3%81%9B-%E3%80%90%E7%B2%BE%E7%B1%B3%E3%80%91%E7%A6%8F%E5%B3%B6%E7%9C%8C%E7%94%A3-%E7%99%BD%E7%B1%B3-%E5%A4%A9%E3%81%AE%E3%81%A4%E3%81%B65kg-%E5%B9%B3%E6%88%9030%E5%B9%B4%E7%94%A3/dp/B07CPWHKHT/ref=sr_1_218?__mk_ja_JP=%E3%82%AB%E3%82%BF%E3%82%AB%E3%83%8A&amp;dchild=1&amp;keywords=%E7%B1%B3&amp;qid=1598692654&amp;sr=8-218", "Go")</f>
        <v/>
      </c>
    </row>
    <row r="223">
      <c r="A223" t="inlineStr">
        <is>
          <t>【精米】 無洗米 はえぬき 10kg (5kgx2袋) 山形県産 新米 令和元年産 米</t>
        </is>
      </c>
      <c r="B223" t="inlineStr">
        <is>
          <t>￥4,680</t>
        </is>
      </c>
      <c r="C223" t="inlineStr">
        <is>
          <t>4.3</t>
        </is>
      </c>
      <c r="D223">
        <f>HYPERLINK("https://www.amazon.co.jp/%E3%80%90%E7%B2%BE%E7%B1%B3%E3%80%91-%E3%81%AF%E3%81%88%E3%81%AC%E3%81%8D-10kg-5kgx2%E8%A2%8B-%E4%BB%A4%E5%92%8C%E5%85%83%E5%B9%B4%E7%94%A3/dp/B07QL13VYC/ref=sr_1_219?__mk_ja_JP=%E3%82%AB%E3%82%BF%E3%82%AB%E3%83%8A&amp;dchild=1&amp;keywords=%E7%B1%B3&amp;qid=1598692654&amp;sr=8-219", "Go")</f>
        <v/>
      </c>
    </row>
    <row r="224">
      <c r="A224" t="inlineStr">
        <is>
          <t>【検査証明書付】玄米 30kg 熊本県 菊池産 ヒノヒカリ 10年連続特A受賞 阿蘇天然水育ち 残留農薬ゼロ 阿蘇天然水仕込み 産地直送 30kg　【 雑穀 プレゼント 】</t>
        </is>
      </c>
      <c r="B224" t="inlineStr">
        <is>
          <t>￥12,290</t>
        </is>
      </c>
      <c r="C224" t="inlineStr">
        <is>
          <t>4.3</t>
        </is>
      </c>
      <c r="D224">
        <f>HYPERLINK("https://www.amazon.co.jp/%E3%83%92%E3%83%8E%E3%83%92%E3%82%AB%E3%83%AA-10%E5%B9%B4%E9%80%A3%E7%B6%9A%E7%89%B9A%E5%8F%97%E8%B3%9E-%E9%98%BF%E8%98%87%E5%A4%A9%E7%84%B6%E6%B0%B4%E8%82%B2%E3%81%A1-%E6%AE%8B%E7%95%99%E8%BE%B2%E3%82%BC%E3%83%AD-%E9%98%BF%E8%98%87%E5%A4%A9%E7%84%B6%E6%B0%B4%E4%BB%95%E8%BE%BC%E3%81%BF/dp/B017KJN7PS/ref=sr_1_220?__mk_ja_JP=%E3%82%AB%E3%82%BF%E3%82%AB%E3%83%8A&amp;dchild=1&amp;keywords=%E7%B1%B3&amp;qid=1598692654&amp;sr=8-220", "Go")</f>
        <v/>
      </c>
    </row>
    <row r="225">
      <c r="A225" t="inlineStr">
        <is>
          <t>令和 元年産 北海道産 ゆめぴりか 5kg JA美唄指定米 (白米精米 約4.5kgでお届け)</t>
        </is>
      </c>
      <c r="B225" t="inlineStr">
        <is>
          <t>￥3,080</t>
        </is>
      </c>
      <c r="C225" t="inlineStr">
        <is>
          <t>4.1</t>
        </is>
      </c>
      <c r="D225">
        <f>HYPERLINK("https://www.amazon.co.jp/%E5%8C%97%E6%B5%B7%E9%81%93%E7%94%A3-%E3%82%86%E3%82%81%E3%81%B4%E3%82%8A%E3%81%8B-JA%E7%BE%8E%E5%94%84%E6%8C%87%E5%AE%9A%E7%B1%B3-%E7%99%BD%E7%B1%B3%E7%B2%BE%E7%B1%B3-%E7%B4%844-5kg%E3%81%A7%E3%81%8A%E5%B1%8A%E3%81%91/dp/B07YMXRPFQ/ref=sr_1_221?__mk_ja_JP=%E3%82%AB%E3%82%BF%E3%82%AB%E3%83%8A&amp;dchild=1&amp;keywords=%E7%B1%B3&amp;qid=1598692654&amp;sr=8-221", "Go")</f>
        <v/>
      </c>
    </row>
    <row r="226">
      <c r="A226" t="inlineStr">
        <is>
          <t>令和元年産 無洗米 金芽米 タニタ食堂の金芽米 18kg (4.5kg×4) 計量カップ付 窒素充填</t>
        </is>
      </c>
      <c r="B226" t="inlineStr">
        <is>
          <t>￥9,780</t>
        </is>
      </c>
      <c r="C226" t="inlineStr">
        <is>
          <t>4.5</t>
        </is>
      </c>
      <c r="D226">
        <f>HYPERLINK("https://www.amazon.co.jp/H30%E5%B9%B4%E7%94%A3-%E3%82%BF%E3%83%8B%E3%82%BF%E9%A3%9F%E5%A0%82%E3%81%AE%E9%87%91%E8%8A%BD%E7%B1%B3-18kg-4-5kg%C3%974-%E8%A8%88%E9%87%8F%E3%82%AB%E3%83%83%E3%83%97%E4%BB%98/dp/B01N0E39H4/ref=sr_1_222?__mk_ja_JP=%E3%82%AB%E3%82%BF%E3%82%AB%E3%83%8A&amp;dchild=1&amp;keywords=%E7%B1%B3&amp;qid=1598692654&amp;sr=8-222", "Go")</f>
        <v/>
      </c>
    </row>
    <row r="227">
      <c r="A227" t="inlineStr">
        <is>
          <t>【精米】 岩船産 コシヒカリ 5kg （5kg×1袋） 令和元年産 新潟県直送</t>
        </is>
      </c>
      <c r="B227" t="inlineStr">
        <is>
          <t>￥3,580</t>
        </is>
      </c>
      <c r="C227" t="inlineStr">
        <is>
          <t>4.5</t>
        </is>
      </c>
      <c r="D227">
        <f>HYPERLINK("https://www.amazon.co.jp/%E6%9C%89%E9%99%90%E4%BC%9A%E7%A4%BE-%E6%98%9F%E5%B1%B1%E7%B1%B3%E5%BA%97-%E3%80%9030%E5%B9%B4%E7%94%A3%E3%83%BB%E6%96%B0%E7%B1%B3%E3%80%91%E6%96%B0%E6%BD%9F%E7%9C%8C-%E5%B2%A9%E8%88%B9%E7%94%A3%E3%82%B3%E3%82%B7%E3%83%92%E3%82%AB%E3%83%AA-5kg%EF%BC%885kg%C3%971%E8%A2%8B%EF%BC%89/dp/B00IJTQ4WW/ref=sr_1_223?__mk_ja_JP=%E3%82%AB%E3%82%BF%E3%82%AB%E3%83%8A&amp;dchild=1&amp;keywords=%E7%B1%B3&amp;qid=1598692654&amp;sr=8-223", "Go")</f>
        <v/>
      </c>
    </row>
    <row r="228">
      <c r="A228" t="inlineStr">
        <is>
          <t>【精米】[Amazon限定ブランド] 580.com 山形県産 無洗米 つや姫 5kg 令和元年産</t>
        </is>
      </c>
      <c r="B228" t="inlineStr">
        <is>
          <t>￥3,130</t>
        </is>
      </c>
      <c r="C228" t="inlineStr">
        <is>
          <t>4</t>
        </is>
      </c>
      <c r="D228">
        <f>HYPERLINK("https://www.amazon.co.jp/%E3%80%90%E7%B2%BE%E7%B1%B3%E3%80%91-Amazon%E9%99%90%E5%AE%9A%E3%83%96%E3%83%A9%E3%83%B3%E3%83%89-580-com-%E5%B1%B1%E5%BD%A2%E7%9C%8C%E7%94%A3-%E5%B9%B3%E6%88%9030%E5%B9%B4%E7%94%A3/dp/B07NG9BQ8X/ref=sr_1_224_sspa?__mk_ja_JP=%E3%82%AB%E3%82%BF%E3%82%AB%E3%83%8A&amp;dchild=1&amp;keywords=%E7%B1%B3&amp;qid=1598692654&amp;sr=8-224-spons&amp;psc=1&amp;spLa=ZW5jcnlwdGVkUXVhbGlmaWVyPUEzQzM0UjZXVkVVM0swJmVuY3J5cHRlZElkPUEwNzgzNjY3M1QzNFJFVjJHRTlaNyZlbmNyeXB0ZWRBZElkPUEyMlFDV0dDQjhNWVkxJndpZGdldE5hbWU9c3BfbXRmJmFjdGlvbj1jbGlja1JlZGlyZWN0JmRvTm90TG9nQ2xpY2s9dHJ1ZQ==", "Go")</f>
        <v/>
      </c>
    </row>
    <row r="229">
      <c r="A229" t="inlineStr">
        <is>
          <t>【新米予約】新潟県産 ミルキークイーン 白米 10kg (5kg×2 袋) 令和２年産 【9月16日頃入荷予定】</t>
        </is>
      </c>
      <c r="B229" t="inlineStr">
        <is>
          <t>￥5,280</t>
        </is>
      </c>
      <c r="C229" t="inlineStr">
        <is>
          <t>4.2</t>
        </is>
      </c>
      <c r="D229">
        <f>HYPERLINK("https://www.amazon.co.jp/%E3%80%90%E6%96%B0%E7%B1%B3%E4%BA%88%E7%B4%84%E3%80%91%E6%96%B0%E6%BD%9F%E7%9C%8C%E7%94%A3-%E3%83%9F%E3%83%AB%E3%82%AD%E3%83%BC%E3%82%AF%E3%82%A4%E3%83%BC%E3%83%B3-30%E5%B9%B4%E7%94%A3-10kg-%E3%80%90%E7%B2%BE%E7%B1%B3%E3%80%91/dp/B01KXCTYQ0/ref=sr_1_225_sspa?__mk_ja_JP=%E3%82%AB%E3%82%BF%E3%82%AB%E3%83%8A&amp;dchild=1&amp;keywords=%E7%B1%B3&amp;qid=1598692654&amp;sr=8-225-spons&amp;psc=1&amp;spLa=ZW5jcnlwdGVkUXVhbGlmaWVyPUEzQzM0UjZXVkVVM0swJmVuY3J5cHRlZElkPUEwNzgzNjY3M1QzNFJFVjJHRTlaNyZlbmNyeXB0ZWRBZElkPUFUSzBEOFZCSThYRzImd2lkZ2V0TmFtZT1zcF9tdGYmYWN0aW9uPWNsaWNrUmVkaXJlY3QmZG9Ob3RMb2dDbGljaz10cnVl", "Go")</f>
        <v/>
      </c>
    </row>
    <row r="230">
      <c r="A230" t="inlineStr">
        <is>
          <t>最高級 ジャスミンライス 香り米 タイ米 1.4kg 長期保存包装済</t>
        </is>
      </c>
      <c r="B230" t="inlineStr">
        <is>
          <t>￥1,760</t>
        </is>
      </c>
      <c r="C230" t="inlineStr">
        <is>
          <t>4.5</t>
        </is>
      </c>
      <c r="D230">
        <f>HYPERLINK("https://www.amazon.co.jp/%E4%B8%87%E7%B3%A7%E7%B1%B3%E7%A9%80-%E2%97%8B%E2%97%8F%E9%AB%98%E7%B4%9A%E9%A6%99%E3%82%8A%E7%B1%B3%EF%BC%88%E3%82%B8%E3%83%A3%E3%82%B9%E3%83%9F%E3%83%B3%E7%B1%B3%EF%BC%89%E3%82%BF%E3%82%A4%E7%B1%B3-1-4kg/dp/B001P5B2UG/ref=sr_1_227?__mk_ja_JP=%E3%82%AB%E3%82%BF%E3%82%AB%E3%83%8A&amp;dchild=1&amp;keywords=%E7%B1%B3&amp;qid=1598692654&amp;sr=8-227", "Go")</f>
        <v/>
      </c>
    </row>
    <row r="231">
      <c r="A231" t="inlineStr">
        <is>
          <t>【無洗米】近江米　白米5kg×2袋　【令和元年：滋賀県産】ブレンド米　【送料無料】</t>
        </is>
      </c>
      <c r="B231" t="inlineStr">
        <is>
          <t>￥4,333</t>
        </is>
      </c>
      <c r="C231" t="inlineStr">
        <is>
          <t>4.2</t>
        </is>
      </c>
      <c r="D231">
        <f>HYPERLINK("https://www.amazon.co.jp/%E8%BF%91%E6%B1%9F%E3%81%AE%E5%9B%BD%E3%81%8B%E3%82%89%E6%9C%A8%E6%9D%91%E5%95%86%E5%BA%97-%E3%80%90%E7%84%A1%E6%B4%97%E7%B1%B3%E3%80%91%E6%96%B0%E7%B1%B3%EF%BC%81%E3%80%90%E4%BB%A4%E5%92%8C%E5%85%83%E5%B9%B4%EF%BC%9A%E6%BB%8B%E8%B3%80%E7%9C%8C%E7%94%A3%E3%80%91%E8%BF%91%E6%B1%9F%E7%B1%B3-%E7%99%BD%E7%B1%B310kg%C3%971%E8%A2%8B-%E2%98%85%E2%98%85%E7%84%A1%E6%B4%97%E7%B1%B3%E2%98%85%E2%98%85-%E3%80%90%E9%80%81%E6%96%99%E7%84%A1%E6%96%99%E3%80%91/dp/B07QV66WLF/ref=sr_1_228?__mk_ja_JP=%E3%82%AB%E3%82%BF%E3%82%AB%E3%83%8A&amp;dchild=1&amp;keywords=%E7%B1%B3&amp;qid=1598692654&amp;sr=8-228", "Go")</f>
        <v/>
      </c>
    </row>
    <row r="232">
      <c r="A232" t="inlineStr">
        <is>
          <t>令和元年産 茨城県産 コシヒカリ 白米 ２７ｋｇ（9×3）</t>
        </is>
      </c>
      <c r="B232" t="inlineStr">
        <is>
          <t>￥10,990</t>
        </is>
      </c>
      <c r="C232" t="inlineStr">
        <is>
          <t>4.3</t>
        </is>
      </c>
      <c r="D232">
        <f>HYPERLINK("https://www.amazon.co.jp/%E6%96%B0%E7%B1%B3%EF%BC%93%EF%BC%90%E5%B9%B4%E7%94%A3-%E8%8C%A8%E5%9F%8E%E7%9C%8C%E7%94%A3-%E3%82%B3%E3%82%B7%E3%83%92%E3%82%AB%E3%83%AA-%E7%99%BD%E7%B1%B3-%EF%BC%92%EF%BC%97%EF%BD%8B%EF%BD%87%EF%BC%889%C3%973%EF%BC%89/dp/B00BSOSR5M/ref=sr_1_229?__mk_ja_JP=%E3%82%AB%E3%82%BF%E3%82%AB%E3%83%8A&amp;dchild=1&amp;keywords=%E7%B1%B3&amp;qid=1598692654&amp;sr=8-229", "Go")</f>
        <v/>
      </c>
    </row>
    <row r="233">
      <c r="A233" t="inlineStr">
        <is>
          <t>令和元年産　宮城県産　無洗米ササニシキ　5kg</t>
        </is>
      </c>
      <c r="B233" t="inlineStr">
        <is>
          <t>￥2,820</t>
        </is>
      </c>
      <c r="C233" t="inlineStr">
        <is>
          <t>4.4</t>
        </is>
      </c>
      <c r="D233">
        <f>HYPERLINK("https://www.amazon.co.jp/%E3%83%91%E3%83%BC%E3%83%AB%E3%83%A9%E3%82%A4%E3%82%B9%E5%AE%AE%E5%9F%8E-%E5%B9%B3%E6%88%9030%E5%B9%B4%E7%94%A3-%E5%AE%AE%E5%9F%8E%E7%9C%8C%E7%94%A3-%E7%84%A1%E6%B4%97%E7%B1%B3%E3%82%B5%E3%82%B5%E3%83%8B%E3%82%B7%E3%82%AD-5kg/dp/B002UI5CDA/ref=sr_1_230?__mk_ja_JP=%E3%82%AB%E3%82%BF%E3%82%AB%E3%83%8A&amp;dchild=1&amp;keywords=%E7%B1%B3&amp;qid=1598692654&amp;sr=8-230", "Go")</f>
        <v/>
      </c>
    </row>
    <row r="234">
      <c r="A234" t="inlineStr">
        <is>
          <t>【令和元年産】無洗米 北海道産 ななつぼし 10kg (5kg×2袋) 【ハーベストシーズン】【精米】 【HARVEST SEASON】</t>
        </is>
      </c>
      <c r="B234" t="inlineStr">
        <is>
          <t>￥4,899</t>
        </is>
      </c>
      <c r="C234" t="inlineStr">
        <is>
          <t>4.2</t>
        </is>
      </c>
      <c r="D234">
        <f>HYPERLINK("https://www.amazon.co.jp/%E3%80%90%E7%B2%BE%E7%B1%B3%E3%80%91%E3%80%90%E6%96%B0%E7%B1%B3%E3%80%9130%E5%B9%B4%E7%94%A3-5kg%C3%972%E8%A2%8B-%E3%80%90%E3%83%8F%E3%83%BC%E3%83%99%E3%82%B9%E3%83%88%E3%82%B7%E3%83%BC%E3%82%BA%E3%83%B3%E3%80%91-%E3%80%90HARVEST-SEASON%E3%80%91/dp/B00FU47OCI/ref=sr_1_231?__mk_ja_JP=%E3%82%AB%E3%82%BF%E3%82%AB%E3%83%8A&amp;dchild=1&amp;keywords=%E7%B1%B3&amp;qid=1598692654&amp;sr=8-231", "Go")</f>
        <v/>
      </c>
    </row>
    <row r="235">
      <c r="A235" t="inlineStr">
        <is>
          <t>令和 元年産 特別栽培米 福岡産 元気つくし 10kg (5kg×2袋) 嘉穂農協指定 (白米精米 約4.5kg×2袋でお届け)</t>
        </is>
      </c>
      <c r="B235" t="inlineStr">
        <is>
          <t>￥5,080</t>
        </is>
      </c>
      <c r="C235" t="inlineStr">
        <is>
          <t>5</t>
        </is>
      </c>
      <c r="D235">
        <f>HYPERLINK("https://www.amazon.co.jp/30%E5%B9%B4%E7%94%A3-%E7%89%B9%E5%88%A5%E6%A0%BD%E5%9F%B9%E7%B1%B3-%E5%85%83%E6%B0%97%E3%81%A4%E3%81%8F%E3%81%97-5kg%C3%972%E8%A2%8B-%E7%B4%844-5kg%C3%972%E8%A2%8B%E3%81%A7%E3%81%8A%E5%B1%8A%E3%81%91/dp/B077G3YF7X/ref=sr_1_232?__mk_ja_JP=%E3%82%AB%E3%82%BF%E3%82%AB%E3%83%8A&amp;dchild=1&amp;keywords=%E7%B1%B3&amp;qid=1598692654&amp;sr=8-232", "Go")</f>
        <v/>
      </c>
    </row>
    <row r="236">
      <c r="A236" t="inlineStr">
        <is>
          <t>7分づき 5kg 令和元年産 こしひかり 六方銀米 特別栽培米 コウノトリ舞い降りるお米 常温除湿乾燥 兵庫県産</t>
        </is>
      </c>
      <c r="B236" t="inlineStr">
        <is>
          <t>￥3,630</t>
        </is>
      </c>
      <c r="C236" t="inlineStr">
        <is>
          <t>5</t>
        </is>
      </c>
      <c r="D236">
        <f>HYPERLINK("https://www.amazon.co.jp/%E5%B9%B3%E6%88%9030%E5%B9%B4%E7%94%A3-%E3%81%93%E3%81%97%E3%81%B2%E3%81%8B%E3%82%8A-%E5%85%AD%E6%96%B9%E9%8A%80%E7%B1%B3-%E7%89%B9%E5%88%A5%E6%A0%BD%E5%9F%B9%E7%B1%B3-%E3%82%B3%E3%82%A6%E3%83%8E%E3%83%88%E3%83%AA%E8%88%9E%E3%81%84%E9%99%8D%E3%82%8A%E3%82%8B%E3%81%8A%E7%B1%B3/dp/B07FDYD921/ref=sr_1_233?__mk_ja_JP=%E3%82%AB%E3%82%BF%E3%82%AB%E3%83%8A&amp;dchild=1&amp;keywords=%E7%B1%B3&amp;qid=1598692654&amp;sr=8-233", "Go")</f>
        <v/>
      </c>
    </row>
    <row r="237">
      <c r="A237" t="inlineStr">
        <is>
          <t>令和元年産 つがるロマン 青森県産 精米 10kg(5kg×2)</t>
        </is>
      </c>
      <c r="B237" t="inlineStr">
        <is>
          <t>￥4,500</t>
        </is>
      </c>
      <c r="C237" t="inlineStr">
        <is>
          <t>5</t>
        </is>
      </c>
      <c r="D237">
        <f>HYPERLINK("https://www.amazon.co.jp/%E3%81%A4%E3%81%8C%E3%82%8B%E3%83%AD%E3%83%9E%E3%83%B3-29%E5%B9%B4%E7%94%A3%E7%B1%B3-%E9%9D%92%E6%A3%AE%E7%9C%8C%E7%94%A3-10kg-5kg%C3%972/dp/B00KG72ZM8/ref=sr_1_234?__mk_ja_JP=%E3%82%AB%E3%82%BF%E3%82%AB%E3%83%8A&amp;dchild=1&amp;keywords=%E7%B1%B3&amp;qid=1598692654&amp;sr=8-234", "Go")</f>
        <v/>
      </c>
    </row>
    <row r="238">
      <c r="A238" t="inlineStr">
        <is>
          <t>山形県産 つや姫 令和元年度産 メール便 （送料込）1合（約150ｇ） (無洗米)</t>
        </is>
      </c>
      <c r="B238" t="inlineStr">
        <is>
          <t>￥400</t>
        </is>
      </c>
      <c r="C238" t="inlineStr">
        <is>
          <t>5</t>
        </is>
      </c>
      <c r="D238">
        <f>HYPERLINK("https://www.amazon.co.jp/%E3%82%A2%E3%82%B0%E3%83%AA%E3%83%91%E3%83%BC%E3%83%88%E3%83%8A%E3%83%BC-%E5%B1%B1%E5%BD%A2%E7%9C%8C%E7%94%A3-%E3%81%A4%E3%82%84%E5%A7%AB-%E5%B9%B3%E6%88%9030%E5%B9%B4%E5%BA%A6%E7%94%A3-%EF%BC%88%E9%80%81%E6%96%99%E8%BE%BC%EF%BC%891%E5%90%88%EF%BC%88%E7%B4%84150%EF%BD%87%EF%BC%89-%E7%84%A1%E6%B4%97%E7%B1%B3/dp/B079WTHRGJ/ref=sr_1_236?__mk_ja_JP=%E3%82%AB%E3%82%BF%E3%82%AB%E3%83%8A&amp;dchild=1&amp;keywords=%E7%B1%B3&amp;qid=1598692654&amp;sr=8-236", "Go")</f>
        <v/>
      </c>
    </row>
    <row r="239">
      <c r="A239" t="inlineStr">
        <is>
          <t>令和元年産　山形県産　雪若丸　精米２kg</t>
        </is>
      </c>
      <c r="B239" t="inlineStr">
        <is>
          <t>￥1,980</t>
        </is>
      </c>
      <c r="C239" t="inlineStr">
        <is>
          <t>5</t>
        </is>
      </c>
      <c r="D239">
        <f>HYPERLINK("https://www.amazon.co.jp/%E5%B1%B1%E5%BD%A2%E7%B1%B3%E3%81%AE%E4%B8%B9%E9%87%8E%E5%95%86%E5%BA%97-%E5%B1%B1%E5%BD%A2%E7%9C%8C%E7%94%A3-%E9%9B%AA%E8%8B%A5%E4%B8%B8-%E7%B2%BE%E7%B1%B3%EF%BC%92kg/dp/B07HFVW861/ref=sr_1_237?__mk_ja_JP=%E3%82%AB%E3%82%BF%E3%82%AB%E3%83%8A&amp;dchild=1&amp;keywords=%E7%B1%B3&amp;qid=1598692654&amp;sr=8-237", "Go")</f>
        <v/>
      </c>
    </row>
    <row r="240">
      <c r="A240" t="inlineStr">
        <is>
          <t>令和 元年度産 岩手県産 金色の風 10kg (5kg×2袋) JA米 こんじきのかぜ (白米精米 約4.5kg×2袋でお届け)</t>
        </is>
      </c>
      <c r="B240" t="inlineStr">
        <is>
          <t>￥5,980</t>
        </is>
      </c>
      <c r="C240" t="inlineStr">
        <is>
          <t>5</t>
        </is>
      </c>
      <c r="D240">
        <f>HYPERLINK("https://www.amazon.co.jp/30%E5%B9%B4%E7%94%A3-%E9%87%91%E8%89%B2%E3%81%AE%E9%A2%A8-5kg%C3%972%E8%A2%8B-%E3%81%93%E3%82%93%E3%81%98%E3%81%8D%E3%81%AE%E3%81%8B%E3%81%9C-%E7%B4%844-5kg%C3%972%E8%A2%8B%E3%81%A7%E3%81%8A%E5%B1%8A%E3%81%91/dp/B0771Q4HWH/ref=sr_1_238?__mk_ja_JP=%E3%82%AB%E3%82%BF%E3%82%AB%E3%83%8A&amp;dchild=1&amp;keywords=%E7%B1%B3&amp;qid=1598692654&amp;sr=8-238", "Go")</f>
        <v/>
      </c>
    </row>
    <row r="241">
      <c r="A241" t="inlineStr">
        <is>
          <t>新米　令和２年産　白米 こしひかり 5kg　宮崎産</t>
        </is>
      </c>
      <c r="B241" t="inlineStr">
        <is>
          <t>￥5,000</t>
        </is>
      </c>
      <c r="C241" t="inlineStr">
        <is>
          <t>5</t>
        </is>
      </c>
      <c r="D241">
        <f>HYPERLINK("https://www.amazon.co.jp/%E5%B9%B3%E6%88%9030%E5%B9%B4-%E5%AE%AE%E5%B4%8E%E7%94%A3-%E7%99%BD%E7%B1%B3-%E3%81%93%E3%81%97%E3%81%B2%E3%81%8B%E3%82%8A-5kg/dp/B008ZXVRYW/ref=sr_1_239?__mk_ja_JP=%E3%82%AB%E3%82%BF%E3%82%AB%E3%83%8A&amp;dchild=1&amp;keywords=%E7%B1%B3&amp;qid=1598692654&amp;sr=8-239", "Go")</f>
        <v/>
      </c>
    </row>
    <row r="242">
      <c r="A242" t="inlineStr">
        <is>
          <t>【精米】新之助 令和元年産 新米 白米 米 コメ (5㎏×1袋)</t>
        </is>
      </c>
      <c r="B242" t="inlineStr">
        <is>
          <t>￥3,800</t>
        </is>
      </c>
      <c r="C242" t="inlineStr">
        <is>
          <t>4</t>
        </is>
      </c>
      <c r="D242">
        <f>HYPERLINK("https://www.amazon.co.jp/%E3%80%90%E8%8A%B1%E3%81%8B%E3%81%A4%E3%81%8A30%EF%BD%87%E4%BB%98%E3%80%91%E6%96%B0%E4%B9%8B%E5%8A%A9-5kg-%E5%B9%B3%E6%88%9030%E5%B9%B4%E7%94%A3-%E6%96%B0%E6%BD%9F%E7%9C%8C%E7%94%A3-%E7%B2%BE%E7%B1%B3/dp/B07BBRSCLN/ref=sr_1_240?__mk_ja_JP=%E3%82%AB%E3%82%BF%E3%82%AB%E3%83%8A&amp;dchild=1&amp;keywords=%E7%B1%B3&amp;qid=1598692654&amp;sr=8-240", "Go")</f>
        <v/>
      </c>
    </row>
    <row r="243">
      <c r="A243" t="inlineStr">
        <is>
          <t>引っ越し 引越し 「御挨拶」の粗品 高級銘柄米 新潟県産コシヒカリ 300g(2合)×10袋セット</t>
        </is>
      </c>
      <c r="B243" t="inlineStr">
        <is>
          <t>￥2,900</t>
        </is>
      </c>
      <c r="C243" t="inlineStr">
        <is>
          <t>5</t>
        </is>
      </c>
      <c r="D243">
        <f>HYPERLINK("https://www.amazon.co.jp/%E5%BC%95%E3%81%A3%E8%B6%8A%E3%81%97-%E3%80%8C%E5%BE%A1%E6%8C%A8%E6%8B%B6%E3%80%8D%E3%81%AE%E7%B2%97%E5%93%81-%E9%AB%98%E7%B4%9A%E9%8A%98%E6%9F%84%E7%B1%B3-%E6%96%B0%E6%BD%9F%E7%9C%8C%E7%94%A3%E3%82%B3%E3%82%B7%E3%83%92%E3%82%AB%E3%83%AA-%C3%9710%E8%A2%8B%E3%82%BB%E3%83%83%E3%83%88/dp/B0105GSB0O/ref=sr_1_241?__mk_ja_JP=%E3%82%AB%E3%82%BF%E3%82%AB%E3%83%8A&amp;dchild=1&amp;keywords=%E7%B1%B3&amp;qid=1598692654&amp;sr=8-241", "Go")</f>
        <v/>
      </c>
    </row>
    <row r="244">
      <c r="A244" t="inlineStr">
        <is>
          <t>宮城県登米産　だて正夢　 精米2k 令和1年産</t>
        </is>
      </c>
      <c r="B244" t="inlineStr">
        <is>
          <t>￥1,100</t>
        </is>
      </c>
      <c r="C244" t="inlineStr">
        <is>
          <t>5</t>
        </is>
      </c>
      <c r="D244">
        <f>HYPERLINK("https://www.amazon.co.jp/%E7%99%BD%E9%B3%A5%E5%95%86%E5%BA%97-%E3%81%A0%E3%81%A6%E6%AD%A3%E5%A4%A2-%E5%AE%AE%E5%9F%8E%E7%9C%8C%E7%99%BB%E7%B1%B3%E7%94%A3-%E7%B2%BE%E7%B1%B32k-%E5%B9%B3%E6%88%9030%E5%B9%B4%E7%94%A3/dp/B07JLCKSCF/ref=sr_1_242?__mk_ja_JP=%E3%82%AB%E3%82%BF%E3%82%AB%E3%83%8A&amp;dchild=1&amp;keywords=%E7%B1%B3&amp;qid=1598692654&amp;sr=8-242", "Go")</f>
        <v/>
      </c>
    </row>
    <row r="245">
      <c r="A245" t="inlineStr">
        <is>
          <t>【精米】 令和 元年度産 岩手県産 金色の風 2kg 精白米 こんじきのかぜ</t>
        </is>
      </c>
      <c r="B245" t="inlineStr">
        <is>
          <t>￥2,080</t>
        </is>
      </c>
      <c r="C245" t="inlineStr">
        <is>
          <t>5</t>
        </is>
      </c>
      <c r="D245">
        <f>HYPERLINK("https://www.amazon.co.jp/%E3%80%90%E7%B2%BE%E7%B1%B3%E3%80%91-30%E5%B9%B4%E7%94%A3-%E5%B2%A9%E6%89%8B%E7%9C%8C%E7%94%A3-%E9%87%91%E8%89%B2%E3%81%AE%E9%A2%A8-%E3%81%93%E3%82%93%E3%81%98%E3%81%8D%E3%81%AE%E3%81%8B%E3%81%9C/dp/B0771RQ6MQ/ref=sr_1_243?__mk_ja_JP=%E3%82%AB%E3%82%BF%E3%82%AB%E3%83%8A&amp;dchild=1&amp;keywords=%E7%B1%B3&amp;qid=1598692654&amp;sr=8-243", "Go")</f>
        <v/>
      </c>
    </row>
    <row r="246">
      <c r="A246" t="inlineStr">
        <is>
          <t>山形県産ササニシキ検査１等　３０ｋｇ (精米 約26kg)</t>
        </is>
      </c>
      <c r="B246" t="inlineStr">
        <is>
          <t>￥11,000</t>
        </is>
      </c>
      <c r="C246" t="inlineStr">
        <is>
          <t>4.6</t>
        </is>
      </c>
      <c r="D246">
        <f>HYPERLINK("https://www.amazon.co.jp/%E5%B1%B1%E5%BD%A2%E7%B1%B3%E3%81%AE%E4%B8%B9%E9%87%8E%E5%95%86%E5%BA%97-%E5%B1%B1%E5%BD%A2%E7%9C%8C%E7%94%A3%E3%82%B5%E3%82%B5%E3%83%8B%E3%82%B7%E3%82%AD%E6%A4%9C%E6%9F%BB%EF%BC%91%E7%AD%89-%EF%BC%93%EF%BC%90%EF%BD%8B%EF%BD%87-%E7%B2%BE%E7%B1%B3-%E7%B4%8426kg/dp/B00FFV8VXM/ref=sr_1_244?__mk_ja_JP=%E3%82%AB%E3%82%BF%E3%82%AB%E3%83%8A&amp;dchild=1&amp;keywords=%E7%B1%B3&amp;qid=1598692654&amp;sr=8-244", "Go")</f>
        <v/>
      </c>
    </row>
    <row r="247">
      <c r="A247" t="inlineStr">
        <is>
          <t>【精米】山形つや姫 2kg 令和元年産</t>
        </is>
      </c>
      <c r="B247" t="inlineStr">
        <is>
          <t>￥1,380</t>
        </is>
      </c>
      <c r="C247" t="inlineStr">
        <is>
          <t>4.3</t>
        </is>
      </c>
      <c r="D247">
        <f>HYPERLINK("https://www.amazon.co.jp/%E6%9C%A8%E5%BE%B3%E7%A5%9E%E7%B3%A7-%E3%80%90%E7%B2%BE%E7%B1%B3%E3%80%91%E5%B1%B1%E5%BD%A2%E3%81%A4%E3%82%84%E5%A7%AB-2kg-%E5%B9%B3%E6%88%9030%E5%B9%B4%E7%94%A3/dp/B01N4BO1JC/ref=sr_1_245?__mk_ja_JP=%E3%82%AB%E3%82%BF%E3%82%AB%E3%83%8A&amp;dchild=1&amp;keywords=%E7%B1%B3&amp;qid=1598692654&amp;sr=8-245", "Go")</f>
        <v/>
      </c>
    </row>
    <row r="248">
      <c r="A248" t="inlineStr">
        <is>
          <t>【精米】【精米】新潟県産無洗米コシヒカリ10ｋｇ</t>
        </is>
      </c>
      <c r="B248" t="inlineStr">
        <is>
          <t>￥4,692</t>
        </is>
      </c>
      <c r="C248" t="inlineStr">
        <is>
          <t>4.3</t>
        </is>
      </c>
      <c r="D248">
        <f>HYPERLINK("https://www.amazon.co.jp/%E6%9C%A8%E5%BE%B3%E7%A5%9E%E7%B3%A7-%E3%80%90%E7%B2%BE%E7%B1%B3%E3%80%91%E3%80%90%E7%B2%BE%E7%B1%B3%E3%80%91%E6%96%B0%E6%BD%9F%E7%9C%8C%E7%94%A3%E7%84%A1%E6%B4%97%E7%B1%B3%E3%82%B3%E3%82%B7%E3%83%92%E3%82%AB%E3%83%AA10%EF%BD%8B%EF%BD%87/dp/B07BM3LVPN/ref=sr_1_246?__mk_ja_JP=%E3%82%AB%E3%82%BF%E3%82%AB%E3%83%8A&amp;dchild=1&amp;keywords=%E7%B1%B3&amp;qid=1598692654&amp;sr=8-246", "Go")</f>
        <v/>
      </c>
    </row>
    <row r="249">
      <c r="A249" t="inlineStr">
        <is>
          <t>いちほまれ 「福井県の新しいブランド米」5ｋｇ 令和元年産 福井県産　白米</t>
        </is>
      </c>
      <c r="B249" t="inlineStr">
        <is>
          <t>￥3,780</t>
        </is>
      </c>
      <c r="C249" t="inlineStr">
        <is>
          <t>4.4</t>
        </is>
      </c>
      <c r="D249">
        <f>HYPERLINK("https://www.amazon.co.jp/%E6%A0%AA%E5%BC%8F%E4%BC%9A%E7%A4%BE%E6%B8%A1%E8%BE%BA%E7%B1%B3%E7%A9%80-%E3%81%84%E3%81%A1%E3%81%BB%E3%81%BE%E3%82%8C-%E3%80%8C%E7%A6%8F%E4%BA%95%E7%9C%8C%E3%81%AE%E6%96%B0%E3%81%97%E3%81%84%E3%83%96%E3%83%A9%E3%83%B3%E3%83%89%E7%B1%B3%E3%80%8D5%E3%8E%8F-%E6%96%B0%E7%B1%B330%E5%B9%B4%E7%A6%8F%E4%BA%95%E7%9C%8C%E7%94%A3/dp/B07J3H9C5S/ref=sr_1_247?__mk_ja_JP=%E3%82%AB%E3%82%BF%E3%82%AB%E3%83%8A&amp;dchild=1&amp;keywords=%E7%B1%B3&amp;qid=1598692654&amp;sr=8-247", "Go")</f>
        <v/>
      </c>
    </row>
    <row r="250">
      <c r="A250" t="inlineStr">
        <is>
          <t>【精米】北海道むかわ町産 内海ファームのお米 白米 ゆめぴりか 5kg 令和元年産</t>
        </is>
      </c>
      <c r="B250" t="inlineStr">
        <is>
          <t>￥3,280</t>
        </is>
      </c>
      <c r="C250" t="inlineStr">
        <is>
          <t>4.2</t>
        </is>
      </c>
      <c r="D250">
        <f>HYPERLINK("https://www.amazon.co.jp/%E3%80%90%E7%B2%BE%E7%B1%B3%E3%80%91%E5%8C%97%E6%B5%B7%E9%81%93%E3%82%80%E3%81%8B%E3%82%8F%E7%94%BA%E7%94%A3-%E5%86%85%E6%B5%B7%E3%83%95%E3%82%A1%E3%83%BC%E3%83%A0%E3%81%AE%E3%81%8A%E7%B1%B3-%E3%82%86%E3%82%81%E3%81%B4%E3%82%8A%E3%81%8B-5kg-%E5%B9%B3%E6%88%9030%E5%B9%B4%E7%94%A3/dp/B0194E408U/ref=sr_1_248?__mk_ja_JP=%E3%82%AB%E3%82%BF%E3%82%AB%E3%83%8A&amp;dchild=1&amp;keywords=%E7%B1%B3&amp;qid=1598692654&amp;sr=8-248", "Go")</f>
        <v/>
      </c>
    </row>
    <row r="251">
      <c r="A251" t="inlineStr">
        <is>
          <t>【最高ランク特Ａ地区】宮城県産 ひとめぼれ 無洗米 10kg ( 5kg×2 ) 一等米 登米市</t>
        </is>
      </c>
      <c r="B251" t="inlineStr">
        <is>
          <t>￥4,480</t>
        </is>
      </c>
      <c r="C251" t="inlineStr">
        <is>
          <t>4.2</t>
        </is>
      </c>
      <c r="D251">
        <f>HYPERLINK("https://www.amazon.co.jp/%E3%80%90%E6%9C%80%E9%AB%98%E3%83%A9%E3%83%B3%E3%82%AF%E7%89%B9%EF%BC%A1%E5%9C%B0%E5%8C%BA%E3%80%91%E5%AE%AE%E5%9F%8E%E7%9C%8C%E7%94%A3-%E3%81%B2%E3%81%A8%E3%82%81%E3%81%BC%E3%82%8C-%E7%84%A1%E6%B4%97%E7%B1%B3-10kg-5kg%C3%972/dp/B07XV9VPKV/ref=sr_1_249?__mk_ja_JP=%E3%82%AB%E3%82%BF%E3%82%AB%E3%83%8A&amp;dchild=1&amp;keywords=%E7%B1%B3&amp;qid=1598692654&amp;sr=8-249", "Go")</f>
        <v/>
      </c>
    </row>
    <row r="252">
      <c r="A252" t="inlineStr">
        <is>
          <t>【令和元年産】 白米 北海道産 ゆめぴりか 10kg (5kg×2袋) 【ハーベストシーズン】【精米】 【HARVEST SEASON】</t>
        </is>
      </c>
      <c r="B252" t="inlineStr">
        <is>
          <t>￥5,199</t>
        </is>
      </c>
      <c r="C252" t="inlineStr">
        <is>
          <t>4.2</t>
        </is>
      </c>
      <c r="D252">
        <f>HYPERLINK("https://www.amazon.co.jp/%E3%80%90%E7%B2%BE%E7%B1%B3%E3%80%91%E6%96%B0%E7%B1%B3-5kg%C3%972%E8%A2%8B-%E3%80%90%E3%83%8F%E3%83%BC%E3%83%99%E3%82%B9%E3%83%88%E3%82%B7%E3%83%BC%E3%82%BA%E3%83%B3%E3%80%91-%E3%80%90HARVEST-SEASON%E3%80%91/dp/B017IJCSM8/ref=sr_1_250?__mk_ja_JP=%E3%82%AB%E3%82%BF%E3%82%AB%E3%83%8A&amp;dchild=1&amp;keywords=%E7%B1%B3&amp;qid=1598692654&amp;sr=8-250", "Go")</f>
        <v/>
      </c>
    </row>
    <row r="253">
      <c r="A253" t="inlineStr">
        <is>
          <t>米 白米 銀河のしずく 10kg (2kg×5袋) 岩手県産 令和元年産(2019年)【米袋は真空包装】</t>
        </is>
      </c>
      <c r="B253" t="inlineStr">
        <is>
          <t>￥5,280</t>
        </is>
      </c>
      <c r="C253" t="inlineStr">
        <is>
          <t>4.7</t>
        </is>
      </c>
      <c r="D253">
        <f>HYPERLINK("https://www.amazon.co.jp/%E9%8A%80%E6%B2%B3%E3%81%AE%E3%81%97%E3%81%9A%E3%81%8F-10kg-2kg%C3%975%E8%A2%8B-%E5%B2%A9%E6%89%8B%E7%9C%8C%E7%94%A3-%E5%B9%B3%E6%88%9030%E5%B9%B4%E5%BA%A6%E7%94%A3/dp/B077TS9VZ8/ref=sr_1_251_sspa?__mk_ja_JP=%E3%82%AB%E3%82%BF%E3%82%AB%E3%83%8A&amp;dchild=1&amp;keywords=%E7%B1%B3&amp;qid=1598692654&amp;sr=8-251-spons&amp;psc=1&amp;spLa=ZW5jcnlwdGVkUXVhbGlmaWVyPUEzQzM0UjZXVkVVM0swJmVuY3J5cHRlZElkPUEwNzgzNjY3M1QzNFJFVjJHRTlaNyZlbmNyeXB0ZWRBZElkPUFIWkFCUzA5MkdRQkImd2lkZ2V0TmFtZT1zcF9idGYmYWN0aW9uPWNsaWNrUmVkaXJlY3QmZG9Ob3RMb2dDbGljaz10cnVl", "Go")</f>
        <v/>
      </c>
    </row>
    <row r="254">
      <c r="A254" t="inlineStr">
        <is>
          <t>《令和元年新米》【美味しい無洗米】令和元年産新潟県産コシヒカリ　無洗米　5kg ×2袋</t>
        </is>
      </c>
      <c r="B254" t="inlineStr">
        <is>
          <t>￥5,380</t>
        </is>
      </c>
      <c r="C254" t="inlineStr">
        <is>
          <t>4.1</t>
        </is>
      </c>
      <c r="D254">
        <f>HYPERLINK("https://www.amazon.co.jp/%E3%81%8A%E7%B1%B3%E3%81%AE%E3%81%9F%E3%81%8B%E3%81%95%E3%81%8B-%E3%80%90%E7%BE%8E%E5%91%B3%E3%81%97%E3%81%84%E7%84%A1%E6%B4%97%E7%B1%B3%E3%80%9130%E5%B9%B4%E7%94%A3%E6%96%B0%E6%BD%9F%E7%9C%8C%E7%94%A3%E3%82%B3%E3%82%B7%E3%83%92%E3%82%AB%E3%83%AA-%E7%84%A1%E6%B4%97%E7%B1%B3-5kg-%C3%972%E8%A2%8B/dp/B07HJVWG7R/ref=sr_1_252_sspa?__mk_ja_JP=%E3%82%AB%E3%82%BF%E3%82%AB%E3%83%8A&amp;dchild=1&amp;keywords=%E7%B1%B3&amp;qid=1598692654&amp;sr=8-252-spons&amp;psc=1&amp;spLa=ZW5jcnlwdGVkUXVhbGlmaWVyPUEzQzM0UjZXVkVVM0swJmVuY3J5cHRlZElkPUEwNzgzNjY3M1QzNFJFVjJHRTlaNyZlbmNyeXB0ZWRBZElkPUEySzJFQUpNWjBITTkwJndpZGdldE5hbWU9c3BfYnRmJmFjdGlvbj1jbGlja1JlZGlyZWN0JmRvTm90TG9nQ2xpY2s9dHJ1ZQ==", "Go")</f>
        <v/>
      </c>
    </row>
    <row r="255">
      <c r="A255" t="inlineStr">
        <is>
          <t>新潟県産 魚沼産コシヒカリ 産直 白米 5kg 令和元年産</t>
        </is>
      </c>
      <c r="B255" t="inlineStr">
        <is>
          <t>￥3,500</t>
        </is>
      </c>
      <c r="C255" t="inlineStr">
        <is>
          <t>4.2</t>
        </is>
      </c>
      <c r="D255">
        <f>HYPERLINK("https://www.amazon.co.jp/%E3%80%90%E6%96%B0%E7%B1%B3%E3%80%91%E3%80%90%E7%B2%BE%E7%B1%B3%E3%80%91-%E6%96%B0%E6%BD%9F%E7%9C%8C%E9%AD%9A%E6%B2%BC%E7%94%A3-%E3%82%B3%E3%82%B7%E3%83%92%E3%82%AB%E3%83%AA-5kg-%E5%B9%B3%E6%88%9030%E5%B9%B4%E7%94%A3/dp/B01KTBN7K4/ref=sr_1_241_sspa?__mk_ja_JP=%E3%82%AB%E3%82%BF%E3%82%AB%E3%83%8A&amp;dchild=1&amp;keywords=%E7%B1%B3&amp;qid=1598692881&amp;sr=8-241-spons&amp;psc=1&amp;spLa=ZW5jcnlwdGVkUXVhbGlmaWVyPUExN0pTTFo2SExaT0pYJmVuY3J5cHRlZElkPUEwMTIwNTY4MzBDSkJaTERXUVZTQiZlbmNyeXB0ZWRBZElkPUFHSExLTFFPUDJBQzImd2lkZ2V0TmFtZT1zcF9hdGZfbmV4dCZhY3Rpb249Y2xpY2tSZWRpcmVjdCZkb05vdExvZ0NsaWNrPXRydWU=", "Go")</f>
        <v/>
      </c>
    </row>
    <row r="256">
      <c r="A256" t="inlineStr">
        <is>
          <t>【精米】雪蔵仕込み 新潟県産新之助 2kg</t>
        </is>
      </c>
      <c r="B256" t="inlineStr"/>
      <c r="C256" t="inlineStr">
        <is>
          <t>4.3</t>
        </is>
      </c>
      <c r="D256">
        <f>HYPERLINK("https://www.amazon.co.jp/%E5%90%89%E5%85%86%E6%A5%BD-%E3%80%90%E7%B2%BE%E7%B1%B3%E3%80%91%E9%9B%AA%E8%94%B5%E4%BB%95%E8%BE%BC%E3%81%BF-%E6%96%B0%E6%BD%9F%E7%9C%8C%E7%94%A3%E6%96%B0%E4%B9%8B%E5%8A%A9-2kg/dp/B07DQF9PWF/ref=sr_1_242_sspa?__mk_ja_JP=%E3%82%AB%E3%82%BF%E3%82%AB%E3%83%8A&amp;dchild=1&amp;keywords=%E7%B1%B3&amp;qid=1598692881&amp;sr=8-242-spons&amp;psc=1&amp;spLa=ZW5jcnlwdGVkUXVhbGlmaWVyPUExN0pTTFo2SExaT0pYJmVuY3J5cHRlZElkPUEwMTIwNTY4MzBDSkJaTERXUVZTQiZlbmNyeXB0ZWRBZElkPUEyR0NPTUhHTVA0N0lOJndpZGdldE5hbWU9c3BfYXRmX25leHQmYWN0aW9uPWNsaWNrUmVkaXJlY3QmZG9Ob3RMb2dDbGljaz10cnVl", "Go")</f>
        <v/>
      </c>
    </row>
    <row r="257">
      <c r="A257" t="inlineStr">
        <is>
          <t>【令和元年産】無洗米 山形県産 雪若丸 5kg 【ハーベストシーズン】【精米】 【HARVEST SEASON】</t>
        </is>
      </c>
      <c r="B257" t="inlineStr">
        <is>
          <t>￥2,999</t>
        </is>
      </c>
      <c r="C257" t="inlineStr">
        <is>
          <t>4.5</t>
        </is>
      </c>
      <c r="D257">
        <f>HYPERLINK("https://www.amazon.co.jp/%E3%80%90%E4%BB%A4%E5%92%8C%E5%85%83%E5%B9%B4%E7%94%A3%E3%80%91%E7%84%A1%E6%B4%97%E7%B1%B3-%E5%B1%B1%E5%BD%A2%E7%9C%8C%E7%94%A3-%E3%80%90%E3%83%8F%E3%83%BC%E3%83%99%E3%82%B9%E3%83%88%E3%82%B7%E3%83%BC%E3%82%BA%E3%83%B3%E3%80%91%E3%80%90%E7%B2%BE%E7%B1%B3%E3%80%91-%E3%80%90HARVEST-SEASON%E3%80%91/dp/B0825V8YYQ/ref=sr_1_245?__mk_ja_JP=%E3%82%AB%E3%82%BF%E3%82%AB%E3%83%8A&amp;dchild=1&amp;keywords=%E7%B1%B3&amp;qid=1598692881&amp;sr=8-245", "Go")</f>
        <v/>
      </c>
    </row>
    <row r="258">
      <c r="A258" t="inlineStr">
        <is>
          <t>【精米】 はくばく もっちり美味しい発芽玄米+もち麦 1Kg</t>
        </is>
      </c>
      <c r="B258" t="inlineStr"/>
      <c r="C258" t="inlineStr">
        <is>
          <t>4.3</t>
        </is>
      </c>
      <c r="D258">
        <f>HYPERLINK("https://www.amazon.co.jp/%E3%80%90%E7%B2%BE%E7%B1%B3%E3%80%91-%E3%81%AF%E3%81%8F%E3%81%B0%E3%81%8F-%E3%82%82%E3%81%A3%E3%81%A1%E3%82%8A%E7%BE%8E%E5%91%B3%E3%81%97%E3%81%84%E7%99%BA%E8%8A%BD%E7%8E%84%E7%B1%B3-%E3%82%82%E3%81%A1%E9%BA%A6-1Kg/dp/B085D22YX3/ref=sr_1_246?__mk_ja_JP=%E3%82%AB%E3%82%BF%E3%82%AB%E3%83%8A&amp;dchild=1&amp;keywords=%E7%B1%B3&amp;qid=1598692881&amp;sr=8-246", "Go")</f>
        <v/>
      </c>
    </row>
    <row r="259">
      <c r="A259" t="inlineStr">
        <is>
          <t>新米予約 キヌヒカリ 30kg (玄米)(◆玄米30kg(10kg×3)) 三重県伊賀産 【ヒラキファーム】 令和2年産 送料無料</t>
        </is>
      </c>
      <c r="B259" t="inlineStr">
        <is>
          <t>￥11,980</t>
        </is>
      </c>
      <c r="C259" t="inlineStr">
        <is>
          <t>4.5</t>
        </is>
      </c>
      <c r="D259">
        <f>HYPERLINK("https://www.amazon.co.jp/%E3%82%AD%E3%83%8C%E3%83%92%E3%82%AB%E3%83%AA-%E2%97%86%E7%8E%84%E7%B1%B330kg-10kg%C3%973-%E4%B8%89%E9%87%8D%E7%9C%8C%E4%BC%8A%E8%B3%80%E7%94%A3-%E3%80%90%E3%83%92%E3%83%A9%E3%82%AD%E3%83%95%E3%82%A1%E3%83%BC%E3%83%A0%E3%80%91/dp/B074Z1G1N2/ref=sr_1_247?__mk_ja_JP=%E3%82%AB%E3%82%BF%E3%82%AB%E3%83%8A&amp;dchild=1&amp;keywords=%E7%B1%B3&amp;qid=1598692881&amp;sr=8-247", "Go")</f>
        <v/>
      </c>
    </row>
    <row r="260">
      <c r="A260" t="inlineStr">
        <is>
          <t>新米予約 環境こだわり農産物(減農薬) キヌヒカリ 20kg （玄米） (●玄米20kg(10kg×2)) 滋賀県近江八幡産 【内野営農組合】 令和2年産 送料無料</t>
        </is>
      </c>
      <c r="B260" t="inlineStr">
        <is>
          <t>￥7,880</t>
        </is>
      </c>
      <c r="C260" t="inlineStr">
        <is>
          <t>4.5</t>
        </is>
      </c>
      <c r="D260">
        <f>HYPERLINK("https://www.amazon.co.jp/%E7%92%B0%E5%A2%83%E3%81%93%E3%81%A0%E3%82%8F%E3%82%8A%E8%BE%B2%E7%94%A3%E7%89%A9-%E2%97%8F%E7%8E%84%E7%B1%B320kg-10kg%C3%972-%E6%BB%8B%E8%B3%80%E7%9C%8C%E8%BF%91%E6%B1%9F%E5%85%AB%E5%B9%A1%E7%94%A3-%E3%80%90%E5%86%85%E9%87%8E%E5%96%B6%E8%BE%B2%E7%B5%84%E5%90%88%E3%80%91/dp/B07648J94B/ref=sr_1_248?__mk_ja_JP=%E3%82%AB%E3%82%BF%E3%82%AB%E3%83%8A&amp;dchild=1&amp;keywords=%E7%B1%B3&amp;qid=1598692881&amp;sr=8-248", "Go")</f>
        <v/>
      </c>
    </row>
    <row r="261">
      <c r="A261" t="inlineStr">
        <is>
          <t>【精米】[Amazon限定ブランド] 580.com 会津産 無洗米 コシヒカリ 5kg 令和元年産</t>
        </is>
      </c>
      <c r="B261" t="inlineStr">
        <is>
          <t>￥2,055</t>
        </is>
      </c>
      <c r="C261" t="inlineStr">
        <is>
          <t>4.1</t>
        </is>
      </c>
      <c r="D261">
        <f>HYPERLINK("https://www.amazon.co.jp/%E3%80%90%E7%B2%BE%E7%B1%B3%E3%80%91%E3%80%90Amazon-co-jp%E9%99%90%E5%AE%9A%E3%80%91%E4%BC%9A%E6%B4%A5%E7%94%A3-%E7%84%A1%E6%B4%97%E7%B1%B3-%E3%82%B3%E3%82%B7%E3%83%92%E3%82%AB%E3%83%AA-5kg-%E5%B9%B3%E6%88%9030%E5%B9%B4%E7%94%A3/dp/B00YC3M1K8/ref=sr_1_249?__mk_ja_JP=%E3%82%AB%E3%82%BF%E3%82%AB%E3%83%8A&amp;dchild=1&amp;keywords=%E7%B1%B3&amp;qid=1598692881&amp;sr=8-249", "Go")</f>
        <v/>
      </c>
    </row>
    <row r="262">
      <c r="A262" t="inlineStr">
        <is>
          <t>【精米】 福島県 ミルキークイーン 5kgx2 令和元年産</t>
        </is>
      </c>
      <c r="B262" t="inlineStr">
        <is>
          <t>￥5,499</t>
        </is>
      </c>
      <c r="C262" t="inlineStr">
        <is>
          <t>4.2</t>
        </is>
      </c>
      <c r="D262">
        <f>HYPERLINK("https://www.amazon.co.jp/%E3%80%90%E7%B2%BE%E7%B1%B3%E3%80%91-%E7%A6%8F%E5%B3%B6%E7%9C%8C-%E3%83%9F%E3%83%AB%E3%82%AD%E3%83%BC%E3%82%AF%E3%82%A4%E3%83%BC%E3%83%B3-5kgx2-%E5%B9%B3%E6%88%9030%E5%B9%B4%E7%94%A3/dp/B009VEBB6I/ref=sr_1_250?__mk_ja_JP=%E3%82%AB%E3%82%BF%E3%82%AB%E3%83%8A&amp;dchild=1&amp;keywords=%E7%B1%B3&amp;qid=1598692881&amp;sr=8-250", "Go")</f>
        <v/>
      </c>
    </row>
    <row r="263">
      <c r="A263" t="inlineStr">
        <is>
          <t>【精米】[Amazon限定ブランド] 580.com 秋田県産 無洗米 あきたこまち 5kg 令和元年産</t>
        </is>
      </c>
      <c r="B263" t="inlineStr">
        <is>
          <t>￥ 2,616</t>
        </is>
      </c>
      <c r="C263" t="inlineStr">
        <is>
          <t>4.1</t>
        </is>
      </c>
      <c r="D263">
        <f>HYPERLINK("https://www.amazon.co.jp/%E3%80%90%E7%B2%BE%E7%B1%B3%E3%80%91%E3%80%90Amazon-co-jp%E9%99%90%E5%AE%9A%E3%80%91%E7%A7%8B%E7%94%B0%E7%9C%8C%E7%94%A3-%E7%84%A1%E6%B4%97%E7%B1%B3-%E3%81%82%E3%81%8D%E3%81%9F%E3%81%93%E3%81%BE%E3%81%A1-5kg-%E5%B9%B3%E6%88%9030%E5%B9%B4%E7%94%A3/dp/B00ENWQYNS/ref=sr_1_251?__mk_ja_JP=%E3%82%AB%E3%82%BF%E3%82%AB%E3%83%8A&amp;dchild=1&amp;keywords=%E7%B1%B3&amp;qid=1598692881&amp;sr=8-251", "Go")</f>
        <v/>
      </c>
    </row>
    <row r="264">
      <c r="A264" t="inlineStr">
        <is>
          <t>【精米】福島県産 無洗米 天のつぶ 5kg 令和元年産</t>
        </is>
      </c>
      <c r="B264" t="inlineStr">
        <is>
          <t>￥2,328</t>
        </is>
      </c>
      <c r="C264" t="inlineStr">
        <is>
          <t>4.1</t>
        </is>
      </c>
      <c r="D264">
        <f>HYPERLINK("https://www.amazon.co.jp/%E3%80%90%E7%B2%BE%E7%B1%B3%E3%80%91%E7%A6%8F%E5%B3%B6%E7%9C%8C%E7%94%A3-%E7%84%A1%E6%B4%97%E7%B1%B3-%E5%A4%A9%E3%81%AE%E3%81%A4%E3%81%B6-5kg-%E5%B9%B3%E6%88%9030%E5%B9%B4%E7%94%A3/dp/B0776X7Y23/ref=sr_1_252?__mk_ja_JP=%E3%82%AB%E3%82%BF%E3%82%AB%E3%83%8A&amp;dchild=1&amp;keywords=%E7%B1%B3&amp;qid=1598692881&amp;sr=8-252", "Go")</f>
        <v/>
      </c>
    </row>
    <row r="265">
      <c r="A265" t="inlineStr">
        <is>
          <t>六方銀米 こしひかり 白米 5kg 令和元年産 特別栽培米 コウノトリ舞い降りるお米 常温除湿乾燥 兵庫県産</t>
        </is>
      </c>
      <c r="B265" t="inlineStr"/>
      <c r="C265" t="inlineStr">
        <is>
          <t>4.2</t>
        </is>
      </c>
      <c r="D265">
        <f>HYPERLINK("https://www.amazon.co.jp/%E3%80%90%E7%B2%BE%E7%B1%B3%E3%80%91%E6%96%B0%E7%B1%B3-%E5%85%AD%E6%96%B9%E9%8A%80%E7%B1%B3-%E3%81%93%E3%81%97%E3%81%B2%E3%81%8B%E3%82%8A-%E3%82%B3%E3%82%A6%E3%83%8E%E3%83%88%E3%83%AA%E8%88%9E%E3%81%84%E9%99%8D%E3%82%8A%E3%82%8B%E3%81%8A%E7%B1%B3-%E5%B9%B3%E6%88%9030%E5%B9%B4%E7%94%A3/dp/B015K0O6MW/ref=sr_1_253?__mk_ja_JP=%E3%82%AB%E3%82%BF%E3%82%AB%E3%83%8A&amp;dchild=1&amp;keywords=%E7%B1%B3&amp;qid=1598692881&amp;sr=8-253", "Go")</f>
        <v/>
      </c>
    </row>
    <row r="266">
      <c r="A266" t="inlineStr">
        <is>
          <t>【令和元年産】北海道産 白米 ななつぼし 10kg(5kg×2袋) 【ハーベストシーズン】 【精米】【HARVEST SEASON】</t>
        </is>
      </c>
      <c r="B266" t="inlineStr">
        <is>
          <t>￥4,799</t>
        </is>
      </c>
      <c r="C266" t="inlineStr">
        <is>
          <t>4.2</t>
        </is>
      </c>
      <c r="D266">
        <f>HYPERLINK("https://www.amazon.co.jp/dp/B00QFB1ZX4/ref=sr_1_254?__mk_ja_JP=%E3%82%AB%E3%82%BF%E3%82%AB%E3%83%8A&amp;dchild=1&amp;keywords=%E7%B1%B3&amp;qid=1598692881&amp;sr=8-254", "Go")</f>
        <v/>
      </c>
    </row>
    <row r="267">
      <c r="A267" t="inlineStr">
        <is>
          <t>【精米】秋田県産 あきたこまち 2㎏ 令和元年産</t>
        </is>
      </c>
      <c r="B267" t="inlineStr">
        <is>
          <t>￥ 2,478</t>
        </is>
      </c>
      <c r="C267" t="inlineStr">
        <is>
          <t>4.2</t>
        </is>
      </c>
      <c r="D267">
        <f>HYPERLINK("https://www.amazon.co.jp/%E6%9D%89%E7%94%B0%E5%95%86%E5%BA%97-%E3%80%90%E7%B2%BE%E7%B1%B3%E3%80%91%E7%A7%8B%E7%94%B0%E7%9C%8C%E7%94%A3-%E3%81%82%E3%81%8D%E3%81%9F%E3%81%93%E3%81%BE%E3%81%A1-2%E3%8E%8F-%E5%B9%B3%E6%88%9030%E5%B9%B4%E7%94%A3/dp/B00KAT7YEQ/ref=sr_1_255?__mk_ja_JP=%E3%82%AB%E3%82%BF%E3%82%AB%E3%83%8A&amp;dchild=1&amp;keywords=%E7%B1%B3&amp;qid=1598692881&amp;sr=8-255", "Go")</f>
        <v/>
      </c>
    </row>
    <row r="268">
      <c r="A268" t="inlineStr">
        <is>
          <t>【精米】福島県産 白米 コシヒカリ 5kg 令和元年産</t>
        </is>
      </c>
      <c r="B268" t="inlineStr">
        <is>
          <t>￥2,680</t>
        </is>
      </c>
      <c r="C268" t="inlineStr">
        <is>
          <t>4.1</t>
        </is>
      </c>
      <c r="D268">
        <f>HYPERLINK("https://www.amazon.co.jp/Koshihikari-Polished-Fukushima-Prefecture-Produced/dp/B01K462WCI/ref=sr_1_256?__mk_ja_JP=%E3%82%AB%E3%82%BF%E3%82%AB%E3%83%8A&amp;dchild=1&amp;keywords=%E7%B1%B3&amp;qid=1598692881&amp;sr=8-256", "Go")</f>
        <v/>
      </c>
    </row>
    <row r="269">
      <c r="A269" t="inlineStr">
        <is>
          <t>【新米予約】新潟県産 こしいぶき 白米 5kg 令和２年産【9月8日頃入荷予定】</t>
        </is>
      </c>
      <c r="B269" t="inlineStr">
        <is>
          <t>￥2,810</t>
        </is>
      </c>
      <c r="C269" t="inlineStr">
        <is>
          <t>4</t>
        </is>
      </c>
      <c r="D269">
        <f>HYPERLINK("https://www.amazon.co.jp/%E3%80%90%E6%96%B0%E7%B1%B3%E4%BA%88%E7%B4%84%E3%80%91-%E6%96%B0%E6%BD%9F%E7%9C%8C%E7%94%A3-%E3%81%93%E3%81%97%E3%81%84%E3%81%B6%E3%81%8D-%E5%B9%B3%E6%88%9030%E5%B9%B4%E7%94%A3-5kg/dp/B0154K1F0Y/ref=sr_1_257_sspa?__mk_ja_JP=%E3%82%AB%E3%82%BF%E3%82%AB%E3%83%8A&amp;dchild=1&amp;keywords=%E7%B1%B3&amp;qid=1598692881&amp;sr=8-257-spons&amp;psc=1&amp;spLa=ZW5jcnlwdGVkUXVhbGlmaWVyPUExN0pTTFo2SExaT0pYJmVuY3J5cHRlZElkPUEwMTIwNTY4MzBDSkJaTERXUVZTQiZlbmNyeXB0ZWRBZElkPUEzMTUzVTc0MzRIMkJLJndpZGdldE5hbWU9c3BfbXRmJmFjdGlvbj1jbGlja1JlZGlyZWN0JmRvTm90TG9nQ2xpY2s9dHJ1ZQ==", "Go")</f>
        <v/>
      </c>
    </row>
    <row r="270">
      <c r="A270" t="inlineStr">
        <is>
          <t>【精米】岩手県矢巾町産 川村巧さんのお米 白米 銀河のしずく(そのまま米びつとして使えるクラフト袋仕様) 5kg 令和元年産</t>
        </is>
      </c>
      <c r="B270" t="inlineStr">
        <is>
          <t>￥3,480</t>
        </is>
      </c>
      <c r="C270" t="inlineStr">
        <is>
          <t>4.2</t>
        </is>
      </c>
      <c r="D270">
        <f>HYPERLINK("https://www.amazon.co.jp/%E3%80%90%E7%B2%BE%E7%B1%B3%E3%80%91%E5%B2%A9%E6%89%8B%E7%9C%8C%E7%9F%A2%E5%B7%BE%E7%94%BA%E7%94%A3-%E5%B7%9D%E6%9D%91%E5%B7%A7%E3%81%95%E3%82%93%E3%81%AE%E3%81%8A%E7%B1%B3-%E9%8A%80%E6%B2%B3%E3%81%AE%E3%81%97%E3%81%9A%E3%81%8F-%E3%81%9D%E3%81%AE%E3%81%BE%E3%81%BE%E7%B1%B3%E3%81%B3%E3%81%A4%E3%81%A8%E3%81%97%E3%81%A6%E4%BD%BF%E3%81%88%E3%82%8B%E3%82%AF%E3%83%A9%E3%83%95%E3%83%88%E8%A2%8B%E4%BB%95%E6%A7%98-%E5%B9%B3%E6%88%9030%E5%B9%B4%E7%94%A3/dp/B06XH8N8TV/ref=sr_1_259_sspa?__mk_ja_JP=%E3%82%AB%E3%82%BF%E3%82%AB%E3%83%8A&amp;dchild=1&amp;keywords=%E7%B1%B3&amp;qid=1598692881&amp;sr=8-259-spons&amp;psc=1&amp;spLa=ZW5jcnlwdGVkUXVhbGlmaWVyPUExN0pTTFo2SExaT0pYJmVuY3J5cHRlZElkPUEwMTIwNTY4MzBDSkJaTERXUVZTQiZlbmNyeXB0ZWRBZElkPUEySVdBSUFROUhRTE5HJndpZGdldE5hbWU9c3BfbXRmJmFjdGlvbj1jbGlja1JlZGlyZWN0JmRvTm90TG9nQ2xpY2s9dHJ1ZQ==", "Go")</f>
        <v/>
      </c>
    </row>
    <row r="271">
      <c r="A271" t="inlineStr">
        <is>
          <t>トーヨーライス タニタ食堂の金芽米(国産米) 4.5kg</t>
        </is>
      </c>
      <c r="B271" t="inlineStr">
        <is>
          <t>￥ 2,701</t>
        </is>
      </c>
      <c r="C271" t="inlineStr">
        <is>
          <t>4.1</t>
        </is>
      </c>
      <c r="D271">
        <f>HYPERLINK("https://www.amazon.co.jp/%E3%83%9F%E3%83%84%E3%83%8F%E3%82%B7-%E3%83%88%E3%83%BC%E3%83%A8%E3%83%BC%E3%83%A9%E3%82%A4%E3%82%B9-%E3%82%BF%E3%83%8B%E3%82%BF%E9%A3%9F%E5%A0%82%E3%81%AE%E9%87%91%E8%8A%BD%E7%B1%B3-%E5%9B%BD%E7%94%A3%E7%B1%B3-4-5kg/dp/B00AA24M4I/ref=sr_1_260?__mk_ja_JP=%E3%82%AB%E3%82%BF%E3%82%AB%E3%83%8A&amp;dchild=1&amp;keywords=%E7%B1%B3&amp;qid=1598692881&amp;sr=8-260", "Go")</f>
        <v/>
      </c>
    </row>
    <row r="272">
      <c r="A272" t="inlineStr">
        <is>
          <t>【精米】富山県産 無洗米 コシヒカリ 5kg 令和元年産</t>
        </is>
      </c>
      <c r="B272" t="inlineStr">
        <is>
          <t>￥ 2,913</t>
        </is>
      </c>
      <c r="C272" t="inlineStr">
        <is>
          <t>4.1</t>
        </is>
      </c>
      <c r="D272">
        <f>HYPERLINK("https://www.amazon.co.jp/%E3%80%90%E7%B2%BE%E7%B1%B3%E3%80%91%E5%AF%8C%E5%B1%B1%E7%9C%8C%E7%94%A3-%E7%84%A1%E6%B4%97%E7%B1%B3-%E3%82%B3%E3%82%B7%E3%83%92%E3%82%AB%E3%83%AA-5kg-%E5%B9%B3%E6%88%9030%E5%B9%B4%E7%94%A3/dp/B01D4EASU0/ref=sr_1_261?__mk_ja_JP=%E3%82%AB%E3%82%BF%E3%82%AB%E3%83%8A&amp;dchild=1&amp;keywords=%E7%B1%B3&amp;qid=1598692881&amp;sr=8-261", "Go")</f>
        <v/>
      </c>
    </row>
    <row r="273">
      <c r="A273" t="inlineStr">
        <is>
          <t>【精米】栃木県産 JAしおのや 白米 なすひかり 5kg 令和元年産</t>
        </is>
      </c>
      <c r="B273" t="inlineStr"/>
      <c r="C273" t="inlineStr">
        <is>
          <t>4.1</t>
        </is>
      </c>
      <c r="D273">
        <f>HYPERLINK("https://www.amazon.co.jp/%E3%80%90%E7%B2%BE%E7%B1%B3%E3%80%91%E6%A0%83%E6%9C%A8%E7%9C%8C%E7%94%A3-JA%E3%81%97%E3%81%8A%E3%81%AE%E3%82%84-%E3%81%AA%E3%81%99%E3%81%B2%E3%81%8B%E3%82%8A-5kg-%E5%B9%B3%E6%88%9030%E5%B9%B4%E7%94%A3/dp/B00ZP21JRG/ref=sr_1_262?__mk_ja_JP=%E3%82%AB%E3%82%BF%E3%82%AB%E3%83%8A&amp;dchild=1&amp;keywords=%E7%B1%B3&amp;qid=1598692881&amp;sr=8-262", "Go")</f>
        <v/>
      </c>
    </row>
    <row r="274">
      <c r="A274" t="inlineStr">
        <is>
          <t>【精米】宮城県産 無洗米 つや姫 5kg 令和元年産</t>
        </is>
      </c>
      <c r="B274" t="inlineStr">
        <is>
          <t>￥2,680</t>
        </is>
      </c>
      <c r="C274" t="inlineStr">
        <is>
          <t>4.1</t>
        </is>
      </c>
      <c r="D274">
        <f>HYPERLINK("https://www.amazon.co.jp/%E3%80%90%E7%B2%BE%E7%B1%B3%E3%80%91%E5%AE%AE%E5%9F%8E%E7%9C%8C%E7%94%A3-%E7%84%A1%E6%B4%97%E7%B1%B3-%E3%81%A4%E3%82%84%E5%A7%AB-5kg-%E5%B9%B3%E6%88%9030%E5%B9%B4%E7%94%A3/dp/B00JUKMW1Q/ref=sr_1_263?__mk_ja_JP=%E3%82%AB%E3%82%BF%E3%82%AB%E3%83%8A&amp;dchild=1&amp;keywords=%E7%B1%B3&amp;qid=1598692881&amp;sr=8-263", "Go")</f>
        <v/>
      </c>
    </row>
    <row r="275">
      <c r="A275" t="inlineStr">
        <is>
          <t>【精米】北海道産 白米 ななつぼし 10kg 令和元年産</t>
        </is>
      </c>
      <c r="B275" t="inlineStr">
        <is>
          <t>￥4,710</t>
        </is>
      </c>
      <c r="C275" t="inlineStr">
        <is>
          <t>4.1</t>
        </is>
      </c>
      <c r="D275">
        <f>HYPERLINK("https://www.amazon.co.jp/%E3%80%90%E7%B2%BE%E7%B1%B3%E3%80%91%E5%8C%97%E6%B5%B7%E9%81%93%E7%94%A3-%E7%99%BD%E7%B1%B3-%E3%81%AA%E3%81%AA%E3%81%A4%E3%81%BC%E3%81%97-10kg-%E5%B9%B3%E6%88%9030%E5%B9%B4%E7%94%A3/dp/B00FEYCNOS/ref=sr_1_264?__mk_ja_JP=%E3%82%AB%E3%82%BF%E3%82%AB%E3%83%8A&amp;dchild=1&amp;keywords=%E7%B1%B3&amp;qid=1598692881&amp;sr=8-264", "Go")</f>
        <v/>
      </c>
    </row>
    <row r="276">
      <c r="A276" t="inlineStr">
        <is>
          <t>山形県産 つや姫 10kg 紙袋 令和元年度産 (無洗米 4.5kg×2袋)</t>
        </is>
      </c>
      <c r="B276" t="inlineStr">
        <is>
          <t>￥5,280</t>
        </is>
      </c>
      <c r="C276" t="inlineStr">
        <is>
          <t>4.2</t>
        </is>
      </c>
      <c r="D276">
        <f>HYPERLINK("https://www.amazon.co.jp/%E3%81%A4%E3%82%84%E5%A7%AB-%E5%B1%B1%E5%BD%A2%E7%9C%8C%E7%94%A3-%E3%81%A4%E3%82%84%E5%A7%AB-%E5%B9%B3%E6%88%9030%E5%B9%B4%E5%BA%A6%E7%94%A3-%EF%BC%88%E9%80%81%E6%96%99%E8%BE%BC%EF%BC%89-%E7%84%A1%E6%B4%97%E7%B1%B3%E3%81%AB%E7%B2%BE%E7%B1%B3%E3%81%99%E3%82%8B-10kg%EF%BC%885%E3%82%AD%E3%83%AD%C3%972%EF%BC%89/dp/B00NH9M3VA/ref=sr_1_265?__mk_ja_JP=%E3%82%AB%E3%82%BF%E3%82%AB%E3%83%8A&amp;dchild=1&amp;keywords=%E7%B1%B3&amp;qid=1598692881&amp;sr=8-265", "Go")</f>
        <v/>
      </c>
    </row>
    <row r="277">
      <c r="A277" t="inlineStr">
        <is>
          <t>【精米】[Amazonブランド]Happy Belly 北海道産 ななつぼし 5kg 農薬節減米 令和元年産</t>
        </is>
      </c>
      <c r="B277" t="inlineStr"/>
      <c r="C277" t="inlineStr">
        <is>
          <t>4.1</t>
        </is>
      </c>
      <c r="D277">
        <f>HYPERLINK("https://www.amazon.co.jp/Amazon%E3%83%96%E3%83%A9%E3%83%B3%E3%83%89-Happy-Belly-%E8%BE%B2%E8%96%AC%E7%AF%80%E6%B8%9B%E7%B1%B3-%E5%B9%B3%E6%88%9030%E5%B9%B4%E7%94%A3/dp/B0784BWCZX/ref=sr_1_266?__mk_ja_JP=%E3%82%AB%E3%82%BF%E3%82%AB%E3%83%8A&amp;dchild=1&amp;keywords=%E7%B1%B3&amp;qid=1598692881&amp;sr=8-266", "Go")</f>
        <v/>
      </c>
    </row>
    <row r="278">
      <c r="A278" t="inlineStr">
        <is>
          <t>【精米】[Amazonブランド]Happy Belly 北海道産 農薬節減米 ななつぼし 5kg 令和元年産</t>
        </is>
      </c>
      <c r="B278" t="inlineStr">
        <is>
          <t>￥2,680</t>
        </is>
      </c>
      <c r="C278" t="inlineStr">
        <is>
          <t>4.1</t>
        </is>
      </c>
      <c r="D278">
        <f>HYPERLINK("https://www.amazon.co.jp/%E3%80%90%E7%B2%BE%E7%B1%B3%E3%80%91%E3%80%90Amazon%E3%83%96%E3%83%A9%E3%83%B3%E3%83%89%E3%80%91Happy-Belly-%E8%BE%B2%E8%96%AC%E7%AF%80%E6%B8%9B%E7%B1%B3-%E3%81%AA%E3%81%AA%E3%81%A4%E3%81%BC%E3%81%97-%E5%B9%B3%E6%88%9030%E5%B9%B4%E7%94%A3/dp/B07QYSPTTF/ref=sr_1_267?__mk_ja_JP=%E3%82%AB%E3%82%BF%E3%82%AB%E3%83%8A&amp;dchild=1&amp;keywords=%E7%B1%B3&amp;qid=1598692881&amp;s=pantry&amp;sr=8-267", "Go")</f>
        <v/>
      </c>
    </row>
    <row r="279">
      <c r="A279" t="inlineStr">
        <is>
          <t>【精米】青森県産 白米 青天の霹靂 2kg 令和元年産</t>
        </is>
      </c>
      <c r="B279" t="inlineStr">
        <is>
          <t>￥1,180</t>
        </is>
      </c>
      <c r="C279" t="inlineStr">
        <is>
          <t>4.4</t>
        </is>
      </c>
      <c r="D279">
        <f>HYPERLINK("https://www.amazon.co.jp/%E3%80%90%E7%B2%BE%E7%B1%B3%E3%80%91%E9%9D%92%E6%A3%AE%E7%9C%8C%E7%94%A3-%E7%99%BD%E7%B1%B3-%E9%9D%92%E5%A4%A9%E3%81%AE%E9%9C%B9%E9%9D%82-2kg-%E5%B9%B3%E6%88%9030%E5%B9%B4%E7%94%A3/dp/B077NH84TZ/ref=sr_1_268?__mk_ja_JP=%E3%82%AB%E3%82%BF%E3%82%AB%E3%83%8A&amp;dchild=1&amp;keywords=%E7%B1%B3&amp;qid=1598692881&amp;s=pantry&amp;sr=8-268", "Go")</f>
        <v/>
      </c>
    </row>
    <row r="280">
      <c r="A280" t="inlineStr">
        <is>
          <t>野沢農産 無洗米 令和元年産 長野県産 あきたこまち 5kg</t>
        </is>
      </c>
      <c r="B280" t="inlineStr">
        <is>
          <t>￥2,308 (￥0 / g)</t>
        </is>
      </c>
      <c r="C280" t="inlineStr">
        <is>
          <t>4.1</t>
        </is>
      </c>
      <c r="D280">
        <f>HYPERLINK("https://www.amazon.co.jp/%E9%87%8E%E6%B2%A2%E8%BE%B2%E7%94%A3%E7%94%9F%E7%94%A3%E7%B5%84%E5%90%88-%E5%B9%B3%E6%88%9030%E5%B9%B4%E7%94%A3-%E9%95%B7%E9%87%8E%E7%9C%8C%E7%94%A3-%E3%81%82%E3%81%8D%E3%81%9F%E3%81%93%E3%81%BE%E3%81%A1-5kg/dp/B07NDVW1X5/ref=sr_1_269?__mk_ja_JP=%E3%82%AB%E3%82%BF%E3%82%AB%E3%83%8A&amp;dchild=1&amp;keywords=%E7%B1%B3&amp;qid=1598692881&amp;sr=8-269", "Go")</f>
        <v/>
      </c>
    </row>
    <row r="281">
      <c r="A281" t="inlineStr">
        <is>
          <t>【精米】岩手県矢巾町産 川村巧さんのお米 特別栽培米 七分搗き 銀河のしずく 5kg 令和元年産</t>
        </is>
      </c>
      <c r="B281" t="inlineStr">
        <is>
          <t>￥2,427</t>
        </is>
      </c>
      <c r="C281" t="inlineStr">
        <is>
          <t>4.2</t>
        </is>
      </c>
      <c r="D281">
        <f>HYPERLINK("https://www.amazon.co.jp/%E3%80%90%E7%B2%BE%E7%B1%B3%E3%80%91%E5%B2%A9%E6%89%8B%E7%9C%8C%E7%9F%A2%E5%B7%BE%E7%94%BA%E7%94%A3-%E5%B7%9D%E6%9D%91%E5%B7%A7%E3%81%95%E3%82%93%E3%81%AE%E3%81%8A%E7%B1%B3-%E7%89%B9%E5%88%A5%E6%A0%BD%E5%9F%B9%E7%B1%B3-%E9%8A%80%E6%B2%B3%E3%81%AE%E3%81%97%E3%81%9A%E3%81%8F-%E5%B9%B3%E6%88%9030%E5%B9%B4%E7%94%A3/dp/B06XHH1KV1/ref=sr_1_270?__mk_ja_JP=%E3%82%AB%E3%82%BF%E3%82%AB%E3%83%8A&amp;dchild=1&amp;keywords=%E7%B1%B3&amp;qid=1598692881&amp;sr=8-270", "Go")</f>
        <v/>
      </c>
    </row>
    <row r="282">
      <c r="A282" t="inlineStr">
        <is>
          <t>【精米】[Amazonブランド]Happy Belly 無洗米 北海道産 農薬節減米 ななつぼし 5kg 令和元年産</t>
        </is>
      </c>
      <c r="B282" t="inlineStr">
        <is>
          <t>￥ 2,913</t>
        </is>
      </c>
      <c r="C282" t="inlineStr">
        <is>
          <t>4.1</t>
        </is>
      </c>
      <c r="D282">
        <f>HYPERLINK("https://www.amazon.co.jp/Amazon%E3%83%96%E3%83%A9%E3%83%B3%E3%83%89-Happy-Belly-%E8%BE%B2%E8%96%AC%E7%AF%80%E6%B8%9B%E7%B1%B3-%E5%B9%B3%E6%88%9030%E5%B9%B4%E7%94%A3/dp/B078BMDCD6/ref=sr_1_271?__mk_ja_JP=%E3%82%AB%E3%82%BF%E3%82%AB%E3%83%8A&amp;dchild=1&amp;keywords=%E7%B1%B3&amp;qid=1598692881&amp;sr=8-271", "Go")</f>
        <v/>
      </c>
    </row>
    <row r="283">
      <c r="A283" t="inlineStr">
        <is>
          <t>【精米】[Amazon限定ブランド] 580.com 山形県産 白米 つや姫 5kg 令和元年産</t>
        </is>
      </c>
      <c r="B283" t="inlineStr">
        <is>
          <t>￥2,305</t>
        </is>
      </c>
      <c r="C283" t="inlineStr">
        <is>
          <t>4</t>
        </is>
      </c>
      <c r="D283">
        <f>HYPERLINK("https://www.amazon.co.jp/%E3%80%90%E7%B2%BE%E7%B1%B3%E3%80%91-Amazon%E9%99%90%E5%AE%9A%E3%83%96%E3%83%A9%E3%83%B3%E3%83%89-580-com-%E5%B1%B1%E5%BD%A2%E7%9C%8C%E7%94%A3-%E5%B9%B3%E6%88%9030%E5%B9%B4%E7%94%A3/dp/B07NG653KN/ref=sr_1_273_sspa?__mk_ja_JP=%E3%82%AB%E3%82%BF%E3%82%AB%E3%83%8A&amp;dchild=1&amp;keywords=%E7%B1%B3&amp;qid=1598692881&amp;smid=AN1VRQENFRJN5&amp;sr=8-273-spons&amp;psc=1&amp;spLa=ZW5jcnlwdGVkUXVhbGlmaWVyPUExN0pTTFo2SExaT0pYJmVuY3J5cHRlZElkPUEwMTIwNTY4MzBDSkJaTERXUVZTQiZlbmNyeXB0ZWRBZElkPUEyUFdCWEtKTlc4WVU4JndpZGdldE5hbWU9c3BfbXRmJmFjdGlvbj1jbGlja1JlZGlyZWN0JmRvTm90TG9nQ2xpY2s9dHJ1ZQ==", "Go")</f>
        <v/>
      </c>
    </row>
    <row r="284">
      <c r="A284" t="inlineStr">
        <is>
          <t>【農家直売】令和元年産 魚沼産コシヒカリ 無洗米 ２ｋｇ 魚沼市推奨コシヒカリ</t>
        </is>
      </c>
      <c r="B284" t="inlineStr">
        <is>
          <t>￥2,030</t>
        </is>
      </c>
      <c r="C284" t="inlineStr">
        <is>
          <t>4.1</t>
        </is>
      </c>
      <c r="D284">
        <f>HYPERLINK("https://www.amazon.co.jp/%E3%80%90%E8%BE%B2%E5%AE%B6%E7%9B%B4%E5%A3%B2%E3%80%91%E3%82%BF%E3%82%A4%E3%83%A0%E3%82%BB%E3%83%BC%E3%83%AB-%E4%BB%A4%E5%92%8C%E5%85%83%E5%B9%B4%E7%94%A3-%E9%AD%9A%E6%B2%BC%E7%94%A3%E3%82%B3%E3%82%B7%E3%83%92%E3%82%AB%E3%83%AA-%E7%84%A1%E6%B4%97%E7%B1%B3-%E9%AD%9A%E6%B2%BC%E5%B8%82%E6%8E%A8%E5%A5%A8%E3%82%B3%E3%82%B7%E3%83%92%E3%82%AB%E3%83%AA/dp/B07Y1MF18N/ref=sr_1_274_sspa?__mk_ja_JP=%E3%82%AB%E3%82%BF%E3%82%AB%E3%83%8A&amp;dchild=1&amp;keywords=%E7%B1%B3&amp;qid=1598692881&amp;sr=8-274-spons&amp;psc=1&amp;spLa=ZW5jcnlwdGVkUXVhbGlmaWVyPUExN0pTTFo2SExaT0pYJmVuY3J5cHRlZElkPUEwMTIwNTY4MzBDSkJaTERXUVZTQiZlbmNyeXB0ZWRBZElkPUEzVFpEVThTRDJPSEVVJndpZGdldE5hbWU9c3BfbXRmJmFjdGlvbj1jbGlja1JlZGlyZWN0JmRvTm90TG9nQ2xpY2s9dHJ1ZQ==", "Go")</f>
        <v/>
      </c>
    </row>
    <row r="285">
      <c r="A285" t="inlineStr">
        <is>
          <t>【精米】アイリスオーヤマ 低温製法米 千葉県産コシヒカリ8kg</t>
        </is>
      </c>
      <c r="B285" t="inlineStr">
        <is>
          <t>￥4,180</t>
        </is>
      </c>
      <c r="C285" t="inlineStr">
        <is>
          <t>4.1</t>
        </is>
      </c>
      <c r="D285">
        <f>HYPERLINK("https://www.amazon.co.jp/%E3%82%A2%E3%82%A4%E3%83%AA%E3%82%B9%E3%82%AA%E3%83%BC%E3%83%A4%E3%83%9E-%E3%80%90%E7%B2%BE%E7%B1%B3%E3%80%91%E3%82%A2%E3%82%A4%E3%83%AA%E3%82%B9%E3%82%AA%E3%83%BC%E3%83%A4%E3%83%9E-%E4%BD%8E%E6%B8%A9%E8%A3%BD%E6%B3%95%E7%B1%B3-%E5%8D%83%E8%91%89%E7%9C%8C%E7%94%A3%E3%82%B3%E3%82%B7%E3%83%92%E3%82%AB%E3%83%AA8kg%EF%BC%88%E6%96%B0%E7%B1%B3%EF%BC%89/dp/B07HCT6F1Z/ref=sr_1_275?__mk_ja_JP=%E3%82%AB%E3%82%BF%E3%82%AB%E3%83%8A&amp;dchild=1&amp;keywords=%E7%B1%B3&amp;qid=1598692881&amp;sr=8-275", "Go")</f>
        <v/>
      </c>
    </row>
    <row r="286">
      <c r="A286" t="inlineStr">
        <is>
          <t>【精米】宮城県登米市産 無洗米 ササニシキ 10kg (5kg×2)</t>
        </is>
      </c>
      <c r="B286" t="inlineStr">
        <is>
          <t>￥5,580</t>
        </is>
      </c>
      <c r="C286" t="inlineStr">
        <is>
          <t>4.3</t>
        </is>
      </c>
      <c r="D286">
        <f>HYPERLINK("https://www.amazon.co.jp/%E3%80%90%E7%B2%BE%E7%B1%B3%E3%80%91%E5%AE%AE%E5%9F%8E%E7%9C%8C%E7%99%BB%E7%B1%B3%E5%B8%82%E7%94%A3-%E7%84%A1%E6%B4%97%E7%B1%B3-%E3%82%B5%E3%82%B5%E3%83%8B%E3%82%B7%E3%82%AD-10kg-5kg%C3%972/dp/B00NQJ7OSI/ref=sr_1_276?__mk_ja_JP=%E3%82%AB%E3%82%BF%E3%82%AB%E3%83%8A&amp;dchild=1&amp;keywords=%E7%B1%B3&amp;qid=1598692881&amp;sr=8-276", "Go")</f>
        <v/>
      </c>
    </row>
    <row r="287">
      <c r="A287" t="inlineStr">
        <is>
          <t>【西日本】 愛媛県産 白米 もりもりごはん10kg　10kg 2袋　【20kg】</t>
        </is>
      </c>
      <c r="B287" t="inlineStr">
        <is>
          <t>￥7,877</t>
        </is>
      </c>
      <c r="C287" t="inlineStr">
        <is>
          <t>4.2</t>
        </is>
      </c>
      <c r="D287">
        <f>HYPERLINK("https://www.amazon.co.jp/dp/B00A9ENLY4/ref=sr_1_277?__mk_ja_JP=%E3%82%AB%E3%82%BF%E3%82%AB%E3%83%8A&amp;dchild=1&amp;keywords=%E7%B1%B3&amp;qid=1598692881&amp;sr=8-277", "Go")</f>
        <v/>
      </c>
    </row>
    <row r="288">
      <c r="A288" t="inlineStr">
        <is>
          <t>【精米】【福袋米】新米 白米 10kg（5kg×2袋）【令和2年：滋賀県産】</t>
        </is>
      </c>
      <c r="B288" t="inlineStr">
        <is>
          <t>￥3,980</t>
        </is>
      </c>
      <c r="C288" t="inlineStr">
        <is>
          <t>4.1</t>
        </is>
      </c>
      <c r="D288">
        <f>HYPERLINK("https://www.amazon.co.jp/%E8%BF%91%E6%B1%9F%E3%81%AE%E5%9B%BD%E3%81%8B%E3%82%89%E6%9C%A8%E6%9D%91%E5%95%86%E5%BA%97-%E3%80%90%E6%96%B0%E7%B1%B3%EF%BC%81%E3%80%91%E7%A6%8F%E8%A2%8B%E7%B1%B3-%E7%99%BD%E7%B1%B310kg%C3%971%E8%A2%8B%E3%80%90%E5%B9%B3%E6%88%9030%E5%B9%B4%E5%BA%A6%E3%83%BB%E6%BB%8B%E8%B3%80%E7%9C%8C%E7%94%A3%E3%80%91/dp/B00EVM9MA2/ref=sr_1_278?__mk_ja_JP=%E3%82%AB%E3%82%BF%E3%82%AB%E3%83%8A&amp;dchild=1&amp;keywords=%E7%B1%B3&amp;qid=1598692881&amp;sr=8-278", "Go")</f>
        <v/>
      </c>
    </row>
    <row r="289">
      <c r="A289" t="inlineStr">
        <is>
          <t>白米 信州産 こしひかり 15kg（5kg×3） 令和元年産</t>
        </is>
      </c>
      <c r="B289" t="inlineStr">
        <is>
          <t>￥6,622</t>
        </is>
      </c>
      <c r="C289" t="inlineStr">
        <is>
          <t>4.7</t>
        </is>
      </c>
      <c r="D289">
        <f>HYPERLINK("https://www.amazon.co.jp/%E3%80%90%E6%96%B0%E7%B1%B3%E3%80%91-%E4%BF%A1%E5%B7%9E%E7%94%A3-%E3%81%93%E3%81%97%E3%81%B2%E3%81%8B%E3%82%8A-15kg%EF%BC%885kg%C3%973%EF%BC%89-%E5%B9%B3%E6%88%9030%E5%B9%B4%E7%94%A3/dp/B00CJ4YVUU/ref=sr_1_279?__mk_ja_JP=%E3%82%AB%E3%82%BF%E3%82%AB%E3%83%8A&amp;dchild=1&amp;keywords=%E7%B1%B3&amp;qid=1598692881&amp;sr=8-279", "Go")</f>
        <v/>
      </c>
    </row>
    <row r="290">
      <c r="A290" t="inlineStr">
        <is>
          <t>無洗米 令和 元年産 減農薬米 青森 つがるロマン 10kg (5kg×2袋) ひろさき指定</t>
        </is>
      </c>
      <c r="B290" t="inlineStr">
        <is>
          <t>￥5,380</t>
        </is>
      </c>
      <c r="C290" t="inlineStr">
        <is>
          <t>4.7</t>
        </is>
      </c>
      <c r="D290">
        <f>HYPERLINK("https://www.amazon.co.jp/30%E5%B9%B4%E7%94%A3-%E6%B8%9B%E8%BE%B2%E8%96%AC%E7%B1%B3-%E3%81%A4%E3%81%8C%E3%82%8B%E3%83%AD%E3%83%9E%E3%83%B3-5kg%C3%972%E8%A2%8B-%E3%81%B2%E3%82%8D%E3%81%95%E3%81%8D%E6%8C%87%E5%AE%9A/dp/B00P2I66RQ/ref=sr_1_280?__mk_ja_JP=%E3%82%AB%E3%82%BF%E3%82%AB%E3%83%8A&amp;dchild=1&amp;keywords=%E7%B1%B3&amp;qid=1598692881&amp;sr=8-280", "Go")</f>
        <v/>
      </c>
    </row>
    <row r="291">
      <c r="A291" t="inlineStr">
        <is>
          <t>新米 みずかがみ 30kg (玄米)(◆玄米30kg(10kg×3)) 滋賀県東近江産 【諏訪一男】 令和2年産 環境こだわり米(減農薬) 送料無料</t>
        </is>
      </c>
      <c r="B291" t="inlineStr">
        <is>
          <t>￥12,280</t>
        </is>
      </c>
      <c r="C291" t="inlineStr">
        <is>
          <t>4.7</t>
        </is>
      </c>
      <c r="D291">
        <f>HYPERLINK("https://www.amazon.co.jp/%E2%97%86%E7%8E%84%E7%B1%B330kg-10kg%C3%973-%E6%BB%8B%E8%B3%80%E7%9C%8C%E9%95%B7%E6%B5%9C%E7%94%A3-%E3%80%90%E3%82%A2%E3%82%B0%E3%83%AA39%E3%80%91-%E7%92%B0%E5%A2%83%E3%81%93%E3%81%A0%E3%82%8F%E3%82%8A%E7%B1%B3/dp/B01LL73HVE/ref=sr_1_281?__mk_ja_JP=%E3%82%AB%E3%82%BF%E3%82%AB%E3%83%8A&amp;dchild=1&amp;keywords=%E7%B1%B3&amp;qid=1598692881&amp;sr=8-281", "Go")</f>
        <v/>
      </c>
    </row>
    <row r="292">
      <c r="A292" t="inlineStr">
        <is>
          <t>まとめ売り　タイ米 ゴールデンフェニックス 5kg×5袋 (25kg分) 　ジャスミンライス（香り米）　Golden Phoenix</t>
        </is>
      </c>
      <c r="B292" t="inlineStr">
        <is>
          <t>￥11,200</t>
        </is>
      </c>
      <c r="C292" t="inlineStr">
        <is>
          <t>4.7</t>
        </is>
      </c>
      <c r="D292">
        <f>HYPERLINK("https://www.amazon.co.jp/dp/B01KUV8AK0/ref=sr_1_282?__mk_ja_JP=%E3%82%AB%E3%82%BF%E3%82%AB%E3%83%8A&amp;dchild=1&amp;keywords=%E7%B1%B3&amp;qid=1598692881&amp;sr=8-282", "Go")</f>
        <v/>
      </c>
    </row>
    <row r="293">
      <c r="A293" t="inlineStr">
        <is>
          <t>引越し 挨拶 ギフト 米 新潟産 コシヒカリ 3合 真空パック (和柄てまり ご挨拶)</t>
        </is>
      </c>
      <c r="B293" t="inlineStr">
        <is>
          <t>￥720</t>
        </is>
      </c>
      <c r="C293" t="inlineStr">
        <is>
          <t>4.7</t>
        </is>
      </c>
      <c r="D293">
        <f>HYPERLINK("https://www.amazon.co.jp/%E5%BC%95%E3%81%A3%E8%B6%8A%E3%81%97-%E3%82%AE%E3%83%95%E3%83%88-%E3%82%B3%E3%82%B7%E3%83%92%E3%82%AB%E3%83%AA-%E4%B8%89%E5%90%88%E3%83%91%E3%83%83%E3%82%AF-%E5%92%8C%E6%9F%84%E3%81%A6%E3%81%BE%E3%82%8A/dp/B01MT2HZX3/ref=sr_1_284?__mk_ja_JP=%E3%82%AB%E3%82%BF%E3%82%AB%E3%83%8A&amp;dchild=1&amp;keywords=%E7%B1%B3&amp;qid=1598692881&amp;sr=8-284", "Go")</f>
        <v/>
      </c>
    </row>
    <row r="294">
      <c r="A294" t="inlineStr">
        <is>
          <t>【精米】 熊本県産 白米 森のくまさん 5kg 令和元年産</t>
        </is>
      </c>
      <c r="B294" t="inlineStr">
        <is>
          <t>￥ 2,701</t>
        </is>
      </c>
      <c r="C294" t="inlineStr">
        <is>
          <t>4.1</t>
        </is>
      </c>
      <c r="D294">
        <f>HYPERLINK("https://www.amazon.co.jp/%E3%80%90%E7%B2%BE%E7%B1%B3%E3%80%91-%E7%86%8A%E6%9C%AC%E7%9C%8C%E7%94%A3-%E6%A3%AE%E3%81%AE%E3%81%8F%E3%81%BE%E3%81%95%E3%82%93-5kg-%E5%B9%B3%E6%88%9030%E5%B9%B4%E7%94%A3/dp/B00C2NFX8M/ref=sr_1_285?__mk_ja_JP=%E3%82%AB%E3%82%BF%E3%82%AB%E3%83%8A&amp;dchild=1&amp;keywords=%E7%B1%B3&amp;qid=1598692881&amp;sr=8-285", "Go")</f>
        <v/>
      </c>
    </row>
    <row r="295">
      <c r="A295" t="inlineStr">
        <is>
          <t>【精米】 米 10kg (5kgx2袋) 米屋仕立て 山形県産 白米 令和元年産 国内産100％ 黄金比ブレンディングシリーズ</t>
        </is>
      </c>
      <c r="B295" t="inlineStr">
        <is>
          <t>￥3,979</t>
        </is>
      </c>
      <c r="C295" t="inlineStr">
        <is>
          <t>4.1</t>
        </is>
      </c>
      <c r="D295">
        <f>HYPERLINK("https://www.amazon.co.jp/%E6%9C%89-%E9%98%BF%E9%83%A8%E3%83%99%E3%82%A4%E3%82%B3%E3%82%AF-29%E5%B9%B4%E3%80%90%E7%B2%BE%E7%B1%B3%E3%80%91%E3%80%8E%E7%B1%B3%E5%B1%8B%E4%BB%95%E7%AB%8B%E3%81%A6%E3%80%8F10kg%E3%80%905kgx2%E8%A2%8B%E2%97%8E%E3%80%91%E3%80%90%E5%BA%84%E5%86%85%E5%B9%B3%E9%87%8E%E7%9B%B4%E9%80%81%E2%97%8E%E3%80%91/dp/B00RBVUPKQ/ref=sr_1_286?__mk_ja_JP=%E3%82%AB%E3%82%BF%E3%82%AB%E3%83%8A&amp;dchild=1&amp;keywords=%E7%B1%B3&amp;qid=1598692881&amp;sr=8-286", "Go")</f>
        <v/>
      </c>
    </row>
    <row r="296">
      <c r="A296" t="inlineStr">
        <is>
          <t>OSK 徳用 発芽玄米炊込ごはん 1kg</t>
        </is>
      </c>
      <c r="B296" t="inlineStr"/>
      <c r="C296" t="inlineStr">
        <is>
          <t>4.8</t>
        </is>
      </c>
      <c r="D296">
        <f>HYPERLINK("https://www.amazon.co.jp/OSK-%E3%82%AA%E3%83%BC%E3%82%A8%E3%82%B9%E3%82%B1%E3%83%BC-%E5%BE%B3%E7%94%A8-%E7%99%BA%E8%8A%BD%E7%8E%84%E7%B1%B3%E7%82%8A%E8%BE%BC%E3%81%94%E3%81%AF%E3%82%93-1kg/dp/B000FQMHXM/ref=sr_1_287?__mk_ja_JP=%E3%82%AB%E3%82%BF%E3%82%AB%E3%83%8A&amp;dchild=1&amp;keywords=%E7%B1%B3&amp;qid=1598692881&amp;sr=8-287", "Go")</f>
        <v/>
      </c>
    </row>
    <row r="297">
      <c r="A297" t="inlineStr">
        <is>
          <t>【無洗米】山形県産特別栽培米「つや姫」無農薬米 (1.2kg[2合300g×４袋])</t>
        </is>
      </c>
      <c r="B297" t="inlineStr">
        <is>
          <t>￥1,600</t>
        </is>
      </c>
      <c r="C297" t="inlineStr">
        <is>
          <t>4.8</t>
        </is>
      </c>
      <c r="D297">
        <f>HYPERLINK("https://www.amazon.co.jp/%E3%81%A4%E3%82%84%E5%A7%AB-%E3%80%90%E7%84%A1%E6%B4%97%E7%B1%B3%E3%80%91%E7%84%A1%E8%BE%B2%E8%96%AC%E7%B1%B3-%E5%B1%B1%E5%BD%A2%E7%9C%8C%E7%94%A3%E7%89%B9%E5%88%A5%E6%A0%BD%E5%9F%B9%E7%B1%B3%E3%80%8C%E3%81%A4%E3%82%84%E5%A7%AB%E3%80%8D%EF%BC%91%E8%A2%8B%E7%99%BD%E7%B1%B3%EF%BC%92%E3%82%AB%E3%83%83%E3%83%97%E5%88%86%E3%82%92%EF%BC%94%E8%A2%8B%E3%82%BB%E3%83%83%E3%83%88-2%E5%90%88300g%C3%97%EF%BC%94%E8%A2%8B%E3%81%A7%E8%A8%881-2kg-2019%E5%B9%B4%E7%B1%B3/dp/B07XNRY996/ref=sr_1_288?__mk_ja_JP=%E3%82%AB%E3%82%BF%E3%82%AB%E3%83%8A&amp;dchild=1&amp;keywords=%E7%B1%B3&amp;qid=1598692881&amp;sr=8-288", "Go")</f>
        <v/>
      </c>
    </row>
    <row r="298">
      <c r="A298" t="inlineStr">
        <is>
          <t>新米予約 環境こだわり米(減農薬) ミルキークイーン 30kg (玄米)(◆玄米30kg(10kg×3)) 滋賀県東近江産 【西村農産】 令和2年産 送料無料</t>
        </is>
      </c>
      <c r="B298" t="inlineStr">
        <is>
          <t>￥12,680</t>
        </is>
      </c>
      <c r="C298" t="inlineStr">
        <is>
          <t>4.8</t>
        </is>
      </c>
      <c r="D298">
        <f>HYPERLINK("https://www.amazon.co.jp/%E7%92%B0%E5%A2%83%E3%81%93%E3%81%A0%E3%82%8F%E3%82%8A%E7%B1%B3-%E3%83%9F%E3%83%AB%E3%82%AD%E3%83%BC%E3%82%AF%E3%82%A4%E3%83%BC%E3%83%B3-%E2%97%86%E7%8E%84%E7%B1%B330kg-10kg%C3%973-%E6%BB%8B%E8%B3%80%E7%9C%8C%E6%9D%B1%E8%BF%91%E6%B1%9F%E7%94%A3/dp/B01M0E11NT/ref=sr_1_290?__mk_ja_JP=%E3%82%AB%E3%82%BF%E3%82%AB%E3%83%8A&amp;dchild=1&amp;keywords=%E7%B1%B3&amp;qid=1598692881&amp;sr=8-290", "Go")</f>
        <v/>
      </c>
    </row>
    <row r="299">
      <c r="A299" t="inlineStr">
        <is>
          <t>【精米,】岡山県産 白米 「朝日米」 5kg 令和元年産</t>
        </is>
      </c>
      <c r="B299" t="inlineStr">
        <is>
          <t>￥3,321</t>
        </is>
      </c>
      <c r="C299" t="inlineStr">
        <is>
          <t>4.8</t>
        </is>
      </c>
      <c r="D299">
        <f>HYPERLINK("https://www.amazon.co.jp/%E3%80%90%E7%B2%BE%E7%B1%B3-%E6%96%B0%E7%B1%B3%E3%80%91%E5%B2%A1%E5%B1%B1%E7%9C%8C%E7%94%A3-%E3%80%8C%E6%9C%9D%E6%97%A5%E7%B1%B3%E3%80%8D-5kg-%E5%B9%B3%E6%88%9030%E5%B9%B4%E7%94%A3/dp/B00HZEQJSQ/ref=sr_1_291?__mk_ja_JP=%E3%82%AB%E3%82%BF%E3%82%AB%E3%83%8A&amp;dchild=1&amp;keywords=%E7%B1%B3&amp;qid=1598692881&amp;sr=8-291", "Go")</f>
        <v/>
      </c>
    </row>
    <row r="300">
      <c r="A300" t="inlineStr">
        <is>
          <t>【精米】 カンロ まるごとしぼったみかんのど飴 80g ×6袋</t>
        </is>
      </c>
      <c r="B300" t="inlineStr">
        <is>
          <t>￥1,296</t>
        </is>
      </c>
      <c r="C300" t="inlineStr">
        <is>
          <t>4.8</t>
        </is>
      </c>
      <c r="D300">
        <f>HYPERLINK("https://www.amazon.co.jp/%E3%80%90%E7%B2%BE%E7%B1%B3%E3%80%91-%E3%82%AB%E3%83%B3%E3%83%AD-%E3%81%BE%E3%82%8B%E3%81%94%E3%81%A8%E3%81%97%E3%81%BC%E3%81%A3%E3%81%9F%E3%81%BF%E3%81%8B%E3%82%93%E3%81%AE%E3%81%A9%E9%A3%B4-80g-%C3%976%E8%A2%8B/dp/B08349W9DK/ref=sr_1_292?__mk_ja_JP=%E3%82%AB%E3%82%BF%E3%82%AB%E3%83%8A&amp;dchild=1&amp;keywords=%E7%B1%B3&amp;qid=1598692881&amp;sr=8-292", "Go")</f>
        <v/>
      </c>
    </row>
    <row r="301">
      <c r="A301" t="inlineStr">
        <is>
          <t>【精米】北海道産 金芽米無洗米 ホクレン ななつぼし 5kg 令和元年産</t>
        </is>
      </c>
      <c r="B301" t="inlineStr">
        <is>
          <t>￥2,880</t>
        </is>
      </c>
      <c r="C301" t="inlineStr">
        <is>
          <t>4.1</t>
        </is>
      </c>
      <c r="D301">
        <f>HYPERLINK("https://www.amazon.co.jp/%E3%80%90%E7%B2%BE%E7%B1%B3%E3%80%91%E5%8C%97%E6%B5%B7%E9%81%93%E7%94%A3-%E9%87%91%E8%8A%BD%E7%B1%B3%E7%84%A1%E6%B4%97%E7%B1%B3-%E3%83%9B%E3%82%AF%E3%83%AC%E3%83%B3-%E3%81%AA%E3%81%AA%E3%81%A4%E3%81%BC%E3%81%97-%E5%B9%B3%E6%88%9030%E5%B9%B4%E7%94%A3/dp/B01MTS2JX5/ref=sr_1_293?__mk_ja_JP=%E3%82%AB%E3%82%BF%E3%82%AB%E3%83%8A&amp;dchild=1&amp;keywords=%E7%B1%B3&amp;qid=1598692881&amp;sr=8-293", "Go")</f>
        <v/>
      </c>
    </row>
    <row r="302">
      <c r="A302" t="inlineStr">
        <is>
          <t>【精米】【精米】ホクレン 北海道産 金芽米無洗米ななつぼし 令和元年産</t>
        </is>
      </c>
      <c r="B302" t="inlineStr">
        <is>
          <t>￥2,773</t>
        </is>
      </c>
      <c r="C302" t="inlineStr">
        <is>
          <t>4.1</t>
        </is>
      </c>
      <c r="D302">
        <f>HYPERLINK("https://www.amazon.co.jp/%E3%83%9B%E3%82%AF%E3%83%AC%E3%83%B3-%E3%80%90%E7%B2%BE%E7%B1%B3%E3%80%91%E3%80%90%E7%B2%BE%E7%B1%B3%E3%80%91%E3%83%9B%E3%82%AF%E3%83%AC%E3%83%B3-%E5%8C%97%E6%B5%B7%E9%81%93%E7%94%A3-%E9%87%91%E8%8A%BD%E7%B1%B3%E7%84%A1%E6%B4%97%E7%B1%B3%E3%81%AA%E3%81%AA%E3%81%A4%E3%81%BC%E3%81%97-%E5%B9%B3%E6%88%9030%E5%B9%B4%E7%94%A3/dp/B07R23XD4J/ref=sr_1_294?__mk_ja_JP=%E3%82%AB%E3%82%BF%E3%82%AB%E3%83%8A&amp;dchild=1&amp;keywords=%E7%B1%B3&amp;qid=1598692881&amp;s=pantry&amp;sr=8-294", "Go")</f>
        <v/>
      </c>
    </row>
    <row r="303">
      <c r="A303" t="inlineStr">
        <is>
          <t>【精米】熊本県産厳選米くまさんの力 5㎏</t>
        </is>
      </c>
      <c r="B303" t="inlineStr">
        <is>
          <t>￥ 2,913</t>
        </is>
      </c>
      <c r="C303" t="inlineStr">
        <is>
          <t>4.1</t>
        </is>
      </c>
      <c r="D303">
        <f>HYPERLINK("https://www.amazon.co.jp/%E7%86%8A%E6%9C%AC%E3%83%91%E3%83%BC%E3%83%AB%E3%83%A9%E3%82%A4%E3%82%B9-%E3%80%90%E7%B2%BE%E7%B1%B3%E3%80%91%E7%86%8A%E6%9C%AC%E7%9C%8C%E7%94%A3%E5%8E%B3%E9%81%B8%E7%B1%B3%E3%81%8F%E3%81%BE%E3%81%95%E3%82%93%E3%81%AE%E5%8A%9B-5%E3%8E%8F/dp/B00L33ZVXY/ref=sr_1_295?__mk_ja_JP=%E3%82%AB%E3%82%BF%E3%82%AB%E3%83%8A&amp;dchild=1&amp;keywords=%E7%B1%B3&amp;qid=1598692881&amp;sr=8-295", "Go")</f>
        <v/>
      </c>
    </row>
    <row r="304">
      <c r="A304" t="inlineStr">
        <is>
          <t>優良金賞受賞農家 しまさき農園産 特別栽培米雪若丸 白米 令和元年産 (5kg)</t>
        </is>
      </c>
      <c r="B304" t="inlineStr">
        <is>
          <t>￥3,980</t>
        </is>
      </c>
      <c r="C304" t="inlineStr">
        <is>
          <t>4.3</t>
        </is>
      </c>
      <c r="D304">
        <f>HYPERLINK("https://www.amazon.co.jp/%E3%80%90%E6%96%B0%E7%B1%B3%E3%80%91%E5%84%AA%E8%89%AF%E9%87%91%E8%B3%9E%E5%8F%97%E8%B3%9E%E8%BE%B2%E5%AE%B6-%E3%81%97%E3%81%BE%E3%81%95%E3%81%8D%E8%BE%B2%E5%9C%92%E7%94%A3-%E7%89%B9%E5%88%A5%E6%A0%BD%E5%9F%B9%E7%B1%B3%E9%9B%AA%E8%8B%A5%E4%B8%B8-%E4%BB%A4%E5%92%8C%E5%85%83%E5%B9%B4%E7%94%A3-5kg/dp/B07RX72SDR/ref=sr_1_296?__mk_ja_JP=%E3%82%AB%E3%82%BF%E3%82%AB%E3%83%8A&amp;dchild=1&amp;keywords=%E7%B1%B3&amp;qid=1598692881&amp;sr=8-296", "Go")</f>
        <v/>
      </c>
    </row>
    <row r="305">
      <c r="A305" t="inlineStr">
        <is>
          <t>【新米】令和元年産福島県中通り産ひとめぼれ10kg 白米</t>
        </is>
      </c>
      <c r="B305" t="inlineStr">
        <is>
          <t>￥4,300</t>
        </is>
      </c>
      <c r="C305" t="inlineStr">
        <is>
          <t>4.3</t>
        </is>
      </c>
      <c r="D305">
        <f>HYPERLINK("https://www.amazon.co.jp/%E3%81%8A%E7%B1%B3%E8%B2%A9%E5%A3%B2%E3%81%AE%E5%A4%A7%E8%B3%80%E5%95%86%E5%BA%97-%E3%80%90%E6%96%B0%E7%B1%B3%E3%80%9130%E5%B9%B4%E7%94%A3%E7%A6%8F%E5%B3%B6%E7%9C%8C%E4%B8%AD%E9%80%9A%E3%82%8A%E7%94%A3%E3%81%B2%E3%81%A8%E3%82%81%E3%81%BC%E3%82%8C10kg-%E7%99%BD%E7%B1%B3/dp/B013DJZ9UU/ref=sr_1_297?__mk_ja_JP=%E3%82%AB%E3%82%BF%E3%82%AB%E3%83%8A&amp;dchild=1&amp;keywords=%E7%B1%B3&amp;qid=1598692881&amp;sr=8-297", "Go")</f>
        <v/>
      </c>
    </row>
    <row r="306">
      <c r="A306" t="inlineStr">
        <is>
          <t>【精米】 コシヒカリ 5割入り 20kg (10kg×2袋) 山形県産 令和元年産 ハイクラスブレンド米</t>
        </is>
      </c>
      <c r="B306" t="inlineStr">
        <is>
          <t>￥7,480</t>
        </is>
      </c>
      <c r="C306" t="inlineStr">
        <is>
          <t>4.3</t>
        </is>
      </c>
      <c r="D306">
        <f>HYPERLINK("https://www.amazon.co.jp/%E3%80%90%E7%B2%BE%E7%B1%B3%E3%80%91-%E3%82%B3%E3%82%B7%E3%83%92%E3%82%AB%E3%83%AA-10kg%C3%972%E8%A2%8B-%E4%BB%A4%E5%92%8C%E5%85%83%E5%B9%B4%E7%94%A3-%E3%83%8F%E3%82%A4%E3%82%AF%E3%83%A9%E3%82%B9%E3%83%96%E3%83%AC%E3%83%B3%E3%83%89%E7%B1%B3/dp/B07TJDG957/ref=sr_1_298?__mk_ja_JP=%E3%82%AB%E3%82%BF%E3%82%AB%E3%83%8A&amp;dchild=1&amp;keywords=%E7%B1%B3&amp;qid=1598692881&amp;sr=8-298", "Go")</f>
        <v/>
      </c>
    </row>
    <row r="307">
      <c r="A307" t="inlineStr">
        <is>
          <t>熊本のおいしいお米 森のくまさん 5kg×2 合計10kg 令和元年 熊本県産 単一原料米100%</t>
        </is>
      </c>
      <c r="B307" t="inlineStr">
        <is>
          <t>￥4,890</t>
        </is>
      </c>
      <c r="C307" t="inlineStr">
        <is>
          <t>4.3</t>
        </is>
      </c>
      <c r="D307">
        <f>HYPERLINK("https://www.amazon.co.jp/%E7%86%8A%E6%9C%AC%E3%81%AE%E3%81%8A%E3%81%84%E3%81%97%E3%81%84%E3%81%8A%E7%B1%B3-%E6%A3%AE%E3%81%AE%E3%81%8F%E3%81%BE%E3%81%95%E3%82%93-5kg%C3%972-%E5%90%88%E8%A8%8810kg-%E5%8D%98%E4%B8%80%E5%8E%9F%E6%96%99%E7%B1%B3100/dp/B088DBB58P/ref=sr_1_299_sspa?__mk_ja_JP=%E3%82%AB%E3%82%BF%E3%82%AB%E3%83%8A&amp;dchild=1&amp;keywords=%E7%B1%B3&amp;qid=1598692881&amp;sr=8-299-spons&amp;psc=1&amp;spLa=ZW5jcnlwdGVkUXVhbGlmaWVyPUExN0pTTFo2SExaT0pYJmVuY3J5cHRlZElkPUEwMTIwNTY4MzBDSkJaTERXUVZTQiZlbmNyeXB0ZWRBZElkPUEzNDRINkhWTUZQSlk0JndpZGdldE5hbWU9c3BfYnRmJmFjdGlvbj1jbGlja1JlZGlyZWN0JmRvTm90TG9nQ2xpY2s9dHJ1ZQ==", "Go")</f>
        <v/>
      </c>
    </row>
    <row r="308">
      <c r="A308" t="inlineStr">
        <is>
          <t>米 白米 金色の風 10kg (2kg×5袋) 岩手県産 令和元年産(2019年)【米袋は真空包装】</t>
        </is>
      </c>
      <c r="B308" t="inlineStr">
        <is>
          <t>￥5,680</t>
        </is>
      </c>
      <c r="C308" t="inlineStr">
        <is>
          <t>4.2</t>
        </is>
      </c>
      <c r="D308">
        <f>HYPERLINK("https://www.amazon.co.jp/%E9%87%91%E8%89%B2%E3%81%AE%E9%A2%A8-10kg-2kg%C3%975%E8%A2%8B-%E5%B2%A9%E6%89%8B%E7%9C%8C%E7%94%A3-%E5%B9%B3%E6%88%9029%E5%B9%B4%E5%BA%A6%E7%94%A3/dp/B07BNM5DBL/ref=sr_1_300_sspa?__mk_ja_JP=%E3%82%AB%E3%82%BF%E3%82%AB%E3%83%8A&amp;dchild=1&amp;keywords=%E7%B1%B3&amp;qid=1598692881&amp;sr=8-300-spons&amp;psc=1&amp;spLa=ZW5jcnlwdGVkUXVhbGlmaWVyPUExN0pTTFo2SExaT0pYJmVuY3J5cHRlZElkPUEwMTIwNTY4MzBDSkJaTERXUVZTQiZlbmNyeXB0ZWRBZElkPUFGSk5ZWExaNVZFSEMmd2lkZ2V0TmFtZT1zcF9idGYmYWN0aW9uPWNsaWNrUmVkaXJlY3QmZG9Ob3RMb2dDbGljaz10cnVl", "Go")</f>
        <v/>
      </c>
    </row>
    <row r="309">
      <c r="A309" t="inlineStr">
        <is>
          <t>【精米】新潟県産 白米 雪蔵氷温熟成 こしひかり2kg 令和元年産</t>
        </is>
      </c>
      <c r="B309" t="inlineStr"/>
      <c r="C309" t="inlineStr">
        <is>
          <t>4</t>
        </is>
      </c>
      <c r="D309">
        <f>HYPERLINK("https://www.amazon.co.jp/150237/dp/B005GNV96U/ref=sr_1_289_sspa?__mk_ja_JP=%E3%82%AB%E3%82%BF%E3%82%AB%E3%83%8A&amp;dchild=1&amp;keywords=%E7%B1%B3&amp;qid=1598693100&amp;sr=8-289-spons&amp;psc=1&amp;spLa=ZW5jcnlwdGVkUXVhbGlmaWVyPUEyU0k0UVZIM0NRQlkmZW5jcnlwdGVkSWQ9QTA0Njc0ODQxT1FXWDdVSDJQNFpZJmVuY3J5cHRlZEFkSWQ9QTNCOVFES1gzREhQNyZ3aWRnZXROYW1lPXNwX2F0Zl9uZXh0JmFjdGlvbj1jbGlja1JlZGlyZWN0JmRvTm90TG9nQ2xpY2s9dHJ1ZQ==", "Go")</f>
        <v/>
      </c>
    </row>
    <row r="310">
      <c r="A310" t="inlineStr">
        <is>
          <t>米 白米 青天の霹靂 10kg(2kg×5袋) 特A評価青森県産 令和元年産(2019年)度産 【米袋は真空包装】</t>
        </is>
      </c>
      <c r="B310" t="inlineStr">
        <is>
          <t>￥6,000</t>
        </is>
      </c>
      <c r="C310" t="inlineStr">
        <is>
          <t>4.2</t>
        </is>
      </c>
      <c r="D310">
        <f>HYPERLINK("https://www.amazon.co.jp/%E9%9D%92%E5%A4%A9%E3%81%AE%E9%9C%B9%E9%9D%82-10kg-2kg%C3%975%E8%A2%8B-%E7%89%B9A%E3%83%A9%E3%83%B3%E3%82%AF%E9%9D%92%E6%A3%AE%E7%9C%8C%E7%94%A3-%E5%B9%B3%E6%88%9030%E5%B9%B4%E5%BA%A6%E7%94%A3/dp/B06XFLV3YQ/ref=sr_1_290_sspa?__mk_ja_JP=%E3%82%AB%E3%82%BF%E3%82%AB%E3%83%8A&amp;dchild=1&amp;keywords=%E7%B1%B3&amp;qid=1598693100&amp;sr=8-290-spons&amp;psc=1&amp;smid=A2NZ4CSZPWBEX1&amp;spLa=ZW5jcnlwdGVkUXVhbGlmaWVyPUEyU0k0UVZIM0NRQlkmZW5jcnlwdGVkSWQ9QTA0Njc0ODQxT1FXWDdVSDJQNFpZJmVuY3J5cHRlZEFkSWQ9QTNSVE5HNkg2QzdKNlkmd2lkZ2V0TmFtZT1zcF9hdGZfbmV4dCZhY3Rpb249Y2xpY2tSZWRpcmVjdCZkb05vdExvZ0NsaWNrPXRydWU=", "Go")</f>
        <v/>
      </c>
    </row>
    <row r="311">
      <c r="A311" t="inlineStr">
        <is>
          <t>【精米】 新潟県産 こしいぶき 10kg （5kg×2袋） 令和元年産 新潟県直送</t>
        </is>
      </c>
      <c r="B311" t="inlineStr">
        <is>
          <t>￥4,690</t>
        </is>
      </c>
      <c r="C311" t="inlineStr">
        <is>
          <t>4.4</t>
        </is>
      </c>
      <c r="D311">
        <f>HYPERLINK("https://www.amazon.co.jp/%E6%9C%89%E9%99%90%E4%BC%9A%E7%A4%BE-%E6%98%9F%E5%B1%B1%E7%B1%B3%E5%BA%97-%E3%80%9030%E5%B9%B4%E7%94%A3%E3%83%BB%E6%96%B0%E7%B1%B3%E3%80%91%E6%96%B0%E6%BD%9F%E7%9C%8C%E7%94%A3%E3%81%93%E3%81%97%E3%81%84%E3%81%B6%E3%81%8D-10kg%EF%BC%885kg%C3%972%E8%A2%8B%EF%BC%89-%E7%B2%BE%E7%B1%B3-%E7%99%BD%E7%B1%B3/dp/B00DWKGBX0/ref=sr_1_291_sspa?__mk_ja_JP=%E3%82%AB%E3%82%BF%E3%82%AB%E3%83%8A&amp;dchild=1&amp;keywords=%E7%B1%B3&amp;qid=1598693100&amp;sr=8-291-spons&amp;psc=1&amp;spLa=ZW5jcnlwdGVkUXVhbGlmaWVyPUEyU0k0UVZIM0NRQlkmZW5jcnlwdGVkSWQ9QTA0Njc0ODQxT1FXWDdVSDJQNFpZJmVuY3J5cHRlZEFkSWQ9QTM2STk0SVc4VkQ1Mzcmd2lkZ2V0TmFtZT1zcF9hdGZfbmV4dCZhY3Rpb249Y2xpY2tSZWRpcmVjdCZkb05vdExvZ0NsaWNrPXRydWU=", "Go")</f>
        <v/>
      </c>
    </row>
    <row r="312">
      <c r="A312" t="inlineStr">
        <is>
          <t>【精米】福井県産 無洗米 コシヒカリ 5kg 令和元年産</t>
        </is>
      </c>
      <c r="B312" t="inlineStr">
        <is>
          <t>￥1,980</t>
        </is>
      </c>
      <c r="C312" t="inlineStr">
        <is>
          <t>4.2</t>
        </is>
      </c>
      <c r="D312">
        <f>HYPERLINK("https://www.amazon.co.jp/%E3%80%90%E7%B2%BE%E7%B1%B3%E3%80%91%E7%A6%8F%E4%BA%95%E7%9C%8C%E7%94%A3-%E7%84%A1%E6%B4%97%E7%B1%B3-%E3%82%B3%E3%82%B7%E3%83%92%E3%82%AB%E3%83%AA-5kg-%E5%B9%B3%E6%88%9030%E5%B9%B4%E7%94%A3/dp/B071G7GGS4/ref=sr_1_293?__mk_ja_JP=%E3%82%AB%E3%82%BF%E3%82%AB%E3%83%8A&amp;dchild=1&amp;keywords=%E7%B1%B3&amp;qid=1598693100&amp;s=pantry&amp;sr=8-293", "Go")</f>
        <v/>
      </c>
    </row>
    <row r="313">
      <c r="A313" t="inlineStr">
        <is>
          <t>【精米】【おくさま印 ブランド】 新潟県産 白米 (米飯管理士協会品評会 金賞受賞米) こしひかり 5kg 令和元年産</t>
        </is>
      </c>
      <c r="B313" t="inlineStr">
        <is>
          <t>￥ 2,795</t>
        </is>
      </c>
      <c r="C313" t="inlineStr">
        <is>
          <t>4.1</t>
        </is>
      </c>
      <c r="D313">
        <f>HYPERLINK("https://www.amazon.co.jp/%E3%80%90%E7%B2%BE%E7%B1%B3%E3%80%91%E6%96%B0%E6%BD%9F%E7%9C%8C%E7%94%A3-%E7%99%BD%E7%B1%B3-%E3%81%93%E3%81%97%E3%81%B2%E3%81%8B%E3%82%8A-5kg-%E5%B9%B3%E6%88%9030%E5%B9%B4%E7%94%A3/dp/B00UJEI46O/ref=sr_1_294?__mk_ja_JP=%E3%82%AB%E3%82%BF%E3%82%AB%E3%83%8A&amp;dchild=1&amp;keywords=%E7%B1%B3&amp;qid=1598693100&amp;sr=8-294", "Go")</f>
        <v/>
      </c>
    </row>
    <row r="314">
      <c r="A314" t="inlineStr">
        <is>
          <t>米 白米 福井産いちほまれ ＋ 岩手産金色の風 ＋ 山形産雪若丸 ＋ 豊岡産コシヒカリ＋ 青森産青天の霹靂 白米10kg（2kg×5袋） もっちりシッカリ米 5種食べ比べセット 令和元年産(2019年)</t>
        </is>
      </c>
      <c r="B314" t="inlineStr">
        <is>
          <t>￥5,980</t>
        </is>
      </c>
      <c r="C314" t="inlineStr">
        <is>
          <t>4.5</t>
        </is>
      </c>
      <c r="D314">
        <f>HYPERLINK("https://www.amazon.co.jp/%E6%96%B0%E6%BD%9F%E9%AD%9A%E6%B2%BC%E7%94%A3%E3%82%B3%E3%82%B7%E3%83%92%E3%82%AB%E3%83%AA-%E9%8A%80%E6%B2%B3%E3%81%AE%E3%81%97%E3%81%9A%E3%81%8F-%E5%85%B5%E5%BA%AB%E4%BD%86%E9%A6%AC%E7%94%A3%E3%82%B3%E3%82%B7%E3%83%92%E3%82%AB%E3%83%AA-10kg%EF%BC%88%E5%90%842kg%E5%B0%8F%E8%A2%8B%C3%975%EF%BC%89-5%E7%A8%AE%E9%A3%9F%E3%81%B9%E6%AF%94%E3%81%B9%E3%82%BB%E3%83%83%E3%83%88/dp/B00S97TJXA/ref=sr_1_295?__mk_ja_JP=%E3%82%AB%E3%82%BF%E3%82%AB%E3%83%8A&amp;dchild=1&amp;keywords=%E7%B1%B3&amp;qid=1598693100&amp;sr=8-295", "Go")</f>
        <v/>
      </c>
    </row>
    <row r="315">
      <c r="A315" t="inlineStr">
        <is>
          <t>福島県産 無洗米 ミルキークイーン 5kg 令和元年産</t>
        </is>
      </c>
      <c r="B315" t="inlineStr">
        <is>
          <t>￥2,530</t>
        </is>
      </c>
      <c r="C315" t="inlineStr">
        <is>
          <t>4.2</t>
        </is>
      </c>
      <c r="D315">
        <f>HYPERLINK("https://www.amazon.co.jp/%E7%A6%8F%E5%B3%B6%E7%9C%8C%E7%94%A3-%E7%84%A1%E6%B4%97%E7%B1%B3-%E3%83%9F%E3%83%AB%E3%82%AD%E3%83%BC%E3%82%AF%E3%82%A4%E3%83%BC%E3%83%B3-5kg-%E5%B9%B3%E6%88%9030%E5%B9%B4%E7%94%A3/dp/B004AO36QM/ref=sr_1_296?__mk_ja_JP=%E3%82%AB%E3%82%BF%E3%82%AB%E3%83%8A&amp;dchild=1&amp;keywords=%E7%B1%B3&amp;qid=1598693100&amp;sr=8-296", "Go")</f>
        <v/>
      </c>
    </row>
    <row r="316">
      <c r="A316" t="inlineStr">
        <is>
          <t>元気つくし 金のめし丸マーク付 福岡県産 10kg(5kg×2) 精米</t>
        </is>
      </c>
      <c r="B316" t="inlineStr">
        <is>
          <t>￥5,380</t>
        </is>
      </c>
      <c r="C316" t="inlineStr">
        <is>
          <t>4.2</t>
        </is>
      </c>
      <c r="D316">
        <f>HYPERLINK("https://www.amazon.co.jp/%E5%85%83%E6%B0%97%E3%81%A4%E3%81%8F%E3%81%97-%E9%87%91%E3%81%AE%E3%82%81%E3%81%97%E4%B8%B8%E3%83%9E%E3%83%BC%E3%82%AF%E4%BB%98-%E7%A6%8F%E5%B2%A1%E7%9C%8C%E7%94%A3-10kg-5kg%C3%972/dp/B00PHRXN96/ref=sr_1_297?__mk_ja_JP=%E3%82%AB%E3%82%BF%E3%82%AB%E3%83%8A&amp;dchild=1&amp;keywords=%E7%B1%B3&amp;qid=1598693100&amp;sr=8-297", "Go")</f>
        <v/>
      </c>
    </row>
    <row r="317">
      <c r="A317" t="inlineStr">
        <is>
          <t>【精米】ホクレン 無洗米 喜ななつぼし 5kg 令和元年産</t>
        </is>
      </c>
      <c r="B317" t="inlineStr">
        <is>
          <t>￥ 2,913</t>
        </is>
      </c>
      <c r="C317" t="inlineStr">
        <is>
          <t>4.1</t>
        </is>
      </c>
      <c r="D317">
        <f>HYPERLINK("https://www.amazon.co.jp/%E3%80%90%E7%B2%BE%E7%B1%B3%E3%80%91%E3%83%9B%E3%82%AF%E3%83%AC%E3%83%B3-%E7%84%A1%E6%B4%97%E7%B1%B3-%E3%81%AA%E3%81%AA%E3%81%A4%E3%81%BC%E3%81%97-5kg-%E5%B9%B3%E6%88%9029%E5%B9%B4%E7%94%A3/dp/B00O1JCRPW/ref=sr_1_298?__mk_ja_JP=%E3%82%AB%E3%82%BF%E3%82%AB%E3%83%8A&amp;dchild=1&amp;keywords=%E7%B1%B3&amp;qid=1598693100&amp;sr=8-298", "Go")</f>
        <v/>
      </c>
    </row>
    <row r="318">
      <c r="A318" t="inlineStr">
        <is>
          <t>【精米】雪蔵仕込み 新潟県産新之助 2kg</t>
        </is>
      </c>
      <c r="B318" t="inlineStr"/>
      <c r="C318" t="inlineStr">
        <is>
          <t>4.3</t>
        </is>
      </c>
      <c r="D318">
        <f>HYPERLINK("https://www.amazon.co.jp/%E5%90%89%E5%85%86%E6%A5%BD-%E3%80%90%E7%B2%BE%E7%B1%B3%E3%80%91%E9%9B%AA%E8%94%B5%E4%BB%95%E8%BE%BC%E3%81%BF-%E6%96%B0%E6%BD%9F%E7%9C%8C%E7%94%A3%E6%96%B0%E4%B9%8B%E5%8A%A9-2kg/dp/B07DQF9PWF/ref=sr_1_299?__mk_ja_JP=%E3%82%AB%E3%82%BF%E3%82%AB%E3%83%8A&amp;dchild=1&amp;keywords=%E7%B1%B3&amp;qid=1598693100&amp;sr=8-299", "Go")</f>
        <v/>
      </c>
    </row>
    <row r="319">
      <c r="A319" t="inlineStr">
        <is>
          <t>【精米】茨城県産コシヒカリ 10㎏ 令和元年産</t>
        </is>
      </c>
      <c r="B319" t="inlineStr">
        <is>
          <t>￥ 5,087</t>
        </is>
      </c>
      <c r="C319" t="inlineStr">
        <is>
          <t>4.2</t>
        </is>
      </c>
      <c r="D319">
        <f>HYPERLINK("https://www.amazon.co.jp/%E6%9D%89%E7%94%B0%E5%95%86%E5%BA%97-%E3%80%90%E7%B2%BE%E7%B1%B3%E3%80%91%E8%8C%A8%E5%9F%8E%E7%9C%8C%E7%94%A3%E3%82%B3%E3%82%B7%E3%83%92%E3%82%AB%E3%83%AA-10%E3%8E%8F-%E5%B9%B3%E6%88%9030%E5%B9%B4%E7%94%A3/dp/B00KAT8C4W/ref=sr_1_300?__mk_ja_JP=%E3%82%AB%E3%82%BF%E3%82%AB%E3%83%8A&amp;dchild=1&amp;keywords=%E7%B1%B3&amp;qid=1598693100&amp;sr=8-300", "Go")</f>
        <v/>
      </c>
    </row>
    <row r="320">
      <c r="A320" t="inlineStr">
        <is>
          <t>あきたこまち 胚芽米鉄分 2kg</t>
        </is>
      </c>
      <c r="B320" t="inlineStr">
        <is>
          <t>￥ 2,616</t>
        </is>
      </c>
      <c r="C320" t="inlineStr">
        <is>
          <t>4.2</t>
        </is>
      </c>
      <c r="D320">
        <f>HYPERLINK("https://www.amazon.co.jp/%E5%A4%A7%E6%BD%9F%E6%9D%91%E3%81%82%E3%81%8D%E3%81%9F%E3%81%93%E3%81%BE%E3%81%A1%E7%94%9F%E7%94%A3%E8%80%85%E5%8D%94%E4%BC%9A-%E3%81%82%E3%81%8D%E3%81%9F%E3%81%93%E3%81%BE%E3%81%A1-%E8%83%9A%E8%8A%BD%E7%B1%B3%E9%89%84%E5%88%86-2kg/dp/B002TKDED4/ref=sr_1_301?__mk_ja_JP=%E3%82%AB%E3%82%BF%E3%82%AB%E3%83%8A&amp;dchild=1&amp;keywords=%E7%B1%B3&amp;qid=1598693100&amp;sr=8-301", "Go")</f>
        <v/>
      </c>
    </row>
    <row r="321">
      <c r="A321" t="inlineStr">
        <is>
          <t>100% PURE KHAO HOM MALI ジャスミン米 MFD2019.12.10 世界の高級品 香り米 弁印 無洗米 (1kg)</t>
        </is>
      </c>
      <c r="B321" t="inlineStr">
        <is>
          <t>￥1,298</t>
        </is>
      </c>
      <c r="C321" t="inlineStr">
        <is>
          <t>4.2</t>
        </is>
      </c>
      <c r="D321">
        <f>HYPERLINK("https://www.amazon.co.jp/100-%E3%83%97%E3%83%AC%E3%83%9F%E3%82%A2%E3%83%A0-%E3%82%B8%E3%83%A3%E3%82%B9%E3%83%9F%E3%83%B3%E7%B1%B3-MFD2017-12-19-%E4%B8%96%E7%95%8C%E3%81%AE%E9%AB%98%E7%B4%9A%E5%93%81/dp/B007OTCQWK/ref=sr_1_302?__mk_ja_JP=%E3%82%AB%E3%82%BF%E3%82%AB%E3%83%8A&amp;dchild=1&amp;keywords=%E7%B1%B3&amp;qid=1598693100&amp;sr=8-302", "Go")</f>
        <v/>
      </c>
    </row>
    <row r="322">
      <c r="A322" t="inlineStr">
        <is>
          <t>白米 20kg コシヒカリ 山形県産 令和元年産 受注精米 山形 産地直送 米</t>
        </is>
      </c>
      <c r="B322" t="inlineStr">
        <is>
          <t>￥9,480</t>
        </is>
      </c>
      <c r="C322" t="inlineStr">
        <is>
          <t>4.2</t>
        </is>
      </c>
      <c r="D322">
        <f>HYPERLINK("https://www.amazon.co.jp/2018%E5%B9%B4%E7%94%A3-%E5%B1%B1%E5%BD%A2%E7%9C%8C%E7%94%A3-%E3%82%B3%E3%82%B7%E3%83%92%E3%82%AB%E3%83%AA-20kg-%E5%8E%B3%E9%81%B8%E8%BE%B2%E5%AE%B6%E3%81%8C%E4%BD%9C%E3%81%A3%E3%81%9F%E8%87%AA%E6%85%A2%E3%81%AE%E3%81%8A%E7%B1%B3/dp/B07NDBXGK9/ref=sr_1_303?__mk_ja_JP=%E3%82%AB%E3%82%BF%E3%82%AB%E3%83%8A&amp;dchild=1&amp;keywords=%E7%B1%B3&amp;qid=1598693100&amp;sr=8-303", "Go")</f>
        <v/>
      </c>
    </row>
    <row r="323">
      <c r="A323" t="inlineStr">
        <is>
          <t>【精米】佐賀県産 無洗米 夢しずく 5kg 令和元年産</t>
        </is>
      </c>
      <c r="B323" t="inlineStr">
        <is>
          <t>￥2,580</t>
        </is>
      </c>
      <c r="C323" t="inlineStr">
        <is>
          <t>4.1</t>
        </is>
      </c>
      <c r="D323">
        <f>HYPERLINK("https://www.amazon.co.jp/%E3%80%90%E7%B2%BE%E7%B1%B3%E3%80%91%E4%BD%90%E8%B3%80%E7%9C%8C%E7%94%A3-%E7%84%A1%E6%B4%97%E7%B1%B3-%E5%A4%A2%E3%81%97%E3%81%9A%E3%81%8F-5kg-%E5%B9%B3%E6%88%9030%E5%B9%B4%E7%94%A3/dp/B008XF7SNQ/ref=sr_1_304?__mk_ja_JP=%E3%82%AB%E3%82%BF%E3%82%AB%E3%83%8A&amp;dchild=1&amp;keywords=%E7%B1%B3&amp;qid=1598693100&amp;sr=8-304", "Go")</f>
        <v/>
      </c>
    </row>
    <row r="324">
      <c r="A324" t="inlineStr">
        <is>
          <t>山口県産萩原さんちの「萩原さんちのミルキークイーン」 (白米)</t>
        </is>
      </c>
      <c r="B324" t="inlineStr">
        <is>
          <t>￥1,000</t>
        </is>
      </c>
      <c r="C324" t="inlineStr">
        <is>
          <t>5</t>
        </is>
      </c>
      <c r="D324">
        <f>HYPERLINK("https://www.amazon.co.jp/%E7%AC%91%E9%A1%94%E3%82%BB%E3%83%AC%E3%82%AF%E3%83%88-%E5%B1%B1%E5%8F%A3%E7%9C%8C%E7%94%A3%E8%90%A9%E5%8E%9F%E3%81%95%E3%82%93%E3%81%A1%E3%81%AE%E3%80%8C%E8%90%A9%E5%8E%9F%E3%81%95%E3%82%93%E3%81%A1%E3%81%AE%E3%83%9F%E3%83%AB%E3%82%AD%E3%83%BC%E3%82%AF%E3%82%A4%E3%83%BC%E3%83%B3%E3%80%8D-%E7%99%BD%E7%B1%B3/dp/B06ZYWZ7JM/ref=sr_1_305_sspa?__mk_ja_JP=%E3%82%AB%E3%82%BF%E3%82%AB%E3%83%8A&amp;dchild=1&amp;keywords=%E7%B1%B3&amp;qid=1598693100&amp;sr=8-305-spons&amp;psc=1&amp;spLa=ZW5jcnlwdGVkUXVhbGlmaWVyPUEyU0k0UVZIM0NRQlkmZW5jcnlwdGVkSWQ9QTA0Njc0ODQxT1FXWDdVSDJQNFpZJmVuY3J5cHRlZEFkSWQ9QTJETVBXNjRSMDlZM0wmd2lkZ2V0TmFtZT1zcF9tdGYmYWN0aW9uPWNsaWNrUmVkaXJlY3QmZG9Ob3RMb2dDbGljaz10cnVl", "Go")</f>
        <v/>
      </c>
    </row>
    <row r="325">
      <c r="A325" t="inlineStr">
        <is>
          <t>【新米予約】新潟県産 コシヒカリ 山並 白米 5kg 令和２年産 【9月17日頃入荷予定】</t>
        </is>
      </c>
      <c r="B325" t="inlineStr">
        <is>
          <t>￥2,980</t>
        </is>
      </c>
      <c r="C325" t="inlineStr">
        <is>
          <t>4.3</t>
        </is>
      </c>
      <c r="D325">
        <f>HYPERLINK("https://www.amazon.co.jp/%E3%80%90%E6%96%B0%E7%B1%B3-%E4%BA%88%E7%B4%84%E3%80%91%E6%96%B0%E6%BD%9F%E7%9C%8C%E7%94%A3-%E3%82%B3%E3%82%B7%E3%83%92%E3%82%AB%E3%83%AA-%E5%B9%B3%E6%88%9030%E5%B9%B4%E7%94%A3-5kg/dp/B01KSX8HZI/ref=sr_1_307_sspa?__mk_ja_JP=%E3%82%AB%E3%82%BF%E3%82%AB%E3%83%8A&amp;dchild=1&amp;keywords=%E7%B1%B3&amp;qid=1598693100&amp;sr=8-307-spons&amp;psc=1&amp;spLa=ZW5jcnlwdGVkUXVhbGlmaWVyPUEyU0k0UVZIM0NRQlkmZW5jcnlwdGVkSWQ9QTA0Njc0ODQxT1FXWDdVSDJQNFpZJmVuY3J5cHRlZEFkSWQ9QTM2RDIxWDJBQko3Wk0md2lkZ2V0TmFtZT1zcF9tdGYmYWN0aW9uPWNsaWNrUmVkaXJlY3QmZG9Ob3RMb2dDbGljaz10cnVl", "Go")</f>
        <v/>
      </c>
    </row>
    <row r="326">
      <c r="A326" t="inlineStr">
        <is>
          <t>金芽米(無洗米)ハイセレクト 9kg【4.5kg×2袋】</t>
        </is>
      </c>
      <c r="B326" t="inlineStr">
        <is>
          <t>￥4,580</t>
        </is>
      </c>
      <c r="C326" t="inlineStr">
        <is>
          <t>4.1</t>
        </is>
      </c>
      <c r="D326">
        <f>HYPERLINK("https://www.amazon.co.jp/%E6%9D%B1%E6%B4%8B%E3%83%A9%E3%82%A4%E3%82%B9-%E9%87%91%E8%8A%BD%E7%B1%B3-%E7%84%A1%E6%B4%97%E7%B1%B3-%E3%83%8F%E3%82%A4%E3%82%BB%E3%83%AC%E3%82%AF%E3%83%88-9kg%E3%80%904-5kg%C3%972%E8%A2%8B%E3%80%91/dp/B00JXBAYTY/ref=sr_1_308?__mk_ja_JP=%E3%82%AB%E3%82%BF%E3%82%AB%E3%83%8A&amp;dchild=1&amp;keywords=%E7%B1%B3&amp;qid=1598693100&amp;sr=8-308", "Go")</f>
        <v/>
      </c>
    </row>
    <row r="327">
      <c r="A327" t="inlineStr">
        <is>
          <t>【精米】茨城県産 白米 コシヒカリ 10kg 令和元年産</t>
        </is>
      </c>
      <c r="B327" t="inlineStr">
        <is>
          <t>￥5,080</t>
        </is>
      </c>
      <c r="C327" t="inlineStr">
        <is>
          <t>4.1</t>
        </is>
      </c>
      <c r="D327">
        <f>HYPERLINK("https://www.amazon.co.jp/%E3%80%90%E7%B2%BE%E7%B1%B3%E3%80%91%E8%8C%A8%E5%9F%8E%E7%9C%8C%E7%94%A3-%E7%99%BD%E7%B1%B3-%E3%82%B3%E3%82%B7%E3%83%92%E3%82%AB%E3%83%AA-10kg-%E5%B9%B3%E6%88%9030%E5%B9%B4%E7%94%A3/dp/B00N0ALJ66/ref=sr_1_309?__mk_ja_JP=%E3%82%AB%E3%82%BF%E3%82%AB%E3%83%8A&amp;dchild=1&amp;keywords=%E7%B1%B3&amp;qid=1598693100&amp;sr=8-309", "Go")</f>
        <v/>
      </c>
    </row>
    <row r="328">
      <c r="A328" t="inlineStr">
        <is>
          <t>【精米】新潟県産 お米の横綱 魚沼産コシヒカリ 5kg 令和元年産</t>
        </is>
      </c>
      <c r="B328" t="inlineStr"/>
      <c r="C328" t="inlineStr">
        <is>
          <t>4.1</t>
        </is>
      </c>
      <c r="D328">
        <f>HYPERLINK("https://www.amazon.co.jp/%E3%80%90%E7%B2%BE%E7%B1%B3%E3%80%91%E6%96%B0%E6%BD%9F%E7%9C%8C%E7%94%A3-%E3%81%8A%E7%B1%B3%E3%81%AE%E6%A8%AA%E7%B6%B1-%E9%AD%9A%E6%B2%BC%E7%94%A3%E3%82%B3%E3%82%B7%E3%83%92%E3%82%AB%E3%83%AA-5kg-%E5%B9%B3%E6%88%9029%E5%B9%B4%E7%94%A3/dp/B001HYWC04/ref=sr_1_310?__mk_ja_JP=%E3%82%AB%E3%82%BF%E3%82%AB%E3%83%8A&amp;dchild=1&amp;keywords=%E7%B1%B3&amp;qid=1598693100&amp;sr=8-310", "Go")</f>
        <v/>
      </c>
    </row>
    <row r="329">
      <c r="A329" t="inlineStr">
        <is>
          <t>【精米】新潟県魚沼産 白米 お米の横綱 コシヒカリ 5kg 令和元年産</t>
        </is>
      </c>
      <c r="B329" t="inlineStr">
        <is>
          <t>￥2,913</t>
        </is>
      </c>
      <c r="C329" t="inlineStr">
        <is>
          <t>4.1</t>
        </is>
      </c>
      <c r="D329">
        <f>HYPERLINK("https://www.amazon.co.jp/%E3%80%90%E7%B2%BE%E7%B1%B3%E3%80%91%E6%96%B0%E6%BD%9F%E7%9C%8C%E9%AD%9A%E6%B2%BC%E7%94%A3-%E3%81%8A%E7%B1%B3%E3%81%AE%E6%A8%AA%E7%B6%B1-%E3%82%B3%E3%82%B7%E3%83%92%E3%82%AB%E3%83%AA-5kg-%E5%B9%B3%E6%88%9030%E5%B9%B4%E7%94%A3/dp/B071WRJ1J2/ref=sr_1_311?__mk_ja_JP=%E3%82%AB%E3%82%BF%E3%82%AB%E3%83%8A&amp;dchild=1&amp;keywords=%E7%B1%B3&amp;qid=1598693100&amp;s=pantry&amp;sr=8-311", "Go")</f>
        <v/>
      </c>
    </row>
    <row r="330">
      <c r="A330" t="inlineStr">
        <is>
          <t>令和２年産【新米】　高知県産コシヒカリ　25kg【玄米】</t>
        </is>
      </c>
      <c r="B330" t="inlineStr">
        <is>
          <t>￥9,480</t>
        </is>
      </c>
      <c r="C330" t="inlineStr">
        <is>
          <t>4</t>
        </is>
      </c>
      <c r="D330">
        <f>HYPERLINK("https://www.amazon.co.jp/%E3%82%84%E3%81%BE%E3%81%B3%E3%81%93%E6%9D%91%E8%BE%B2%E5%9C%92-%E3%80%90%E6%96%B0%E7%B1%B3%E3%80%91%E3%80%90%E9%80%81%E6%96%99%E7%84%A1%E6%96%99%E3%80%9130%E5%B9%B4%E7%94%A3-%E9%AB%98%E7%9F%A5%E7%9C%8C%E7%94%A3%E3%82%B3%E3%82%B7%E3%83%92%E3%82%AB%E3%83%AA-25kg%E3%80%90%E7%8E%84%E7%B1%B3%E3%80%91/dp/B00MA3Q26G/ref=sr_1_312?__mk_ja_JP=%E3%82%AB%E3%82%BF%E3%82%AB%E3%83%8A&amp;dchild=1&amp;keywords=%E7%B1%B3&amp;qid=1598693100&amp;sr=8-312", "Go")</f>
        <v/>
      </c>
    </row>
    <row r="331">
      <c r="A331" t="inlineStr">
        <is>
          <t>清流米ひとめぼれ 【精米】宮城県登米市産 無洗米 ひとめぼれ 10kg（5kg×2）</t>
        </is>
      </c>
      <c r="B331" t="inlineStr">
        <is>
          <t>￥4,580</t>
        </is>
      </c>
      <c r="C331" t="inlineStr">
        <is>
          <t>4.1</t>
        </is>
      </c>
      <c r="D331">
        <f>HYPERLINK("https://www.amazon.co.jp/%E6%B8%85%E6%B5%81%E7%B1%B3%E3%81%B2%E3%81%A8%E3%82%81%E3%81%BC%E3%82%8C-%E3%80%90%E7%B2%BE%E7%B1%B3%E3%80%91%E5%AE%AE%E5%9F%8E%E7%9C%8C%E7%99%BB%E7%B1%B3%E5%B8%82%E7%94%A3-%E7%84%A1%E6%B4%97%E7%B1%B3-%E3%81%B2%E3%81%A8%E3%82%81%E3%81%BC%E3%82%8C-10kg%EF%BC%885kg%C3%972%EF%BC%89/dp/B005E7OLP4/ref=sr_1_313?__mk_ja_JP=%E3%82%AB%E3%82%BF%E3%82%AB%E3%83%8A&amp;dchild=1&amp;keywords=%E7%B1%B3&amp;qid=1598693100&amp;sr=8-313", "Go")</f>
        <v/>
      </c>
    </row>
    <row r="332">
      <c r="A332" t="inlineStr">
        <is>
          <t>国内産　オリジナルブレンド米　日本の味 お米 (10kg)</t>
        </is>
      </c>
      <c r="B332" t="inlineStr">
        <is>
          <t>￥2,880</t>
        </is>
      </c>
      <c r="C332" t="inlineStr">
        <is>
          <t>4.1</t>
        </is>
      </c>
      <c r="D332">
        <f>HYPERLINK("https://www.amazon.co.jp/%E8%BE%B2%E5%AE%B6%E3%81%AE%E3%81%8A%E5%BA%97%E3%81%8A%E3%81%A6%E3%82%93%E3%81%A8%E3%81%95%E3%82%93-%E5%9B%BD%E5%86%85%E7%94%A3-%E3%82%AA%E3%83%AA%E3%82%B8%E3%83%8A%E3%83%AB%E3%83%96%E3%83%AC%E3%83%B3%E3%83%89%E7%B1%B3-%E6%97%A5%E6%9C%AC%E3%81%AE%E5%91%B3-10kg-1%E8%A2%8B-%E3%81%8A%E7%B1%B3/dp/B07XJ2PMFJ/ref=sr_1_314?__mk_ja_JP=%E3%82%AB%E3%82%BF%E3%82%AB%E3%83%8A&amp;dchild=1&amp;keywords=%E7%B1%B3&amp;qid=1598693100&amp;sr=8-314", "Go")</f>
        <v/>
      </c>
    </row>
    <row r="333">
      <c r="A333" t="inlineStr">
        <is>
          <t>【精米】 福島県産 ミルキークイーン 5kg 白米 令和元年産 【会津CROPS】 【グラントマト】</t>
        </is>
      </c>
      <c r="B333" t="inlineStr">
        <is>
          <t>￥2,699</t>
        </is>
      </c>
      <c r="C333" t="inlineStr">
        <is>
          <t>4.2</t>
        </is>
      </c>
      <c r="D333">
        <f>HYPERLINK("https://www.amazon.co.jp/%E4%BC%9A%E6%B4%A5CROPSby%E3%82%B0%E3%83%A9%E3%83%B3%E3%83%88%E3%83%9E%E3%83%88-%E3%80%90%E7%B2%BE%E7%B1%B3%E3%80%91%E7%A6%8F%E5%B3%B6%E7%9C%8C%E7%94%A3-%E7%99%BD%E7%B1%B3-%E3%83%9F%E3%83%AB%E3%82%AD%E3%83%BC%E3%82%AF%E3%82%A4%E3%83%BC%E3%83%B3-5kg-%E5%B9%B3%E6%88%9029%E5%B9%B4%E7%94%A3-%E3%80%90%E4%BC%9A%E6%B4%A5CROPS%E3%80%91%E3%80%90%E3%82%B0%E3%83%A9%E3%83%B3%E3%83%88%E3%83%9E%E3%83%88%E3%80%91/dp/B01ABPXXB6/ref=sr_1_315?__mk_ja_JP=%E3%82%AB%E3%82%BF%E3%82%AB%E3%83%8A&amp;dchild=1&amp;keywords=%E7%B1%B3&amp;qid=1598693100&amp;sr=8-315", "Go")</f>
        <v/>
      </c>
    </row>
    <row r="334">
      <c r="A334" t="inlineStr">
        <is>
          <t>【農家直売】令和元年産 魚沼産コシヒカリ 無洗米 ５ｋｇ 魚沼市推奨コシヒカリ</t>
        </is>
      </c>
      <c r="B334" t="inlineStr">
        <is>
          <t>￥3,650</t>
        </is>
      </c>
      <c r="C334" t="inlineStr">
        <is>
          <t>4.1</t>
        </is>
      </c>
      <c r="D334">
        <f>HYPERLINK("https://www.amazon.co.jp/%E3%82%BF%E3%82%A4%E3%83%A0%E3%82%BB%E3%83%BC%E3%83%AB%E3%80%90%E8%BE%B2%E5%AE%B6%E7%9B%B4%E5%A3%B2%E3%80%91%E4%BB%A4%E5%92%8C%E5%85%83%E5%B9%B4%E7%94%A3-%E9%AD%9A%E6%B2%BC%E7%94%A3%E3%82%B3%E3%82%B7%E3%83%92%E3%82%AB%E3%83%AA-%E7%84%A1%E6%B4%97%E7%B1%B3-%EF%BC%95%EF%BD%8B%EF%BD%87-%E9%AD%9A%E6%B2%BC%E5%B8%82%E6%8E%A8%E5%A5%A8%E3%82%B3%E3%82%B7%E3%83%92%E3%82%AB%E3%83%AA/dp/B07Y1DQB7W/ref=sr_1_316?__mk_ja_JP=%E3%82%AB%E3%82%BF%E3%82%AB%E3%83%8A&amp;dchild=1&amp;keywords=%E7%B1%B3&amp;qid=1598693100&amp;sr=8-316", "Go")</f>
        <v/>
      </c>
    </row>
    <row r="335">
      <c r="A335" t="inlineStr">
        <is>
          <t>新米【玄米】 2019年山形県産 はえぬき 30kg ［石抜き済］</t>
        </is>
      </c>
      <c r="B335" t="inlineStr">
        <is>
          <t>￥8,200</t>
        </is>
      </c>
      <c r="C335" t="inlineStr">
        <is>
          <t>4.4</t>
        </is>
      </c>
      <c r="D335">
        <f>HYPERLINK("https://www.amazon.co.jp/%E3%82%84%E3%81%BE%E3%81%8C%E3%81%9F%E3%83%95%E3%82%A1%E3%83%BC%E3%83%A0-%E3%80%90%E7%8E%84%E7%B1%B3%E3%80%91-%E5%B9%B3%E6%88%90%EF%BC%92%EF%BC%99%E5%B9%B4%E5%B1%B1%E5%BD%A2%E7%9C%8C%E7%94%A3-%E3%82%B3%E3%82%B7%E3%83%92%E3%82%AB%E3%83%AA-30kg/dp/B00TO3GXYG/ref=sr_1_317?__mk_ja_JP=%E3%82%AB%E3%82%BF%E3%82%AB%E3%83%8A&amp;dchild=1&amp;keywords=%E7%B1%B3&amp;qid=1598693100&amp;sr=8-317", "Go")</f>
        <v/>
      </c>
    </row>
    <row r="336">
      <c r="A336" t="inlineStr">
        <is>
          <t>山形県産 特別栽培 つや姫 減農薬 白米 特A お米 令和元年産 (5kg)</t>
        </is>
      </c>
      <c r="B336" t="inlineStr">
        <is>
          <t>￥3,998</t>
        </is>
      </c>
      <c r="C336" t="inlineStr">
        <is>
          <t>4.4</t>
        </is>
      </c>
      <c r="D336">
        <f>HYPERLINK("https://www.amazon.co.jp/%E5%B1%B1%E5%BD%A2%E7%9C%8C%E7%94%A3-%E7%89%B9%E5%88%A5%E6%A0%BD%E5%9F%B9-%E3%81%A4%E3%82%84%E5%A7%AB-%E6%B8%9B%E8%BE%B2%E8%96%AC-%E4%BB%A4%E5%92%8C%E5%85%83%E5%B9%B4%E7%94%A3/dp/B086WWN4R9/ref=sr_1_318?__mk_ja_JP=%E3%82%AB%E3%82%BF%E3%82%AB%E3%83%8A&amp;dchild=1&amp;keywords=%E7%B1%B3&amp;qid=1598693100&amp;sr=8-318", "Go")</f>
        <v/>
      </c>
    </row>
    <row r="337">
      <c r="A337" t="inlineStr">
        <is>
          <t>《令和元年産》【受注精米】厳選魚沼産コシヒカリ【精米】5kg</t>
        </is>
      </c>
      <c r="B337" t="inlineStr">
        <is>
          <t>￥3,580</t>
        </is>
      </c>
      <c r="C337" t="inlineStr">
        <is>
          <t>4.1</t>
        </is>
      </c>
      <c r="D337">
        <f>HYPERLINK("https://www.amazon.co.jp/%E9%AD%9A%E6%B2%BC%E7%94%A3%E3%82%B3%E3%82%B7%E3%83%92%E3%82%AB%E3%83%AA-%E3%80%90%E5%8F%97%E6%B3%A8%E7%B2%BE%E7%B1%B3%E3%80%91%E3%80%9030%E5%B9%B4%E7%94%A3%E6%96%B0%E7%B1%B3%E3%80%91%E5%8E%B3%E9%81%B8%E9%AD%9A%E6%B2%BC%E7%94%A3%E3%82%B3%E3%82%B7%E3%83%92%E3%82%AB%E3%83%AA%E3%80%90%E7%B2%BE%E7%B1%B3%E3%80%915kg/dp/B01JKTZWAO/ref=sr_1_319?__mk_ja_JP=%E3%82%AB%E3%82%BF%E3%82%AB%E3%83%8A&amp;dchild=1&amp;keywords=%E7%B1%B3&amp;qid=1598693100&amp;sr=8-319", "Go")</f>
        <v/>
      </c>
    </row>
    <row r="338">
      <c r="A338" t="inlineStr">
        <is>
          <t>新米 令和元年産 北海道蘭越産 ななつぼし 5ｋｇ</t>
        </is>
      </c>
      <c r="B338" t="inlineStr">
        <is>
          <t>￥2,780</t>
        </is>
      </c>
      <c r="C338" t="inlineStr">
        <is>
          <t>4.6</t>
        </is>
      </c>
      <c r="D338">
        <f>HYPERLINK("https://www.amazon.co.jp/%E3%81%AA%E3%81%AA%E3%81%A4%E3%81%BC%E3%81%97-30%E5%B9%B4%E7%94%A3%E6%96%B0%E7%B1%B3-%E5%8C%97%E6%B5%B7%E9%81%93%E8%98%AD%E8%B6%8A%E7%94%A3-5%EF%BD%8B%EF%BD%87/dp/B07GCG5JSS/ref=sr_1_320_sspa?__mk_ja_JP=%E3%82%AB%E3%82%BF%E3%82%AB%E3%83%8A&amp;dchild=1&amp;keywords=%E7%B1%B3&amp;qid=1598693100&amp;sr=8-320-spons&amp;psc=1&amp;spLa=ZW5jcnlwdGVkUXVhbGlmaWVyPUEyU0k0UVZIM0NRQlkmZW5jcnlwdGVkSWQ9QTA0Njc0ODQxT1FXWDdVSDJQNFpZJmVuY3J5cHRlZEFkSWQ9QThVUFpVVFMxMU8xQSZ3aWRnZXROYW1lPXNwX210ZiZhY3Rpb249Y2xpY2tSZWRpcmVjdCZkb05vdExvZ0NsaWNrPXRydWU=", "Go")</f>
        <v/>
      </c>
    </row>
    <row r="339">
      <c r="A339" t="inlineStr">
        <is>
          <t>限定特価（1等米使用）令和元年産 新潟産 コシヒカリ 5㎏ (食味分析80点以上）白米 精米 新潟県産 コシヒカリ 新潟 コシヒカリ お米</t>
        </is>
      </c>
      <c r="B339" t="inlineStr">
        <is>
          <t>￥2,660</t>
        </is>
      </c>
      <c r="C339" t="inlineStr">
        <is>
          <t>4.1</t>
        </is>
      </c>
      <c r="D339">
        <f>HYPERLINK("https://www.amazon.co.jp/dp/B07KS1PVD2/ref=sr_1_323?__mk_ja_JP=%E3%82%AB%E3%82%BF%E3%82%AB%E3%83%8A&amp;dchild=1&amp;keywords=%E7%B1%B3&amp;qid=1598693100&amp;sr=8-323", "Go")</f>
        <v/>
      </c>
    </row>
    <row r="340">
      <c r="A340" t="inlineStr">
        <is>
          <t>【精米】 無洗米 10kg (5kgx2袋) こつぶ姫 山形県産 白米</t>
        </is>
      </c>
      <c r="B340" t="inlineStr">
        <is>
          <t>￥3,780</t>
        </is>
      </c>
      <c r="C340" t="inlineStr">
        <is>
          <t>4.1</t>
        </is>
      </c>
      <c r="D340">
        <f>HYPERLINK("https://www.amazon.co.jp/%E6%9C%89-%E9%98%BF%E9%83%A8%E3%83%99%E3%82%A4%E3%82%B3%E3%82%AF-%E9%98%BF%E9%83%A8%E3%83%99%E3%82%A4%E3%82%B3%E3%82%AF%E3%81%AE%E3%81%93%E3%81%A4%E3%81%B6%E5%A7%AB-10kg-%E5%B1%B1%E5%BD%A2%E7%9C%8C%E7%9B%B4%E9%80%81/dp/B00RBVURBI/ref=sr_1_324?__mk_ja_JP=%E3%82%AB%E3%82%BF%E3%82%AB%E3%83%8A&amp;dchild=1&amp;keywords=%E7%B1%B3&amp;qid=1598693100&amp;sr=8-324", "Go")</f>
        <v/>
      </c>
    </row>
    <row r="341">
      <c r="A341" t="inlineStr">
        <is>
          <t>おらが自慢の米（国産）　10kg(5kg×2) 白米 お米 ブレンド</t>
        </is>
      </c>
      <c r="B341" t="inlineStr">
        <is>
          <t>￥3,880</t>
        </is>
      </c>
      <c r="C341" t="inlineStr">
        <is>
          <t>4.1</t>
        </is>
      </c>
      <c r="D341">
        <f>HYPERLINK("https://www.amazon.co.jp/%E3%81%8A%E3%82%89%E3%81%8C%E8%87%AA%E6%85%A2%E3%81%AE%E7%B1%B3%EF%BC%88%E5%9B%BD%E7%94%A3%EF%BC%89-10kg-5kg%C3%972-%E7%99%BD%E7%B1%B3-%E3%81%8A%E7%B1%B3-%E3%83%96%E3%83%AC%E3%83%B3%E3%83%89/dp/B00AUC488I/ref=sr_1_325?__mk_ja_JP=%E3%82%AB%E3%82%BF%E3%82%AB%E3%83%8A&amp;dchild=1&amp;keywords=%E7%B1%B3&amp;qid=1598693100&amp;sr=8-325", "Go")</f>
        <v/>
      </c>
    </row>
    <row r="342">
      <c r="A342" t="inlineStr">
        <is>
          <t>【精米】秋田県産 あきたこまち 10㎏ 令和元年産</t>
        </is>
      </c>
      <c r="B342" t="inlineStr">
        <is>
          <t>￥ 5,047</t>
        </is>
      </c>
      <c r="C342" t="inlineStr">
        <is>
          <t>4.2</t>
        </is>
      </c>
      <c r="D342">
        <f>HYPERLINK("https://www.amazon.co.jp/%E6%9D%89%E7%94%B0%E5%95%86%E5%BA%97-%E3%80%90%E7%B2%BE%E7%B1%B3%E3%80%91%E7%A7%8B%E7%94%B0%E7%9C%8C%E7%94%A3-%E3%81%82%E3%81%8D%E3%81%9F%E3%81%93%E3%81%BE%E3%81%A1-10%E3%8E%8F-%E5%B9%B3%E6%88%9030%E5%B9%B4%E7%94%A3/dp/B00KAT85NK/ref=sr_1_326?__mk_ja_JP=%E3%82%AB%E3%82%BF%E3%82%AB%E3%83%8A&amp;dchild=1&amp;keywords=%E7%B1%B3&amp;qid=1598693100&amp;sr=8-326", "Go")</f>
        <v/>
      </c>
    </row>
    <row r="343">
      <c r="A343" t="inlineStr">
        <is>
          <t>熊本のおいしいお米 森のくまさん 5kg×2 合計10kg 令和元年 熊本県産 単一原料米100%</t>
        </is>
      </c>
      <c r="B343" t="inlineStr">
        <is>
          <t>￥4,890</t>
        </is>
      </c>
      <c r="C343" t="inlineStr">
        <is>
          <t>4.3</t>
        </is>
      </c>
      <c r="D343">
        <f>HYPERLINK("https://www.amazon.co.jp/%E7%86%8A%E6%9C%AC%E3%81%AE%E3%81%8A%E3%81%84%E3%81%97%E3%81%84%E3%81%8A%E7%B1%B3-%E6%A3%AE%E3%81%AE%E3%81%8F%E3%81%BE%E3%81%95%E3%82%93-5kg%C3%972-%E5%90%88%E8%A8%8810kg-%E5%8D%98%E4%B8%80%E5%8E%9F%E6%96%99%E7%B1%B3100/dp/B088DBB58P/ref=sr_1_327?__mk_ja_JP=%E3%82%AB%E3%82%BF%E3%82%AB%E3%83%8A&amp;dchild=1&amp;keywords=%E7%B1%B3&amp;qid=1598693100&amp;sr=8-327", "Go")</f>
        <v/>
      </c>
    </row>
    <row r="344">
      <c r="A344" t="inlineStr">
        <is>
          <t>新米 令和2年 徳島県産 白米 コシヒカリ (10kg)</t>
        </is>
      </c>
      <c r="B344" t="inlineStr">
        <is>
          <t>￥3,790</t>
        </is>
      </c>
      <c r="C344" t="inlineStr">
        <is>
          <t>4.2</t>
        </is>
      </c>
      <c r="D344">
        <f>HYPERLINK("https://www.amazon.co.jp/%E6%96%B0%E7%B1%B3-%E5%BE%B3%E5%B3%B6%E7%9C%8C%E7%94%A3-%E3%82%B3%E3%82%B7%E3%83%92%E3%82%AB%E3%83%AA-10kg-%E5%B9%B3%E6%88%9030%E5%B9%B4%E7%94%A3/dp/B00ELLTKZA/ref=sr_1_328?__mk_ja_JP=%E3%82%AB%E3%82%BF%E3%82%AB%E3%83%8A&amp;dchild=1&amp;keywords=%E7%B1%B3&amp;qid=1598693100&amp;sr=8-328", "Go")</f>
        <v/>
      </c>
    </row>
    <row r="345">
      <c r="A345" t="inlineStr">
        <is>
          <t>《令和元年新米》【受注精米】新潟県産新之助 2kg×2袋 （精米）</t>
        </is>
      </c>
      <c r="B345" t="inlineStr">
        <is>
          <t>￥3,280</t>
        </is>
      </c>
      <c r="C345" t="inlineStr">
        <is>
          <t>4.5</t>
        </is>
      </c>
      <c r="D345">
        <f>HYPERLINK("https://www.amazon.co.jp/%E3%81%8A%E7%B1%B3%E3%81%AE%E3%81%9F%E3%81%8B%E3%81%95%E3%81%8B-%E3%80%90%E5%8F%97%E6%B3%A8%E7%B2%BE%E7%B1%B3%E3%80%9130%E5%B9%B4%E7%94%A3%E6%96%B0%E6%BD%9F%E7%9C%8C%E7%94%A3%E6%96%B0%E4%B9%8B%E5%8A%A9-2kg%C3%972%E8%A2%8B-%EF%BC%88%E7%B2%BE%E7%B1%B3%EF%BC%89/dp/B07JVRZ9PR/ref=sr_1_330?__mk_ja_JP=%E3%82%AB%E3%82%BF%E3%82%AB%E3%83%8A&amp;dchild=1&amp;keywords=%E7%B1%B3&amp;qid=1598693100&amp;sr=8-330", "Go")</f>
        <v/>
      </c>
    </row>
    <row r="346">
      <c r="A346" t="inlineStr">
        <is>
          <t>【精米】山形県産 特別栽培米 白米 「特A」連続受賞米 つや姫 5kgx2袋 令和元年産</t>
        </is>
      </c>
      <c r="B346" t="inlineStr">
        <is>
          <t>￥6,120</t>
        </is>
      </c>
      <c r="C346" t="inlineStr">
        <is>
          <t>4.5</t>
        </is>
      </c>
      <c r="D346">
        <f>HYPERLINK("https://www.amazon.co.jp/%E3%80%90%E7%B2%BE%E7%B1%B3%E3%80%91%E5%B1%B1%E5%BD%A2%E7%9C%8C%E7%94%A3-%E7%89%B9%E5%88%A5%E6%A0%BD%E5%9F%B9%E7%B1%B3-%E3%81%A4%E3%82%84%E5%A7%AB%E7%A0%94%E7%A9%B6%E4%BC%9A-5kgx2%E8%A2%8B-%E5%B9%B3%E6%88%9030%E5%B9%B4%E7%94%A3/dp/B009NQ6FDS/ref=sr_1_331?__mk_ja_JP=%E3%82%AB%E3%82%BF%E3%82%AB%E3%83%8A&amp;dchild=1&amp;keywords=%E7%B1%B3&amp;qid=1598693100&amp;sr=8-331", "Go")</f>
        <v/>
      </c>
    </row>
    <row r="347">
      <c r="A347" t="inlineStr">
        <is>
          <t>精米 新潟県産 新之助 令和元年産 安心安全な特別栽培米 越後の米穀商高田屋 (5kg)</t>
        </is>
      </c>
      <c r="B347" t="inlineStr">
        <is>
          <t>￥3,700</t>
        </is>
      </c>
      <c r="C347" t="inlineStr">
        <is>
          <t>4.1</t>
        </is>
      </c>
      <c r="D347">
        <f>HYPERLINK("https://www.amazon.co.jp/%E6%96%B0%E6%BD%9F%E7%9C%8C%E7%94%A3-%E6%96%B0%E4%B9%8B%E5%8A%A9-%E5%B9%B3%E6%88%9030%E5%B9%B4%E7%94%A3-%E5%AE%89%E5%BF%83%E5%AE%89%E5%85%A8%E3%81%AA%E7%89%B9%E5%88%A5%E6%A0%BD%E5%9F%B9%E7%B1%B3-%E8%B6%8A%E5%BE%8C%E3%81%AE%E7%B1%B3%E7%A9%80%E5%95%86%E9%AB%98%E7%94%B0%E5%B1%8B/dp/B075CFNG2N/ref=sr_1_332?__mk_ja_JP=%E3%82%AB%E3%82%BF%E3%82%AB%E3%83%8A&amp;dchild=1&amp;keywords=%E7%B1%B3&amp;qid=1598693100&amp;sr=8-332", "Go")</f>
        <v/>
      </c>
    </row>
    <row r="348">
      <c r="A348" t="inlineStr">
        <is>
          <t>【精米】新潟県魚沼産 コシヒカリ 2kg 令和元年産</t>
        </is>
      </c>
      <c r="B348" t="inlineStr">
        <is>
          <t>￥ 5,087</t>
        </is>
      </c>
      <c r="C348" t="inlineStr">
        <is>
          <t>4.1</t>
        </is>
      </c>
      <c r="D348">
        <f>HYPERLINK("https://www.amazon.co.jp/%E6%9D%89%E7%94%B0%E5%95%86%E5%BA%97-%E3%80%90%E7%B2%BE%E7%B1%B3%E3%80%91%E6%96%B0%E6%BD%9F%E7%9C%8C%E9%AD%9A%E6%B2%BC%E7%94%A3-%E3%82%B3%E3%82%B7%E3%83%92%E3%82%AB%E3%83%AA-2kg-%E5%B9%B3%E6%88%9030%E5%B9%B4%E7%94%A3/dp/B00KAT7YA0/ref=sr_1_333?__mk_ja_JP=%E3%82%AB%E3%82%BF%E3%82%AB%E3%83%8A&amp;dchild=1&amp;keywords=%E7%B1%B3&amp;qid=1598693100&amp;sr=8-333", "Go")</f>
        <v/>
      </c>
    </row>
    <row r="349">
      <c r="A349" t="inlineStr">
        <is>
          <t>龍の瞳 いのちの壱 令和元年産 白米 (3kg)</t>
        </is>
      </c>
      <c r="B349" t="inlineStr">
        <is>
          <t>￥4,180</t>
        </is>
      </c>
      <c r="C349" t="inlineStr">
        <is>
          <t>4.1</t>
        </is>
      </c>
      <c r="D349">
        <f>HYPERLINK("https://www.amazon.co.jp/%E9%BE%8D%E3%81%AE%E7%9E%B3-%E3%81%84%E3%81%AE%E3%81%A1%E3%81%AE%E5%A3%B1-%E5%B9%B3%E6%88%9030%E5%B9%B4%E7%94%A3-%E7%99%BD%E7%B1%B3-3kg/dp/B00G6EJK7S/ref=sr_1_334?__mk_ja_JP=%E3%82%AB%E3%82%BF%E3%82%AB%E3%83%8A&amp;dchild=1&amp;keywords=%E7%B1%B3&amp;qid=1598693100&amp;sr=8-334", "Go")</f>
        <v/>
      </c>
    </row>
    <row r="350">
      <c r="A350" t="inlineStr">
        <is>
          <t>【精米】新潟県産 コシヒカリ 5kg 令和元年産</t>
        </is>
      </c>
      <c r="B350" t="inlineStr">
        <is>
          <t>￥ 2,913</t>
        </is>
      </c>
      <c r="C350" t="inlineStr">
        <is>
          <t>4.1</t>
        </is>
      </c>
      <c r="D350">
        <f>HYPERLINK("https://www.amazon.co.jp/%E6%9D%89%E7%94%B0%E5%95%86%E5%BA%97-%E3%80%90%E7%B2%BE%E7%B1%B3%E3%80%91%E6%96%B0%E6%BD%9F%E7%9C%8C%E7%94%A3-%E3%82%B3%E3%82%B7%E3%83%92%E3%82%AB%E3%83%AA-5kg-%E5%B9%B3%E6%88%9030%E5%B9%B4%E7%94%A3/dp/B00KAT7YKA/ref=sr_1_335?__mk_ja_JP=%E3%82%AB%E3%82%BF%E3%82%AB%E3%83%8A&amp;dchild=1&amp;keywords=%E7%B1%B3&amp;qid=1598693100&amp;sr=8-335", "Go")</f>
        <v/>
      </c>
    </row>
    <row r="351">
      <c r="A351" t="inlineStr">
        <is>
          <t>熊本県産 菊池米 10kg(5kg×2袋) 11年連続【特A】ランク受賞のお米</t>
        </is>
      </c>
      <c r="B351" t="inlineStr">
        <is>
          <t>￥4,860</t>
        </is>
      </c>
      <c r="C351" t="inlineStr">
        <is>
          <t>4.2</t>
        </is>
      </c>
      <c r="D351">
        <f>HYPERLINK("https://www.amazon.co.jp/%E7%86%8A%E6%9C%AC%E7%9C%8C%E7%94%A3-%E8%8F%8A%E6%B1%A0%E7%B1%B3-10kg-5kg%C3%972%E8%A2%8B-11%E5%B9%B4%E9%80%A3%E7%B6%9A%E3%80%90%E7%89%B9A%E3%80%91%E3%83%A9%E3%83%B3%E3%82%AF%E5%8F%97%E8%B3%9E%E3%81%AE%E3%81%8A%E7%B1%B3/dp/B084LCNWBK/ref=sr_1_336?__mk_ja_JP=%E3%82%AB%E3%82%BF%E3%82%AB%E3%83%8A&amp;dchild=1&amp;keywords=%E7%B1%B3&amp;qid=1598693100&amp;sr=8-336", "Go")</f>
        <v/>
      </c>
    </row>
    <row r="352">
      <c r="A352" t="inlineStr">
        <is>
          <t>【精米】 はくばく もっちり美味しい発芽玄米+五穀 1Kg</t>
        </is>
      </c>
      <c r="B352" t="inlineStr">
        <is>
          <t>￥923</t>
        </is>
      </c>
      <c r="C352" t="inlineStr">
        <is>
          <t>4.2</t>
        </is>
      </c>
      <c r="D352">
        <f>HYPERLINK("https://www.amazon.co.jp/4902571478621/dp/B085D21QL5/ref=sr_1_337?__mk_ja_JP=%E3%82%AB%E3%82%BF%E3%82%AB%E3%83%8A&amp;dchild=1&amp;keywords=%E7%B1%B3&amp;qid=1598693100&amp;sr=8-337", "Go")</f>
        <v/>
      </c>
    </row>
    <row r="353">
      <c r="A353" t="inlineStr">
        <is>
          <t>【精米】 あかふじソフトスチーム白米(75g×30入)</t>
        </is>
      </c>
      <c r="B353" t="inlineStr">
        <is>
          <t>￥2,545</t>
        </is>
      </c>
      <c r="C353" t="inlineStr">
        <is>
          <t>4.4</t>
        </is>
      </c>
      <c r="D353">
        <f>HYPERLINK("https://www.amazon.co.jp/poddi-poddi%EF%BC%88%E3%83%9D%E3%83%83%E3%83%87%E3%82%A3%EF%BC%89%E7%94%A8-%E3%82%BD%E3%83%95%E3%83%88%E3%82%B9%E3%83%81%E3%83%BC%E3%83%A0%E7%99%BD%E7%B1%B3-%E3%81%82%E3%81%8B%E3%81%B5%E3%81%98-75g%C3%9730-%E6%B5%B8%E6%BC%AC%E4%B8%8D%E8%A6%81%E3%83%BB%E7%84%A1%E6%B4%97%E7%B1%B3/dp/B07BDGQS9Q/ref=sr_1_338?__mk_ja_JP=%E3%82%AB%E3%82%BF%E3%82%AB%E3%83%8A&amp;dchild=1&amp;keywords=%E7%B1%B3&amp;qid=1598693100&amp;sr=8-338", "Go")</f>
        <v/>
      </c>
    </row>
    <row r="354">
      <c r="A354" t="inlineStr">
        <is>
          <t>【精米】 新潟県産 つきあかり 10kg （5kg×2袋） 令和元年産 新潟県直送</t>
        </is>
      </c>
      <c r="B354" t="inlineStr">
        <is>
          <t>￥4,880</t>
        </is>
      </c>
      <c r="C354" t="inlineStr">
        <is>
          <t>4.4</t>
        </is>
      </c>
      <c r="D354">
        <f>HYPERLINK("https://www.amazon.co.jp/30%E5%B9%B4%E7%94%A3-%E6%96%B0%E6%BD%9F%E7%9C%8C%E7%94%A3-%E3%81%A4%E3%81%8D%E3%81%82%E3%81%8B%E3%82%8A-5kg%C3%972%E8%A2%8B-10kg/dp/B07MZKXWK9/ref=sr_1_340?__mk_ja_JP=%E3%82%AB%E3%82%BF%E3%82%AB%E3%83%8A&amp;dchild=1&amp;keywords=%E7%B1%B3&amp;qid=1598693100&amp;sr=8-340", "Go")</f>
        <v/>
      </c>
    </row>
    <row r="355">
      <c r="A355" t="inlineStr">
        <is>
          <t>イタリア産 リーゾ カルナローリ 白米 1kg</t>
        </is>
      </c>
      <c r="B355" t="inlineStr">
        <is>
          <t>￥1,999</t>
        </is>
      </c>
      <c r="C355" t="inlineStr">
        <is>
          <t>4.3</t>
        </is>
      </c>
      <c r="D355">
        <f>HYPERLINK("https://www.amazon.co.jp/%E3%82%A4%E3%82%BF%E3%83%AA%E3%82%A2%E7%94%A3-%E3%83%AA%E3%83%BC%E3%82%BE-%E3%82%AB%E3%83%AB%E3%83%8A%E3%83%AD%E3%83%BC%E3%83%AA-%E7%99%BD%E7%B1%B3-1kg/dp/B008N3THB4/ref=sr_1_342?__mk_ja_JP=%E3%82%AB%E3%82%BF%E3%82%AB%E3%83%8A&amp;dchild=1&amp;keywords=%E7%B1%B3&amp;qid=1598693100&amp;sr=8-342", "Go")</f>
        <v/>
      </c>
    </row>
    <row r="356">
      <c r="A356" t="inlineStr">
        <is>
          <t>【令和元年産】【 白米】 食べ比べ お試しセット 10kg (5kg×2種) 【 北海道産 ななつぼし 5kg ・ 北海道産 ゆめぴりか 5kg】 【ハーベストシーズン】 【精米】【HARVEST SEASON】</t>
        </is>
      </c>
      <c r="B356" t="inlineStr">
        <is>
          <t>￥4,999</t>
        </is>
      </c>
      <c r="C356" t="inlineStr">
        <is>
          <t>4.1</t>
        </is>
      </c>
      <c r="D356">
        <f>HYPERLINK("https://www.amazon.co.jp/%E3%80%90%E7%B2%BE%E7%B1%B3%E3%80%91%E6%96%B0%E7%B1%B3-%E3%81%8A%E8%A9%A6%E3%81%97%E3%82%BB%E3%83%83%E3%83%88-%E3%80%90%E3%83%8F%E3%83%BC%E3%83%99%E3%82%B9%E3%83%88%E3%82%B7%E3%83%BC%E3%82%BA%E3%83%B3%E3%80%91-%E3%80%90HARVEST-SEASON%E3%80%91/dp/B01N6LM6JN/ref=sr_1_343?__mk_ja_JP=%E3%82%AB%E3%82%BF%E3%82%AB%E3%83%8A&amp;dchild=1&amp;keywords=%E7%B1%B3&amp;qid=1598693100&amp;sr=8-343", "Go")</f>
        <v/>
      </c>
    </row>
    <row r="357">
      <c r="A357" t="inlineStr">
        <is>
          <t>白米【鍋屋商店】元年千葉県産ミルキークイーン10kg（5kg×2）</t>
        </is>
      </c>
      <c r="B357" t="inlineStr">
        <is>
          <t>￥5,188</t>
        </is>
      </c>
      <c r="C357" t="inlineStr">
        <is>
          <t>4.1</t>
        </is>
      </c>
      <c r="D357">
        <f>HYPERLINK("https://www.amazon.co.jp/%E3%83%9F%E3%83%AB%E3%82%AD%E3%83%BC%E3%82%AF%E3%82%A4%E3%83%BC%E3%83%B3-%E3%80%90%E6%96%B0%E7%B1%B3%E3%80%9130%E5%B9%B4%E5%8D%83%E8%91%89%E7%9C%8C%E7%94%A3%E3%83%9F%E3%83%AB%E3%82%AD%E3%83%BC%E3%82%AF%E3%82%A4%E3%83%BC%E3%83%B310kg%EF%BC%885kg%C3%972%EF%BC%89/dp/B07D8QTDSW/ref=sr_1_344?__mk_ja_JP=%E3%82%AB%E3%82%BF%E3%82%AB%E3%83%8A&amp;dchild=1&amp;keywords=%E7%B1%B3&amp;qid=1598693100&amp;sr=8-344", "Go")</f>
        <v/>
      </c>
    </row>
    <row r="358">
      <c r="A358" t="inlineStr">
        <is>
          <t>【精米】 佐賀県 逢地の里 さがびより 特別栽培米 5kg 令和元年産 【五ツ星お米マイスター厳選】</t>
        </is>
      </c>
      <c r="B358" t="inlineStr">
        <is>
          <t>￥2,731</t>
        </is>
      </c>
      <c r="C358" t="inlineStr">
        <is>
          <t>4.7</t>
        </is>
      </c>
      <c r="D358">
        <f>HYPERLINK("https://www.amazon.co.jp/%E9%80%A2%E5%9C%B0%E3%81%AE%E9%87%8C-%E3%81%95%E3%81%8C%E3%81%B3%E3%82%88%E3%82%8A-%E7%89%B9%E5%88%A5%E6%A0%BD%E5%9F%B9%E7%B1%B3-%E5%B9%B3%E6%88%9030%E5%B9%B4%E7%94%A3-%E3%80%90%E4%BA%94%E3%83%84%E6%98%9F%E3%81%8A%E7%B1%B3%E3%83%9E%E3%82%A4%E3%82%B9%E3%82%BF%E3%83%BC%E5%8E%B3%E9%81%B8%E3%80%91/dp/B00JQ54W90/ref=sr_1_345?__mk_ja_JP=%E3%82%AB%E3%82%BF%E3%82%AB%E3%83%8A&amp;dchild=1&amp;keywords=%E7%B1%B3&amp;qid=1598693100&amp;sr=8-345", "Go")</f>
        <v/>
      </c>
    </row>
    <row r="359">
      <c r="A359" t="inlineStr">
        <is>
          <t>米 白米 特別栽培米 コシヒカリ 10kg(2kg×5袋) 京都丹後与謝野町産 令和元年 (2019年) 【米袋は真空包装】</t>
        </is>
      </c>
      <c r="B359" t="inlineStr">
        <is>
          <t>￥5,480</t>
        </is>
      </c>
      <c r="C359" t="inlineStr">
        <is>
          <t>4</t>
        </is>
      </c>
      <c r="D359">
        <f>HYPERLINK("https://www.amazon.co.jp/%E7%89%B9%E5%88%A5%E6%A0%BD%E5%9F%B9%E7%B1%B3-%E3%82%B3%E3%82%B7%E3%83%92%E3%82%AB%E3%83%AA-2kg%C3%975%E8%A2%8B-%E4%BA%AC%E9%83%BD%E4%B8%B9%E5%BE%8C%E4%B8%8E%E8%AC%9D%E9%87%8E%E7%94%BA%E7%94%A3-%E5%B9%B3%E6%88%9030%E5%B9%B4%E5%BA%A6%E7%94%A3/dp/B00PGX13B6/ref=sr_1_347_sspa?__mk_ja_JP=%E3%82%AB%E3%82%BF%E3%82%AB%E3%83%8A&amp;dchild=1&amp;keywords=%E7%B1%B3&amp;qid=1598693100&amp;sr=8-347-spons&amp;psc=1&amp;spLa=ZW5jcnlwdGVkUXVhbGlmaWVyPUEyU0k0UVZIM0NRQlkmZW5jcnlwdGVkSWQ9QTA0Njc0ODQxT1FXWDdVSDJQNFpZJmVuY3J5cHRlZEFkSWQ9QTFOUkxaWFM5U0VLWTAmd2lkZ2V0TmFtZT1zcF9idGYmYWN0aW9uPWNsaWNrUmVkaXJlY3QmZG9Ob3RMb2dDbGljaz10cnVl", "Go")</f>
        <v/>
      </c>
    </row>
    <row r="360">
      <c r="A360" t="inlineStr">
        <is>
          <t>米 白米 特A評価 いちほまれ 10kg(2kg×5袋) 福井県産 令和元年産(2019年)【米袋は真空包装】</t>
        </is>
      </c>
      <c r="B360" t="inlineStr">
        <is>
          <t>￥5,880</t>
        </is>
      </c>
      <c r="C360" t="inlineStr">
        <is>
          <t>4.3</t>
        </is>
      </c>
      <c r="D360">
        <f>HYPERLINK("https://www.amazon.co.jp/%E7%89%B9A%E8%A9%95%E4%BE%A1-%E3%81%84%E3%81%A1%E3%81%BB%E3%81%BE%E3%82%8C-10kg-2kg%C3%975%E8%A2%8B-%E5%B9%B3%E6%88%9030%E5%B9%B4%E5%BA%A6%E7%94%A3/dp/B07J1Q2H7X/ref=sr_1_348_sspa?__mk_ja_JP=%E3%82%AB%E3%82%BF%E3%82%AB%E3%83%8A&amp;dchild=1&amp;keywords=%E7%B1%B3&amp;qid=1598693100&amp;sr=8-348-spons&amp;psc=1&amp;spLa=ZW5jcnlwdGVkUXVhbGlmaWVyPUEyU0k0UVZIM0NRQlkmZW5jcnlwdGVkSWQ9QTA0Njc0ODQxT1FXWDdVSDJQNFpZJmVuY3J5cHRlZEFkSWQ9QTJWVE9TSDA1MUpRUUwmd2lkZ2V0TmFtZT1zcF9idGYmYWN0aW9uPWNsaWNrUmVkaXJlY3QmZG9Ob3RMb2dDbGljaz10cnVl", "Go")</f>
        <v/>
      </c>
    </row>
    <row r="361">
      <c r="A361" t="inlineStr">
        <is>
          <t>【農家直売】令和元年産 魚沼産コシヒカリ 無洗米 ５ｋｇ 魚沼市推奨コシヒカリ</t>
        </is>
      </c>
      <c r="B361" t="inlineStr">
        <is>
          <t>￥3,650</t>
        </is>
      </c>
      <c r="C361" t="inlineStr">
        <is>
          <t>4.1</t>
        </is>
      </c>
      <c r="D361">
        <f>HYPERLINK("https://www.amazon.co.jp/%E3%82%BF%E3%82%A4%E3%83%A0%E3%82%BB%E3%83%BC%E3%83%AB%E3%80%90%E8%BE%B2%E5%AE%B6%E7%9B%B4%E5%A3%B2%E3%80%91%E4%BB%A4%E5%92%8C%E5%85%83%E5%B9%B4%E7%94%A3-%E9%AD%9A%E6%B2%BC%E7%94%A3%E3%82%B3%E3%82%B7%E3%83%92%E3%82%AB%E3%83%AA-%E7%84%A1%E6%B4%97%E7%B1%B3-%EF%BC%95%EF%BD%8B%EF%BD%87-%E9%AD%9A%E6%B2%BC%E5%B8%82%E6%8E%A8%E5%A5%A8%E3%82%B3%E3%82%B7%E3%83%92%E3%82%AB%E3%83%AA/dp/B07Y1DQB7W/ref=sr_1_339_sspa?__mk_ja_JP=%E3%82%AB%E3%82%BF%E3%82%AB%E3%83%8A&amp;dchild=1&amp;keywords=%E7%B1%B3&amp;qid=1598693321&amp;sr=8-339-spons&amp;psc=1&amp;spLa=ZW5jcnlwdGVkUXVhbGlmaWVyPUEzSzk1Q0VVSEc1OThRJmVuY3J5cHRlZElkPUEwNDM1NDEyWVJFREFaOEhKT1hNJmVuY3J5cHRlZEFkSWQ9QTJQTzVPSFVHVUxZR1cmd2lkZ2V0TmFtZT1zcF9hdGZfbmV4dCZhY3Rpb249Y2xpY2tSZWRpcmVjdCZkb05vdExvZ0NsaWNrPXRydWU=", "Go")</f>
        <v/>
      </c>
    </row>
    <row r="362">
      <c r="A362" t="inlineStr">
        <is>
          <t>【玄米】もっと！銀しゃり亭 1年産 宮城県産 ３０ｋｇ (宮城県産つや姫)</t>
        </is>
      </c>
      <c r="B362" t="inlineStr">
        <is>
          <t>￥10,480</t>
        </is>
      </c>
      <c r="C362" t="inlineStr">
        <is>
          <t>4</t>
        </is>
      </c>
      <c r="D362">
        <f>HYPERLINK("https://www.amazon.co.jp/%E3%82%82%E3%81%A3%E3%81%A8%EF%BC%81%E9%8A%80%E3%81%97%E3%82%83%E3%82%8A%E4%BA%AD-%E3%80%90%E7%8E%84%E7%B1%B3%E3%80%91%E3%82%82%E3%81%A3%E3%81%A8%EF%BC%81%E9%8A%80%E3%81%97%E3%82%83%E3%82%8A%E4%BA%AD-%E5%AE%AE%E5%9F%8E%E7%9C%8C%E7%94%A3-%EF%BC%93%EF%BC%90%EF%BD%8B%EF%BD%87-%E5%AE%AE%E5%9F%8E%E7%9C%8C%E7%94%A3%E3%81%A4%E3%82%84%E5%A7%AB/dp/B07N776QDJ/ref=sr_1_340_sspa?__mk_ja_JP=%E3%82%AB%E3%82%BF%E3%82%AB%E3%83%8A&amp;dchild=1&amp;keywords=%E7%B1%B3&amp;qid=1598693321&amp;sr=8-340-spons&amp;psc=1&amp;spLa=ZW5jcnlwdGVkUXVhbGlmaWVyPUEzSzk1Q0VVSEc1OThRJmVuY3J5cHRlZElkPUEwNDM1NDEyWVJFREFaOEhKT1hNJmVuY3J5cHRlZEFkSWQ9QTFQNUU1VFFIM081RCZ3aWRnZXROYW1lPXNwX2F0Zl9uZXh0JmFjdGlvbj1jbGlja1JlZGlyZWN0JmRvTm90TG9nQ2xpY2s9dHJ1ZQ==", "Go")</f>
        <v/>
      </c>
    </row>
    <row r="363">
      <c r="A363" t="inlineStr">
        <is>
          <t>【令和元年産】三重県産 無洗米 コシヒカリ 5kg 【ハーベストシーズン】 【精米】【HARVEST SEASON】</t>
        </is>
      </c>
      <c r="B363" t="inlineStr">
        <is>
          <t>￥2,850</t>
        </is>
      </c>
      <c r="C363" t="inlineStr">
        <is>
          <t>4.7</t>
        </is>
      </c>
      <c r="D363">
        <f>HYPERLINK("https://www.amazon.co.jp/%E3%80%90%E7%B2%BE%E7%B1%B3%E3%80%91%E3%80%90%E6%96%B0%E7%B1%B3%E3%80%91-%E5%B9%B3%E6%88%9030%E5%B9%B4%E7%94%A3-%E3%80%90%E3%83%8F%E3%83%BC%E3%83%99%E3%82%B9%E3%83%88%E3%82%B7%E3%83%BC%E3%82%BA%E3%83%B3%E3%80%91-%E3%80%90HARVEST-SEASON%E3%80%91/dp/B00FU478D8/ref=sr_1_341?__mk_ja_JP=%E3%82%AB%E3%82%BF%E3%82%AB%E3%83%8A&amp;dchild=1&amp;keywords=%E7%B1%B3&amp;qid=1598693321&amp;sr=8-341", "Go")</f>
        <v/>
      </c>
    </row>
    <row r="364">
      <c r="A364" t="inlineStr">
        <is>
          <t>熊本県産精選玄米森のくまさん 3kg 令和元年産</t>
        </is>
      </c>
      <c r="B364" t="inlineStr">
        <is>
          <t>￥1,780</t>
        </is>
      </c>
      <c r="C364" t="inlineStr">
        <is>
          <t>4.6</t>
        </is>
      </c>
      <c r="D364">
        <f>HYPERLINK("https://www.amazon.co.jp/%E7%86%8A%E6%9C%AC%E3%83%91%E3%83%BC%E3%83%AB%E3%83%A9%E3%82%A4%E3%82%B9-%E7%86%8A%E6%9C%AC%E7%9C%8C%E7%94%A3%E7%B2%BE%E9%81%B8%E7%8E%84%E7%B1%B3%E6%A3%AE%E3%81%AE%E3%81%8F%E3%81%BE%E3%81%95%E3%82%93-3kg-%E5%B9%B3%E6%88%9030%E5%B9%B4%E7%94%A3/dp/B00U218X7E/ref=sr_1_342?__mk_ja_JP=%E3%82%AB%E3%82%BF%E3%82%AB%E3%83%8A&amp;dchild=1&amp;keywords=%E7%B1%B3&amp;qid=1598693321&amp;sr=8-342", "Go")</f>
        <v/>
      </c>
    </row>
    <row r="365">
      <c r="A365" t="inlineStr">
        <is>
          <t>【精米】 ろのわ 有機ほたる米(白米) 10kg</t>
        </is>
      </c>
      <c r="B365" t="inlineStr">
        <is>
          <t>￥11,991</t>
        </is>
      </c>
      <c r="C365" t="inlineStr">
        <is>
          <t>4.6</t>
        </is>
      </c>
      <c r="D365">
        <f>HYPERLINK("https://www.amazon.co.jp/%E3%82%8D%E3%81%AE%E3%82%8F-%E6%9C%89%E6%A9%9F%E3%81%BB%E3%81%9F%E3%82%8B%E7%B1%B3-%E7%99%BD%E7%B1%B3-10kg/dp/B07J2C3F1V/ref=sr_1_343?__mk_ja_JP=%E3%82%AB%E3%82%BF%E3%82%AB%E3%83%8A&amp;dchild=1&amp;keywords=%E7%B1%B3&amp;qid=1598693321&amp;sr=8-343", "Go")</f>
        <v/>
      </c>
    </row>
    <row r="366">
      <c r="A366" t="inlineStr">
        <is>
          <t>【精米】タイ米　香り米　ジャスミンライス5kg</t>
        </is>
      </c>
      <c r="B366" t="inlineStr">
        <is>
          <t>￥3,200</t>
        </is>
      </c>
      <c r="C366" t="inlineStr">
        <is>
          <t>4.1</t>
        </is>
      </c>
      <c r="D366">
        <f>HYPERLINK("https://www.amazon.co.jp/%E5%86%85%E9%87%8E%E7%B1%B3%E7%A9%80-%E3%82%BF%E3%82%A4%E7%B1%B3-%E9%A6%99%E3%82%8A%E7%B1%B3-%E3%82%B8%E3%83%A3%E3%82%B9%E3%83%9F%E3%83%B3%E3%83%A9%E3%82%A4%E3%82%B95kg/dp/B007UPQUPW/ref=sr_1_344?__mk_ja_JP=%E3%82%AB%E3%82%BF%E3%82%AB%E3%83%8A&amp;dchild=1&amp;keywords=%E7%B1%B3&amp;qid=1598693321&amp;sr=8-344", "Go")</f>
        <v/>
      </c>
    </row>
    <row r="367">
      <c r="A367" t="inlineStr">
        <is>
          <t>森源オリジナル佐賀産白米 27ｋｇ 【9ｋｇ×３袋】</t>
        </is>
      </c>
      <c r="B367" t="inlineStr">
        <is>
          <t>￥7,780</t>
        </is>
      </c>
      <c r="C367" t="inlineStr">
        <is>
          <t>4.1</t>
        </is>
      </c>
      <c r="D367">
        <f>HYPERLINK("https://www.amazon.co.jp/%E4%BD%90%E8%B3%80%E7%B1%B3-%E4%BD%90%E8%B3%80%E7%9C%8C%E7%94%A3-%E6%A3%AE%E6%BA%90%E3%82%AA%E3%83%AA%E3%82%B8%E3%83%8A%E3%83%AB%E7%99%BD%E7%B1%B3-27%EF%BD%8B%EF%BD%87-%E3%80%909%EF%BD%8B%EF%BD%87%C3%97%EF%BC%93%E8%A2%8B%E3%80%91/dp/B07H81J8LL/ref=sr_1_345?__mk_ja_JP=%E3%82%AB%E3%82%BF%E3%82%AB%E3%83%8A&amp;dchild=1&amp;keywords=%E7%B1%B3&amp;qid=1598693321&amp;sr=8-345", "Go")</f>
        <v/>
      </c>
    </row>
    <row r="368">
      <c r="A368" t="inlineStr">
        <is>
          <t>タイムセール【農家直売】越の金翔米こしひかり 無洗米５ｋｇ 新潟県産 特別栽培米 令和元年産</t>
        </is>
      </c>
      <c r="B368" t="inlineStr">
        <is>
          <t>￥3,430</t>
        </is>
      </c>
      <c r="C368" t="inlineStr">
        <is>
          <t>4.1</t>
        </is>
      </c>
      <c r="D368">
        <f>HYPERLINK("https://www.amazon.co.jp/%E6%96%B0%E6%BD%9F%E7%9C%8C%E7%94%A3-%E7%89%B9%E5%88%A5%E6%A0%BD%E5%9F%B9%E7%B1%B3-%E8%B6%8A%E3%81%AE%E9%87%91%E7%BF%94%E7%B1%B3-%E3%81%93%E3%81%97%E3%81%B2%E3%81%8B%E3%82%8A%EF%BC%93%EF%BC%90%E5%B9%B4%E7%94%A3%E3%80%90%E7%84%A1%E6%B4%97%E7%B1%B3%E3%80%91-%E5%AE%89%E5%BF%83%E5%AE%89%E5%85%A8%E3%81%AA%E3%81%8A%E7%B1%B3/dp/B00QEUYHTU/ref=sr_1_346?__mk_ja_JP=%E3%82%AB%E3%82%BF%E3%82%AB%E3%83%8A&amp;dchild=1&amp;keywords=%E7%B1%B3&amp;qid=1598693321&amp;sr=8-346", "Go")</f>
        <v/>
      </c>
    </row>
    <row r="369">
      <c r="A369" t="inlineStr">
        <is>
          <t>《令和元年新米》【お弁当に最適】【研ぎ洗い不要】令和元年産新潟県産こしいぶき 5kgｘ2袋（無洗米）</t>
        </is>
      </c>
      <c r="B369" t="inlineStr">
        <is>
          <t>￥4,980</t>
        </is>
      </c>
      <c r="C369" t="inlineStr">
        <is>
          <t>4.3</t>
        </is>
      </c>
      <c r="D369">
        <f>HYPERLINK("https://www.amazon.co.jp/%E3%81%8A%E7%B1%B3%E3%81%AE%E3%81%9F%E3%81%8B%E3%81%95%E3%81%8B-%E3%80%90%E3%81%8A%E5%BC%81%E5%BD%93%E3%81%AB%E6%9C%80%E9%81%A9%E3%80%91%E3%80%90%E5%86%B7%E3%82%81%E3%81%A6%E3%82%82%E7%BE%8E%E5%91%B3%E3%81%97%E3%81%84%E3%80%91%E3%80%90%E7%A0%94%E3%81%8E%E6%B4%97%E3%81%84%E4%B8%8D%E8%A6%81%E3%80%9130%E5%B9%B4%E7%94%A3%E6%96%B0%E6%BD%9F%E7%9C%8C%E7%94%A3%E3%81%93%E3%81%97%E3%81%84%E3%81%B6%E3%81%8D-5kg%EF%BD%982%E8%A2%8B%EF%BC%88%E7%84%A1%E6%B4%97%E7%B1%B3%EF%BC%89/dp/B07K9JCBB8/ref=sr_1_347?__mk_ja_JP=%E3%82%AB%E3%82%BF%E3%82%AB%E3%83%8A&amp;dchild=1&amp;keywords=%E7%B1%B3&amp;qid=1598693321&amp;sr=8-347", "Go")</f>
        <v/>
      </c>
    </row>
    <row r="370">
      <c r="A370" t="inlineStr">
        <is>
          <t>精白米 27kg 熊本県 菊池産 ヒノヒカリ 10年連続 特A 受賞 阿蘇天然水育ち 残留農ゼロ 産地直送 【 雑穀プレゼント】</t>
        </is>
      </c>
      <c r="B370" t="inlineStr">
        <is>
          <t>￥12,490</t>
        </is>
      </c>
      <c r="C370" t="inlineStr">
        <is>
          <t>4.3</t>
        </is>
      </c>
      <c r="D370">
        <f>HYPERLINK("https://www.amazon.co.jp/%E3%83%92%E3%83%8E%E3%83%92%E3%82%AB%E3%83%AA-10%E5%B9%B4%E9%80%A3%E7%B6%9A-%E9%98%BF%E8%98%87%E5%A4%A9%E7%84%B6%E6%B0%B4%E8%82%B2%E3%81%A1-%E6%AE%8B%E7%95%99%E8%BE%B2%E3%82%BC%E3%83%AD-%E9%9B%91%E7%A9%80%E3%83%97%E3%83%AC%E3%82%BC%E3%83%B3%E3%83%88%E3%80%91/dp/B017KJIAD2/ref=sr_1_348?__mk_ja_JP=%E3%82%AB%E3%82%BF%E3%82%AB%E3%83%8A&amp;dchild=1&amp;keywords=%E7%B1%B3&amp;qid=1598693321&amp;sr=8-348", "Go")</f>
        <v/>
      </c>
    </row>
    <row r="371">
      <c r="A371" t="inlineStr">
        <is>
          <t>お米 北海道ゆめぴりか10kg（5kg×2） 令和元年産</t>
        </is>
      </c>
      <c r="B371" t="inlineStr">
        <is>
          <t>￥4,950</t>
        </is>
      </c>
      <c r="C371" t="inlineStr">
        <is>
          <t>4.3</t>
        </is>
      </c>
      <c r="D371">
        <f>HYPERLINK("https://www.amazon.co.jp/%E6%96%B0%E7%B1%B3-2018-%E3%81%8A%E7%B1%B3-%E5%8C%97%E6%B5%B7%E9%81%93%E3%82%86%E3%82%81%E3%81%B4%E3%82%8A%E3%81%8B10kg%EF%BC%885kg%C3%972%EF%BC%89-%E5%B9%B3%E6%88%9030%E5%B9%B4%E7%94%A3/dp/B00KV5V4TA/ref=sr_1_349?__mk_ja_JP=%E3%82%AB%E3%82%BF%E3%82%AB%E3%83%8A&amp;dchild=1&amp;keywords=%E7%B1%B3&amp;qid=1598693321&amp;sr=8-349", "Go")</f>
        <v/>
      </c>
    </row>
    <row r="372">
      <c r="A372" t="inlineStr">
        <is>
          <t>山形県産 コシヒカリ１等　精米　約２７kg</t>
        </is>
      </c>
      <c r="B372" t="inlineStr">
        <is>
          <t>￥11,500</t>
        </is>
      </c>
      <c r="C372" t="inlineStr">
        <is>
          <t>4.3</t>
        </is>
      </c>
      <c r="D372">
        <f>HYPERLINK("https://www.amazon.co.jp/%E5%B1%B1%E5%BD%A2%E7%B1%B3%E3%81%AE%E4%B8%B9%E9%87%8E%E5%95%86%E5%BA%97-%E5%B1%B1%E5%BD%A2%E7%9C%8C%E7%94%A3%E3%82%B3%E3%82%B7%E3%83%92%E3%82%AB%E3%83%AA%EF%BC%91%E7%AD%89%EF%BC%93%EF%BC%90kg-%E7%B2%BE%E7%B1%B3-%E7%B4%84%EF%BC%92%EF%BC%97kg/dp/B00FS5UPS4/ref=sr_1_350?__mk_ja_JP=%E3%82%AB%E3%82%BF%E3%82%AB%E3%83%8A&amp;dchild=1&amp;keywords=%E7%B1%B3&amp;qid=1598693321&amp;sr=8-350", "Go")</f>
        <v/>
      </c>
    </row>
    <row r="373">
      <c r="A373" t="inlineStr">
        <is>
          <t>【精米】山形県産 特別栽培米 無洗米 つや姫 2kg 令和元年産</t>
        </is>
      </c>
      <c r="B373" t="inlineStr">
        <is>
          <t>￥1,680</t>
        </is>
      </c>
      <c r="C373" t="inlineStr">
        <is>
          <t>4.1</t>
        </is>
      </c>
      <c r="D373">
        <f>HYPERLINK("https://www.amazon.co.jp/%E3%80%90%E7%B2%BE%E7%B1%B3%E3%80%91%E5%B1%B1%E5%BD%A2%E7%9C%8C%E7%94%A3-%E7%89%B9%E5%88%A5%E6%A0%BD%E5%9F%B9%E7%B1%B3-%E7%84%A1%E6%B4%97%E7%B1%B3-%E3%81%A4%E3%82%84%E5%A7%AB-%E5%B9%B3%E6%88%9030%E5%B9%B4%E7%94%A3/dp/B00AJE15LU/ref=sr_1_351?__mk_ja_JP=%E3%82%AB%E3%82%BF%E3%82%AB%E3%83%8A&amp;dchild=1&amp;keywords=%E7%B1%B3&amp;qid=1598693321&amp;sr=8-351", "Go")</f>
        <v/>
      </c>
    </row>
    <row r="374">
      <c r="A374" t="inlineStr">
        <is>
          <t>【精米】茨城県産 コシヒカリ 5kg 令和元年産</t>
        </is>
      </c>
      <c r="B374" t="inlineStr">
        <is>
          <t>￥ 2,913</t>
        </is>
      </c>
      <c r="C374" t="inlineStr">
        <is>
          <t>4.1</t>
        </is>
      </c>
      <c r="D374">
        <f>HYPERLINK("https://www.amazon.co.jp/%E6%9D%89%E7%94%B0%E5%95%86%E5%BA%97-%E3%80%90%E7%B2%BE%E7%B1%B3%E3%80%91%E8%8C%A8%E5%9F%8E%E7%9C%8C%E7%94%A3-%E3%82%B3%E3%82%B7%E3%83%92%E3%82%AB%E3%83%AA-5kg-%E5%B9%B3%E6%88%9030%E5%B9%B4%E7%94%A3/dp/B00KAT868O/ref=sr_1_352?__mk_ja_JP=%E3%82%AB%E3%82%BF%E3%82%AB%E3%83%8A&amp;dchild=1&amp;keywords=%E7%B1%B3&amp;qid=1598693321&amp;sr=8-352", "Go")</f>
        <v/>
      </c>
    </row>
    <row r="375">
      <c r="A375" t="inlineStr">
        <is>
          <t>味の素 玄米がゆ 250g×9個</t>
        </is>
      </c>
      <c r="B375" t="inlineStr">
        <is>
          <t>￥1,180</t>
        </is>
      </c>
      <c r="C375" t="inlineStr">
        <is>
          <t>4.4</t>
        </is>
      </c>
      <c r="D375">
        <f>HYPERLINK("https://www.amazon.co.jp/%E5%91%B3%E3%81%AE%E7%B4%A0-%E7%8E%84%E7%B1%B3%E3%81%8C%E3%82%86-250g%C3%979%E5%80%8B/dp/B00115SUZU/ref=sr_1_353_sspa?__mk_ja_JP=%E3%82%AB%E3%82%BF%E3%82%AB%E3%83%8A&amp;dchild=1&amp;keywords=%E7%B1%B3&amp;qid=1598693321&amp;sr=8-353-spons&amp;psc=1&amp;spLa=ZW5jcnlwdGVkUXVhbGlmaWVyPUEzSzk1Q0VVSEc1OThRJmVuY3J5cHRlZElkPUEwNDM1NDEyWVJFREFaOEhKT1hNJmVuY3J5cHRlZEFkSWQ9QTFTNENLR0w0RFMwUjYmd2lkZ2V0TmFtZT1zcF9tdGYmYWN0aW9uPWNsaWNrUmVkaXJlY3QmZG9Ob3RMb2dDbGljaz10cnVl", "Go")</f>
        <v/>
      </c>
    </row>
    <row r="376">
      <c r="A376" t="inlineStr">
        <is>
          <t>【新米予約】新潟県産 こしいぶき 玄米 25kg (5kg×5 袋) 令和２年産 異物除去調整済 【9月8日頃入荷予定】</t>
        </is>
      </c>
      <c r="B376" t="inlineStr">
        <is>
          <t>￥9,380</t>
        </is>
      </c>
      <c r="C376" t="inlineStr">
        <is>
          <t>4</t>
        </is>
      </c>
      <c r="D376">
        <f>HYPERLINK("https://www.amazon.co.jp/%E3%80%90%E6%96%B0%E7%B1%B3%E4%BA%88%E7%B4%84%E3%80%91%E6%96%B0%E6%BD%9F%E7%9C%8C%E7%94%A3-%E3%81%93%E3%81%97%E3%81%84%E3%81%B6%E3%81%8D-25kg-5kg-%E5%B9%B3%E6%88%9030%E5%B9%B4%E7%94%A3/dp/B00ALOST4E/ref=sr_1_354_sspa?__mk_ja_JP=%E3%82%AB%E3%82%BF%E3%82%AB%E3%83%8A&amp;dchild=1&amp;keywords=%E7%B1%B3&amp;qid=1598693321&amp;sr=8-354-spons&amp;psc=1&amp;spLa=ZW5jcnlwdGVkUXVhbGlmaWVyPUEzSzk1Q0VVSEc1OThRJmVuY3J5cHRlZElkPUEwNDM1NDEyWVJFREFaOEhKT1hNJmVuY3J5cHRlZEFkSWQ9QTNLVDhESEZOMTk0TlAmd2lkZ2V0TmFtZT1zcF9tdGYmYWN0aW9uPWNsaWNrUmVkaXJlY3QmZG9Ob3RMb2dDbGljaz10cnVl", "Go")</f>
        <v/>
      </c>
    </row>
    <row r="377">
      <c r="A377" t="inlineStr">
        <is>
          <t>【精米】兵庫県産 白米 農薬・化学肥料未使用 特別栽培米 但馬コシヒカリ コウノトリ育むお米 5kg 令和元年産</t>
        </is>
      </c>
      <c r="B377" t="inlineStr">
        <is>
          <t>￥4,480</t>
        </is>
      </c>
      <c r="C377" t="inlineStr">
        <is>
          <t>4.2</t>
        </is>
      </c>
      <c r="D377">
        <f>HYPERLINK("https://www.amazon.co.jp/%E3%80%90%E7%B2%BE%E7%B1%B3%E3%80%91%E5%85%B5%E5%BA%AB%E7%9C%8C%E7%94%A3-%E8%BE%B2%E8%96%AC%E3%83%BB%E5%8C%96%E5%AD%A6%E8%82%A5%E6%96%99%E6%9C%AA%E4%BD%BF%E7%94%A8-%E4%BD%86%E9%A6%AC%E3%82%B3%E3%82%B7%E3%83%92%E3%82%AB%E3%83%AA-%E3%82%B3%E3%82%A6%E3%83%8E%E3%83%88%E3%83%AA%E8%82%B2%E3%82%80%E3%81%8A%E7%B1%B3-%E5%B9%B3%E6%88%9030%E5%B9%B4%E7%94%A3/dp/B00G667VTK/ref=sr_1_356?__mk_ja_JP=%E3%82%AB%E3%82%BF%E3%82%AB%E3%83%8A&amp;dchild=1&amp;keywords=%E7%B1%B3&amp;qid=1598693321&amp;sr=8-356", "Go")</f>
        <v/>
      </c>
    </row>
    <row r="378">
      <c r="A378" t="inlineStr">
        <is>
          <t>【令和元年産 売尽しセール】【期間限定】無洗米 山形県産 はえぬき 10kg (5kg×2袋) 【ハーベストシーズン】 【精米】【HARVEST SEASON】</t>
        </is>
      </c>
      <c r="B378" t="inlineStr">
        <is>
          <t>￥4,380</t>
        </is>
      </c>
      <c r="C378" t="inlineStr">
        <is>
          <t>4.1</t>
        </is>
      </c>
      <c r="D378">
        <f>HYPERLINK("https://www.amazon.co.jp/%E3%80%90%E7%B2%BE%E7%B1%B3%E3%80%91%E3%80%90%E6%96%B0%E7%B1%B3%E3%80%9130%E5%B9%B4%E7%94%A3-5kg%C3%972%E8%A2%8B-%E3%80%90%E3%83%8F%E3%83%BC%E3%83%99%E3%82%B9%E3%83%88%E3%82%B7%E3%83%BC%E3%82%BA%E3%83%B3%E3%80%91-%E3%80%90HARVEST-SEASON%E3%80%91/dp/B00FU47XO2/ref=sr_1_357?__mk_ja_JP=%E3%82%AB%E3%82%BF%E3%82%AB%E3%83%8A&amp;dchild=1&amp;keywords=%E7%B1%B3&amp;qid=1598693321&amp;sr=8-357", "Go")</f>
        <v/>
      </c>
    </row>
    <row r="379">
      <c r="A379" t="inlineStr">
        <is>
          <t>新米 白米 令和元年 産 新潟県産 こしいぶき 4.5kg×5 特別栽培米 ＜精米＞</t>
        </is>
      </c>
      <c r="B379" t="inlineStr">
        <is>
          <t>￥8,980</t>
        </is>
      </c>
      <c r="C379" t="inlineStr">
        <is>
          <t>4.1</t>
        </is>
      </c>
      <c r="D379">
        <f>HYPERLINK("https://www.amazon.co.jp/%E8%B6%8A%E5%BE%8C%E3%81%AE%E7%B1%B3%E7%A9%80%E5%95%86%E9%AB%98%E7%94%B0%E5%B1%8B-%E6%96%B0%E6%BD%9F%E7%9C%8C%E7%94%A3-%E3%81%93%E3%81%97%E3%81%84%E3%81%B6%E3%81%8D-4-5kg%C3%975-%E7%89%B9%E5%88%A5%E6%A0%BD%E5%9F%B9%E7%B1%B3/dp/B00NIN9O3U/ref=sr_1_358?__mk_ja_JP=%E3%82%AB%E3%82%BF%E3%82%AB%E3%83%8A&amp;dchild=1&amp;keywords=%E7%B1%B3&amp;qid=1598693321&amp;sr=8-358", "Go")</f>
        <v/>
      </c>
    </row>
    <row r="380">
      <c r="A380" t="inlineStr">
        <is>
          <t>【精米】新潟県産こしいぶき 無洗米吟精 令和元年産 5kg</t>
        </is>
      </c>
      <c r="B380" t="inlineStr">
        <is>
          <t>￥2,580</t>
        </is>
      </c>
      <c r="C380" t="inlineStr">
        <is>
          <t>4.1</t>
        </is>
      </c>
      <c r="D380">
        <f>HYPERLINK("https://www.amazon.co.jp/29%E5%B9%B4%E5%BA%A6%E7%B1%B3-%E6%96%B0%E6%BD%9F%E7%94%A3%E3%81%93%E3%81%97%E3%81%84%E3%81%B6%E3%81%8D-%E7%84%A1%E6%B4%97%E7%B1%B3-5kg-%E6%96%B0%E6%BD%9F%E3%82%B1%E3%83%B3%E3%83%99%E3%82%A4/dp/B004QQ7PWU/ref=sr_1_359?__mk_ja_JP=%E3%82%AB%E3%82%BF%E3%82%AB%E3%83%8A&amp;dchild=1&amp;keywords=%E7%B1%B3&amp;qid=1598693321&amp;sr=8-359", "Go")</f>
        <v/>
      </c>
    </row>
    <row r="381">
      <c r="A381" t="inlineStr">
        <is>
          <t>【精米】 長粒米 佐賀産 ホシユタカ 1kg 令和元年産【和-CHO-RYU-MAI】</t>
        </is>
      </c>
      <c r="B381" t="inlineStr">
        <is>
          <t>￥744</t>
        </is>
      </c>
      <c r="C381" t="inlineStr">
        <is>
          <t>4.1</t>
        </is>
      </c>
      <c r="D381">
        <f>HYPERLINK("https://www.amazon.co.jp/%E3%80%90%E7%B2%BE%E7%B1%B3%E3%80%91-%E9%95%B7%E7%B2%92%E7%B1%B3-%E4%BD%90%E8%B3%80%E7%94%A3-%E3%83%9B%E3%82%B7%E3%83%A6%E3%82%BF%E3%82%AB-%E5%B9%B3%E6%88%9029%E5%B9%B4%E7%94%A3%E3%80%90%E5%92%8C-CHO-RYU-MAI%E3%80%91/dp/B00K8SDEGQ/ref=sr_1_360?__mk_ja_JP=%E3%82%AB%E3%82%BF%E3%82%AB%E3%83%8A&amp;dchild=1&amp;keywords=%E7%B1%B3&amp;qid=1598693321&amp;sr=8-360", "Go")</f>
        <v/>
      </c>
    </row>
    <row r="382">
      <c r="A382" t="inlineStr">
        <is>
          <t>国内産有機活性発芽玄米</t>
        </is>
      </c>
      <c r="B382" t="inlineStr">
        <is>
          <t>￥2,700</t>
        </is>
      </c>
      <c r="C382" t="inlineStr">
        <is>
          <t>4.5</t>
        </is>
      </c>
      <c r="D382">
        <f>HYPERLINK("https://www.amazon.co.jp/%E3%82%AA%E3%83%BC%E3%82%B5%E3%83%AF%E3%82%B8%E3%83%A3%E3%83%91%E3%83%B3-%E5%9B%BD%E5%86%85%E7%94%A3%E6%9C%89%E6%A9%9F%E6%B4%BB%E6%80%A7%E7%99%BA%E8%8A%BD%E7%8E%84%E7%B1%B3/dp/B00131IYMG/ref=sr_1_361?__mk_ja_JP=%E3%82%AB%E3%82%BF%E3%82%AB%E3%83%8A&amp;dchild=1&amp;keywords=%E7%B1%B3&amp;qid=1598693321&amp;sr=8-361", "Go")</f>
        <v/>
      </c>
    </row>
    <row r="383">
      <c r="A383" t="inlineStr">
        <is>
          <t>【令和元年産】白米 山形県産 特別栽培米 つや姫 5kg 【精米】【ハーベストシーズン】 【HARVEST SEASON】</t>
        </is>
      </c>
      <c r="B383" t="inlineStr">
        <is>
          <t>￥3,199</t>
        </is>
      </c>
      <c r="C383" t="inlineStr">
        <is>
          <t>4.5</t>
        </is>
      </c>
      <c r="D383">
        <f>HYPERLINK("https://www.amazon.co.jp/%E3%80%90%E6%96%B0%E7%B1%B3%E3%80%91%E3%80%90%E7%B2%BE%E7%B1%B3%E3%80%91%E5%B1%B1%E5%BD%A2%E7%9C%8C%E7%94%A3-%E5%B9%B3%E6%88%9030%E5%B9%B4%E7%94%A3-%E3%80%90%E3%83%8F%E3%83%BC%E3%83%99%E3%82%B9%E3%83%88%E3%82%B7%E3%83%BC%E3%82%BA%E3%83%B3%E3%80%91-%E3%80%90HARVEST-SEASON%E3%80%91/dp/B018LFWM24/ref=sr_1_362?__mk_ja_JP=%E3%82%AB%E3%82%BF%E3%82%AB%E3%83%8A&amp;dchild=1&amp;keywords=%E7%B1%B3&amp;qid=1598693321&amp;sr=8-362", "Go")</f>
        <v/>
      </c>
    </row>
    <row r="384">
      <c r="A384" t="inlineStr">
        <is>
          <t>【精米】岩手県産 特別栽培米 江刺金札米 ひとめぼれ 5kg 令和元年産</t>
        </is>
      </c>
      <c r="B384" t="inlineStr">
        <is>
          <t>￥ 5,087</t>
        </is>
      </c>
      <c r="C384" t="inlineStr">
        <is>
          <t>4.4</t>
        </is>
      </c>
      <c r="D384">
        <f>HYPERLINK("https://www.amazon.co.jp/%E3%80%90%E7%B2%BE%E7%B1%B3%E3%80%91%E5%B2%A9%E6%89%8B%E7%9C%8C%E7%94%A3-%E7%89%B9%E5%88%A5%E6%A0%BD%E5%9F%B9%E7%B1%B3-%E6%B1%9F%E5%88%BA%E9%87%91%E6%9C%AD%E7%B1%B3-%E3%81%B2%E3%81%A8%E3%82%81%E3%81%BC%E3%82%8C-%E5%B9%B3%E6%88%9030%E5%B9%B4%E7%94%A3/dp/B00BBVVDYO/ref=sr_1_364?__mk_ja_JP=%E3%82%AB%E3%82%BF%E3%82%AB%E3%83%8A&amp;dchild=1&amp;keywords=%E7%B1%B3&amp;qid=1598693321&amp;sr=8-364", "Go")</f>
        <v/>
      </c>
    </row>
    <row r="385">
      <c r="A385" t="inlineStr">
        <is>
          <t>令和 元年度産 宮城県産 だて正夢 5kg オーダー精米 だてまさゆめ (白米精米 約4.5kgでお届け)</t>
        </is>
      </c>
      <c r="B385" t="inlineStr">
        <is>
          <t>￥3,280</t>
        </is>
      </c>
      <c r="C385" t="inlineStr">
        <is>
          <t>5</t>
        </is>
      </c>
      <c r="D385">
        <f>HYPERLINK("https://www.amazon.co.jp/30%E5%B9%B4%E7%94%A3-%E3%81%A0%E3%81%A6%E6%AD%A3%E5%A4%A2-%E3%82%AA%E3%83%BC%E3%83%80%E3%83%BC%E7%B2%BE%E7%B1%B3-%E3%81%A0%E3%81%A6%E3%81%BE%E3%81%95%E3%82%86%E3%82%81-%E7%B4%844-5kg%E3%81%A7%E3%81%8A%E5%B1%8A%E3%81%91/dp/B07NYR5HQ8/ref=sr_1_365?__mk_ja_JP=%E3%82%AB%E3%82%BF%E3%82%AB%E3%83%8A&amp;dchild=1&amp;keywords=%E7%B1%B3&amp;qid=1598693321&amp;sr=8-365", "Go")</f>
        <v/>
      </c>
    </row>
    <row r="386">
      <c r="A386" t="inlineStr">
        <is>
          <t>九州食糧 くまさんの輝き 白米 熊本県産 令和元年産 2kg</t>
        </is>
      </c>
      <c r="B386" t="inlineStr">
        <is>
          <t>￥1,580</t>
        </is>
      </c>
      <c r="C386" t="inlineStr">
        <is>
          <t>5</t>
        </is>
      </c>
      <c r="D386">
        <f>HYPERLINK("https://www.amazon.co.jp/%E4%B9%9D%E5%B7%9E%E9%A3%9F%E7%B3%A7-%E3%81%8F%E3%81%BE%E3%81%95%E3%82%93%E3%81%AE%E8%BC%9D%E3%81%8D-%E7%86%8A%E6%9C%AC%E7%9C%8C%E7%94%A3-%E5%B9%B3%E6%88%9030%E5%B9%B4%E7%94%A3-2kg/dp/B07LGQHTBG/ref=sr_1_366?__mk_ja_JP=%E3%82%AB%E3%82%BF%E3%82%AB%E3%83%8A&amp;dchild=1&amp;keywords=%E7%B1%B3&amp;qid=1598693321&amp;sr=8-366", "Go")</f>
        <v/>
      </c>
    </row>
    <row r="387">
      <c r="A387" t="inlineStr">
        <is>
          <t>高級 タイもち米 カオニャオ 900gパック（長期保存包装済み）（投函便）</t>
        </is>
      </c>
      <c r="B387" t="inlineStr">
        <is>
          <t>￥1,101</t>
        </is>
      </c>
      <c r="C387" t="inlineStr">
        <is>
          <t>5</t>
        </is>
      </c>
      <c r="D387">
        <f>HYPERLINK("https://www.amazon.co.jp/%E4%B8%87%E7%B3%A7%E7%B1%B3%E7%A9%80-%E6%9C%80%E9%AB%98%E7%B4%9A-%E3%82%BF%E3%82%A4%E3%82%82%E3%81%A1%E7%B1%B3-900g%E3%83%91%E3%83%83%E3%82%AF%EF%BC%88%E9%95%B7%E6%9C%9F%E4%BF%9D%E5%AD%98%E5%8C%85%E8%A3%85%E6%B8%88%E3%81%BF%EF%BC%89/dp/B01BOKNSYE/ref=sr_1_367?__mk_ja_JP=%E3%82%AB%E3%82%BF%E3%82%AB%E3%83%8A&amp;dchild=1&amp;keywords=%E7%B1%B3&amp;qid=1598693321&amp;sr=8-367", "Go")</f>
        <v/>
      </c>
    </row>
    <row r="388">
      <c r="A388" t="inlineStr">
        <is>
          <t>マクファ MAKFA そばの実 800g ハラル認証品 (そば米) ５個</t>
        </is>
      </c>
      <c r="B388" t="inlineStr">
        <is>
          <t>￥7,754</t>
        </is>
      </c>
      <c r="C388" t="inlineStr">
        <is>
          <t>4.1</t>
        </is>
      </c>
      <c r="D388">
        <f>HYPERLINK("https://www.amazon.co.jp/%E3%83%9E%E3%82%AF%E3%83%95%E3%82%A1-MAKFA-%E3%81%9D%E3%81%B0%E3%81%AE%E5%AE%9F-800g-%E3%83%8F%E3%83%A9%E3%83%AB%E8%AA%8D%E8%A8%BC%E5%93%81/dp/B07CNJ976L/ref=sr_1_369_sspa?__mk_ja_JP=%E3%82%AB%E3%82%BF%E3%82%AB%E3%83%8A&amp;dchild=1&amp;keywords=%E7%B1%B3&amp;qid=1598693321&amp;sr=8-369-spons&amp;psc=1&amp;smid=A2V4UH01IQWSSC&amp;spLa=ZW5jcnlwdGVkUXVhbGlmaWVyPUEzSzk1Q0VVSEc1OThRJmVuY3J5cHRlZElkPUEwNDM1NDEyWVJFREFaOEhKT1hNJmVuY3J5cHRlZEFkSWQ9QTFVVFkwVVFHTVVNWEImd2lkZ2V0TmFtZT1zcF9tdGYmYWN0aW9uPWNsaWNrUmVkaXJlY3QmZG9Ob3RMb2dDbGljaz10cnVl", "Go")</f>
        <v/>
      </c>
    </row>
    <row r="389">
      <c r="A389" t="inlineStr">
        <is>
          <t>【農家直売】新之助 無洗米２ｋｇ 一等米 令和元年産新潟県旧越路町産 新潟ブランド米</t>
        </is>
      </c>
      <c r="B389" t="inlineStr">
        <is>
          <t>￥2,130</t>
        </is>
      </c>
      <c r="C389" t="inlineStr">
        <is>
          <t>4.2</t>
        </is>
      </c>
      <c r="D389">
        <f>HYPERLINK("https://www.amazon.co.jp/%E8%B6%8A%E3%81%AE%E9%87%91%E7%BF%94-%E3%80%90%E7%B2%BE%E7%B1%B3%E3%80%91%E6%96%B0%E4%B9%8B%E5%8A%A9-%E7%84%A1%E6%B4%97%E7%B1%B3%EF%BC%92%EF%BD%8B%EF%BD%87-GGAP%E8%AA%8D%E8%A8%BC%E5%8F%96%E5%BE%97%E8%BE%B2%E5%9C%92-%E6%96%B0%E6%BD%9F%E7%9C%8C%E6%97%A7%E8%B6%8A%E8%B7%AF%E7%94%BA%E7%94%A3-%E6%96%B0%E6%BD%9F%E3%83%96%E3%83%A9%E3%83%B3%E3%83%89%E7%B1%B3/dp/B07KZW2976/ref=sr_1_370_sspa?__mk_ja_JP=%E3%82%AB%E3%82%BF%E3%82%AB%E3%83%8A&amp;dchild=1&amp;keywords=%E7%B1%B3&amp;qid=1598693321&amp;sr=8-370-spons&amp;psc=1&amp;spLa=ZW5jcnlwdGVkUXVhbGlmaWVyPUEzSzk1Q0VVSEc1OThRJmVuY3J5cHRlZElkPUEwNDM1NDEyWVJFREFaOEhKT1hNJmVuY3J5cHRlZEFkSWQ9QTM4TEI3QTc2M0hIU1Emd2lkZ2V0TmFtZT1zcF9tdGYmYWN0aW9uPWNsaWNrUmVkaXJlY3QmZG9Ob3RMb2dDbGljaz10cnVl", "Go")</f>
        <v/>
      </c>
    </row>
    <row r="390">
      <c r="A390" t="inlineStr">
        <is>
          <t>【出荷日に精米】 長野県 佐久産 コシヒカリ 白米 5kg 令和元年産 はぜかけ 天日干し米 特A米</t>
        </is>
      </c>
      <c r="B390" t="inlineStr">
        <is>
          <t>￥3,280</t>
        </is>
      </c>
      <c r="C390" t="inlineStr">
        <is>
          <t>5</t>
        </is>
      </c>
      <c r="D390">
        <f>HYPERLINK("https://www.amazon.co.jp/%E3%80%90%E5%87%BA%E8%8D%B7%E6%97%A5%E3%81%AB%E7%B2%BE%E7%B1%B3%E3%80%91-%E9%95%B7%E9%87%8E%E7%9C%8C%E7%94%A3-%E3%82%B3%E3%82%B7%E3%83%92%E3%82%AB%E3%83%AA-%E5%B9%B3%E6%88%9029%E5%B9%B4%E7%94%A3-%E5%A4%A9%E6%97%A5%E5%B9%B2%E3%81%97%E7%B1%B3/dp/B01GT2K1YW/ref=sr_1_371?__mk_ja_JP=%E3%82%AB%E3%82%BF%E3%82%AB%E3%83%8A&amp;dchild=1&amp;keywords=%E7%B1%B3&amp;qid=1598693321&amp;sr=8-371", "Go")</f>
        <v/>
      </c>
    </row>
    <row r="391">
      <c r="A391" t="inlineStr">
        <is>
          <t>一升餅の代わりに 一 升 米 1 歳 誕生日 新潟産 コシヒカリ 1升（1.5ｋｇ） 北海道～九州は送料無料 (うさちゃん)</t>
        </is>
      </c>
      <c r="B391" t="inlineStr">
        <is>
          <t>￥2,780</t>
        </is>
      </c>
      <c r="C391" t="inlineStr">
        <is>
          <t>5</t>
        </is>
      </c>
      <c r="D391">
        <f>HYPERLINK("https://www.amazon.co.jp/%E4%B8%80%E5%8D%87%E9%A4%85%E3%81%AE%E4%BB%A3%E3%82%8F%E3%82%8A%E3%81%AB-%E3%82%B3%E3%82%B7%E3%83%92%E3%82%AB%E3%83%AA-1%E5%8D%87%EF%BC%881-5%EF%BD%8B%EF%BD%87%EF%BC%89-%E6%9C%AC%E5%B7%9E%EF%BD%9E%E5%9B%9B%E5%9B%BD%E3%81%AF%E9%80%81%E6%96%99%E7%84%A1%E6%96%99-%E3%81%86%E3%81%95%E3%81%A1%E3%82%83%E3%82%93/dp/B07T4NBDQM/ref=sr_1_372?__mk_ja_JP=%E3%82%AB%E3%82%BF%E3%82%AB%E3%83%8A&amp;dchild=1&amp;keywords=%E7%B1%B3&amp;qid=1598693321&amp;sr=8-372", "Go")</f>
        <v/>
      </c>
    </row>
    <row r="392">
      <c r="A392" t="inlineStr">
        <is>
          <t>あきたこまち早炊き玄米 900g</t>
        </is>
      </c>
      <c r="B392" t="inlineStr">
        <is>
          <t>￥ 5,047</t>
        </is>
      </c>
      <c r="C392" t="inlineStr">
        <is>
          <t>4.8</t>
        </is>
      </c>
      <c r="D392">
        <f>HYPERLINK("https://www.amazon.co.jp/%E5%A4%A7%E6%BD%9F%E6%9D%91%E3%81%82%E3%81%8D%E3%81%9F%E3%81%93%E3%81%BE%E3%81%A1%E7%94%9F%E7%94%A3%E8%80%85%E5%8D%94%E4%BC%9A-%E3%81%82%E3%81%8D%E3%81%9F%E3%81%93%E3%81%BE%E3%81%A1%E6%97%A9%E7%82%8A%E3%81%8D%E7%8E%84%E7%B1%B3-900g/dp/B0057U9YC8/ref=sr_1_373?__mk_ja_JP=%E3%82%AB%E3%82%BF%E3%82%AB%E3%83%8A&amp;dchild=1&amp;keywords=%E7%B1%B3&amp;qid=1598693321&amp;sr=8-373", "Go")</f>
        <v/>
      </c>
    </row>
    <row r="393">
      <c r="A393" t="inlineStr">
        <is>
          <t>【精米】福島県産 白米 コシヒカリ 5kg 令和元年産</t>
        </is>
      </c>
      <c r="B393" t="inlineStr">
        <is>
          <t>￥2,489</t>
        </is>
      </c>
      <c r="C393" t="inlineStr">
        <is>
          <t>4.4</t>
        </is>
      </c>
      <c r="D393">
        <f>HYPERLINK("https://www.amazon.co.jp/%E3%80%90%E7%B2%BE%E7%B1%B3%E3%80%91%E7%A6%8F%E5%B3%B6%E7%9C%8C%E7%94%A3-%E7%99%BD%E7%B1%B3-%E3%82%B3%E3%82%B7%E3%83%92%E3%82%AB%E3%83%AA-5kg-%E5%B9%B3%E6%88%9030%E5%B9%B4%E7%94%A3/dp/B0072A1IFM/ref=sr_1_374?__mk_ja_JP=%E3%82%AB%E3%82%BF%E3%82%AB%E3%83%8A&amp;dchild=1&amp;keywords=%E7%B1%B3&amp;qid=1598693321&amp;sr=8-374", "Go")</f>
        <v/>
      </c>
    </row>
    <row r="394">
      <c r="A394" t="inlineStr">
        <is>
          <t>令和元年産福島県中通り産天のつぶ 10kg 白米</t>
        </is>
      </c>
      <c r="B394" t="inlineStr">
        <is>
          <t>￥4,300</t>
        </is>
      </c>
      <c r="C394" t="inlineStr">
        <is>
          <t>4.4</t>
        </is>
      </c>
      <c r="D394">
        <f>HYPERLINK("https://www.amazon.co.jp/%E3%81%8A%E7%B1%B3%E8%B2%A9%E5%A3%B2%E3%81%AE%E5%A4%A7%E8%B3%80%E5%95%86%E5%BA%97-30%E5%B9%B4%E7%94%A3%E7%A6%8F%E5%B3%B6%E7%9C%8C%E4%B8%AD%E9%80%9A%E3%82%8A%E7%94%A3%E5%A4%A9%E3%81%AE%E3%81%A4%E3%81%B6-10kg-%E7%99%BD%E7%B1%B3/dp/B07PKKJ7L7/ref=sr_1_375?__mk_ja_JP=%E3%82%AB%E3%82%BF%E3%82%AB%E3%83%8A&amp;dchild=1&amp;keywords=%E7%B1%B3&amp;qid=1598693321&amp;sr=8-375", "Go")</f>
        <v/>
      </c>
    </row>
    <row r="395">
      <c r="A395" t="inlineStr">
        <is>
          <t>青森県産つがるロマン 白米 30年度産新米 10kg</t>
        </is>
      </c>
      <c r="B395" t="inlineStr">
        <is>
          <t>￥4,080</t>
        </is>
      </c>
      <c r="C395" t="inlineStr">
        <is>
          <t>4.4</t>
        </is>
      </c>
      <c r="D395">
        <f>HYPERLINK("https://www.amazon.co.jp/%E9%9D%92%E6%A3%AE%E7%9C%8C%E7%94%A3%E3%81%A4%E3%81%8C%E3%82%8B%E3%83%AD%E3%83%9E%E3%83%B3-%E7%99%BD%E7%B1%B3-30%E5%B9%B4%E5%BA%A6%E7%94%A3%E6%96%B0%E7%B1%B3-10kg/dp/B00AC1K53Y/ref=sr_1_377?__mk_ja_JP=%E3%82%AB%E3%82%BF%E3%82%AB%E3%83%8A&amp;dchild=1&amp;keywords=%E7%B1%B3&amp;qid=1598693321&amp;sr=8-377", "Go")</f>
        <v/>
      </c>
    </row>
    <row r="396">
      <c r="A396" t="inlineStr">
        <is>
          <t>令和元年産 【玄米】 山形県産 つや姫 1等米 30kg 送料無料（一部を除く）</t>
        </is>
      </c>
      <c r="B396" t="inlineStr">
        <is>
          <t>￥13,800</t>
        </is>
      </c>
      <c r="C396" t="inlineStr">
        <is>
          <t>5</t>
        </is>
      </c>
      <c r="D396">
        <f>HYPERLINK("https://www.amazon.co.jp/%E6%96%B0%E7%B1%B3%EF%BC%93%EF%BC%90%E5%B9%B4%E7%94%A3-%E3%80%90%E7%8E%84%E7%B1%B3%E3%80%91-%E5%B1%B1%E5%BD%A2%E7%9C%8C%E7%94%A3-30kg-%E9%80%81%E6%96%99%E7%84%A1%E6%96%99%EF%BC%88%E4%B8%80%E9%83%A8%E3%82%92%E9%99%A4%E3%81%8F%EF%BC%89/dp/B00I5HPF8W/ref=sr_1_378?__mk_ja_JP=%E3%82%AB%E3%82%BF%E3%82%AB%E3%83%8A&amp;dchild=1&amp;keywords=%E7%B1%B3&amp;qid=1598693321&amp;sr=8-378", "Go")</f>
        <v/>
      </c>
    </row>
    <row r="397">
      <c r="A397" t="inlineStr">
        <is>
          <t>令和元年産 石川県産 加賀百万石 厳選 コシヒカリ 白米 30kg</t>
        </is>
      </c>
      <c r="B397" t="inlineStr">
        <is>
          <t>￥13,700</t>
        </is>
      </c>
      <c r="C397" t="inlineStr">
        <is>
          <t>4.6</t>
        </is>
      </c>
      <c r="D397">
        <f>HYPERLINK("https://www.amazon.co.jp/30%E5%B9%B4%E7%94%A3-%E7%9F%B3%E5%B7%9D%E7%9C%8C%E7%94%A3-%E5%8A%A0%E8%B3%80%E7%99%BE%E4%B8%87%E7%9F%B3-%E5%8E%B3%E9%81%B8-%E3%82%B3%E3%82%B7%E3%83%92%E3%82%AB%E3%83%AA/dp/B0160RIYCM/ref=sr_1_379?__mk_ja_JP=%E3%82%AB%E3%82%BF%E3%82%AB%E3%83%8A&amp;dchild=1&amp;keywords=%E7%B1%B3&amp;qid=1598693321&amp;sr=8-379", "Go")</f>
        <v/>
      </c>
    </row>
    <row r="398">
      <c r="A398" t="inlineStr">
        <is>
          <t>1年産【精米】もっと！銀しゃり亭 宮城県産 ひとめぼれ 1年産 (9ｋｇ×3)</t>
        </is>
      </c>
      <c r="B398" t="inlineStr">
        <is>
          <t>￥9,980</t>
        </is>
      </c>
      <c r="C398" t="inlineStr">
        <is>
          <t>4.8</t>
        </is>
      </c>
      <c r="D398">
        <f>HYPERLINK("https://www.amazon.co.jp/%E3%80%90%E7%B2%BE%E7%B1%B3%E3%80%91%E3%82%82%E3%81%A3%E3%81%A8%EF%BC%81%E9%8A%80%E3%81%97%E3%82%83%E3%82%8A%E4%BA%AD-%E5%AE%AE%E5%9F%8E%E7%9C%8C%E7%94%A3-%E3%81%B2%E3%81%A8%E3%82%81%E3%81%BC%E3%82%8C-%E5%B9%B3%E6%88%9030%E5%B9%B4%E7%94%A3-9%EF%BD%8B%EF%BD%87%C3%973/dp/B07MYS41FT/ref=sr_1_380?__mk_ja_JP=%E3%82%AB%E3%82%BF%E3%82%AB%E3%83%8A&amp;dchild=1&amp;keywords=%E7%B1%B3&amp;qid=1598693321&amp;sr=8-380", "Go")</f>
        <v/>
      </c>
    </row>
    <row r="399">
      <c r="A399" t="inlineStr">
        <is>
          <t>＜令和元年＞富富富＜ふふふ＞【富山県産：２kg：精米】プレミアムブランド米</t>
        </is>
      </c>
      <c r="B399" t="inlineStr">
        <is>
          <t>￥1,300</t>
        </is>
      </c>
      <c r="C399" t="inlineStr">
        <is>
          <t>4.5</t>
        </is>
      </c>
      <c r="D399">
        <f>HYPERLINK("https://www.amazon.co.jp/%E5%AF%8C%E5%AF%8C%E5%AF%8C-%E5%AF%8C%E5%AF%8C%E5%AF%8C%EF%BC%9C%E3%81%B5%E3%81%B5%E3%81%B5%EF%BC%9E%E3%80%90%E5%B9%B3%E6%88%9030%E5%B9%B4%EF%BC%9A%E5%AF%8C%E5%B1%B1%E7%9C%8C%E7%94%A3%EF%BC%9A%EF%BC%92kg%EF%BC%9A%E7%B2%BE%E7%B1%B3%E3%80%91%E3%83%97%E3%83%AC%E3%83%9F%E3%82%A2%E3%83%A0%E3%83%96%E3%83%A9%E3%83%B3%E3%83%89%E7%B1%B3/dp/B07J29SVZZ/ref=sr_1_381?__mk_ja_JP=%E3%82%AB%E3%82%BF%E3%82%AB%E3%83%8A&amp;dchild=1&amp;keywords=%E7%B1%B3&amp;qid=1598693321&amp;sr=8-381", "Go")</f>
        <v/>
      </c>
    </row>
    <row r="400">
      <c r="A400" t="inlineStr">
        <is>
          <t>九州食糧 くまさんの輝き 白米 熊本県産 令和元年産 5kg×2本セット</t>
        </is>
      </c>
      <c r="B400" t="inlineStr">
        <is>
          <t>￥4,800</t>
        </is>
      </c>
      <c r="C400" t="inlineStr">
        <is>
          <t>5</t>
        </is>
      </c>
      <c r="D400">
        <f>HYPERLINK("https://www.amazon.co.jp/%E3%80%90%EF%BC%97%E6%9C%88%E3%81%AE%E3%81%8A%E8%B2%B7%E3%81%84%E5%BE%97%E5%93%81%E3%80%91%E4%B9%9D%E5%B7%9E%E9%A3%9F%E7%B3%A7-%E3%81%8F%E3%81%BE%E3%81%95%E3%82%93%E3%81%AE%E8%BC%9D%E3%81%8D-%E7%86%8A%E6%9C%AC%E7%9C%8C%E7%94%A3-%E5%B9%B3%E6%88%9030%E5%B9%B4%E7%94%A3-5kg%C3%972%E6%9C%AC%E3%82%BB%E3%83%83%E3%83%88/dp/B07M849K3F/ref=sr_1_382?__mk_ja_JP=%E3%82%AB%E3%82%BF%E3%82%AB%E3%83%8A&amp;dchild=1&amp;keywords=%E7%B1%B3&amp;qid=1598693321&amp;sr=8-382", "Go")</f>
        <v/>
      </c>
    </row>
    <row r="401">
      <c r="A401" t="inlineStr">
        <is>
          <t>令和元年度 北海道産 合計30kg 特別栽培米 特Ａ米 大満足食べ比べセット(白米)（ゆめぴりか ななつぼし ふっくりんこ）各10kg（計30kg）</t>
        </is>
      </c>
      <c r="B401" t="inlineStr">
        <is>
          <t>￥13,800</t>
        </is>
      </c>
      <c r="C401" t="inlineStr">
        <is>
          <t>5</t>
        </is>
      </c>
      <c r="D401">
        <f>HYPERLINK("https://www.amazon.co.jp/30%E5%B9%B4%E7%94%A3%E5%8C%97%E6%B5%B7%E9%81%93%E7%94%A3-%E5%90%88%E8%A8%8830kg-%E5%A4%A7%E6%BA%80%E8%B6%B3%E9%A3%9F%E3%81%B9%E6%AF%94%E3%81%B9%E3%82%BB%E3%83%83%E3%83%88-%EF%BC%88%E3%82%86%E3%82%81%E3%81%B4%E3%82%8A%E3%81%8B-3%E3%83%96%E3%83%A9%E3%83%B3%E3%83%89%E3%81%8C%E6%9C%80%E9%AB%98%E8%A9%95%E4%BE%A1%E3%81%AE%E3%80%8C%E7%89%B9A%E3%80%8D%E3%82%92%E7%8D%B2%E5%BE%97%EF%BC%81%EF%BC%89%E5%90%8410kg%EF%BC%88%E8%A8%8830kg%EF%BC%89/dp/B01E5AQRN4/ref=sr_1_383?__mk_ja_JP=%E3%82%AB%E3%82%BF%E3%82%AB%E3%83%8A&amp;dchild=1&amp;keywords=%E7%B1%B3&amp;qid=1598693321&amp;sr=8-383", "Go")</f>
        <v/>
      </c>
    </row>
    <row r="402">
      <c r="A402" t="inlineStr">
        <is>
          <t>米 お米 10kg あきたこまち 令和元年岡山産 (5kg×2袋) 送料無料</t>
        </is>
      </c>
      <c r="B402" t="inlineStr">
        <is>
          <t>￥4,280</t>
        </is>
      </c>
      <c r="C402" t="inlineStr">
        <is>
          <t>4.5</t>
        </is>
      </c>
      <c r="D402">
        <f>HYPERLINK("https://www.amazon.co.jp/%E3%82%82%E3%82%82%E3%81%9F%E3%82%8D%E3%81%86%E5%8D%B0-30%E5%B9%B4%E5%B2%A1%E5%B1%B1%E7%9C%8C%E7%94%A3%E3%81%82%E3%81%8D%E3%81%9F%E3%81%93%E3%81%BE%E3%81%A1-10kg%E3%80%905kg%C3%972%E8%A2%8B%E3%80%91/dp/B07H911KPW/ref=sr_1_384?__mk_ja_JP=%E3%82%AB%E3%82%BF%E3%82%AB%E3%83%8A&amp;dchild=1&amp;keywords=%E7%B1%B3&amp;qid=1598693321&amp;sr=8-384", "Go")</f>
        <v/>
      </c>
    </row>
    <row r="403">
      <c r="A403" t="inlineStr">
        <is>
          <t>カリフォルニア生まれの硬質米プレミアム【 カルローズ 】無洗米 精白 (5kg) 30年輸入</t>
        </is>
      </c>
      <c r="B403" t="inlineStr">
        <is>
          <t>￥2,680</t>
        </is>
      </c>
      <c r="C403" t="inlineStr">
        <is>
          <t>5</t>
        </is>
      </c>
      <c r="D403">
        <f>HYPERLINK("https://www.amazon.co.jp/%E3%82%AB%E3%83%AA%E3%83%95%E3%82%A9%E3%83%AB%E3%83%8B%E3%82%A2%E7%94%9F%E3%81%BE%E3%82%8C%E3%81%AE%E7%A1%AC%E8%B3%AA%E7%B1%B3%E3%83%97%E3%83%AC%E3%83%9F%E3%82%A2%E3%83%A0%E3%80%90-%E3%82%AB%E3%83%AB%E3%83%AD%E3%83%BC%E3%82%BA-%E3%80%91%E7%84%A1%E6%B4%97%E7%B1%B3-5kg-28%E5%B9%B4%E8%BC%B8%E5%85%A5/dp/B007H45TGW/ref=sr_1_385?__mk_ja_JP=%E3%82%AB%E3%82%BF%E3%82%AB%E3%83%8A&amp;dchild=1&amp;keywords=%E7%B1%B3&amp;qid=1598693321&amp;sr=8-385", "Go")</f>
        <v/>
      </c>
    </row>
    <row r="404">
      <c r="A404" t="inlineStr">
        <is>
          <t>令和元年産/もちもち三重ミルキークイーン玄米 10ｋｇ (精米する：5分づき9kg)</t>
        </is>
      </c>
      <c r="B404" t="inlineStr">
        <is>
          <t>￥4,100</t>
        </is>
      </c>
      <c r="C404" t="inlineStr">
        <is>
          <t>4.5</t>
        </is>
      </c>
      <c r="D404">
        <f>HYPERLINK("https://www.amazon.co.jp/%E3%81%8A%E7%B1%B3%E5%B7%A5%E6%88%BF%EF%BC%88%E4%B9%85%E9%87%8E%E7%B1%B3%E7%A9%80%E5%BA%97%EF%BC%89-30%E5%B9%B4%E7%94%A3-%E3%82%82%E3%81%A1%E3%82%82%E3%81%A1%E4%B8%89%E9%87%8D%E3%83%9F%E3%83%AB%E3%82%AD%E3%83%BC%E3%82%AF%E3%82%A4%E3%83%BC%E3%83%B3%E7%8E%84%E7%B1%B3-10%EF%BD%8B%EF%BD%87-%E7%B2%BE%E7%B1%B3%E3%81%99%E3%82%8B%EF%BC%9A5%E5%88%86%E3%81%A5%E3%81%8D9kg/dp/B005XWY7KE/ref=sr_1_386?__mk_ja_JP=%E3%82%AB%E3%82%BF%E3%82%AB%E3%83%8A&amp;dchild=1&amp;keywords=%E7%B1%B3&amp;qid=1598693321&amp;sr=8-386", "Go")</f>
        <v/>
      </c>
    </row>
    <row r="405">
      <c r="A405" t="inlineStr">
        <is>
          <t>退職 プチギフト お礼 米 新潟産コシヒカリ 2合 パック (和風さくらピンク)</t>
        </is>
      </c>
      <c r="B405" t="inlineStr">
        <is>
          <t>￥395</t>
        </is>
      </c>
      <c r="C405" t="inlineStr">
        <is>
          <t>4.8</t>
        </is>
      </c>
      <c r="D405">
        <f>HYPERLINK("https://www.amazon.co.jp/%E9%80%80%E8%81%B7-%E3%81%8A%E7%A4%BC-%E3%83%97%E3%83%81%E3%82%AE%E3%83%95%E3%83%88-%E6%96%B0%E6%BD%9F%E7%94%A3%E3%82%B3%E3%82%B7%E3%83%92%E3%82%AB%E3%83%AA2%E5%90%88%E3%83%91%E3%83%83%E3%82%AF-%E5%92%8C%E9%A2%A8%E3%81%95%E3%81%8F%E3%82%89%E3%83%94%E3%83%B3%E3%82%AF/dp/B084L8TQDC/ref=sr_1_387?__mk_ja_JP=%E3%82%AB%E3%82%BF%E3%82%AB%E3%83%8A&amp;dchild=1&amp;keywords=%E7%B1%B3&amp;qid=1598693321&amp;sr=8-387", "Go")</f>
        <v/>
      </c>
    </row>
    <row r="406">
      <c r="A406" t="inlineStr">
        <is>
          <t>令和元年産 新潟産(長岡産)コシヒカリ 5kg 特別栽培米 白米</t>
        </is>
      </c>
      <c r="B406" t="inlineStr">
        <is>
          <t>￥3,260</t>
        </is>
      </c>
      <c r="C406" t="inlineStr">
        <is>
          <t>5</t>
        </is>
      </c>
      <c r="D406">
        <f>HYPERLINK("https://www.amazon.co.jp/%E4%BB%A4%E5%92%8C%E5%85%83%E5%B9%B4%E7%94%A3-%E6%96%B0%E6%BD%9F%E7%94%A3-%E9%95%B7%E5%B2%A1%E7%94%A3-%E3%82%B3%E3%82%B7%E3%83%92%E3%82%AB%E3%83%AA-%E7%89%B9%E5%88%A5%E6%A0%BD%E5%9F%B9%E7%B1%B3/dp/B07Y1Q51S7/ref=sr_1_388?__mk_ja_JP=%E3%82%AB%E3%82%BF%E3%82%AB%E3%83%8A&amp;dchild=1&amp;keywords=%E7%B1%B3&amp;qid=1598693321&amp;sr=8-388", "Go")</f>
        <v/>
      </c>
    </row>
    <row r="407">
      <c r="A407" t="inlineStr">
        <is>
          <t>新米 宮城県産 だて正夢 精米 ５ｋｇ 2019年度</t>
        </is>
      </c>
      <c r="B407" t="inlineStr">
        <is>
          <t>￥4,480</t>
        </is>
      </c>
      <c r="C407" t="inlineStr">
        <is>
          <t>5</t>
        </is>
      </c>
      <c r="D407">
        <f>HYPERLINK("https://www.amazon.co.jp/%E6%96%B0%E7%B1%B3-%E5%AE%AE%E5%9F%8E%E7%9C%8C%E7%94%A3-%E3%81%A0%E3%81%A6%E6%AD%A3%E5%A4%A2-%EF%BC%95%EF%BD%8B%EF%BD%87-2019%E5%B9%B4%E5%BA%A6/dp/B07Y1FKYNR/ref=sr_1_390?__mk_ja_JP=%E3%82%AB%E3%82%BF%E3%82%AB%E3%83%8A&amp;dchild=1&amp;keywords=%E7%B1%B3&amp;qid=1598693321&amp;sr=8-390", "Go")</f>
        <v/>
      </c>
    </row>
    <row r="408">
      <c r="A408" t="inlineStr">
        <is>
          <t>令和元年産 福島県産 ミルキークィーン 白米 ２７ｋｇ</t>
        </is>
      </c>
      <c r="B408" t="inlineStr">
        <is>
          <t>￥12,500</t>
        </is>
      </c>
      <c r="C408" t="inlineStr">
        <is>
          <t>5</t>
        </is>
      </c>
      <c r="D408">
        <f>HYPERLINK("https://www.amazon.co.jp/%E6%96%B0%E7%B1%B330%E5%B9%B4%E7%94%A3-%E7%A6%8F%E5%B3%B6%E7%9C%8C%E7%94%A3-%E3%83%9F%E3%83%AB%E3%82%AD%E3%83%BC%E3%82%AF%E3%82%A3%E3%83%BC%E3%83%B3-%E7%99%BD%E7%B1%B3-%EF%BC%92%EF%BC%97%EF%BD%8B%EF%BD%87/dp/B00BKVHFEW/ref=sr_1_391?__mk_ja_JP=%E3%82%AB%E3%82%BF%E3%82%AB%E3%83%8A&amp;dchild=1&amp;keywords=%E7%B1%B3&amp;qid=1598693321&amp;sr=8-391", "Go")</f>
        <v/>
      </c>
    </row>
    <row r="409">
      <c r="A409" t="inlineStr">
        <is>
          <t>山形県産 無洗米 はえぬき 減農薬 白米 食味ランキング 特A お米 令和元年産 (無洗米5kg)</t>
        </is>
      </c>
      <c r="B409" t="inlineStr">
        <is>
          <t>￥2,398</t>
        </is>
      </c>
      <c r="C409" t="inlineStr">
        <is>
          <t>4.1</t>
        </is>
      </c>
      <c r="D409">
        <f>HYPERLINK("https://www.amazon.co.jp/%E5%B1%B1%E5%BD%A2%E7%9C%8C%E7%94%A3-%E3%81%AF%E3%81%88%E3%81%AC%E3%81%8D-%E9%A3%9F%E5%91%B3%E3%83%A9%E3%83%B3%E3%82%AD%E3%83%B3%E3%82%B0-%E4%BB%A4%E5%92%8C%E5%85%83%E5%B9%B4%E7%94%A3-%E7%84%A1%E6%B4%97%E7%B1%B35kg/dp/B08975KYJK/ref=sr_1_393?__mk_ja_JP=%E3%82%AB%E3%82%BF%E3%82%AB%E3%83%8A&amp;dchild=1&amp;keywords=%E7%B1%B3&amp;qid=1598693321&amp;sr=8-393", "Go")</f>
        <v/>
      </c>
    </row>
    <row r="410">
      <c r="A410" t="inlineStr">
        <is>
          <t>【精米】山形県産 特別栽培米 白米 つや姫5ｋｇ 令和1年産　新米</t>
        </is>
      </c>
      <c r="B410" t="inlineStr">
        <is>
          <t>￥3,726</t>
        </is>
      </c>
      <c r="C410" t="inlineStr">
        <is>
          <t>4.1</t>
        </is>
      </c>
      <c r="D410">
        <f>HYPERLINK("https://www.amazon.co.jp/%E6%96%B0%E7%B1%B3-%E3%80%90%E7%B2%BE%E7%B1%B3%E3%80%91%E5%B1%B1%E5%BD%A2%E7%9C%8C%E7%94%A3-%E7%89%B9%E5%88%A5%E6%A0%BD%E5%9F%B9%E7%B1%B3-%E3%81%A4%E3%82%84%E5%A7%AB5%EF%BD%8B%EF%BD%87-%E5%B9%B3%E6%88%9030%E5%B9%B4%E5%BA%A6/dp/B004VIQGMS/ref=sr_1_394?__mk_ja_JP=%E3%82%AB%E3%82%BF%E3%82%AB%E3%83%8A&amp;dchild=1&amp;keywords=%E7%B1%B3&amp;qid=1598693321&amp;sr=8-394", "Go")</f>
        <v/>
      </c>
    </row>
    <row r="411">
      <c r="A411" t="inlineStr">
        <is>
          <t>熊本のおいしいお米 ひのひかり 5kg×2 合計10kg 令和元年 熊本県産 単一原料米100%</t>
        </is>
      </c>
      <c r="B411" t="inlineStr">
        <is>
          <t>￥4,480</t>
        </is>
      </c>
      <c r="C411" t="inlineStr">
        <is>
          <t>4.1</t>
        </is>
      </c>
      <c r="D411">
        <f>HYPERLINK("https://www.amazon.co.jp/%E7%86%8A%E6%9C%AC%E3%81%AE%E3%81%8A%E3%81%84%E3%81%97%E3%81%84%E3%81%8A%E7%B1%B3-%E3%81%B2%E3%81%AE%E3%81%B2%E3%81%8B%E3%82%8A-5kg%C3%972-%E5%90%88%E8%A8%8810kg-%E5%8D%98%E4%B8%80%E5%8E%9F%E6%96%99%E7%B1%B3100/dp/B088CX4D4D/ref=sr_1_396_sspa?__mk_ja_JP=%E3%82%AB%E3%82%BF%E3%82%AB%E3%83%8A&amp;dchild=1&amp;keywords=%E7%B1%B3&amp;qid=1598693321&amp;sr=8-396-spons&amp;psc=1&amp;spLa=ZW5jcnlwdGVkUXVhbGlmaWVyPUEzSzk1Q0VVSEc1OThRJmVuY3J5cHRlZElkPUEwNDM1NDEyWVJFREFaOEhKT1hNJmVuY3J5cHRlZEFkSWQ9QUczM05DTDI2SkVFVyZ3aWRnZXROYW1lPXNwX2J0ZiZhY3Rpb249Y2xpY2tSZWRpcmVjdCZkb05vdExvZ0NsaWNrPXRydWU=", "Go")</f>
        <v/>
      </c>
    </row>
    <row r="412">
      <c r="A412" t="inlineStr">
        <is>
          <t>【精米】もっと！銀しゃり亭 宮城県産 ひとめぼれ 令和1年産 (5ｋｇ×2)</t>
        </is>
      </c>
      <c r="B412" t="inlineStr">
        <is>
          <t>￥3,980</t>
        </is>
      </c>
      <c r="C412" t="inlineStr">
        <is>
          <t>4.8</t>
        </is>
      </c>
      <c r="D412">
        <f>HYPERLINK("https://www.amazon.co.jp/%E3%80%90%E7%B2%BE%E7%B1%B3%E3%80%91%E3%82%82%E3%81%A3%E3%81%A8%EF%BC%81%E9%8A%80%E3%81%97%E3%82%83%E3%82%8A%E4%BA%AD-%E5%AE%AE%E5%9F%8E%E7%9C%8C%E7%94%A3-%E3%81%B2%E3%81%A8%E3%82%81%E3%81%BC%E3%82%8C-%E5%B9%B3%E6%88%9030%E5%B9%B4%E7%94%A3-5%EF%BD%8B%EF%BD%87%C3%972/dp/B07MYSKKV8/ref=sr_1_386_sspa?__mk_ja_JP=%E3%82%AB%E3%82%BF%E3%82%AB%E3%83%8A&amp;dchild=1&amp;keywords=%E7%B1%B3&amp;qid=1598693572&amp;sr=8-386-spons&amp;psc=1&amp;spLa=ZW5jcnlwdGVkUXVhbGlmaWVyPUExMUZJME9JTlkzT09MJmVuY3J5cHRlZElkPUEwNzg2MjA5M0tMVFlTRTVDOTFPWCZlbmNyeXB0ZWRBZElkPUFBVVZaRDZTVFZEOSZ3aWRnZXROYW1lPXNwX2F0Zl9uZXh0JmFjdGlvbj1jbGlja1JlZGlyZWN0JmRvTm90TG9nQ2xpY2s9dHJ1ZQ==", "Go")</f>
        <v/>
      </c>
    </row>
    <row r="413">
      <c r="A413" t="inlineStr">
        <is>
          <t>[Amazonブランド]【精米】 Happy Belly 無洗米 北海道産 農薬節減米ななつぼし 10kg</t>
        </is>
      </c>
      <c r="B413" t="inlineStr"/>
      <c r="C413" t="inlineStr">
        <is>
          <t>4.1</t>
        </is>
      </c>
      <c r="D413">
        <f>HYPERLINK("https://www.amazon.co.jp/Amazon%E3%83%96%E3%83%A9%E3%83%B3%E3%83%89-%E3%80%90%E7%B2%BE%E7%B1%B3%E3%80%91-Happy-Belly-%E8%BE%B2%E8%96%AC%E7%AF%80%E6%B8%9B%E7%B1%B3%E3%81%AA%E3%81%AA%E3%81%A4%E3%81%BC%E3%81%97/dp/B0822CD2XQ/ref=sr_1_388_sspa?__mk_ja_JP=%E3%82%AB%E3%82%BF%E3%82%AB%E3%83%8A&amp;dchild=1&amp;keywords=%E7%B1%B3&amp;qid=1598693572&amp;sr=8-388-spons&amp;psc=1&amp;spLa=ZW5jcnlwdGVkUXVhbGlmaWVyPUExMUZJME9JTlkzT09MJmVuY3J5cHRlZElkPUEwNzg2MjA5M0tMVFlTRTVDOTFPWCZlbmNyeXB0ZWRBZElkPUExTFQ2WEhFQzhRRTJBJndpZGdldE5hbWU9c3BfYXRmX25leHQmYWN0aW9uPWNsaWNrUmVkaXJlY3QmZG9Ob3RMb2dDbGljaz10cnVl", "Go")</f>
        <v/>
      </c>
    </row>
    <row r="414">
      <c r="A414" t="inlineStr">
        <is>
          <t>《令和元年新米》【美味しい無洗米】新潟県産 新之助 5kg（無洗米）</t>
        </is>
      </c>
      <c r="B414" t="inlineStr">
        <is>
          <t>￥3,650</t>
        </is>
      </c>
      <c r="C414" t="inlineStr">
        <is>
          <t>4.3</t>
        </is>
      </c>
      <c r="D414">
        <f>HYPERLINK("https://www.amazon.co.jp/%E3%81%8A%E7%B1%B3%E3%81%AE%E3%81%9F%E3%81%8B%E3%81%95%E3%81%8B-%E3%80%90%E7%A0%94%E3%81%8E%E6%B4%97%E3%81%84%E4%B8%8D%E8%A6%81%E3%80%91%E3%80%90%E7%BE%8E%E5%91%B3%E3%81%97%E3%81%84%E7%84%A1%E6%B4%97%E7%B1%B3%E3%80%91%E3%80%90%E5%B9%B3%E6%88%9030%E5%B9%B4%E7%94%A3%E3%80%91%E6%96%B0%E6%BD%9F%E7%9C%8C%E7%94%A3-%E6%96%B0%E4%B9%8B%E5%8A%A9-5kg%EF%BC%88%E7%84%A1%E6%B4%97%E7%B1%B3%EF%BC%89/dp/B07ND6T65K/ref=sr_1_389?__mk_ja_JP=%E3%82%AB%E3%82%BF%E3%82%AB%E3%83%8A&amp;dchild=1&amp;keywords=%E7%B1%B3&amp;qid=1598693572&amp;sr=8-389", "Go")</f>
        <v/>
      </c>
    </row>
    <row r="415">
      <c r="A415" t="inlineStr">
        <is>
          <t>【精米】【精米】高知県産 精米 香米 1kg 令和元年産</t>
        </is>
      </c>
      <c r="B415" t="inlineStr">
        <is>
          <t>￥ 2,478</t>
        </is>
      </c>
      <c r="C415" t="inlineStr">
        <is>
          <t>4.3</t>
        </is>
      </c>
      <c r="D415">
        <f>HYPERLINK("https://www.amazon.co.jp/%E3%80%90%E7%B2%BE%E7%B1%B3%E3%80%91%E3%80%90%E7%B2%BE%E7%B1%B3%E3%80%91%E9%AB%98%E7%9F%A5%E7%9C%8C%E7%94%A3-%E7%B2%BE%E7%B1%B3-%E9%A6%99%E7%B1%B3-1kg-%E5%B9%B3%E6%88%9030%E5%B9%B4%E7%94%A3/dp/B01M31F2L9/ref=sr_1_390?__mk_ja_JP=%E3%82%AB%E3%82%BF%E3%82%AB%E3%83%8A&amp;dchild=1&amp;keywords=%E7%B1%B3&amp;qid=1598693572&amp;sr=8-390", "Go")</f>
        <v/>
      </c>
    </row>
    <row r="416">
      <c r="A416" t="inlineStr">
        <is>
          <t>【精米】青森県産つがるロマン(JAごしょつがる) 令和元年産 5kg</t>
        </is>
      </c>
      <c r="B416" t="inlineStr">
        <is>
          <t>￥2,480</t>
        </is>
      </c>
      <c r="C416" t="inlineStr">
        <is>
          <t>4.3</t>
        </is>
      </c>
      <c r="D416">
        <f>HYPERLINK("https://www.amazon.co.jp/%E6%96%B0%E6%BD%9F%E3%82%B1%E3%83%B3%E3%83%99%E3%82%A4-%E3%80%90%E7%B2%BE%E7%B1%B3%E3%80%91%E9%9D%92%E6%A3%AE%E7%9C%8C%E7%94%A3%E3%81%A4%E3%81%8C%E3%82%8B%E3%83%AD%E3%83%9E%E3%83%B3-JA%E3%81%94%E3%81%97%E3%82%87%E3%81%A4%E3%81%8C%E3%82%8B-%E5%B9%B3%E6%88%9030%E5%B9%B4%E7%94%A3-5kg/dp/B07L6K7QTT/ref=sr_1_391?__mk_ja_JP=%E3%82%AB%E3%82%BF%E3%82%AB%E3%83%8A&amp;dchild=1&amp;keywords=%E7%B1%B3&amp;qid=1598693572&amp;sr=8-391", "Go")</f>
        <v/>
      </c>
    </row>
    <row r="417">
      <c r="A417" t="inlineStr">
        <is>
          <t>千葉県香取郡多古町 多古米コシヒカリ 白米5kg 令和元年</t>
        </is>
      </c>
      <c r="B417" t="inlineStr">
        <is>
          <t>￥3,400</t>
        </is>
      </c>
      <c r="C417" t="inlineStr">
        <is>
          <t>4.3</t>
        </is>
      </c>
      <c r="D417">
        <f>HYPERLINK("https://www.amazon.co.jp/%E5%A4%9A%E5%8F%A4%E7%B1%B3-%E5%8D%83%E8%91%89%E7%9C%8C%E9%A6%99%E5%8F%96%E9%83%A1%E5%A4%9A%E5%8F%A4%E7%94%BA-%E5%A4%9A%E5%8F%A4%E7%B1%B3%E3%82%B3%E3%82%B7%E3%83%92%E3%82%AB%E3%83%AA-%E7%99%BD%E7%B1%B35kg-%E5%B9%B3%E6%88%9029%E5%B9%B4%E7%94%A3/dp/B075VKVFMK/ref=sr_1_392?__mk_ja_JP=%E3%82%AB%E3%82%BF%E3%82%AB%E3%83%8A&amp;dchild=1&amp;keywords=%E7%B1%B3&amp;qid=1598693572&amp;sr=8-392", "Go")</f>
        <v/>
      </c>
    </row>
    <row r="418">
      <c r="A418" t="inlineStr">
        <is>
          <t>【精米】新潟県産 白米 こしひかり 5kg 令和元年産</t>
        </is>
      </c>
      <c r="B418" t="inlineStr">
        <is>
          <t>￥2,798</t>
        </is>
      </c>
      <c r="C418" t="inlineStr">
        <is>
          <t>4</t>
        </is>
      </c>
      <c r="D418">
        <f>HYPERLINK("https://www.amazon.co.jp/Polished-Niigata-Prefecture-Koshihikari-Produced/dp/B00406EQMI/ref=sr_1_393?__mk_ja_JP=%E3%82%AB%E3%82%BF%E3%82%AB%E3%83%8A&amp;dchild=1&amp;keywords=%E7%B1%B3&amp;qid=1598693572&amp;sr=8-393", "Go")</f>
        <v/>
      </c>
    </row>
    <row r="419">
      <c r="A419" t="inlineStr">
        <is>
          <t>令和元年産 白米 北海道産 ななつぼし 10kg（5kg×2) 工場直送</t>
        </is>
      </c>
      <c r="B419" t="inlineStr">
        <is>
          <t>￥5,080</t>
        </is>
      </c>
      <c r="C419" t="inlineStr">
        <is>
          <t>4.1</t>
        </is>
      </c>
      <c r="D419">
        <f>HYPERLINK("https://www.amazon.co.jp/30%E5%B9%B4%E7%94%A3-%E5%8C%97%E6%B5%B7%E9%81%93%E7%94%A3-%E3%81%AA%E3%81%AA%E3%81%A4%E3%81%BC%E3%81%97-10kg%EF%BC%885kg%C3%972-%E5%B7%A5%E5%A0%B4%E7%9B%B4%E9%80%81/dp/B010D9MHL2/ref=sr_1_394?__mk_ja_JP=%E3%82%AB%E3%82%BF%E3%82%AB%E3%83%8A&amp;dchild=1&amp;keywords=%E7%B1%B3&amp;qid=1598693572&amp;sr=8-394", "Go")</f>
        <v/>
      </c>
    </row>
    <row r="420">
      <c r="A420" t="inlineStr">
        <is>
          <t>スマート米：青森県 つがるロマン (2kg)：残留農薬ゼロ</t>
        </is>
      </c>
      <c r="B420" t="inlineStr">
        <is>
          <t>￥1,513</t>
        </is>
      </c>
      <c r="C420" t="inlineStr">
        <is>
          <t>4.1</t>
        </is>
      </c>
      <c r="D420">
        <f>HYPERLINK("https://www.amazon.co.jp/%E3%82%B9%E3%83%9E%E3%83%BC%E3%83%88%E3%82%A2%E3%82%B0%E3%83%AA%E3%83%95%E3%83%BC%E3%83%89-%E3%82%B9%E3%83%9E%E3%83%BC%E3%83%88%E7%B1%B3%EF%BC%9A%E9%9D%92%E6%A3%AE%E7%9C%8C-%E3%81%A4%E3%81%8C%E3%82%8B%E3%83%AD%E3%83%9E%E3%83%B3-2kg-%EF%BC%9A%E6%AE%8B%E7%95%99%E8%BE%B2%E8%96%AC%E3%82%BC%E3%83%AD/dp/B08236P3DG/ref=sr_1_395_mod_primary_lightning_deal?__mk_ja_JP=%E3%82%AB%E3%82%BF%E3%82%AB%E3%83%8A&amp;dchild=1&amp;keywords=%E7%B1%B3&amp;qid=1598693572&amp;smid=A1WJXA4B8QIVEA&amp;sr=8-395", "Go")</f>
        <v/>
      </c>
    </row>
    <row r="421">
      <c r="A421" t="inlineStr">
        <is>
          <t>徳用米 25kg(10kgX2 5kg)</t>
        </is>
      </c>
      <c r="B421" t="inlineStr">
        <is>
          <t>￥7,580</t>
        </is>
      </c>
      <c r="C421" t="inlineStr">
        <is>
          <t>4</t>
        </is>
      </c>
      <c r="D421">
        <f>HYPERLINK("https://www.amazon.co.jp/%E3%81%8A%E7%B1%B3%E3%81%AE%E3%82%82%E3%82%8A%E3%81%8B%E3%82%8F-%E5%BE%B3%E7%94%A8%E7%B1%B325kg-10kgX2-5kg/dp/B00DAXX2M2/ref=sr_1_396?__mk_ja_JP=%E3%82%AB%E3%82%BF%E3%82%AB%E3%83%8A&amp;dchild=1&amp;keywords=%E7%B1%B3&amp;qid=1598693572&amp;sr=8-396", "Go")</f>
        <v/>
      </c>
    </row>
    <row r="422">
      <c r="A422" t="inlineStr">
        <is>
          <t>令和 元年度産 宮城県産 だて正夢 10kg (5kg×2袋) オーダー精米 だてまさゆめ (白米精米 約4.5kg×2袋でお届け)</t>
        </is>
      </c>
      <c r="B422" t="inlineStr">
        <is>
          <t>￥5,580</t>
        </is>
      </c>
      <c r="C422" t="inlineStr">
        <is>
          <t>4.2</t>
        </is>
      </c>
      <c r="D422">
        <f>HYPERLINK("https://www.amazon.co.jp/%E3%81%A0%E3%81%A6%E6%AD%A3%E5%A4%A2-5kg%C3%972%E8%A2%8B-%E3%82%AA%E3%83%BC%E3%83%80%E3%83%BC%E7%B2%BE%E7%B1%B3-%E3%81%A0%E3%81%A6%E3%81%BE%E3%81%95%E3%82%86%E3%82%81-%E7%B4%844-5kg%C3%972%E8%A2%8B%E3%81%A7%E3%81%8A%E5%B1%8A%E3%81%91/dp/B07NYQHSTW/ref=sr_1_397?__mk_ja_JP=%E3%82%AB%E3%82%BF%E3%82%AB%E3%83%8A&amp;dchild=1&amp;keywords=%E7%B1%B3&amp;qid=1598693572&amp;sr=8-397", "Go")</f>
        <v/>
      </c>
    </row>
    <row r="423">
      <c r="A423" t="inlineStr">
        <is>
          <t>【精米】山口県産 無洗米 ひとめぼれ 5kg 令和元年産</t>
        </is>
      </c>
      <c r="B423" t="inlineStr">
        <is>
          <t>￥ 2,795</t>
        </is>
      </c>
      <c r="C423" t="inlineStr">
        <is>
          <t>4</t>
        </is>
      </c>
      <c r="D423">
        <f>HYPERLINK("https://www.amazon.co.jp/%E3%80%90%E7%B2%BE%E7%B1%B3%E3%80%91%E5%B1%B1%E5%8F%A3%E7%9C%8C%E7%94%A3-%E7%84%A1%E6%B4%97%E7%B1%B3-%E3%81%B2%E3%81%A8%E3%82%81%E3%81%BC%E3%82%8C-5kg-%E5%B9%B3%E6%88%9030%E5%B9%B4%E7%94%A3/dp/B00BQ7KUCO/ref=sr_1_398?__mk_ja_JP=%E3%82%AB%E3%82%BF%E3%82%AB%E3%83%8A&amp;dchild=1&amp;keywords=%E7%B1%B3&amp;qid=1598693572&amp;sr=8-398", "Go")</f>
        <v/>
      </c>
    </row>
    <row r="424">
      <c r="A424" t="inlineStr">
        <is>
          <t>【精米】新潟県岩船産 白米 しらゆきまい コシヒカリ 5kg 令和元年産</t>
        </is>
      </c>
      <c r="B424" t="inlineStr">
        <is>
          <t>￥ 2,478</t>
        </is>
      </c>
      <c r="C424" t="inlineStr">
        <is>
          <t>4</t>
        </is>
      </c>
      <c r="D424">
        <f>HYPERLINK("https://www.amazon.co.jp/%E3%80%90%E7%B2%BE%E7%B1%B3%E3%80%91%E6%96%B0%E6%BD%9F%E7%9C%8C%E5%B2%A9%E8%88%B9%E7%94%A3-%E3%81%97%E3%82%89%E3%82%86%E3%81%8D%E3%81%BE%E3%81%84-%E3%82%B3%E3%82%B7%E3%83%92%E3%82%AB%E3%83%AA-5kg-%E5%B9%B3%E6%88%9030%E5%B9%B4%E7%94%A3/dp/B016G51SDK/ref=sr_1_399?__mk_ja_JP=%E3%82%AB%E3%82%BF%E3%82%AB%E3%83%8A&amp;dchild=1&amp;keywords=%E7%B1%B3&amp;qid=1598693572&amp;sr=8-399", "Go")</f>
        <v/>
      </c>
    </row>
    <row r="425">
      <c r="A425" t="inlineStr">
        <is>
          <t>《令和元年新米》【受注精米】新潟県魚沼産コシヒカリ 3kg（20合分のちょ～どいいサイズ）</t>
        </is>
      </c>
      <c r="B425" t="inlineStr">
        <is>
          <t>￥2,580</t>
        </is>
      </c>
      <c r="C425" t="inlineStr">
        <is>
          <t>4.2</t>
        </is>
      </c>
      <c r="D425">
        <f>HYPERLINK("https://www.amazon.co.jp/%E3%81%8A%E7%B1%B3%E3%81%AE%E3%81%9F%E3%81%8B%E3%81%95%E3%81%8B-%E3%80%90%E7%B2%BE%E7%B1%B3%E3%80%91%E3%80%90%E5%B9%B3%E6%88%9030%E5%B9%B4%E7%94%A3%E3%80%91%E6%96%B0%E6%BD%9F%E7%9C%8C%E9%AD%9A%E6%B2%BC%E7%94%A3%E3%82%B3%E3%82%B7%E3%83%92%E3%82%AB%E3%83%AA-3kg%EF%BC%8820%E5%90%88%E5%88%86%E3%81%AE%E3%81%A1%E3%82%87%EF%BD%9E%E3%81%A9%E3%81%84%E3%81%84%E3%82%B5%E3%82%A4%E3%82%BA%EF%BC%89/dp/B07NNT3NR9/ref=sr_1_400?__mk_ja_JP=%E3%82%AB%E3%82%BF%E3%82%AB%E3%83%8A&amp;dchild=1&amp;keywords=%E7%B1%B3&amp;qid=1598693572&amp;sr=8-400", "Go")</f>
        <v/>
      </c>
    </row>
    <row r="426">
      <c r="A426" t="inlineStr">
        <is>
          <t>米 白米 新之助 10kg (2kg×5袋) 新潟県産 令和元年産(2019年)【米袋は真空包装】</t>
        </is>
      </c>
      <c r="B426" t="inlineStr">
        <is>
          <t>￥5,680</t>
        </is>
      </c>
      <c r="C426" t="inlineStr">
        <is>
          <t>4.2</t>
        </is>
      </c>
      <c r="D426">
        <f>HYPERLINK("https://www.amazon.co.jp/%E6%96%B0%E4%B9%8B%E5%8A%A9-10kg-2kg%C3%975%E8%A2%8B-%E6%96%B0%E6%BD%9F%E7%9C%8C%E7%94%A3-%E5%B9%B3%E6%88%9030%E5%B9%B4%E5%BA%A6%E7%94%A3/dp/B07BGXJZKB/ref=sr_1_404?__mk_ja_JP=%E3%82%AB%E3%82%BF%E3%82%AB%E3%83%8A&amp;dchild=1&amp;keywords=%E7%B1%B3&amp;qid=1598693572&amp;sr=8-404", "Go")</f>
        <v/>
      </c>
    </row>
    <row r="427">
      <c r="A427" t="inlineStr">
        <is>
          <t>【 新米 予約 : 精米 】 2年産 富山県産 コシヒカリ 黒部川扇状地で育ったドリームファームのこだわり米 (20kg [5kg×4]) 一等米</t>
        </is>
      </c>
      <c r="B427" t="inlineStr">
        <is>
          <t>￥9,160</t>
        </is>
      </c>
      <c r="C427" t="inlineStr">
        <is>
          <t>4.2</t>
        </is>
      </c>
      <c r="D427">
        <f>HYPERLINK("https://www.amazon.co.jp/%E3%80%9130%E5%B9%B4%E7%94%A3-%E5%AF%8C%E5%B1%B1%E7%9C%8C%E7%94%A3-%E3%82%B3%E3%82%B7%E3%83%92%E3%82%AB%E3%83%AA-%E9%BB%92%E9%83%A8%E5%B7%9D%E6%89%87%E7%8A%B6%E5%9C%B0%E3%81%A7%E8%82%B2%E3%81%A3%E3%81%9F%E3%83%89%E3%83%AA%E3%83%BC%E3%83%A0%E3%83%95%E3%82%A1%E3%83%BC%E3%83%A0%E3%81%AE%E3%81%93%E3%81%A0%E3%82%8F%E3%82%8A%E7%B1%B3-5kg%C3%974/dp/B0752BC9XR/ref=sr_1_405?__mk_ja_JP=%E3%82%AB%E3%82%BF%E3%82%AB%E3%83%8A&amp;dchild=1&amp;keywords=%E7%B1%B3&amp;qid=1598693572&amp;sr=8-405", "Go")</f>
        <v/>
      </c>
    </row>
    <row r="428">
      <c r="A428" t="inlineStr">
        <is>
          <t>【精米】岩手県産 白米 ひとめぼれ 5kg 令和元年産</t>
        </is>
      </c>
      <c r="B428" t="inlineStr">
        <is>
          <t>￥ 5,087</t>
        </is>
      </c>
      <c r="C428" t="inlineStr">
        <is>
          <t>4</t>
        </is>
      </c>
      <c r="D428">
        <f>HYPERLINK("https://www.amazon.co.jp/%E3%80%90%E7%B2%BE%E7%B1%B3%E3%80%91%E5%B2%A9%E6%89%8B%E7%9C%8C%E7%94%A3-%E7%99%BD%E7%B1%B3-%E3%81%B2%E3%81%A8%E3%82%81%E3%81%BC%E3%82%8C-5kg-%E5%B9%B3%E6%88%9030%E5%B9%B4%E7%94%A3/dp/B004GWKV4I/ref=sr_1_406_mod_primary_lightning_deal?__mk_ja_JP=%E3%82%AB%E3%82%BF%E3%82%AB%E3%83%8A&amp;dchild=1&amp;keywords=%E7%B1%B3&amp;qid=1598693572&amp;smid=AN1VRQENFRJN5&amp;sr=8-406", "Go")</f>
        <v/>
      </c>
    </row>
    <row r="429">
      <c r="A429" t="inlineStr">
        <is>
          <t>タイムセール【農家直売】魚沼市ブランド推奨米認定 魚沼産コシヒカリ 無洗米2kg 令和元年 安心安全</t>
        </is>
      </c>
      <c r="B429" t="inlineStr">
        <is>
          <t>￥2,250</t>
        </is>
      </c>
      <c r="C429" t="inlineStr">
        <is>
          <t>4</t>
        </is>
      </c>
      <c r="D429">
        <f>HYPERLINK("https://www.amazon.co.jp/%E6%96%B0%E7%B1%B3%E3%80%90%E7%B2%BE%E7%B1%B3%E3%80%91%E9%AD%9A%E6%B2%BC%E5%B8%82%E3%83%96%E3%83%A9%E3%83%B3%E3%83%89%E6%8E%A8%E5%A5%A8%E7%B1%B3%E8%AA%8D%E5%AE%9A-%E9%AD%9A%E6%B2%BC%E7%94%A3%E3%82%B3%E3%82%B7%E3%83%92%E3%82%AB%E3%83%AA-%E7%84%A1%E6%B4%97%E7%B1%B32kg-30%E5%B9%B4%E7%94%A3-%E5%AE%89%E5%BF%83%E5%AE%89%E5%85%A8/dp/B01LW1C0WA/ref=sr_1_407?__mk_ja_JP=%E3%82%AB%E3%82%BF%E3%82%AB%E3%83%8A&amp;dchild=1&amp;keywords=%E7%B1%B3&amp;qid=1598693572&amp;sr=8-407", "Go")</f>
        <v/>
      </c>
    </row>
    <row r="430">
      <c r="A430" t="inlineStr">
        <is>
          <t>【精米】[Amazon限定ブランド] 580.com 山形県産 白米 つや姫 5kg 令和元年産</t>
        </is>
      </c>
      <c r="B430" t="inlineStr">
        <is>
          <t>￥2,305</t>
        </is>
      </c>
      <c r="C430" t="inlineStr">
        <is>
          <t>4</t>
        </is>
      </c>
      <c r="D430">
        <f>HYPERLINK("https://www.amazon.co.jp/%E3%80%90%E7%B2%BE%E7%B1%B3%E3%80%91-Amazon%E9%99%90%E5%AE%9A%E3%83%96%E3%83%A9%E3%83%B3%E3%83%89-580-com-%E5%B1%B1%E5%BD%A2%E7%9C%8C%E7%94%A3-%E5%B9%B3%E6%88%9030%E5%B9%B4%E7%94%A3/dp/B07NG653KN/ref=sr_1_408_mod_primary_lightning_deal?__mk_ja_JP=%E3%82%AB%E3%82%BF%E3%82%AB%E3%83%8A&amp;dchild=1&amp;keywords=%E7%B1%B3&amp;qid=1598693572&amp;smid=AN1VRQENFRJN5&amp;sr=8-408", "Go")</f>
        <v/>
      </c>
    </row>
    <row r="431">
      <c r="A431" t="inlineStr">
        <is>
          <t>【精米】低温製法米 白米 宮城県産 ササニシキ 5kg 令和元年産</t>
        </is>
      </c>
      <c r="B431" t="inlineStr"/>
      <c r="C431" t="inlineStr">
        <is>
          <t>4</t>
        </is>
      </c>
      <c r="D431">
        <f>HYPERLINK("https://www.amazon.co.jp/%E3%80%90%E7%B2%BE%E7%B1%B3%E3%80%91%E4%BD%8E%E6%B8%A9%E8%A3%BD%E6%B3%95%E7%B1%B3-%E5%AE%AE%E5%9F%8E%E7%9C%8C%E7%94%A3-%E3%82%B5%E3%82%B5%E3%83%8B%E3%82%B7%E3%82%AD-5kg-%E5%B9%B3%E6%88%9030%E5%B9%B4%E7%94%A3/dp/B00UBQCOXY/ref=sr_1_409?__mk_ja_JP=%E3%82%AB%E3%82%BF%E3%82%AB%E3%83%8A&amp;dchild=1&amp;keywords=%E7%B1%B3&amp;qid=1598693572&amp;sr=8-409", "Go")</f>
        <v/>
      </c>
    </row>
    <row r="432">
      <c r="A432" t="inlineStr">
        <is>
          <t>【精米】低温製法米 白米 秋田県産 あきたこまち 5kg 平成30年産</t>
        </is>
      </c>
      <c r="B432" t="inlineStr">
        <is>
          <t>￥3,780</t>
        </is>
      </c>
      <c r="C432" t="inlineStr">
        <is>
          <t>4</t>
        </is>
      </c>
      <c r="D432">
        <f>HYPERLINK("https://www.amazon.co.jp/%E3%80%90%E7%B2%BE%E7%B1%B3%E3%80%91%E4%BD%8E%E6%B8%A9%E8%A3%BD%E6%B3%95%E7%B1%B3-%E7%A7%8B%E7%94%B0%E7%9C%8C%E7%94%A3-%E3%81%82%E3%81%8D%E3%81%9F%E3%81%93%E3%81%BE%E3%81%A1-5kg-%E5%B9%B3%E6%88%9030%E5%B9%B4%E7%94%A3/dp/B07WRJNBPP/ref=sr_1_410?__mk_ja_JP=%E3%82%AB%E3%82%BF%E3%82%AB%E3%83%8A&amp;dchild=1&amp;keywords=%E7%B1%B3&amp;qid=1598693572&amp;s=pantry&amp;sr=8-410", "Go")</f>
        <v/>
      </c>
    </row>
    <row r="433">
      <c r="A433" t="inlineStr">
        <is>
          <t>【精米】アイリスオーヤマ 和の輝き 5kg</t>
        </is>
      </c>
      <c r="B433" t="inlineStr">
        <is>
          <t>￥3,280</t>
        </is>
      </c>
      <c r="C433" t="inlineStr">
        <is>
          <t>4</t>
        </is>
      </c>
      <c r="D433">
        <f>HYPERLINK("https://www.amazon.co.jp/%E3%82%A2%E3%82%A4%E3%83%AA%E3%82%B9%E3%82%AA%E3%83%BC%E3%83%A4%E3%83%9E-%E3%80%90%E7%B2%BE%E7%B1%B3%E3%80%91%E3%82%A2%E3%82%A4%E3%83%AA%E3%82%B9%E3%82%AA%E3%83%BC%E3%83%A4%E3%83%9E-%E5%92%8C%E3%81%AE%E8%BC%9D%E3%81%8D-5kg/dp/B07WRJNBQ3/ref=sr_1_411?__mk_ja_JP=%E3%82%AB%E3%82%BF%E3%82%AB%E3%83%8A&amp;dchild=1&amp;keywords=%E7%B1%B3&amp;qid=1598693572&amp;s=pantry&amp;sr=8-411", "Go")</f>
        <v/>
      </c>
    </row>
    <row r="434">
      <c r="A434" t="inlineStr">
        <is>
          <t>【令和元年産】無洗米 食べ比べ お試しセット 10kg (5kg×2種) 【 北海道産 ゆめぴりか 5kg ・ 特別栽培米 山形県産 つや姫 5kg】 【精米】【ハーベストシーズン】 【HARVEST SEASON】</t>
        </is>
      </c>
      <c r="B434" t="inlineStr">
        <is>
          <t>￥5,499</t>
        </is>
      </c>
      <c r="C434" t="inlineStr">
        <is>
          <t>4.3</t>
        </is>
      </c>
      <c r="D434">
        <f>HYPERLINK("https://www.amazon.co.jp/%E3%80%90%E7%B2%BE%E7%B1%B3%E3%80%91%E6%96%B0%E7%B1%B3-%E3%81%8A%E8%A9%A6%E3%81%97%E3%82%BB%E3%83%83%E3%83%88-%E3%80%90%E3%83%8F%E3%83%BC%E3%83%99%E3%82%B9%E3%83%88%E3%82%B7%E3%83%BC%E3%82%BA%E3%83%B3%E3%80%91-%E3%80%90HARVEST-SEASON%E3%80%91/dp/B00KKZ6AY0/ref=sr_1_412?__mk_ja_JP=%E3%82%AB%E3%82%BF%E3%82%AB%E3%83%8A&amp;dchild=1&amp;keywords=%E7%B1%B3&amp;qid=1598693572&amp;sr=8-412", "Go")</f>
        <v/>
      </c>
    </row>
    <row r="435">
      <c r="A435" t="inlineStr">
        <is>
          <t>【精米】 福島県産 白米 ひとめぼれ 5kg 令和元年産</t>
        </is>
      </c>
      <c r="B435" t="inlineStr">
        <is>
          <t>￥3,002</t>
        </is>
      </c>
      <c r="C435" t="inlineStr">
        <is>
          <t>4.1</t>
        </is>
      </c>
      <c r="D435">
        <f>HYPERLINK("https://www.amazon.co.jp/%E3%80%90%E7%B2%BE%E7%B1%B3%E3%80%91-%E7%A6%8F%E5%B3%B6%E7%9C%8C%E7%94%A3-%E3%81%B2%E3%81%A8%E3%82%81%E3%81%BC%E3%82%8C-5kg-%E4%BB%A4%E5%92%8C%E5%85%83%E5%B9%B4%E7%94%A3/dp/B07ZNLGB8L/ref=sr_1_413?__mk_ja_JP=%E3%82%AB%E3%82%BF%E3%82%AB%E3%83%8A&amp;dchild=1&amp;keywords=%E7%B1%B3&amp;qid=1598693572&amp;sr=8-413", "Go")</f>
        <v/>
      </c>
    </row>
    <row r="436">
      <c r="A436" t="inlineStr">
        <is>
          <t>【精米】【Amazon.co.jp 限定】岩手県矢巾町産 川村卓也さんのお米 特別栽培米 白米 ひとめぼれ 令和元年産×5kg</t>
        </is>
      </c>
      <c r="B436" t="inlineStr">
        <is>
          <t>￥3,271</t>
        </is>
      </c>
      <c r="C436" t="inlineStr">
        <is>
          <t>4.1</t>
        </is>
      </c>
      <c r="D436">
        <f>HYPERLINK("https://www.amazon.co.jp/%E3%80%90%E7%B2%BE%E7%B1%B3%E3%80%91%E5%B2%A9%E6%89%8B%E7%9C%8C%E7%9F%A2%E5%B7%BE%E7%94%BA%E7%94%A3-%E5%B7%9D%E6%9D%91%E5%B7%A7%E3%81%95%E3%82%93%E3%81%AE%E3%81%8A%E7%B1%B3-%E7%89%B9%E5%88%A5%E6%A0%BD%E5%9F%B9%E7%B1%B3-%E3%81%B2%E3%81%A8%E3%82%81%E3%81%BC%E3%82%8C-%E5%B9%B3%E6%88%9030%E5%B9%B4%E7%94%A3/dp/B01AJ0V5DQ/ref=sr_1_414?__mk_ja_JP=%E3%82%AB%E3%82%BF%E3%82%AB%E3%83%8A&amp;dchild=1&amp;keywords=%E7%B1%B3&amp;qid=1598693572&amp;sr=8-414", "Go")</f>
        <v/>
      </c>
    </row>
    <row r="437">
      <c r="A437" t="inlineStr">
        <is>
          <t>新米予約 環境こだわり米(減農薬) ミルキークイーン 30kg (玄米)(◆玄米30kg(10kg×3)) 滋賀県東近江産 【西村農産】 令和2年産 送料無料</t>
        </is>
      </c>
      <c r="B437" t="inlineStr">
        <is>
          <t>￥12,680</t>
        </is>
      </c>
      <c r="C437" t="inlineStr">
        <is>
          <t>4.8</t>
        </is>
      </c>
      <c r="D437">
        <f>HYPERLINK("https://www.amazon.co.jp/%E7%92%B0%E5%A2%83%E3%81%93%E3%81%A0%E3%82%8F%E3%82%8A%E7%B1%B3-%E3%83%9F%E3%83%AB%E3%82%AD%E3%83%BC%E3%82%AF%E3%82%A4%E3%83%BC%E3%83%B3-%E2%97%86%E7%8E%84%E7%B1%B330kg-10kg%C3%973-%E6%BB%8B%E8%B3%80%E7%9C%8C%E6%9D%B1%E8%BF%91%E6%B1%9F%E7%94%A3/dp/B01M0E11NT/ref=sr_1_416_sspa?__mk_ja_JP=%E3%82%AB%E3%82%BF%E3%82%AB%E3%83%8A&amp;dchild=1&amp;keywords=%E7%B1%B3&amp;qid=1598693572&amp;sr=8-416-spons&amp;psc=1&amp;spLa=ZW5jcnlwdGVkUXVhbGlmaWVyPUExMUZJME9JTlkzT09MJmVuY3J5cHRlZElkPUEwNzg2MjA5M0tMVFlTRTVDOTFPWCZlbmNyeXB0ZWRBZElkPUEyVFgyRlQ2VVJNQUhTJndpZGdldE5hbWU9c3BfbXRmJmFjdGlvbj1jbGlja1JlZGlyZWN0JmRvTm90TG9nQ2xpY2s9dHJ1ZQ==", "Go")</f>
        <v/>
      </c>
    </row>
    <row r="438">
      <c r="A438" t="inlineStr">
        <is>
          <t>【新米】【精米】　２８年産　富山県産　コシヒカリ　風の盆　１０Ｋｇ　【配送無料】</t>
        </is>
      </c>
      <c r="B438" t="inlineStr">
        <is>
          <t>￥4,980</t>
        </is>
      </c>
      <c r="C438" t="inlineStr">
        <is>
          <t>4.1</t>
        </is>
      </c>
      <c r="D438">
        <f>HYPERLINK("https://www.amazon.co.jp/%E8%83%BD%E7%99%BB%E3%81%AE%E3%81%8A%E7%B1%B3%E5%B1%8B%E3%81%95%E3%82%93%EF%BC%A0%E3%81%AA%E3%81%8B%E3%81%AF%E3%81%97-%E3%80%90%E6%96%B0%E7%B1%B3%E3%80%91%E3%80%90%E7%B2%BE%E7%B1%B3%E3%80%91-%EF%BC%92%EF%BC%98%E5%B9%B4%E7%94%A3-%E5%AF%8C%E5%B1%B1%E7%9C%8C%E7%94%A3-%E3%82%B3%E3%82%B7%E3%83%92%E3%82%AB%E3%83%AA-%E9%A2%A8%E3%81%AE%E7%9B%86-%EF%BC%91%EF%BC%90%EF%BC%AB%EF%BD%87-%E3%80%90%E9%85%8D%E9%80%81%E7%84%A1%E6%96%99%E3%80%91/dp/B00HA712O4/ref=sr_1_419?__mk_ja_JP=%E3%82%AB%E3%82%BF%E3%82%AB%E3%83%8A&amp;dchild=1&amp;keywords=%E7%B1%B3&amp;qid=1598693572&amp;sr=8-419", "Go")</f>
        <v/>
      </c>
    </row>
    <row r="439">
      <c r="A439" t="inlineStr">
        <is>
          <t>ブレンド米 25kg 白米</t>
        </is>
      </c>
      <c r="B439" t="inlineStr">
        <is>
          <t>￥8,500</t>
        </is>
      </c>
      <c r="C439" t="inlineStr">
        <is>
          <t>4</t>
        </is>
      </c>
      <c r="D439">
        <f>HYPERLINK("https://www.amazon.co.jp/%E3%81%8A%E7%B1%B3%E8%B2%A9%E5%A3%B2%E3%81%AE%E5%A4%A7%E8%B3%80%E5%95%86%E5%BA%97-%E3%83%96%E3%83%AC%E3%83%B3%E3%83%89%E7%B1%B3-25kg-%E7%99%BD%E7%B1%B3/dp/B012Q0WCCK/ref=sr_1_420?__mk_ja_JP=%E3%82%AB%E3%82%BF%E3%82%AB%E3%83%8A&amp;dchild=1&amp;keywords=%E7%B1%B3&amp;qid=1598693572&amp;sr=8-420", "Go")</f>
        <v/>
      </c>
    </row>
    <row r="440">
      <c r="A440" t="inlineStr">
        <is>
          <t>【精米】【 Amazon.co.jp 限定】山形県産 無洗米 はえぬき 5kg 令和元年産</t>
        </is>
      </c>
      <c r="B440" t="inlineStr">
        <is>
          <t>￥2,013</t>
        </is>
      </c>
      <c r="C440" t="inlineStr">
        <is>
          <t>4</t>
        </is>
      </c>
      <c r="D440">
        <f>HYPERLINK("https://www.amazon.co.jp/%E3%80%90%E7%B2%BE%E7%B1%B3%E3%80%91%E3%80%90-Amazon-co-jp-%E9%99%90%E5%AE%9A%E3%80%91%E5%B1%B1%E5%BD%A2%E7%9C%8C%E7%94%A3-%E3%81%AF%E3%81%88%E3%81%AC%E3%81%8D-%E5%B9%B3%E6%88%9030%E5%B9%B4%E7%94%A3/dp/B018TX6U12/ref=sr_1_421?__mk_ja_JP=%E3%82%AB%E3%82%BF%E3%82%AB%E3%83%8A&amp;dchild=1&amp;keywords=%E7%B1%B3&amp;qid=1598693572&amp;sr=8-421", "Go")</f>
        <v/>
      </c>
    </row>
    <row r="441">
      <c r="A441" t="inlineStr">
        <is>
          <t>【精米】 鳥取県産 白米 星空舞 5㎏ 令和元年産</t>
        </is>
      </c>
      <c r="B441" t="inlineStr">
        <is>
          <t>￥2,678</t>
        </is>
      </c>
      <c r="C441" t="inlineStr">
        <is>
          <t>4.1</t>
        </is>
      </c>
      <c r="D441">
        <f>HYPERLINK("https://www.amazon.co.jp/%E3%80%90%E7%B2%BE%E7%B1%B3%E3%80%91-%E9%B3%A5%E5%8F%96%E7%9C%8C%E7%94%A3-%E7%99%BD%E7%B1%B3-%E6%98%9F%E7%A9%BA%E8%88%9E-%E4%BB%A4%E5%92%8C%E5%85%83%E5%B9%B4%E7%94%A3/dp/B08C7ZBD3Y/ref=sr_1_422?__mk_ja_JP=%E3%82%AB%E3%82%BF%E3%82%AB%E3%83%8A&amp;dchild=1&amp;keywords=%E7%B1%B3&amp;qid=1598693572&amp;sr=8-422", "Go")</f>
        <v/>
      </c>
    </row>
    <row r="442">
      <c r="A442" t="inlineStr">
        <is>
          <t>【精米】魚沼塩沢産コシヒカリ 令和元年産 5kg</t>
        </is>
      </c>
      <c r="B442" t="inlineStr">
        <is>
          <t>￥3,812</t>
        </is>
      </c>
      <c r="C442" t="inlineStr">
        <is>
          <t>4.4</t>
        </is>
      </c>
      <c r="D442">
        <f>HYPERLINK("https://www.amazon.co.jp/%E6%96%B0%E6%BD%9F%E3%82%B1%E3%83%B3%E3%83%99%E3%82%A4-29%E5%B9%B4%E5%BA%A6%E7%B1%B3-%E5%8D%97%E9%AD%9A%E6%B2%BC%E5%A1%A9%E6%B2%A2%E7%94%A3%E3%82%B3%E3%82%B7%E3%83%92%E3%82%AB%E3%83%AA-%E7%B2%BE%E7%B1%B35kg/dp/B009O9BIQS/ref=sr_1_423?__mk_ja_JP=%E3%82%AB%E3%82%BF%E3%82%AB%E3%83%8A&amp;dchild=1&amp;keywords=%E7%B1%B3&amp;qid=1598693572&amp;sr=8-423", "Go")</f>
        <v/>
      </c>
    </row>
    <row r="443">
      <c r="A443" t="inlineStr">
        <is>
          <t>【精米】北海道産 ホクレン ゆめぴりか 5kg 令和元年産</t>
        </is>
      </c>
      <c r="B443" t="inlineStr">
        <is>
          <t>￥2,503</t>
        </is>
      </c>
      <c r="C443" t="inlineStr">
        <is>
          <t>4</t>
        </is>
      </c>
      <c r="D443">
        <f>HYPERLINK("https://www.amazon.co.jp/%E3%80%90%E7%B2%BE%E7%B1%B3%E3%80%91%E5%8C%97%E6%B5%B7%E9%81%93%E7%94%A3-%E3%83%9B%E3%82%AF%E3%83%AC%E3%83%B3-%E3%82%86%E3%82%81%E3%81%B4%E3%82%8A%E3%81%8B-5kg-%E5%B9%B3%E6%88%9030%E5%B9%B4%E7%94%A3/dp/B009ERICDC/ref=sr_1_424?__mk_ja_JP=%E3%82%AB%E3%82%BF%E3%82%AB%E3%83%8A&amp;dchild=1&amp;keywords=%E7%B1%B3&amp;qid=1598693572&amp;sr=8-424", "Go")</f>
        <v/>
      </c>
    </row>
    <row r="444">
      <c r="A444" t="inlineStr">
        <is>
          <t>新米 精白米 熊本産 ヒノヒカリ 5kg 9年連続特A受賞 阿蘇天然水育ち 残留農ゼロ 今なら古代米プレゼント</t>
        </is>
      </c>
      <c r="B444" t="inlineStr"/>
      <c r="C444" t="inlineStr">
        <is>
          <t>4</t>
        </is>
      </c>
      <c r="D444">
        <f>HYPERLINK("https://www.amazon.co.jp/%E3%83%92%E3%83%8E%E3%83%92%E3%82%AB%E3%83%AA-10%E5%B9%B4%E9%80%A3%E7%B6%9A%E7%89%B9A%E5%8F%97%E8%B3%9E-%E9%98%BF%E8%98%87%E5%A4%A9%E7%84%B6%E6%B0%B4%E8%82%B2%E3%81%A1-%E6%AE%8B%E7%95%99%E8%BE%B2%E3%82%BC%E3%83%AD-%E4%BB%8A%E3%81%AA%E3%82%89%E9%9B%91%E7%A9%80%E7%B1%B3%E3%83%97%E3%83%AC%E3%82%BC%E3%83%B3%E3%83%88/dp/B00RJO5QPO/ref=sr_1_425?__mk_ja_JP=%E3%82%AB%E3%82%BF%E3%82%AB%E3%83%8A&amp;dchild=1&amp;keywords=%E7%B1%B3&amp;qid=1598693572&amp;sr=8-425", "Go")</f>
        <v/>
      </c>
    </row>
    <row r="445">
      <c r="A445" t="inlineStr">
        <is>
          <t>福島県会津産 白米 コシヒカリ 5kg 令和元年産</t>
        </is>
      </c>
      <c r="B445" t="inlineStr">
        <is>
          <t>￥2,290</t>
        </is>
      </c>
      <c r="C445" t="inlineStr">
        <is>
          <t>4.1</t>
        </is>
      </c>
      <c r="D445">
        <f>HYPERLINK("https://www.amazon.co.jp/%E7%A6%8F%E5%B3%B6%E7%9C%8C%E4%BC%9A%E6%B4%A5%E7%94%A3-%E7%99%BD%E7%B1%B3-%E3%82%B3%E3%82%B7%E3%83%92%E3%82%AB%E3%83%AA-5kg-%E5%B9%B3%E6%88%9030%E5%B9%B4%E7%94%A3/dp/B001VAU4AY/ref=sr_1_426?__mk_ja_JP=%E3%82%AB%E3%82%BF%E3%82%AB%E3%83%8A&amp;dchild=1&amp;keywords=%E7%B1%B3&amp;qid=1598693572&amp;sr=8-426", "Go")</f>
        <v/>
      </c>
    </row>
    <row r="446">
      <c r="A446" t="inlineStr">
        <is>
          <t>【精米】ホクレン 北海道産 八十九(おぼろづき) 5kg 令和元年産</t>
        </is>
      </c>
      <c r="B446" t="inlineStr">
        <is>
          <t>￥ 2,478</t>
        </is>
      </c>
      <c r="C446" t="inlineStr">
        <is>
          <t>4.1</t>
        </is>
      </c>
      <c r="D446">
        <f>HYPERLINK("https://www.amazon.co.jp/%E3%80%90%E7%B2%BE%E7%B1%B3%E3%80%91%E3%83%9B%E3%82%AF%E3%83%AC%E3%83%B3-%E5%8C%97%E6%B5%B7%E9%81%93%E7%94%A3-%E5%85%AB%E5%8D%81%E4%B9%9D-%E3%81%8A%E3%81%BC%E3%82%8D%E3%81%A5%E3%81%8D-%E5%B9%B3%E6%88%9029%E5%B9%B4%E7%94%A3/dp/B007MN9HX4/ref=sr_1_427?__mk_ja_JP=%E3%82%AB%E3%82%BF%E3%82%AB%E3%83%8A&amp;dchild=1&amp;keywords=%E7%B1%B3&amp;qid=1598693572&amp;sr=8-427", "Go")</f>
        <v/>
      </c>
    </row>
    <row r="447">
      <c r="A447" t="inlineStr">
        <is>
          <t>【精米】[Amazon限定ブランド] 580.com 宮城県産 白米 つや姫 5kg 令和元年産</t>
        </is>
      </c>
      <c r="B447" t="inlineStr">
        <is>
          <t>￥2,080</t>
        </is>
      </c>
      <c r="C447" t="inlineStr">
        <is>
          <t>4</t>
        </is>
      </c>
      <c r="D447">
        <f>HYPERLINK("https://www.amazon.co.jp/%E3%80%90%E7%B2%BE%E7%B1%B3%E3%80%91%E5%AE%AE%E5%9F%8E%E7%9C%8C%E7%94%A3-%E7%99%BD%E7%B1%B3-%E3%81%A4%E3%82%84%E5%A7%AB-5kg-%E5%B9%B3%E6%88%9030%E5%B9%B4%E7%94%A3/dp/B06XRSW8Z4/ref=sr_1_428?__mk_ja_JP=%E3%82%AB%E3%82%BF%E3%82%AB%E3%83%8A&amp;dchild=1&amp;keywords=%E7%B1%B3&amp;qid=1598693572&amp;s=pantry&amp;sr=8-428", "Go")</f>
        <v/>
      </c>
    </row>
    <row r="448">
      <c r="A448" t="inlineStr">
        <is>
          <t>【精米】佐賀県産 白米 夢しずく 5kg 令和元年産</t>
        </is>
      </c>
      <c r="B448" t="inlineStr">
        <is>
          <t>￥2,480</t>
        </is>
      </c>
      <c r="C448" t="inlineStr">
        <is>
          <t>4.2</t>
        </is>
      </c>
      <c r="D448">
        <f>HYPERLINK("https://www.amazon.co.jp/%E3%80%90%E7%B2%BE%E7%B1%B3%E3%80%91%E4%BD%90%E8%B3%80%E7%9C%8C%E7%94%A3-%E7%99%BD%E7%B1%B3-%E5%A4%A2%E3%81%97%E3%81%9A%E3%81%8F-5kg-%E5%B9%B3%E6%88%9030%E5%B9%B4%E7%94%A3/dp/B008XF7S4U/ref=sr_1_430?__mk_ja_JP=%E3%82%AB%E3%82%BF%E3%82%AB%E3%83%8A&amp;dchild=1&amp;keywords=%E7%B1%B3&amp;qid=1598693572&amp;sr=8-430", "Go")</f>
        <v/>
      </c>
    </row>
    <row r="449">
      <c r="A449" t="inlineStr">
        <is>
          <t>【精米】レストラン用 洗わずに炊ける 無洗米 あきたこまち ブレンド(国内産)×2kg</t>
        </is>
      </c>
      <c r="B449" t="inlineStr">
        <is>
          <t>￥ 2,478</t>
        </is>
      </c>
      <c r="C449" t="inlineStr">
        <is>
          <t>4.2</t>
        </is>
      </c>
      <c r="D449">
        <f>HYPERLINK("https://www.amazon.co.jp/%E3%80%90%E7%B2%BE%E7%B1%B3%E3%80%91%E3%83%AC%E3%82%B9%E3%83%88%E3%83%A9%E3%83%B3%E7%94%A8-%E6%B4%97%E3%82%8F%E3%81%9A%E3%81%AB%E7%82%8A%E3%81%91%E3%82%8B-%E3%81%82%E3%81%8D%E3%81%9F%E3%81%93%E3%81%BE%E3%81%A1-%E3%83%96%E3%83%AC%E3%83%B3%E3%83%89-%C3%972kg/dp/B01FHE32OO/ref=sr_1_431?__mk_ja_JP=%E3%82%AB%E3%82%BF%E3%82%AB%E3%83%8A&amp;dchild=1&amp;keywords=%E7%B1%B3&amp;qid=1598693572&amp;sr=8-431", "Go")</f>
        <v/>
      </c>
    </row>
    <row r="450">
      <c r="A450" t="inlineStr">
        <is>
          <t>【精米】宮崎県産 伊丹米ミルキークイーン 令和2年産 5kg</t>
        </is>
      </c>
      <c r="B450" t="inlineStr">
        <is>
          <t>￥3,080</t>
        </is>
      </c>
      <c r="C450" t="inlineStr">
        <is>
          <t>4.6</t>
        </is>
      </c>
      <c r="D450">
        <f>HYPERLINK("https://www.amazon.co.jp/%E4%BC%8A%E4%B8%B9%E7%B1%B3-%E3%80%90%E7%B2%BE%E7%B1%B3%E3%80%91%E5%AE%AE%E5%B4%8E%E7%9C%8C%E7%94%A3-%E4%BC%8A%E4%B8%B9%E7%B1%B3%E3%83%9F%E3%83%AB%E3%82%AD%E3%83%BC%E3%82%AF%E3%82%A4%E3%83%BC%E3%83%B3-5kg-%E5%B9%B3%E6%88%9030%E5%B9%B4%E7%94%A3/dp/B01N5V3UJG/ref=sr_1_432?__mk_ja_JP=%E3%82%AB%E3%82%BF%E3%82%AB%E3%83%8A&amp;dchild=1&amp;keywords=%E7%B1%B3&amp;qid=1598693572&amp;sr=8-432", "Go")</f>
        <v/>
      </c>
    </row>
    <row r="451">
      <c r="A451" t="inlineStr">
        <is>
          <t>【精米】石川県産 白米 特別栽培米 こしひかり 雪娘 5kg 令和元年産</t>
        </is>
      </c>
      <c r="B451" t="inlineStr">
        <is>
          <t>￥ 2,478</t>
        </is>
      </c>
      <c r="C451" t="inlineStr">
        <is>
          <t>4.6</t>
        </is>
      </c>
      <c r="D451">
        <f>HYPERLINK("https://www.amazon.co.jp/%E3%80%90%E7%B2%BE%E7%B1%B3%E3%80%91%E7%9F%B3%E5%B7%9D%E7%9C%8C%E7%94%A3-%E7%89%B9%E5%88%A5%E6%A0%BD%E5%9F%B9%E7%B1%B3-%E3%81%93%E3%81%97%E3%81%B2%E3%81%8B%E3%82%8A-5kg-%E5%B9%B3%E6%88%9029%E5%B9%B4%E7%94%A3/dp/B07FXLW531/ref=sr_1_433?__mk_ja_JP=%E3%82%AB%E3%82%BF%E3%82%AB%E3%83%8A&amp;dchild=1&amp;keywords=%E7%B1%B3&amp;qid=1598693572&amp;sr=8-433", "Go")</f>
        <v/>
      </c>
    </row>
    <row r="452">
      <c r="A452" t="inlineStr">
        <is>
          <t>【精米】福島県産 白米 天のつぶ 5kg 令和元年産</t>
        </is>
      </c>
      <c r="B452" t="inlineStr">
        <is>
          <t>￥2,559</t>
        </is>
      </c>
      <c r="C452" t="inlineStr">
        <is>
          <t>4.2</t>
        </is>
      </c>
      <c r="D452">
        <f>HYPERLINK("https://www.amazon.co.jp/%E3%80%90%E7%B2%BE%E7%B1%B3%E3%80%91%E7%A6%8F%E5%B3%B6%E7%9C%8C%E7%94%A3-%E7%99%BD%E7%B1%B3-%E5%A4%A9%E3%81%AE%E3%81%A4%E3%81%B6-5kg-%E5%B9%B3%E6%88%9030%E5%B9%B4%E7%94%A3/dp/B07JXJ4BZY/ref=sr_1_434?__mk_ja_JP=%E3%82%AB%E3%82%BF%E3%82%AB%E3%83%8A&amp;dchild=1&amp;keywords=%E7%B1%B3&amp;qid=1598693572&amp;sr=8-434", "Go")</f>
        <v/>
      </c>
    </row>
    <row r="453">
      <c r="A453" t="inlineStr">
        <is>
          <t>令和 元年産 富山産 コシヒカリ 立山・入善 指定米 5kg (５分づき（精米後約4.75kg）)</t>
        </is>
      </c>
      <c r="B453" t="inlineStr">
        <is>
          <t>￥2,930</t>
        </is>
      </c>
      <c r="C453" t="inlineStr">
        <is>
          <t>4.1</t>
        </is>
      </c>
      <c r="D453">
        <f>HYPERLINK("https://www.amazon.co.jp/30%E5%B9%B4%E7%94%A3-%E5%AF%8C%E5%B1%B1%E7%94%A3-%E3%82%B3%E3%82%B7%E3%83%92%E3%82%AB%E3%83%AA-5kg-%EF%BC%95%E5%88%86%E3%81%A5%E3%81%8D%EF%BC%88%E7%B2%BE%E7%B1%B3%E5%BE%8C%E7%B4%844-75kg%EF%BC%89/dp/B01M07QQMW/ref=sr_1_435?__mk_ja_JP=%E3%82%AB%E3%82%BF%E3%82%AB%E3%83%8A&amp;dchild=1&amp;keywords=%E7%B1%B3&amp;qid=1598693572&amp;sr=8-435", "Go")</f>
        <v/>
      </c>
    </row>
    <row r="454">
      <c r="A454" t="inlineStr">
        <is>
          <t>【精米】タイ米　香り米　ジャスミンライス10kg（5kgx2）</t>
        </is>
      </c>
      <c r="B454" t="inlineStr">
        <is>
          <t>￥5,600</t>
        </is>
      </c>
      <c r="C454" t="inlineStr">
        <is>
          <t>4.6</t>
        </is>
      </c>
      <c r="D454">
        <f>HYPERLINK("https://www.amazon.co.jp/%E5%86%85%E9%87%8E%E7%B1%B3%E7%A9%80-%E3%82%BF%E3%82%A4%E7%B1%B3-%E9%A6%99%E3%82%8A%E7%B1%B3-%E3%82%B8%E3%83%A3%E3%82%B9%E3%83%9F%E3%83%B3%E3%83%A9%E3%82%A4%E3%82%B910kg%EF%BC%885kgx2%EF%BC%89/dp/B01HKY4WKW/ref=sr_1_436?__mk_ja_JP=%E3%82%AB%E3%82%BF%E3%82%AB%E3%83%8A&amp;dchild=1&amp;keywords=%E7%B1%B3&amp;qid=1598693572&amp;sr=8-436", "Go")</f>
        <v/>
      </c>
    </row>
    <row r="455">
      <c r="A455" t="inlineStr">
        <is>
          <t>【精米】[Amazon限定ブランド] 580.com 千葉県産 白米 ふさこがね 5kg 令和元年産</t>
        </is>
      </c>
      <c r="B455" t="inlineStr">
        <is>
          <t>￥2,309</t>
        </is>
      </c>
      <c r="C455" t="inlineStr">
        <is>
          <t>4</t>
        </is>
      </c>
      <c r="D455">
        <f>HYPERLINK("https://www.amazon.co.jp/Amazon%E9%99%90%E5%AE%9A%E3%83%96%E3%83%A9%E3%83%B3%E3%83%89-%E3%80%90%E7%B2%BE%E7%B1%B3%E3%80%91-%E5%8D%83%E8%91%89%E7%9C%8C%E7%94%A3-%E3%81%B5%E3%81%95%E3%81%93%E3%81%8C%E3%81%AD-%E4%BB%A4%E5%92%8C%E5%85%83%E5%B9%B4%E7%94%A3/dp/B07WRPR4TV/ref=sr_1_437?__mk_ja_JP=%E3%82%AB%E3%82%BF%E3%82%AB%E3%83%8A&amp;dchild=1&amp;keywords=%E7%B1%B3&amp;qid=1598693572&amp;sr=8-437", "Go")</f>
        <v/>
      </c>
    </row>
    <row r="456">
      <c r="A456" t="inlineStr">
        <is>
          <t>平成30年産、令和元年産 佐賀産白米 30ｋｇ 【１０ｋｇ×３袋】</t>
        </is>
      </c>
      <c r="B456" t="inlineStr">
        <is>
          <t>￥8,800</t>
        </is>
      </c>
      <c r="C456" t="inlineStr">
        <is>
          <t>4</t>
        </is>
      </c>
      <c r="D456">
        <f>HYPERLINK("https://www.amazon.co.jp/%E4%BD%90%E8%B3%80%E7%B1%B3-28%E5%B9%B4%E7%94%A3-%E4%BD%90%E8%B3%80%E7%94%A3-%E7%99%BD%E7%B1%B330%EF%BD%8B%EF%BD%87%EF%BC%8810%EF%BD%8B%C3%973%EF%BC%89/dp/B0169XR4DM/ref=sr_1_438?__mk_ja_JP=%E3%82%AB%E3%82%BF%E3%82%AB%E3%83%8A&amp;dchild=1&amp;keywords=%E7%B1%B3&amp;qid=1598693572&amp;sr=8-438", "Go")</f>
        <v/>
      </c>
    </row>
    <row r="457">
      <c r="A457" t="inlineStr">
        <is>
          <t>【当日精米】 令和元年産 お米 10kg コシヒカリ 5分づき 5kg×2 丹波ささ山産 特別栽培米 7.5割農薬減 兵庫県 特A 一等米 当日精米</t>
        </is>
      </c>
      <c r="B457" t="inlineStr">
        <is>
          <t>￥6,480</t>
        </is>
      </c>
      <c r="C457" t="inlineStr">
        <is>
          <t>4.5</t>
        </is>
      </c>
      <c r="D457">
        <f>HYPERLINK("https://www.amazon.co.jp/%E3%82%B3%E3%82%B7%E3%83%92%E3%82%AB%E3%83%AA-5kg%C3%972-%E7%89%B9%E5%88%A5%E6%A0%BD%E5%9F%B9%E7%B1%B3-7-5%E5%89%B2%E8%BE%B2%E8%96%AC%E6%B8%9B-%E4%B8%B9%E6%B3%A2%E7%AF%A0%E5%B1%B1%E7%94%A3/dp/B0166FYQFM/ref=sr_1_439?__mk_ja_JP=%E3%82%AB%E3%82%BF%E3%82%AB%E3%83%8A&amp;dchild=1&amp;keywords=%E7%B1%B3&amp;qid=1598693572&amp;sr=8-439", "Go")</f>
        <v/>
      </c>
    </row>
    <row r="458">
      <c r="A458" t="inlineStr">
        <is>
          <t>無洗米 5kg【最高ランク特Ａ地区】宮城県登米産 ひとめぼれ １等米</t>
        </is>
      </c>
      <c r="B458" t="inlineStr">
        <is>
          <t>￥2,680</t>
        </is>
      </c>
      <c r="C458" t="inlineStr">
        <is>
          <t>4</t>
        </is>
      </c>
      <c r="D458">
        <f>HYPERLINK("https://www.amazon.co.jp/%E6%B8%85%E6%B5%81%E7%B1%B3-%E7%84%A1%E6%B4%97%E7%B1%B3-5kg%E3%80%90%E6%9C%80%E9%AB%98%E3%83%A9%E3%83%B3%E3%82%AF%E7%89%B9%EF%BC%A1%E5%9C%B0%E5%8C%BA%E3%80%91%E5%AE%AE%E5%9F%8E%E7%9C%8C%E7%99%BB%E7%B1%B3%E7%94%A3-%E3%81%B2%E3%81%A8%E3%82%81%E3%81%BC%E3%82%8C-%EF%BC%91%E7%AD%89%E7%B1%B3/dp/B07JJXRFZ8/ref=sr_1_441?__mk_ja_JP=%E3%82%AB%E3%82%BF%E3%82%AB%E3%83%8A&amp;dchild=1&amp;keywords=%E7%B1%B3&amp;qid=1598693572&amp;sr=8-441", "Go")</f>
        <v/>
      </c>
    </row>
    <row r="459">
      <c r="A459" t="inlineStr">
        <is>
          <t>【最高ランク特Ａ地区】宮城県産 ひとめぼれ 白米 10kg ( 5kg×2 ) 一等米 登米市</t>
        </is>
      </c>
      <c r="B459" t="inlineStr">
        <is>
          <t>￥4,480</t>
        </is>
      </c>
      <c r="C459" t="inlineStr">
        <is>
          <t>4</t>
        </is>
      </c>
      <c r="D459">
        <f>HYPERLINK("https://www.amazon.co.jp/%E3%80%90%E6%9C%80%E9%AB%98%E3%83%A9%E3%83%B3%E3%82%AF%E7%89%B9%EF%BC%A1%E5%9C%B0%E5%8C%BA%E3%80%91%E5%AE%AE%E5%9F%8E%E7%9C%8C%E7%99%BB%E7%B1%B3%E7%94%A3-%E3%81%B2%E3%81%A8%E3%82%81%E3%81%BC%E3%82%8C-10kg-5kg%C3%972-%EF%BC%91%E7%AD%89%E7%B1%B3/dp/B07BXN7GT1/ref=sr_1_442?__mk_ja_JP=%E3%82%AB%E3%82%BF%E3%82%AB%E3%83%8A&amp;dchild=1&amp;keywords=%E7%B1%B3&amp;qid=1598693572&amp;sr=8-442", "Go")</f>
        <v/>
      </c>
    </row>
    <row r="460">
      <c r="A460" t="inlineStr">
        <is>
          <t>元気つくし 金のめし丸マーク付 福岡県産 10kg(5kg×2) 精米</t>
        </is>
      </c>
      <c r="B460" t="inlineStr">
        <is>
          <t>￥5,380</t>
        </is>
      </c>
      <c r="C460" t="inlineStr">
        <is>
          <t>4.2</t>
        </is>
      </c>
      <c r="D460">
        <f>HYPERLINK("https://www.amazon.co.jp/%E5%85%83%E6%B0%97%E3%81%A4%E3%81%8F%E3%81%97-%E9%87%91%E3%81%AE%E3%82%81%E3%81%97%E4%B8%B8%E3%83%9E%E3%83%BC%E3%82%AF%E4%BB%98-%E7%A6%8F%E5%B2%A1%E7%9C%8C%E7%94%A3-10kg-5kg%C3%972/dp/B00PHRXN96/ref=sr_1_434_sspa?__mk_ja_JP=%E3%82%AB%E3%82%BF%E3%82%AB%E3%83%8A&amp;dchild=1&amp;keywords=%E7%B1%B3&amp;qid=1598693850&amp;sr=8-434-spons&amp;psc=1&amp;spLa=ZW5jcnlwdGVkUXVhbGlmaWVyPUEzVk1KQlNLMlBCRVNQJmVuY3J5cHRlZElkPUEwNTg5NDQ0MVJKM1c0MzFJTUdIVSZlbmNyeXB0ZWRBZElkPUExSFJMMDFaOExIQVdKJndpZGdldE5hbWU9c3BfYXRmX25leHQmYWN0aW9uPWNsaWNrUmVkaXJlY3QmZG9Ob3RMb2dDbGljaz10cnVl", "Go")</f>
        <v/>
      </c>
    </row>
    <row r="461">
      <c r="A461" t="inlineStr">
        <is>
          <t>新潟県産 コシヒカリ 山並 白米 5kg 令和元年産</t>
        </is>
      </c>
      <c r="B461" t="inlineStr">
        <is>
          <t>￥2,920</t>
        </is>
      </c>
      <c r="C461" t="inlineStr">
        <is>
          <t>4.3</t>
        </is>
      </c>
      <c r="D461">
        <f>HYPERLINK("https://www.amazon.co.jp/%E3%80%90%E7%B2%BE%E7%B1%B3%E3%80%91%E6%96%B0%E6%BD%9F%E7%9C%8C%E7%94%A3-%E5%B1%B1%E4%B8%A6-%E3%82%B3%E3%82%B7%E3%83%92%E3%82%AB%E3%83%AA-5kg-%E5%B9%B3%E6%88%9030%E5%B9%B4%E7%94%A3/dp/B00EPZZK1U/ref=sr_1_436_sspa?__mk_ja_JP=%E3%82%AB%E3%82%BF%E3%82%AB%E3%83%8A&amp;dchild=1&amp;keywords=%E7%B1%B3&amp;qid=1598693850&amp;sr=8-436-spons&amp;psc=1&amp;spLa=ZW5jcnlwdGVkUXVhbGlmaWVyPUEzVk1KQlNLMlBCRVNQJmVuY3J5cHRlZElkPUEwNTg5NDQ0MVJKM1c0MzFJTUdIVSZlbmNyeXB0ZWRBZElkPUEzRjE1M0xEOThJUkxMJndpZGdldE5hbWU9c3BfYXRmX25leHQmYWN0aW9uPWNsaWNrUmVkaXJlY3QmZG9Ob3RMb2dDbGljaz10cnVl", "Go")</f>
        <v/>
      </c>
    </row>
    <row r="462">
      <c r="A462" t="inlineStr">
        <is>
          <t>米 お米 10kg 朝日 令和元年岡山産 ( 5kg×2袋)</t>
        </is>
      </c>
      <c r="B462" t="inlineStr">
        <is>
          <t>￥4,280</t>
        </is>
      </c>
      <c r="C462" t="inlineStr">
        <is>
          <t>4.7</t>
        </is>
      </c>
      <c r="D462">
        <f>HYPERLINK("https://www.amazon.co.jp/%E3%82%82%E3%82%82%E3%81%9F%E3%82%8D%E3%81%86%E5%8D%B0-30%E5%B9%B4%E7%94%A3%E5%B2%A1%E5%B1%B1%E7%9C%8C%E7%94%A3%E6%9C%9D%E6%97%A5-10kg%E3%80%905kg%C3%972%E8%A2%8B%E3%80%91/dp/B07H925766/ref=sr_1_437?__mk_ja_JP=%E3%82%AB%E3%82%BF%E3%82%AB%E3%83%8A&amp;dchild=1&amp;keywords=%E7%B1%B3&amp;qid=1598693850&amp;sr=8-437", "Go")</f>
        <v/>
      </c>
    </row>
    <row r="463">
      <c r="A463" t="inlineStr">
        <is>
          <t>黒炒り玄米 国産玄米使用 長時間焙煎 ノンカフェイン 350g</t>
        </is>
      </c>
      <c r="B463" t="inlineStr">
        <is>
          <t>￥1,500</t>
        </is>
      </c>
      <c r="C463" t="inlineStr">
        <is>
          <t>4.7</t>
        </is>
      </c>
      <c r="D463">
        <f>HYPERLINK("https://www.amazon.co.jp/LIFEJOY-%E9%BB%92%E7%82%92%E3%82%8A%E7%8E%84%E7%B1%B3-350g%E3%80%90%E6%9C%89%E6%A9%9F%E3%83%BB%E5%9B%BD%E7%94%A3%E7%8E%84%E7%B1%B3%E4%BD%BF%E7%94%A8%E3%80%91%E3%80%90%E9%95%B7%E6%99%82%E9%96%93%E7%84%99%E7%85%8E%E3%81%AE%E9%99%BD%E6%80%A7%E9%A3%9F%E5%93%81%E3%83%BB%E3%83%8E%E3%83%B3%E3%82%AB%E3%83%95%E3%82%A7%E3%82%A4%E3%83%B3%E3%80%91/dp/B07C2HY2SB/ref=sr_1_438?__mk_ja_JP=%E3%82%AB%E3%82%BF%E3%82%AB%E3%83%8A&amp;dchild=1&amp;keywords=%E7%B1%B3&amp;qid=1598693850&amp;sr=8-438", "Go")</f>
        <v/>
      </c>
    </row>
    <row r="464">
      <c r="A464" t="inlineStr">
        <is>
          <t>令和元年産　北海道米 ふっくりんこ 10kg A評価米 函館 北斗市 生産数限定</t>
        </is>
      </c>
      <c r="B464" t="inlineStr">
        <is>
          <t>￥5,580</t>
        </is>
      </c>
      <c r="C464" t="inlineStr">
        <is>
          <t>4.7</t>
        </is>
      </c>
      <c r="D464">
        <f>HYPERLINK("https://www.amazon.co.jp/30%E5%B9%B4%E5%BA%A6-%E5%8C%97%E6%B5%B7%E9%81%93%E7%B1%B3-%E3%81%B5%E3%81%A3%E3%81%8F%E3%82%8A%E3%82%93%E3%81%93-%E7%89%B9A%E8%A9%95%E4%BE%A1%E7%B1%B3-%E7%94%9F%E7%94%A3%E6%95%B0%E9%99%90%E5%AE%9A/dp/B077N755HF/ref=sr_1_439?__mk_ja_JP=%E3%82%AB%E3%82%BF%E3%82%AB%E3%83%8A&amp;dchild=1&amp;keywords=%E7%B1%B3&amp;qid=1598693850&amp;sr=8-439", "Go")</f>
        <v/>
      </c>
    </row>
    <row r="465">
      <c r="A465" t="inlineStr">
        <is>
          <t>【精米】青森県産 伊丹米 青天の霹靂 4Kg(2Kg×2) 令和元年産</t>
        </is>
      </c>
      <c r="B465" t="inlineStr">
        <is>
          <t>￥3,300</t>
        </is>
      </c>
      <c r="C465" t="inlineStr">
        <is>
          <t>4.7</t>
        </is>
      </c>
      <c r="D465">
        <f>HYPERLINK("https://www.amazon.co.jp/%E3%80%90%E6%96%B0%E7%B1%B3%E3%80%91%E9%9D%92%E6%A3%AE%E7%9C%8C%E7%94%A3-%E4%BC%8A%E4%B8%B9%E7%B1%B3-%E9%9D%92%E5%A4%A9%E3%81%AE%E9%9C%B9%E9%9D%82-2Kg%C3%972-%E5%B9%B3%E6%88%9030%E5%B9%B4%E7%94%A3/dp/B01N282P2F/ref=sr_1_440?__mk_ja_JP=%E3%82%AB%E3%82%BF%E3%82%AB%E3%83%8A&amp;dchild=1&amp;keywords=%E7%B1%B3&amp;qid=1598693850&amp;sr=8-440", "Go")</f>
        <v/>
      </c>
    </row>
    <row r="466">
      <c r="A466" t="inlineStr">
        <is>
          <t>新米 令和1年度産 鳥取県 倉吉市産 きぬむすめ 小鴨米 10kg 白米 西日本 精米</t>
        </is>
      </c>
      <c r="B466" t="inlineStr">
        <is>
          <t>￥4,980</t>
        </is>
      </c>
      <c r="C466" t="inlineStr">
        <is>
          <t>4.6</t>
        </is>
      </c>
      <c r="D466">
        <f>HYPERLINK("https://www.amazon.co.jp/30%E5%B9%B4%E7%94%A3-%E5%80%89%E5%90%89%E5%B8%82%E7%94%A3-%E3%81%8D%E3%81%AC%E3%82%80%E3%81%99%E3%82%81-%E5%B0%8F%E9%B4%A8%E7%B1%B3-10kg/dp/B009KWU982/ref=sr_1_441?__mk_ja_JP=%E3%82%AB%E3%82%BF%E3%82%AB%E3%83%8A&amp;dchild=1&amp;keywords=%E7%B1%B3&amp;qid=1598693850&amp;sr=8-441", "Go")</f>
        <v/>
      </c>
    </row>
    <row r="467">
      <c r="A467" t="inlineStr">
        <is>
          <t>【精米】[Amazonブランド]Happy Belly 北海道産 無洗米 農薬節減米 ゆめぴりか 5kg 令和元年産</t>
        </is>
      </c>
      <c r="B467" t="inlineStr"/>
      <c r="C467" t="inlineStr">
        <is>
          <t>4</t>
        </is>
      </c>
      <c r="D467">
        <f>HYPERLINK("https://www.amazon.co.jp/Amazon%E3%83%96%E3%83%A9%E3%83%B3%E3%83%89-Happy-Belly-%E8%BE%B2%E8%96%AC%E7%AF%80%E6%B8%9B%E7%B1%B3-%E5%B9%B3%E6%88%9030%E5%B9%B4%E7%94%A3/dp/B07KWZ4ZSD/ref=sr_1_442?__mk_ja_JP=%E3%82%AB%E3%82%BF%E3%82%AB%E3%83%8A&amp;dchild=1&amp;keywords=%E7%B1%B3&amp;qid=1598693850&amp;sr=8-442", "Go")</f>
        <v/>
      </c>
    </row>
    <row r="468">
      <c r="A468" t="inlineStr">
        <is>
          <t>【精米】新潟県 魚沼産 コシヒカリ 令和元年産 白米 米 コメ （5㎏×1袋）</t>
        </is>
      </c>
      <c r="B468" t="inlineStr">
        <is>
          <t>￥3,980</t>
        </is>
      </c>
      <c r="C468" t="inlineStr">
        <is>
          <t>4</t>
        </is>
      </c>
      <c r="D468">
        <f>HYPERLINK("https://www.amazon.co.jp/dp/B078J1C5R3/ref=sr_1_443?__mk_ja_JP=%E3%82%AB%E3%82%BF%E3%82%AB%E3%83%8A&amp;dchild=1&amp;keywords=%E7%B1%B3&amp;qid=1598693850&amp;sr=8-443", "Go")</f>
        <v/>
      </c>
    </row>
    <row r="469">
      <c r="A469" t="inlineStr">
        <is>
          <t>【精米】山形県産はえぬき 無洗米 令和元年産 2kg</t>
        </is>
      </c>
      <c r="B469" t="inlineStr">
        <is>
          <t>￥ 2,701</t>
        </is>
      </c>
      <c r="C469" t="inlineStr">
        <is>
          <t>4.1</t>
        </is>
      </c>
      <c r="D469">
        <f>HYPERLINK("https://www.amazon.co.jp/%E6%96%B0%E6%BD%9F%E3%82%B1%E3%83%B3%E3%83%99%E3%82%A4-%E3%80%90%E7%B2%BE%E7%B1%B3%E3%80%91%E5%B1%B1%E5%BD%A2%E7%9C%8C%E7%94%A3%E3%81%AF%E3%81%88%E3%81%AC%E3%81%8D-%E7%84%A1%E6%B4%97%E7%B1%B3-%E5%B9%B3%E6%88%9030%E5%B9%B4%E7%94%A3-2kg/dp/B07L6JPTNL/ref=sr_1_444?__mk_ja_JP=%E3%82%AB%E3%82%BF%E3%82%AB%E3%83%8A&amp;dchild=1&amp;keywords=%E7%B1%B3&amp;qid=1598693850&amp;sr=8-444", "Go")</f>
        <v/>
      </c>
    </row>
    <row r="470">
      <c r="A470" t="inlineStr">
        <is>
          <t>【精米】銀河のしずく2kg</t>
        </is>
      </c>
      <c r="B470" t="inlineStr">
        <is>
          <t>￥ 2,478</t>
        </is>
      </c>
      <c r="C470" t="inlineStr">
        <is>
          <t>4.1</t>
        </is>
      </c>
      <c r="D470">
        <f>HYPERLINK("https://www.amazon.co.jp/%E3%83%9F%E3%83%84%E3%83%8F%E3%82%B7-%E3%80%90%E7%B2%BE%E7%B1%B3%E3%80%91%E9%8A%80%E6%B2%B3%E3%81%AE%E3%81%97%E3%81%9A%E3%81%8F2kg/dp/B07BXW8VF5/ref=sr_1_445?__mk_ja_JP=%E3%82%AB%E3%82%BF%E3%82%AB%E3%83%8A&amp;dchild=1&amp;keywords=%E7%B1%B3&amp;qid=1598693850&amp;sr=8-445", "Go")</f>
        <v/>
      </c>
    </row>
    <row r="471">
      <c r="A471" t="inlineStr">
        <is>
          <t>【精米】北海道産 無洗米 ななつぼし 5kg 令和元年産</t>
        </is>
      </c>
      <c r="B471" t="inlineStr">
        <is>
          <t>￥ 2,701</t>
        </is>
      </c>
      <c r="C471" t="inlineStr">
        <is>
          <t>4</t>
        </is>
      </c>
      <c r="D471">
        <f>HYPERLINK("https://www.amazon.co.jp/%E3%80%90%E7%B2%BE%E7%B1%B3%E3%80%91%E5%8C%97%E6%B5%B7%E9%81%93%E7%94%A3-%E7%84%A1%E6%B4%97%E7%B1%B3-%E3%81%AA%E3%81%AA%E3%81%A4%E3%81%BC%E3%81%97-5kg-%E5%B9%B3%E6%88%9030%E5%B9%B4%E7%94%A3/dp/B01M0WIZSW/ref=sr_1_446?__mk_ja_JP=%E3%82%AB%E3%82%BF%E3%82%AB%E3%83%8A&amp;dchild=1&amp;keywords=%E7%B1%B3&amp;qid=1598693850&amp;sr=8-446", "Go")</f>
        <v/>
      </c>
    </row>
    <row r="472">
      <c r="A472" t="inlineStr">
        <is>
          <t>【精米】魚沼産 白米 コシヒカリ 5kg 令和元年産</t>
        </is>
      </c>
      <c r="B472" t="inlineStr">
        <is>
          <t>￥ 2,795</t>
        </is>
      </c>
      <c r="C472" t="inlineStr">
        <is>
          <t>4</t>
        </is>
      </c>
      <c r="D472">
        <f>HYPERLINK("https://www.amazon.co.jp/%E3%80%90%E7%B2%BE%E7%B1%B3%E3%80%91%E9%AD%9A%E6%B2%BC%E7%94%A3-%E7%99%BD%E7%B1%B3-%E3%82%B3%E3%82%B7%E3%83%92%E3%82%AB%E3%83%AA-5kg-%E5%B9%B3%E6%88%9030%E5%B9%B4%E7%94%A3/dp/B01N41XY6U/ref=sr_1_447?__mk_ja_JP=%E3%82%AB%E3%82%BF%E3%82%AB%E3%83%8A&amp;dchild=1&amp;keywords=%E7%B1%B3&amp;qid=1598693850&amp;sr=8-447", "Go")</f>
        <v/>
      </c>
    </row>
    <row r="473">
      <c r="A473" t="inlineStr">
        <is>
          <t>【精米】魚沼産 無洗米 コシヒカリ 2kg 令和元年産</t>
        </is>
      </c>
      <c r="B473" t="inlineStr">
        <is>
          <t>￥2,280</t>
        </is>
      </c>
      <c r="C473" t="inlineStr">
        <is>
          <t>4</t>
        </is>
      </c>
      <c r="D473">
        <f>HYPERLINK("https://www.amazon.co.jp/%E3%80%90%E7%B2%BE%E7%B1%B3%E3%80%91%E9%AD%9A%E6%B2%BC%E7%94%A3-%E7%84%A1%E6%B4%97%E7%B1%B3-%E3%82%B3%E3%82%B7%E3%83%92%E3%82%AB%E3%83%AA-2kg-%E5%B9%B3%E6%88%9030%E5%B9%B4%E7%94%A3/dp/B07B52XZFG/ref=sr_1_448?__mk_ja_JP=%E3%82%AB%E3%82%BF%E3%82%AB%E3%83%8A&amp;dchild=1&amp;keywords=%E7%B1%B3&amp;qid=1598693850&amp;sr=8-448", "Go")</f>
        <v/>
      </c>
    </row>
    <row r="474">
      <c r="A474" t="inlineStr">
        <is>
          <t>【精米】【 Amazon.co.jp 限定】栃木県産 無洗米 コシヒカリ 5kg 令和元年産</t>
        </is>
      </c>
      <c r="B474" t="inlineStr"/>
      <c r="C474" t="inlineStr">
        <is>
          <t>4.2</t>
        </is>
      </c>
      <c r="D474">
        <f>HYPERLINK("https://www.amazon.co.jp/%E3%80%90%E7%B2%BE%E7%B1%B3%E3%80%91%E3%80%90-Amazon-co-jp-%E9%99%90%E5%AE%9A%E3%80%91%E6%A0%83%E6%9C%A8%E7%9C%8C%E7%94%A3-%E3%82%B3%E3%82%B7%E3%83%92%E3%82%AB%E3%83%AA-%E5%B9%B3%E6%88%9030%E5%B9%B4%E7%94%A3/dp/B01BL6H9YG/ref=sr_1_449_sspa?__mk_ja_JP=%E3%82%AB%E3%82%BF%E3%82%AB%E3%83%8A&amp;dchild=1&amp;keywords=%E7%B1%B3&amp;qid=1598693850&amp;sr=8-449-spons&amp;psc=1&amp;spLa=ZW5jcnlwdGVkUXVhbGlmaWVyPUEzVk1KQlNLMlBCRVNQJmVuY3J5cHRlZElkPUEwNTg5NDQ0MVJKM1c0MzFJTUdIVSZlbmNyeXB0ZWRBZElkPUEzMTQ1VlhHVUNQVkhXJndpZGdldE5hbWU9c3BfbXRmJmFjdGlvbj1jbGlja1JlZGlyZWN0JmRvTm90TG9nQ2xpY2s9dHJ1ZQ==", "Go")</f>
        <v/>
      </c>
    </row>
    <row r="475">
      <c r="A475" t="inlineStr">
        <is>
          <t>マクファ MAKFA そばの実 800g ハラル認証品 (そば米) ６個</t>
        </is>
      </c>
      <c r="B475" t="inlineStr">
        <is>
          <t>￥8,856</t>
        </is>
      </c>
      <c r="C475" t="inlineStr">
        <is>
          <t>4.1</t>
        </is>
      </c>
      <c r="D475">
        <f>HYPERLINK("https://www.amazon.co.jp/%E3%83%9E%E3%82%AF%E3%83%95%E3%82%A1-MAKFA-%E3%81%9D%E3%81%B0%E3%81%AE%E5%AE%9F-800g-%E3%83%8F%E3%83%A9%E3%83%AB%E8%AA%8D%E8%A8%BC%E5%93%81/dp/B07CNT4SKR/ref=sr_1_451_sspa?__mk_ja_JP=%E3%82%AB%E3%82%BF%E3%82%AB%E3%83%8A&amp;dchild=1&amp;keywords=%E7%B1%B3&amp;qid=1598693850&amp;sr=8-451-spons&amp;psc=1&amp;smid=A2V4UH01IQWSSC&amp;spLa=ZW5jcnlwdGVkUXVhbGlmaWVyPUEzVk1KQlNLMlBCRVNQJmVuY3J5cHRlZElkPUEwNTg5NDQ0MVJKM1c0MzFJTUdIVSZlbmNyeXB0ZWRBZElkPUEyRDRJTUtWUFdZWTA1JndpZGdldE5hbWU9c3BfbXRmJmFjdGlvbj1jbGlja1JlZGlyZWN0JmRvTm90TG9nQ2xpY2s9dHJ1ZQ==", "Go")</f>
        <v/>
      </c>
    </row>
    <row r="476">
      <c r="A476" t="inlineStr">
        <is>
          <t>くず米　網目1.75～１．８下　２０ｋｇ 青森米・岩手米</t>
        </is>
      </c>
      <c r="B476" t="inlineStr">
        <is>
          <t>￥3,240</t>
        </is>
      </c>
      <c r="C476" t="inlineStr">
        <is>
          <t>4</t>
        </is>
      </c>
      <c r="D476">
        <f>HYPERLINK("https://www.amazon.co.jp/%E3%81%8F%E3%81%9A%E7%B1%B3-%E3%81%8F%E3%81%9A%E7%B1%B3-%E7%B6%B2%E7%9B%AE1-75%EF%BD%9E%EF%BC%91%EF%BC%8E%EF%BC%98%E4%B8%8B-%EF%BC%92%EF%BC%90%EF%BD%8B%EF%BD%87-%E9%9D%92%E6%A3%AE%E7%B1%B3/dp/B015SKNQ34/ref=sr_1_452?__mk_ja_JP=%E3%82%AB%E3%82%BF%E3%82%AB%E3%83%8A&amp;dchild=1&amp;keywords=%E7%B1%B3&amp;qid=1598693850&amp;sr=8-452", "Go")</f>
        <v/>
      </c>
    </row>
    <row r="477">
      <c r="A477" t="inlineStr">
        <is>
          <t>新米 令和2年 高知県産 白米 コシヒカリ (10kg)</t>
        </is>
      </c>
      <c r="B477" t="inlineStr">
        <is>
          <t>￥4,490</t>
        </is>
      </c>
      <c r="C477" t="inlineStr">
        <is>
          <t>4</t>
        </is>
      </c>
      <c r="D477">
        <f>HYPERLINK("https://www.amazon.co.jp/%E6%96%B0%E7%B1%B3-%E5%B9%B3%E6%88%9030%E5%B9%B4%E7%94%A3-%E9%AB%98%E7%9F%A5%E7%9C%8C%E7%94%A3-%E3%82%B3%E3%82%B7%E3%83%92%E3%82%AB%E3%83%AA-10kg/dp/B00EO4TLU8/ref=sr_1_453?__mk_ja_JP=%E3%82%AB%E3%82%BF%E3%82%AB%E3%83%8A&amp;dchild=1&amp;keywords=%E7%B1%B3&amp;qid=1598693850&amp;sr=8-453", "Go")</f>
        <v/>
      </c>
    </row>
    <row r="478">
      <c r="A478" t="inlineStr">
        <is>
          <t>タイ米 ゴールデンフェニックス 5kg×2袋 (10kg) 　ジャスミンライス（香り米）　Golden Phoenix</t>
        </is>
      </c>
      <c r="B478" t="inlineStr">
        <is>
          <t>￥5,600</t>
        </is>
      </c>
      <c r="C478" t="inlineStr">
        <is>
          <t>4.2</t>
        </is>
      </c>
      <c r="D478">
        <f>HYPERLINK("https://www.amazon.co.jp/%E3%82%B4%E3%83%BC%E3%83%AB%E3%83%87%E3%83%B3%E3%83%95%E3%82%A7%E3%83%8B%E3%83%83%E3%82%AF%E3%82%B9-5kg%C3%972%E8%A2%8B-10kg-%E3%82%B8%E3%83%A3%E3%82%B9%E3%83%9F%E3%83%B3%E3%83%A9%E3%82%A4%E3%82%B9%EF%BC%88%E9%A6%99%E3%82%8A%E7%B1%B3%EF%BC%89-Golden-Phoenix/dp/B0868CZNQD/ref=sr_1_454?__mk_ja_JP=%E3%82%AB%E3%82%BF%E3%82%AB%E3%83%8A&amp;dchild=1&amp;keywords=%E7%B1%B3&amp;qid=1598693850&amp;sr=8-454", "Go")</f>
        <v/>
      </c>
    </row>
    <row r="479">
      <c r="A479" t="inlineStr">
        <is>
          <t>【一味違うこのお米】宮城県登米産 ササニシキ 無洗米 5kg</t>
        </is>
      </c>
      <c r="B479" t="inlineStr">
        <is>
          <t>￥3,480</t>
        </is>
      </c>
      <c r="C479" t="inlineStr">
        <is>
          <t>4.2</t>
        </is>
      </c>
      <c r="D479">
        <f>HYPERLINK("https://www.amazon.co.jp/%E3%82%B5%E3%82%B5%E3%83%8B%E3%82%B7%E3%82%AD-%E3%80%90%E4%B8%80%E5%91%B3%E9%81%95%E3%81%86%E3%81%93%E3%81%AE%E3%81%8A%E7%B1%B3%E3%80%91%E5%AE%AE%E5%9F%8E%E7%9C%8C%E7%99%BB%E7%B1%B3%E7%94%A3-%E7%84%A1%E6%B4%97%E7%B1%B3-5kg/dp/B00605NIJE/ref=sr_1_455?__mk_ja_JP=%E3%82%AB%E3%82%BF%E3%82%AB%E3%83%8A&amp;dchild=1&amp;keywords=%E7%B1%B3&amp;qid=1598693850&amp;sr=8-455", "Go")</f>
        <v/>
      </c>
    </row>
    <row r="480">
      <c r="A480" t="inlineStr">
        <is>
          <t>産地直送　佐賀県産　お米マイスター厳選さがびより　５ｋｇ×２　令和元年産</t>
        </is>
      </c>
      <c r="B480" t="inlineStr">
        <is>
          <t>￥5,980</t>
        </is>
      </c>
      <c r="C480" t="inlineStr">
        <is>
          <t>4.4</t>
        </is>
      </c>
      <c r="D480">
        <f>HYPERLINK("https://www.amazon.co.jp/%E3%81%95%E3%81%8C%E3%81%B3%E3%82%88%E3%82%8A-%E7%94%A3%E5%9C%B0%E7%9B%B4%E9%80%81-%E4%BD%90%E8%B3%80%E7%9C%8C%E7%94%A3-%E3%81%8A%E7%B1%B3%E3%83%9E%E3%82%A4%E3%82%B9%E3%82%BF%E3%83%BC%E5%8E%B3%E9%81%B8%E3%81%95%E3%81%8C%E3%81%B3%E3%82%88%E3%82%8A-%EF%BC%95%EF%BD%8B%EF%BD%87%C3%97%EF%BC%92-%E4%BB%A4%E5%92%8C%E5%85%83%E5%B9%B4%E7%94%A3/dp/B07ZRS2447/ref=sr_1_456?__mk_ja_JP=%E3%82%AB%E3%82%BF%E3%82%AB%E3%83%8A&amp;dchild=1&amp;keywords=%E7%B1%B3&amp;qid=1598693850&amp;sr=8-456", "Go")</f>
        <v/>
      </c>
    </row>
    <row r="481">
      <c r="A481" t="inlineStr">
        <is>
          <t>【米俵】　京都丹後産コシヒカリ　５ｋｇ　　新築祝い</t>
        </is>
      </c>
      <c r="B481" t="inlineStr">
        <is>
          <t>￥5,500</t>
        </is>
      </c>
      <c r="C481" t="inlineStr">
        <is>
          <t>4.2</t>
        </is>
      </c>
      <c r="D481">
        <f>HYPERLINK("https://www.amazon.co.jp/%E7%A5%9D%E3%81%84%E7%B1%B3%E6%9C%AC%E8%88%97-%E3%80%90%E7%B1%B3%E4%BF%B5%E3%80%91-%E4%BA%AC%E9%83%BD%E4%B8%B9%E5%BE%8C%E7%94%A3%E3%82%B3%E3%82%B7%E3%83%92%E3%82%AB%E3%83%AA-%EF%BC%95%EF%BD%8B%EF%BD%87-%E6%96%B0%E7%AF%89%E7%A5%9D%E3%81%84/dp/B006E4CPEU/ref=sr_1_457?__mk_ja_JP=%E3%82%AB%E3%82%BF%E3%82%AB%E3%83%8A&amp;dchild=1&amp;keywords=%E7%B1%B3&amp;qid=1598693850&amp;sr=8-457", "Go")</f>
        <v/>
      </c>
    </row>
    <row r="482">
      <c r="A482" t="inlineStr">
        <is>
          <t>令和 元年産 特別栽培米 福岡産 レンゲ栽培米 夢つくし 5kg 嘉穂農協指定 (白米精米（精米後約4.5kg）)</t>
        </is>
      </c>
      <c r="B482" t="inlineStr">
        <is>
          <t>￥2,930</t>
        </is>
      </c>
      <c r="C482" t="inlineStr">
        <is>
          <t>4.4</t>
        </is>
      </c>
      <c r="D482">
        <f>HYPERLINK("https://www.amazon.co.jp/%E7%89%B9%E5%88%A5%E6%A0%BD%E5%9F%B9%E7%B1%B3-%E5%A4%A2%E3%81%A4%E3%81%8F%E3%81%97-%E3%83%AC%E3%83%B3%E3%82%B2%E6%A0%BD%E5%9F%B9%E7%B1%B3-%E5%98%89%E7%A9%82%E8%BE%B2%E5%8D%94%E6%8C%87%E5%AE%9A-%E7%99%BD%E7%B1%B3%E7%B2%BE%E7%B1%B3%EF%BC%88%E7%B2%BE%E7%B1%B3%E5%BE%8C%E7%B4%844-5kg%EF%BC%89/dp/B01MCRZS4X/ref=sr_1_458?__mk_ja_JP=%E3%82%AB%E3%82%BF%E3%82%AB%E3%83%8A&amp;dchild=1&amp;keywords=%E7%B1%B3&amp;qid=1598693850&amp;sr=8-458", "Go")</f>
        <v/>
      </c>
    </row>
    <row r="483">
      <c r="A483" t="inlineStr">
        <is>
          <t>スマート米：青森県 まっしぐら (2kg)：残留農薬ゼロ</t>
        </is>
      </c>
      <c r="B483" t="inlineStr">
        <is>
          <t>￥1,691</t>
        </is>
      </c>
      <c r="C483" t="inlineStr">
        <is>
          <t>4</t>
        </is>
      </c>
      <c r="D483">
        <f>HYPERLINK("https://www.amazon.co.jp/%E3%82%B9%E3%83%9E%E3%83%BC%E3%83%88%E7%B1%B3-%E3%83%97%E3%83%AC%E3%83%9F%E3%82%A2%E3%83%A0-%EF%BC%9A%E9%9D%92%E6%A3%AE%E7%9C%8C-%E3%81%BE%E3%81%A3%E3%81%97%E3%81%90%E3%82%89-%EF%BC%9A%E6%AE%8B%E7%95%99%E8%BE%B2%E8%96%AC%E3%82%BC%E3%83%AD/dp/B07MYTNXLM/ref=sr_1_459?__mk_ja_JP=%E3%82%AB%E3%82%BF%E3%82%AB%E3%83%8A&amp;dchild=1&amp;keywords=%E7%B1%B3&amp;qid=1598693850&amp;sr=8-459", "Go")</f>
        <v/>
      </c>
    </row>
    <row r="484">
      <c r="A484" t="inlineStr">
        <is>
          <t>新潟県産 こしいぶき 白米 5kg 令和元年産</t>
        </is>
      </c>
      <c r="B484" t="inlineStr">
        <is>
          <t>￥2,850</t>
        </is>
      </c>
      <c r="C484" t="inlineStr">
        <is>
          <t>4</t>
        </is>
      </c>
      <c r="D484">
        <f>HYPERLINK("https://www.amazon.co.jp/%E6%96%B0%E7%B1%B3%E3%80%90%E7%B2%BE%E7%B1%B3%E3%80%91-%E6%96%B0%E6%BD%9F%E7%9C%8C%E7%94%A3-%E3%81%93%E3%81%97%E3%81%84%E3%81%B6%E3%81%8D-5kg-%E5%B9%B3%E6%88%9030%E5%B9%B4%E7%94%A3/dp/B01KT3B1IM/ref=sr_1_460?__mk_ja_JP=%E3%82%AB%E3%82%BF%E3%82%AB%E3%83%8A&amp;dchild=1&amp;keywords=%E7%B1%B3&amp;qid=1598693850&amp;sr=8-460", "Go")</f>
        <v/>
      </c>
    </row>
    <row r="485">
      <c r="A485" t="inlineStr">
        <is>
          <t>新潟産コシヒカリ 米屋の蔵出し米 精米5kg 袖山商店</t>
        </is>
      </c>
      <c r="B485" t="inlineStr">
        <is>
          <t>￥3,600</t>
        </is>
      </c>
      <c r="C485" t="inlineStr">
        <is>
          <t>4</t>
        </is>
      </c>
      <c r="D485">
        <f>HYPERLINK("https://www.amazon.co.jp/%E6%96%B0%E6%BD%9F%E7%9B%B4%E9%80%81%E8%A8%88%E7%94%BB-%E6%96%B0%E6%BD%9F%E7%94%A3%E3%82%B3%E3%82%B7%E3%83%92%E3%82%AB%E3%83%AA-%E7%B1%B3%E5%B1%8B%E3%81%AE%E8%94%B5%E5%87%BA%E3%81%97%E7%B1%B3-%E7%B2%BE%E7%B1%B35kg-%E8%A2%96%E5%B1%B1%E5%95%86%E5%BA%97/dp/B00IXNVYF6/ref=sr_1_461?__mk_ja_JP=%E3%82%AB%E3%82%BF%E3%82%AB%E3%83%8A&amp;dchild=1&amp;keywords=%E7%B1%B3&amp;qid=1598693850&amp;sr=8-461", "Go")</f>
        <v/>
      </c>
    </row>
    <row r="486">
      <c r="A486" t="inlineStr">
        <is>
          <t>【精米無料・白米】大分県玖珠郡産ひとめぼれ 30kgを精米します*特別栽培米*天日干し棚田米 (白米)つきたて新鮮</t>
        </is>
      </c>
      <c r="B486" t="inlineStr">
        <is>
          <t>￥13,150</t>
        </is>
      </c>
      <c r="C486" t="inlineStr">
        <is>
          <t>4</t>
        </is>
      </c>
      <c r="D486">
        <f>HYPERLINK("https://www.amazon.co.jp/%E3%80%90%E7%B2%BE%E7%B1%B3%E7%84%A1%E6%96%99%E3%83%BB%E7%99%BD%E7%B1%B3%E3%80%91%E5%A4%A7%E5%88%86%E7%9C%8C%E7%8E%96%E7%8F%A0%E9%83%A1%E7%94%A3%E3%81%B2%E3%81%A8%E3%82%81%E3%81%BC%E3%82%8C-30kg%E3%82%92%E7%B2%BE%E7%B1%B3%E3%81%97%E3%81%BE%E3%81%99-%E7%89%B9%E5%88%A5%E6%A0%BD%E5%9F%B9%E7%B1%B3-%E5%A4%A9%E6%97%A5%E5%B9%B2%E3%81%97%E6%A3%9A%E7%94%B0%E7%B1%B3-%E3%81%A4%E3%81%8D%E3%81%9F%E3%81%A6%E6%96%B0%E9%AE%AE/dp/B01AL83QI8/ref=sr_1_462?__mk_ja_JP=%E3%82%AB%E3%82%BF%E3%82%AB%E3%83%8A&amp;dchild=1&amp;keywords=%E7%B1%B3&amp;qid=1598693850&amp;sr=8-462", "Go")</f>
        <v/>
      </c>
    </row>
    <row r="487">
      <c r="A487" t="inlineStr">
        <is>
          <t>【一味違うこのお米】宮城県登米産 ササニシキ 白米 10kg 【 5kg×2 】</t>
        </is>
      </c>
      <c r="B487" t="inlineStr">
        <is>
          <t>￥5,580</t>
        </is>
      </c>
      <c r="C487" t="inlineStr">
        <is>
          <t>4.1</t>
        </is>
      </c>
      <c r="D487">
        <f>HYPERLINK("https://www.amazon.co.jp/%E3%80%90%E4%B8%80%E5%91%B3%E9%81%95%E3%81%86%E3%81%93%E3%81%AE%E3%81%8A%E7%B1%B3%E3%80%91%E5%AE%AE%E5%9F%8E%E7%9C%8C%E7%99%BB%E7%B1%B3%E7%94%A3-%E3%82%B5%E3%82%B5%E3%83%8B%E3%82%B7%E3%82%AD-%E7%99%BD%E7%B1%B3-10kg-5kg%C3%972/dp/B006052XQS/ref=sr_1_463?__mk_ja_JP=%E3%82%AB%E3%82%BF%E3%82%AB%E3%83%8A&amp;dchild=1&amp;keywords=%E7%B1%B3&amp;qid=1598693850&amp;sr=8-463", "Go")</f>
        <v/>
      </c>
    </row>
    <row r="488">
      <c r="A488" t="inlineStr">
        <is>
          <t>新米 令和2年産 千葉県産 ふさおとめ 白米 26.4kg (白米8.8kg×3) (White rice 8.8kg×3)</t>
        </is>
      </c>
      <c r="B488" t="inlineStr">
        <is>
          <t>￥10,897</t>
        </is>
      </c>
      <c r="C488" t="inlineStr">
        <is>
          <t>4.6</t>
        </is>
      </c>
      <c r="D488">
        <f>HYPERLINK("https://www.amazon.co.jp/30%E5%B9%B4%E7%94%A3%E6%96%B0%E7%B1%B3-%E7%B2%BE%E7%B1%B3-%E5%8D%83%E8%91%89%E7%9C%8C%E7%94%A3-%E7%99%BD%E7%B1%B3%E3%81%B5%E3%81%95%E3%81%8A%E3%81%A8%E3%82%81-26-4kg/dp/B00NECV7E4/ref=sr_1_465_sspa?__mk_ja_JP=%E3%82%AB%E3%82%BF%E3%82%AB%E3%83%8A&amp;dchild=1&amp;keywords=%E7%B1%B3&amp;qid=1598693850&amp;sr=8-465-spons&amp;psc=1&amp;spLa=ZW5jcnlwdGVkUXVhbGlmaWVyPUEzVk1KQlNLMlBCRVNQJmVuY3J5cHRlZElkPUEwNTg5NDQ0MVJKM1c0MzFJTUdIVSZlbmNyeXB0ZWRBZElkPUFNR1BFMDZDRkY5RUwmd2lkZ2V0TmFtZT1zcF9tdGYmYWN0aW9uPWNsaWNrUmVkaXJlY3QmZG9Ob3RMb2dDbGljaz10cnVl", "Go")</f>
        <v/>
      </c>
    </row>
    <row r="489">
      <c r="A489" t="inlineStr">
        <is>
          <t>【精米】岩手県産 金札米江刺産 特別栽培米 白米 ひとめぼれ 2kg 令和元年産</t>
        </is>
      </c>
      <c r="B489" t="inlineStr">
        <is>
          <t>￥1,080</t>
        </is>
      </c>
      <c r="C489" t="inlineStr">
        <is>
          <t>4</t>
        </is>
      </c>
      <c r="D489">
        <f>HYPERLINK("https://www.amazon.co.jp/%E3%80%90%E7%B2%BE%E7%B1%B3%E3%80%91%E5%B2%A9%E6%89%8B%E7%9C%8C%E7%94%A3-%E9%87%91%E6%9C%AD%E7%B1%B3%E6%B1%9F%E5%88%BA%E7%94%A3-%E7%89%B9%E5%88%A5%E6%A0%BD%E5%9F%B9%E7%B1%B3-%E3%81%B2%E3%81%A8%E3%82%81%E3%81%BC%E3%82%8C-%E5%B9%B3%E6%88%9030%E5%B9%B4%E7%94%A3/dp/B0082HID0M/ref=sr_1_467?__mk_ja_JP=%E3%82%AB%E3%82%BF%E3%82%AB%E3%83%8A&amp;dchild=1&amp;keywords=%E7%B1%B3&amp;qid=1598693850&amp;sr=8-467", "Go")</f>
        <v/>
      </c>
    </row>
    <row r="490">
      <c r="A490" t="inlineStr">
        <is>
          <t>【精米】 銀の朏 ぎんのみかづき 岐阜県飛騨産 特別栽培 令和2年産 (2kg)</t>
        </is>
      </c>
      <c r="B490" t="inlineStr">
        <is>
          <t>￥3,380</t>
        </is>
      </c>
      <c r="C490" t="inlineStr">
        <is>
          <t>4</t>
        </is>
      </c>
      <c r="D490">
        <f>HYPERLINK("https://www.amazon.co.jp/%E3%80%90%E7%B2%BE%E7%B1%B3%E3%80%91-%E9%8A%80%E3%81%AE%E6%9C%8F-%E3%81%8E%E3%82%93%E3%81%AE%E3%81%BF%E3%81%8B%E3%81%A5%E3%81%8D-%E5%B2%90%E9%98%9C%E7%9C%8C%E9%A3%9B%E9%A8%A8%E7%94%A3-%E5%B9%B3%E6%88%9030%E5%B9%B4%E7%94%A3/dp/B00GT4VM0I/ref=sr_1_468?__mk_ja_JP=%E3%82%AB%E3%82%BF%E3%82%AB%E3%83%8A&amp;dchild=1&amp;keywords=%E7%B1%B3&amp;qid=1598693850&amp;sr=8-468", "Go")</f>
        <v/>
      </c>
    </row>
    <row r="491">
      <c r="A491" t="inlineStr">
        <is>
          <t>【令和2年産いのちの壱】【あなたが選ぶ日本一おいしい米コンテスト】で優秀金賞を受賞した生産者の白米</t>
        </is>
      </c>
      <c r="B491" t="inlineStr">
        <is>
          <t>￥5,430</t>
        </is>
      </c>
      <c r="C491" t="inlineStr">
        <is>
          <t>4.2</t>
        </is>
      </c>
      <c r="D491">
        <f>HYPERLINK("https://www.amazon.co.jp/%E3%81%82%E3%82%8A%E3%81%8C%E3%81%A8%E3%81%86%E4%B8%89%E7%B1%B3-%E3%80%9030%E5%B9%B4%E7%94%A3%E6%96%B0%E7%B1%B3%E3%81%84%E3%81%AE%E3%81%A1%E3%81%AE%E5%A3%B1%E3%80%91%E3%80%90%E3%81%82%E3%81%AA%E3%81%9F%E3%81%8C%E9%81%B8%E3%81%B6%E6%97%A5%E6%9C%AC%E4%B8%80%E3%81%8A%E3%81%84%E3%81%97%E3%81%84%E7%B1%B3%E3%82%B3%E3%83%B3%E3%83%86%E3%82%B9%E3%83%88%E3%80%91%E3%81%A7%E5%84%AA%E7%A7%80%E9%87%91%E8%B3%9E%E3%82%92%E5%8F%97%E8%B3%9E%E3%81%97%E3%81%9F%E7%94%9F%E7%94%A3%E8%80%85%E3%81%AE%E7%99%BD%E7%B1%B3/dp/B0154GFKDG/ref=sr_1_469?__mk_ja_JP=%E3%82%AB%E3%82%BF%E3%82%AB%E3%83%8A&amp;dchild=1&amp;keywords=%E7%B1%B3&amp;qid=1598693850&amp;sr=8-469", "Go")</f>
        <v/>
      </c>
    </row>
    <row r="492">
      <c r="A492" t="inlineStr">
        <is>
          <t>福島県田村産 無洗米 チヨニシキ 5kg 令和元年産</t>
        </is>
      </c>
      <c r="B492" t="inlineStr">
        <is>
          <t>￥2,150</t>
        </is>
      </c>
      <c r="C492" t="inlineStr">
        <is>
          <t>4.2</t>
        </is>
      </c>
      <c r="D492">
        <f>HYPERLINK("https://www.amazon.co.jp/%E7%A6%8F%E5%B3%B6%E7%9C%8C%E7%94%B0%E6%9D%91%E7%94%A3-%E7%84%A1%E6%B4%97%E7%B1%B3-%E3%83%81%E3%83%A8%E3%83%8B%E3%82%B7%E3%82%AD-5kg-%E5%B9%B3%E6%88%9030%E5%B9%B4%E7%94%A3/dp/B001VAY7HU/ref=sr_1_470?__mk_ja_JP=%E3%82%AB%E3%82%BF%E3%82%AB%E3%83%8A&amp;dchild=1&amp;keywords=%E7%B1%B3&amp;qid=1598693850&amp;sr=8-470", "Go")</f>
        <v/>
      </c>
    </row>
    <row r="493">
      <c r="A493" t="inlineStr">
        <is>
          <t>【精米】長崎県産 無洗米 特別栽培米 つや姫 5kg 令和元年産</t>
        </is>
      </c>
      <c r="B493" t="inlineStr">
        <is>
          <t>￥2,580</t>
        </is>
      </c>
      <c r="C493" t="inlineStr">
        <is>
          <t>4</t>
        </is>
      </c>
      <c r="D493">
        <f>HYPERLINK("https://www.amazon.co.jp/%E3%80%90%E7%B2%BE%E7%B1%B3%E3%80%91%E9%95%B7%E5%B4%8E%E7%9C%8C%E7%94%A3-%E7%84%A1%E6%B4%97%E7%B1%B3-%E7%89%B9%E5%88%A5%E6%A0%BD%E5%9F%B9%E7%B1%B3-%E3%81%A4%E3%82%84%E5%A7%AB-%E5%B9%B3%E6%88%9030%E5%B9%B4%E7%94%A3/dp/B0717BQ6H4/ref=sr_1_471?__mk_ja_JP=%E3%82%AB%E3%82%BF%E3%82%AB%E3%83%8A&amp;dchild=1&amp;keywords=%E7%B1%B3&amp;qid=1598693850&amp;sr=8-471", "Go")</f>
        <v/>
      </c>
    </row>
    <row r="494">
      <c r="A494" t="inlineStr">
        <is>
          <t>無洗米 秋田県産あきたこまち 10kg(5kg×2) 令和1年産 白米 お米</t>
        </is>
      </c>
      <c r="B494" t="inlineStr">
        <is>
          <t>￥4,780</t>
        </is>
      </c>
      <c r="C494" t="inlineStr">
        <is>
          <t>4.1</t>
        </is>
      </c>
      <c r="D494">
        <f>HYPERLINK("https://www.amazon.co.jp/%E7%84%A1%E6%B4%97%E7%B1%B3-%E7%A7%8B%E7%94%B0%E7%9C%8C%E7%94%A3%E3%81%82%E3%81%8D%E3%81%9F%E3%81%93%E3%81%BE%E3%81%A1-10kg-5kg%C3%972-%E5%B9%B3%E6%88%9030%E5%B9%B4%E7%94%A3/dp/B00B9NG2CM/ref=sr_1_472?__mk_ja_JP=%E3%82%AB%E3%82%BF%E3%82%AB%E3%83%8A&amp;dchild=1&amp;keywords=%E7%B1%B3&amp;qid=1598693850&amp;sr=8-472", "Go")</f>
        <v/>
      </c>
    </row>
    <row r="495">
      <c r="A495" t="inlineStr">
        <is>
          <t>【精米】岩手県胆沢郡産 阿部兄さんのお米 白米 金色の風 5kg 令和元年産</t>
        </is>
      </c>
      <c r="B495" t="inlineStr">
        <is>
          <t>￥ 2,478</t>
        </is>
      </c>
      <c r="C495" t="inlineStr">
        <is>
          <t>4.1</t>
        </is>
      </c>
      <c r="D495">
        <f>HYPERLINK("https://www.amazon.co.jp/%E3%80%90%E7%B2%BE%E7%B1%B3%E3%80%91%E5%B2%A9%E6%89%8B%E7%9C%8C%E8%83%86%E6%B2%A2%E9%83%A1%E7%94%A3-%E9%98%BF%E9%83%A8%E5%85%84%E3%81%95%E3%82%93%E3%81%AE%E3%81%8A%E7%B1%B3-%E7%99%BD%E7%B1%B3-%E9%87%91%E8%89%B2%E3%81%AE%E9%A2%A8-%E5%B9%B3%E6%88%9029%E5%B9%B4%E5%BA%A6%E7%94%A3%C3%975kg/dp/B07672MTM6/ref=sr_1_474_sspa?__mk_ja_JP=%E3%82%AB%E3%82%BF%E3%82%AB%E3%83%8A&amp;dchild=1&amp;keywords=%E7%B1%B3&amp;qid=1598693850&amp;sr=8-474-spons&amp;psc=1&amp;spLa=ZW5jcnlwdGVkUXVhbGlmaWVyPUEzVk1KQlNLMlBCRVNQJmVuY3J5cHRlZElkPUEwNTg5NDQ0MVJKM1c0MzFJTUdIVSZlbmNyeXB0ZWRBZElkPUEyV0hPWktFUkZSQ0hQJndpZGdldE5hbWU9c3BfYnRmJmFjdGlvbj1jbGlja1JlZGlyZWN0JmRvTm90TG9nQ2xpY2s9dHJ1ZQ==", "Go")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2020-08-29T17:34:22Z</dcterms:created>
  <dcterms:modified xsi:type="dcterms:W3CDTF">2020-08-29T17:34:22Z</dcterms:modified>
</cp:coreProperties>
</file>