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\source\repos\keithalewis\fms_johnson\xll_johnson\"/>
    </mc:Choice>
  </mc:AlternateContent>
  <xr:revisionPtr revIDLastSave="0" documentId="13_ncr:1_{6D15B525-C4DF-448C-A800-357C01DD1619}" xr6:coauthVersionLast="47" xr6:coauthVersionMax="47" xr10:uidLastSave="{00000000-0000-0000-0000-000000000000}"/>
  <bookViews>
    <workbookView xWindow="-108" yWindow="-108" windowWidth="30936" windowHeight="17496" xr2:uid="{04679C06-6483-44F4-8D12-E76B362C6884}"/>
  </bookViews>
  <sheets>
    <sheet name="Sheet1" sheetId="1" r:id="rId1"/>
    <sheet name="Sheet2" sheetId="2" r:id="rId2"/>
  </sheets>
  <definedNames>
    <definedName name="cdf">_xlfn.ANCHORARRAY(Sheet1!$J$3)</definedName>
    <definedName name="delta" localSheetId="1">Sheet2!$C$5</definedName>
    <definedName name="delta">Sheet1!$C$6</definedName>
    <definedName name="f" localSheetId="0">Sheet1!$C$15</definedName>
    <definedName name="f">Sheet2!$C$9</definedName>
    <definedName name="gamma" localSheetId="1">Sheet2!$C$4</definedName>
    <definedName name="gamma">Sheet1!$C$5</definedName>
    <definedName name="implied">Sheet2!$C$14</definedName>
    <definedName name="Johnson" localSheetId="1">Sheet2!$C$6</definedName>
    <definedName name="Johnson">Sheet1!$C$7</definedName>
    <definedName name="jput">_xlfn.ANCHORARRAY(Sheet2!$G$3)</definedName>
    <definedName name="k" localSheetId="0">Sheet1!$C$17</definedName>
    <definedName name="k">Sheet2!$C$11</definedName>
    <definedName name="lambda" localSheetId="1">Sheet2!$C$3</definedName>
    <definedName name="lambda">Sheet1!$C$4</definedName>
    <definedName name="m_1">Sheet1!$C$9</definedName>
    <definedName name="m_2">Sheet1!$C$10</definedName>
    <definedName name="m_3">Sheet1!$C$11</definedName>
    <definedName name="m_4">Sheet1!$C$12</definedName>
    <definedName name="mean" localSheetId="0">Sheet1!$C$13</definedName>
    <definedName name="mean">Sheet2!$C$7</definedName>
    <definedName name="mu">Sheet1!$F$9</definedName>
    <definedName name="ncdf">_xlfn.ANCHORARRAY(Sheet1!$L$3)</definedName>
    <definedName name="Normal">Sheet1!$C$18</definedName>
    <definedName name="npdf">_xlfn.ANCHORARRAY(Sheet1!$K$3)</definedName>
    <definedName name="nput">_xlfn.ANCHORARRAY(Sheet2!$H$3)</definedName>
    <definedName name="pdf">_xlfn.ANCHORARRAY(Sheet1!$I$3)</definedName>
    <definedName name="s" localSheetId="1">Sheet2!$C$10</definedName>
    <definedName name="s">Sheet1!$C$16</definedName>
    <definedName name="s2_">Sheet1!$C$16</definedName>
    <definedName name="sigma">Sheet1!$F$10</definedName>
    <definedName name="strike">_xlfn.ANCHORARRAY(Sheet2!$F$3)</definedName>
    <definedName name="value">Sheet2!$C$12</definedName>
    <definedName name="variance" localSheetId="0">Sheet1!$C$14</definedName>
    <definedName name="variance">Sheet2!$C$8</definedName>
    <definedName name="x">_xlfn.ANCHORARRAY(Sheet1!$H$3)</definedName>
    <definedName name="xi" localSheetId="1">Sheet2!$C$2</definedName>
    <definedName name="xi">Sheet1!$C$3</definedName>
    <definedName name="Z">Sheet1!$C$21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C7" i="1" a="1"/>
  <c r="C7" i="1" s="1"/>
  <c r="D32" i="1" s="1" a="1"/>
  <c r="D32" i="1" s="1"/>
  <c r="C6" i="2" a="1"/>
  <c r="C6" i="2" s="1"/>
  <c r="D7" i="2"/>
  <c r="F3" i="2" a="1"/>
  <c r="C18" i="1" a="1"/>
  <c r="C18" i="1" s="1"/>
  <c r="E13" i="1"/>
  <c r="C21" i="1"/>
  <c r="H3" i="1" a="1"/>
  <c r="E21" i="1" a="1"/>
  <c r="C22" i="1" l="1"/>
  <c r="F3" i="2"/>
  <c r="G3" i="2" s="1" a="1"/>
  <c r="G3" i="2" s="1"/>
  <c r="H3" i="1"/>
  <c r="C7" i="2" a="1"/>
  <c r="C7" i="2" s="1"/>
  <c r="F21" i="1"/>
  <c r="E21" i="1"/>
  <c r="D26" i="1" a="1"/>
  <c r="D24" i="1" a="1"/>
  <c r="C12" i="1" a="1"/>
  <c r="D27" i="1" a="1"/>
  <c r="C9" i="1" a="1"/>
  <c r="C11" i="1" a="1"/>
  <c r="D25" i="1" a="1"/>
  <c r="C10" i="1" a="1"/>
  <c r="C29" i="1" a="1"/>
  <c r="C23" i="1" l="1"/>
  <c r="E22" i="1" a="1"/>
  <c r="C9" i="2"/>
  <c r="C8" i="2" a="1"/>
  <c r="C8" i="2" s="1"/>
  <c r="C10" i="2" s="1"/>
  <c r="C29" i="1"/>
  <c r="D25" i="1"/>
  <c r="C11" i="1"/>
  <c r="C9" i="1"/>
  <c r="D27" i="1"/>
  <c r="C12" i="1"/>
  <c r="D24" i="1"/>
  <c r="C10" i="1"/>
  <c r="D26" i="1"/>
  <c r="E29" i="1" l="1" a="1"/>
  <c r="C32" i="1"/>
  <c r="E32" i="1" s="1" a="1"/>
  <c r="C13" i="1"/>
  <c r="C15" i="1" s="1"/>
  <c r="D33" i="1" s="1" a="1"/>
  <c r="D33" i="1" s="1"/>
  <c r="D29" i="1"/>
  <c r="D30" i="1" s="1"/>
  <c r="E23" i="1" a="1"/>
  <c r="C24" i="1"/>
  <c r="E24" i="1" s="1" a="1"/>
  <c r="C27" i="1"/>
  <c r="E27" i="1" s="1" a="1"/>
  <c r="C26" i="1"/>
  <c r="E26" i="1" s="1" a="1"/>
  <c r="C25" i="1"/>
  <c r="E25" i="1" s="1" a="1"/>
  <c r="E22" i="1"/>
  <c r="F22" i="1"/>
  <c r="C11" i="2"/>
  <c r="C15" i="2" s="1" a="1"/>
  <c r="C15" i="2" s="1"/>
  <c r="H3" i="2" a="1"/>
  <c r="H3" i="2" s="1"/>
  <c r="C16" i="1"/>
  <c r="K3" i="1" s="1" a="1"/>
  <c r="K3" i="1" s="1"/>
  <c r="L3" i="1" a="1"/>
  <c r="L3" i="1" s="1"/>
  <c r="I3" i="1" a="1"/>
  <c r="I3" i="1" s="1"/>
  <c r="I1" i="1" s="1"/>
  <c r="J3" i="1" a="1"/>
  <c r="J3" i="1" s="1"/>
  <c r="C14" i="1"/>
  <c r="C12" i="2" a="1"/>
  <c r="C12" i="2" s="1"/>
  <c r="C14" i="2" s="1" a="1"/>
  <c r="C14" i="2" s="1"/>
  <c r="C13" i="2" a="1"/>
  <c r="C13" i="2" s="1"/>
  <c r="E32" i="1" l="1"/>
  <c r="F32" i="1"/>
  <c r="F29" i="1"/>
  <c r="E29" i="1"/>
  <c r="C30" i="1"/>
  <c r="F23" i="1"/>
  <c r="E23" i="1"/>
  <c r="E24" i="1"/>
  <c r="F24" i="1"/>
  <c r="E27" i="1"/>
  <c r="F27" i="1"/>
  <c r="E26" i="1"/>
  <c r="F26" i="1"/>
  <c r="E25" i="1"/>
  <c r="F25" i="1"/>
  <c r="F16" i="1"/>
  <c r="E14" i="1"/>
  <c r="E15" i="1" s="1"/>
  <c r="F15" i="1" s="1" a="1"/>
  <c r="K1" i="1"/>
  <c r="F14" i="1" a="1"/>
  <c r="G32" i="1" l="1"/>
  <c r="G27" i="1"/>
  <c r="G29" i="1"/>
  <c r="E30" i="1" a="1"/>
  <c r="C33" i="1"/>
  <c r="E33" i="1" s="1" a="1"/>
  <c r="G24" i="1"/>
  <c r="G26" i="1"/>
  <c r="G25" i="1"/>
  <c r="G14" i="1"/>
  <c r="F14" i="1"/>
  <c r="F15" i="1"/>
  <c r="G15" i="1"/>
  <c r="E33" i="1" l="1"/>
  <c r="F33" i="1"/>
  <c r="E30" i="1"/>
  <c r="F30" i="1"/>
  <c r="F17" i="1"/>
  <c r="G30" i="1" l="1"/>
  <c r="G3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<sst xmlns="http://schemas.openxmlformats.org/spreadsheetml/2006/main" count="44" uniqueCount="33">
  <si>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xi</t>
  </si>
  <si>
    <t>lambda</t>
  </si>
  <si>
    <t>gamma</t>
  </si>
  <si>
    <t>delta</t>
  </si>
  <si>
    <t>Johnson</t>
  </si>
  <si>
    <t>x</t>
  </si>
  <si>
    <t>moment</t>
  </si>
  <si>
    <t>Normal</t>
  </si>
  <si>
    <t>mu</t>
  </si>
  <si>
    <t>sigma</t>
  </si>
  <si>
    <t>npdf</t>
  </si>
  <si>
    <t>ncdf</t>
  </si>
  <si>
    <t>Z</t>
  </si>
  <si>
    <t>U</t>
  </si>
  <si>
    <t>sinh(U)</t>
  </si>
  <si>
    <t>X</t>
  </si>
  <si>
    <t>s</t>
  </si>
  <si>
    <t>f</t>
  </si>
  <si>
    <t>k</t>
  </si>
  <si>
    <t>mean</t>
  </si>
  <si>
    <t>variance</t>
  </si>
  <si>
    <t>put_value</t>
  </si>
  <si>
    <t>put_delta</t>
  </si>
  <si>
    <t>put_implied</t>
  </si>
  <si>
    <t>johnson_put_value</t>
  </si>
  <si>
    <t>jpdf</t>
  </si>
  <si>
    <t>jcdf</t>
  </si>
  <si>
    <t>strike</t>
  </si>
  <si>
    <t>jput</t>
  </si>
  <si>
    <t>nput</t>
  </si>
  <si>
    <t>F</t>
  </si>
  <si>
    <t>pX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</si>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</sst>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0x&quot;#"/>
    <numFmt numFmtId="165" formatCode="0.000"/>
  </numFmts>
  <fonts count="4" x14ac:knownFonts="1">
    <font>
      <sz val="14"/>
      <color theme="1"/>
      <name val="Aptos Narrow"/>
      <family val="2"/>
    </font>
    <font>
      <sz val="8"/>
      <color indexed="63"/>
      <name val="Aptos Narrow"/>
      <family val="2"/>
    </font>
    <font>
      <b/>
      <sz val="14"/>
      <color theme="0"/>
      <name val="Aptos Narrow"/>
      <family val="2"/>
    </font>
    <font>
      <sz val="14"/>
      <color theme="0" tint="-0.499984740745262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>
      <alignment horizontal="center" vertical="center"/>
    </xf>
    <xf numFmtId="0" fontId="2" fillId="2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164" fontId="1" fillId="0" borderId="0" xfId="1">
      <alignment horizontal="center" vertical="center"/>
    </xf>
    <xf numFmtId="0" fontId="2" fillId="2" borderId="1" xfId="2"/>
    <xf numFmtId="0" fontId="0" fillId="0" borderId="2" xfId="0" applyBorder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</cellXfs>
  <cellStyles count="3">
    <cellStyle name="Check Cell" xfId="2" builtinId="23"/>
    <cellStyle name="Handle" xfId="1" xr:uid="{0EBF5B21-6312-4F15-AB84-20907DB8AB9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Johnson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jpdf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[0]!x</c:f>
              <c:numCache>
                <c:formatCode>General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1.2000000000000002</c:v>
                </c:pt>
                <c:pt idx="3">
                  <c:v>1.3000000000000003</c:v>
                </c:pt>
                <c:pt idx="4">
                  <c:v>1.4000000000000004</c:v>
                </c:pt>
                <c:pt idx="5">
                  <c:v>1.5000000000000004</c:v>
                </c:pt>
                <c:pt idx="6">
                  <c:v>1.6000000000000005</c:v>
                </c:pt>
                <c:pt idx="7">
                  <c:v>1.7000000000000006</c:v>
                </c:pt>
                <c:pt idx="8">
                  <c:v>1.8000000000000007</c:v>
                </c:pt>
                <c:pt idx="9">
                  <c:v>1.9000000000000008</c:v>
                </c:pt>
                <c:pt idx="10">
                  <c:v>2.0000000000000009</c:v>
                </c:pt>
                <c:pt idx="11">
                  <c:v>2.100000000000001</c:v>
                </c:pt>
                <c:pt idx="12">
                  <c:v>2.2000000000000011</c:v>
                </c:pt>
                <c:pt idx="13">
                  <c:v>2.3000000000000012</c:v>
                </c:pt>
                <c:pt idx="14">
                  <c:v>2.4000000000000012</c:v>
                </c:pt>
                <c:pt idx="15">
                  <c:v>2.5000000000000013</c:v>
                </c:pt>
                <c:pt idx="16">
                  <c:v>2.6000000000000014</c:v>
                </c:pt>
                <c:pt idx="17">
                  <c:v>2.7000000000000015</c:v>
                </c:pt>
                <c:pt idx="18">
                  <c:v>2.8000000000000016</c:v>
                </c:pt>
                <c:pt idx="19">
                  <c:v>2.9000000000000017</c:v>
                </c:pt>
                <c:pt idx="20">
                  <c:v>3.0000000000000018</c:v>
                </c:pt>
                <c:pt idx="21">
                  <c:v>3.1000000000000019</c:v>
                </c:pt>
                <c:pt idx="22">
                  <c:v>3.200000000000002</c:v>
                </c:pt>
                <c:pt idx="23">
                  <c:v>3.300000000000002</c:v>
                </c:pt>
                <c:pt idx="24">
                  <c:v>3.4000000000000021</c:v>
                </c:pt>
                <c:pt idx="25">
                  <c:v>3.5000000000000022</c:v>
                </c:pt>
                <c:pt idx="26">
                  <c:v>3.6000000000000023</c:v>
                </c:pt>
                <c:pt idx="27">
                  <c:v>3.7000000000000024</c:v>
                </c:pt>
                <c:pt idx="28">
                  <c:v>3.8000000000000025</c:v>
                </c:pt>
                <c:pt idx="29">
                  <c:v>3.9000000000000026</c:v>
                </c:pt>
                <c:pt idx="30">
                  <c:v>4.0000000000000027</c:v>
                </c:pt>
                <c:pt idx="31">
                  <c:v>4.1000000000000023</c:v>
                </c:pt>
                <c:pt idx="32">
                  <c:v>4.200000000000002</c:v>
                </c:pt>
                <c:pt idx="33">
                  <c:v>4.3000000000000016</c:v>
                </c:pt>
                <c:pt idx="34">
                  <c:v>4.4000000000000012</c:v>
                </c:pt>
                <c:pt idx="35">
                  <c:v>4.5000000000000009</c:v>
                </c:pt>
                <c:pt idx="36">
                  <c:v>4.6000000000000005</c:v>
                </c:pt>
                <c:pt idx="37">
                  <c:v>4.7</c:v>
                </c:pt>
                <c:pt idx="38">
                  <c:v>4.8</c:v>
                </c:pt>
                <c:pt idx="39">
                  <c:v>4.8999999999999995</c:v>
                </c:pt>
                <c:pt idx="40">
                  <c:v>4.9999999999999991</c:v>
                </c:pt>
                <c:pt idx="41">
                  <c:v>5.0999999999999988</c:v>
                </c:pt>
                <c:pt idx="42">
                  <c:v>5.1999999999999984</c:v>
                </c:pt>
                <c:pt idx="43">
                  <c:v>5.299999999999998</c:v>
                </c:pt>
                <c:pt idx="44">
                  <c:v>5.3999999999999977</c:v>
                </c:pt>
                <c:pt idx="45">
                  <c:v>5.4999999999999973</c:v>
                </c:pt>
                <c:pt idx="46">
                  <c:v>5.599999999999997</c:v>
                </c:pt>
                <c:pt idx="47">
                  <c:v>5.6999999999999966</c:v>
                </c:pt>
                <c:pt idx="48">
                  <c:v>5.7999999999999963</c:v>
                </c:pt>
                <c:pt idx="49">
                  <c:v>5.8999999999999959</c:v>
                </c:pt>
                <c:pt idx="50">
                  <c:v>5.9999999999999956</c:v>
                </c:pt>
                <c:pt idx="51">
                  <c:v>6.0999999999999952</c:v>
                </c:pt>
                <c:pt idx="52">
                  <c:v>6.1999999999999948</c:v>
                </c:pt>
                <c:pt idx="53">
                  <c:v>6.2999999999999945</c:v>
                </c:pt>
                <c:pt idx="54">
                  <c:v>6.3999999999999941</c:v>
                </c:pt>
                <c:pt idx="55">
                  <c:v>6.4999999999999938</c:v>
                </c:pt>
                <c:pt idx="56">
                  <c:v>6.5999999999999934</c:v>
                </c:pt>
                <c:pt idx="57">
                  <c:v>6.6999999999999931</c:v>
                </c:pt>
                <c:pt idx="58">
                  <c:v>6.7999999999999927</c:v>
                </c:pt>
                <c:pt idx="59">
                  <c:v>6.8999999999999924</c:v>
                </c:pt>
                <c:pt idx="60">
                  <c:v>6.999999999999992</c:v>
                </c:pt>
                <c:pt idx="61">
                  <c:v>7.0999999999999917</c:v>
                </c:pt>
                <c:pt idx="62">
                  <c:v>7.1999999999999913</c:v>
                </c:pt>
                <c:pt idx="63">
                  <c:v>7.2999999999999909</c:v>
                </c:pt>
                <c:pt idx="64">
                  <c:v>7.3999999999999906</c:v>
                </c:pt>
                <c:pt idx="65">
                  <c:v>7.4999999999999902</c:v>
                </c:pt>
                <c:pt idx="66">
                  <c:v>7.5999999999999899</c:v>
                </c:pt>
                <c:pt idx="67">
                  <c:v>7.6999999999999895</c:v>
                </c:pt>
                <c:pt idx="68">
                  <c:v>7.7999999999999892</c:v>
                </c:pt>
                <c:pt idx="69">
                  <c:v>7.8999999999999888</c:v>
                </c:pt>
                <c:pt idx="70">
                  <c:v>7.9999999999999885</c:v>
                </c:pt>
                <c:pt idx="71">
                  <c:v>8.099999999999989</c:v>
                </c:pt>
                <c:pt idx="72">
                  <c:v>8.1999999999999886</c:v>
                </c:pt>
                <c:pt idx="73">
                  <c:v>8.2999999999999883</c:v>
                </c:pt>
                <c:pt idx="74">
                  <c:v>8.3999999999999879</c:v>
                </c:pt>
                <c:pt idx="75">
                  <c:v>8.4999999999999876</c:v>
                </c:pt>
                <c:pt idx="76">
                  <c:v>8.5999999999999872</c:v>
                </c:pt>
                <c:pt idx="77">
                  <c:v>8.6999999999999869</c:v>
                </c:pt>
                <c:pt idx="78">
                  <c:v>8.7999999999999865</c:v>
                </c:pt>
                <c:pt idx="79">
                  <c:v>8.8999999999999861</c:v>
                </c:pt>
                <c:pt idx="80">
                  <c:v>8.9999999999999858</c:v>
                </c:pt>
              </c:numCache>
            </c:numRef>
          </c:xVal>
          <c:yVal>
            <c:numRef>
              <c:f>[0]!pdf</c:f>
              <c:numCache>
                <c:formatCode>General</c:formatCode>
                <c:ptCount val="81"/>
                <c:pt idx="0">
                  <c:v>8.7043986617569222E-3</c:v>
                </c:pt>
                <c:pt idx="1">
                  <c:v>9.4044719258295027E-3</c:v>
                </c:pt>
                <c:pt idx="2">
                  <c:v>1.0173262688855026E-2</c:v>
                </c:pt>
                <c:pt idx="3">
                  <c:v>1.1018772248612533E-2</c:v>
                </c:pt>
                <c:pt idx="4">
                  <c:v>1.1950079458531314E-2</c:v>
                </c:pt>
                <c:pt idx="5">
                  <c:v>1.297750450768184E-2</c:v>
                </c:pt>
                <c:pt idx="6">
                  <c:v>1.4112800043611179E-2</c:v>
                </c:pt>
                <c:pt idx="7">
                  <c:v>1.5369374471788265E-2</c:v>
                </c:pt>
                <c:pt idx="8">
                  <c:v>1.6762553112508016E-2</c:v>
                </c:pt>
                <c:pt idx="9">
                  <c:v>1.8309883864989725E-2</c:v>
                </c:pt>
                <c:pt idx="10">
                  <c:v>2.0031495117685684E-2</c:v>
                </c:pt>
                <c:pt idx="11">
                  <c:v>2.1950514837471201E-2</c:v>
                </c:pt>
                <c:pt idx="12">
                  <c:v>2.4093561027048488E-2</c:v>
                </c:pt>
                <c:pt idx="13">
                  <c:v>2.6491314975748824E-2</c:v>
                </c:pt>
                <c:pt idx="14">
                  <c:v>2.9179189790783069E-2</c:v>
                </c:pt>
                <c:pt idx="15">
                  <c:v>3.2198107319314759E-2</c:v>
                </c:pt>
                <c:pt idx="16">
                  <c:v>3.5595396315536147E-2</c:v>
                </c:pt>
                <c:pt idx="17">
                  <c:v>3.9425822854032046E-2</c:v>
                </c:pt>
                <c:pt idx="18">
                  <c:v>4.3752759396218865E-2</c:v>
                </c:pt>
                <c:pt idx="19">
                  <c:v>4.8649489780981631E-2</c:v>
                </c:pt>
                <c:pt idx="20">
                  <c:v>5.4200630945848531E-2</c:v>
                </c:pt>
                <c:pt idx="21">
                  <c:v>6.0503624137080839E-2</c:v>
                </c:pt>
                <c:pt idx="22">
                  <c:v>6.7670202359770157E-2</c:v>
                </c:pt>
                <c:pt idx="23">
                  <c:v>7.582766751435821E-2</c:v>
                </c:pt>
                <c:pt idx="24">
                  <c:v>8.5119696826040203E-2</c:v>
                </c:pt>
                <c:pt idx="25">
                  <c:v>9.570622593997144E-2</c:v>
                </c:pt>
                <c:pt idx="26">
                  <c:v>0.10776170327179441</c:v>
                </c:pt>
                <c:pt idx="27">
                  <c:v>0.12147065364184442</c:v>
                </c:pt>
                <c:pt idx="28">
                  <c:v>0.137019014479622</c:v>
                </c:pt>
                <c:pt idx="29">
                  <c:v>0.15457913278414251</c:v>
                </c:pt>
                <c:pt idx="30">
                  <c:v>0.17428573313919507</c:v>
                </c:pt>
                <c:pt idx="31">
                  <c:v>0.19619984748318434</c:v>
                </c:pt>
                <c:pt idx="32">
                  <c:v>0.22025818193956156</c:v>
                </c:pt>
                <c:pt idx="33">
                  <c:v>0.24620763039771493</c:v>
                </c:pt>
                <c:pt idx="34">
                  <c:v>0.27352992293590844</c:v>
                </c:pt>
                <c:pt idx="35">
                  <c:v>0.30137079308283654</c:v>
                </c:pt>
                <c:pt idx="36">
                  <c:v>0.32850085343828406</c:v>
                </c:pt>
                <c:pt idx="37">
                  <c:v>0.35334655493768902</c:v>
                </c:pt>
                <c:pt idx="38">
                  <c:v>0.37412819205475406</c:v>
                </c:pt>
                <c:pt idx="39">
                  <c:v>0.38911493037080314</c:v>
                </c:pt>
                <c:pt idx="40">
                  <c:v>0.3969525474770117</c:v>
                </c:pt>
                <c:pt idx="41">
                  <c:v>0.39696240028245705</c:v>
                </c:pt>
                <c:pt idx="42">
                  <c:v>0.38929465325194246</c:v>
                </c:pt>
                <c:pt idx="43">
                  <c:v>0.37487173478413854</c:v>
                </c:pt>
                <c:pt idx="44">
                  <c:v>0.35515222481475828</c:v>
                </c:pt>
                <c:pt idx="45">
                  <c:v>0.33181704320580685</c:v>
                </c:pt>
                <c:pt idx="46">
                  <c:v>0.3064872031846162</c:v>
                </c:pt>
                <c:pt idx="47">
                  <c:v>0.28053781232243769</c:v>
                </c:pt>
                <c:pt idx="48">
                  <c:v>0.25501798287634664</c:v>
                </c:pt>
                <c:pt idx="49">
                  <c:v>0.23065132552719075</c:v>
                </c:pt>
                <c:pt idx="50">
                  <c:v>0.20788204224630144</c:v>
                </c:pt>
                <c:pt idx="51">
                  <c:v>0.18693772452971127</c:v>
                </c:pt>
                <c:pt idx="52">
                  <c:v>0.16789089515948438</c:v>
                </c:pt>
                <c:pt idx="53">
                  <c:v>0.15071082154566329</c:v>
                </c:pt>
                <c:pt idx="54">
                  <c:v>0.13530327595289776</c:v>
                </c:pt>
                <c:pt idx="55">
                  <c:v>0.12153909695350115</c:v>
                </c:pt>
                <c:pt idx="56">
                  <c:v>0.10927363283563755</c:v>
                </c:pt>
                <c:pt idx="57">
                  <c:v>9.8359321402480521E-2</c:v>
                </c:pt>
                <c:pt idx="58">
                  <c:v>8.8653373743276864E-2</c:v>
                </c:pt>
                <c:pt idx="59">
                  <c:v>8.0022107428719069E-2</c:v>
                </c:pt>
                <c:pt idx="60">
                  <c:v>7.2343068580088668E-2</c:v>
                </c:pt>
                <c:pt idx="61">
                  <c:v>6.5505747596820943E-2</c:v>
                </c:pt>
                <c:pt idx="62">
                  <c:v>5.9411438890712147E-2</c:v>
                </c:pt>
                <c:pt idx="63">
                  <c:v>5.3972610919898287E-2</c:v>
                </c:pt>
                <c:pt idx="64">
                  <c:v>4.9112024108012846E-2</c:v>
                </c:pt>
                <c:pt idx="65">
                  <c:v>4.4761746468563637E-2</c:v>
                </c:pt>
                <c:pt idx="66">
                  <c:v>4.0862158127352749E-2</c:v>
                </c:pt>
                <c:pt idx="67">
                  <c:v>3.736099750259031E-2</c:v>
                </c:pt>
                <c:pt idx="68">
                  <c:v>3.4212477192339191E-2</c:v>
                </c:pt>
                <c:pt idx="69">
                  <c:v>3.1376482088588779E-2</c:v>
                </c:pt>
                <c:pt idx="70">
                  <c:v>2.8817852761897109E-2</c:v>
                </c:pt>
                <c:pt idx="71">
                  <c:v>2.6505751623854535E-2</c:v>
                </c:pt>
                <c:pt idx="72">
                  <c:v>2.4413106360586356E-2</c:v>
                </c:pt>
                <c:pt idx="73">
                  <c:v>2.2516123701599122E-2</c:v>
                </c:pt>
                <c:pt idx="74">
                  <c:v>2.0793866130059947E-2</c:v>
                </c:pt>
                <c:pt idx="75">
                  <c:v>1.9227884254774771E-2</c:v>
                </c:pt>
                <c:pt idx="76">
                  <c:v>1.7801897995831175E-2</c:v>
                </c:pt>
                <c:pt idx="77">
                  <c:v>1.6501520324694447E-2</c:v>
                </c:pt>
                <c:pt idx="78">
                  <c:v>1.5314017946838236E-2</c:v>
                </c:pt>
                <c:pt idx="79">
                  <c:v>1.4228103962082343E-2</c:v>
                </c:pt>
                <c:pt idx="80">
                  <c:v>1.3233758151641524E-2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3D-482C-BE2B-DAD434487BAC}"/>
            </c:ext>
          </c:extLst>
        </c:ser>
        <c:ser>
          <c:idx val="2"/>
          <c:order val="1"/>
          <c:tx>
            <c:strRef>
              <c:f>Sheet1!$K$2</c:f>
              <c:strCache>
                <c:ptCount val="1"/>
                <c:pt idx="0">
                  <c:v>npdf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[0]!x</c:f>
              <c:numCache>
                <c:formatCode>General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1.2000000000000002</c:v>
                </c:pt>
                <c:pt idx="3">
                  <c:v>1.3000000000000003</c:v>
                </c:pt>
                <c:pt idx="4">
                  <c:v>1.4000000000000004</c:v>
                </c:pt>
                <c:pt idx="5">
                  <c:v>1.5000000000000004</c:v>
                </c:pt>
                <c:pt idx="6">
                  <c:v>1.6000000000000005</c:v>
                </c:pt>
                <c:pt idx="7">
                  <c:v>1.7000000000000006</c:v>
                </c:pt>
                <c:pt idx="8">
                  <c:v>1.8000000000000007</c:v>
                </c:pt>
                <c:pt idx="9">
                  <c:v>1.9000000000000008</c:v>
                </c:pt>
                <c:pt idx="10">
                  <c:v>2.0000000000000009</c:v>
                </c:pt>
                <c:pt idx="11">
                  <c:v>2.100000000000001</c:v>
                </c:pt>
                <c:pt idx="12">
                  <c:v>2.2000000000000011</c:v>
                </c:pt>
                <c:pt idx="13">
                  <c:v>2.3000000000000012</c:v>
                </c:pt>
                <c:pt idx="14">
                  <c:v>2.4000000000000012</c:v>
                </c:pt>
                <c:pt idx="15">
                  <c:v>2.5000000000000013</c:v>
                </c:pt>
                <c:pt idx="16">
                  <c:v>2.6000000000000014</c:v>
                </c:pt>
                <c:pt idx="17">
                  <c:v>2.7000000000000015</c:v>
                </c:pt>
                <c:pt idx="18">
                  <c:v>2.8000000000000016</c:v>
                </c:pt>
                <c:pt idx="19">
                  <c:v>2.9000000000000017</c:v>
                </c:pt>
                <c:pt idx="20">
                  <c:v>3.0000000000000018</c:v>
                </c:pt>
                <c:pt idx="21">
                  <c:v>3.1000000000000019</c:v>
                </c:pt>
                <c:pt idx="22">
                  <c:v>3.200000000000002</c:v>
                </c:pt>
                <c:pt idx="23">
                  <c:v>3.300000000000002</c:v>
                </c:pt>
                <c:pt idx="24">
                  <c:v>3.4000000000000021</c:v>
                </c:pt>
                <c:pt idx="25">
                  <c:v>3.5000000000000022</c:v>
                </c:pt>
                <c:pt idx="26">
                  <c:v>3.6000000000000023</c:v>
                </c:pt>
                <c:pt idx="27">
                  <c:v>3.7000000000000024</c:v>
                </c:pt>
                <c:pt idx="28">
                  <c:v>3.8000000000000025</c:v>
                </c:pt>
                <c:pt idx="29">
                  <c:v>3.9000000000000026</c:v>
                </c:pt>
                <c:pt idx="30">
                  <c:v>4.0000000000000027</c:v>
                </c:pt>
                <c:pt idx="31">
                  <c:v>4.1000000000000023</c:v>
                </c:pt>
                <c:pt idx="32">
                  <c:v>4.200000000000002</c:v>
                </c:pt>
                <c:pt idx="33">
                  <c:v>4.3000000000000016</c:v>
                </c:pt>
                <c:pt idx="34">
                  <c:v>4.4000000000000012</c:v>
                </c:pt>
                <c:pt idx="35">
                  <c:v>4.5000000000000009</c:v>
                </c:pt>
                <c:pt idx="36">
                  <c:v>4.6000000000000005</c:v>
                </c:pt>
                <c:pt idx="37">
                  <c:v>4.7</c:v>
                </c:pt>
                <c:pt idx="38">
                  <c:v>4.8</c:v>
                </c:pt>
                <c:pt idx="39">
                  <c:v>4.8999999999999995</c:v>
                </c:pt>
                <c:pt idx="40">
                  <c:v>4.9999999999999991</c:v>
                </c:pt>
                <c:pt idx="41">
                  <c:v>5.0999999999999988</c:v>
                </c:pt>
                <c:pt idx="42">
                  <c:v>5.1999999999999984</c:v>
                </c:pt>
                <c:pt idx="43">
                  <c:v>5.299999999999998</c:v>
                </c:pt>
                <c:pt idx="44">
                  <c:v>5.3999999999999977</c:v>
                </c:pt>
                <c:pt idx="45">
                  <c:v>5.4999999999999973</c:v>
                </c:pt>
                <c:pt idx="46">
                  <c:v>5.599999999999997</c:v>
                </c:pt>
                <c:pt idx="47">
                  <c:v>5.6999999999999966</c:v>
                </c:pt>
                <c:pt idx="48">
                  <c:v>5.7999999999999963</c:v>
                </c:pt>
                <c:pt idx="49">
                  <c:v>5.8999999999999959</c:v>
                </c:pt>
                <c:pt idx="50">
                  <c:v>5.9999999999999956</c:v>
                </c:pt>
                <c:pt idx="51">
                  <c:v>6.0999999999999952</c:v>
                </c:pt>
                <c:pt idx="52">
                  <c:v>6.1999999999999948</c:v>
                </c:pt>
                <c:pt idx="53">
                  <c:v>6.2999999999999945</c:v>
                </c:pt>
                <c:pt idx="54">
                  <c:v>6.3999999999999941</c:v>
                </c:pt>
                <c:pt idx="55">
                  <c:v>6.4999999999999938</c:v>
                </c:pt>
                <c:pt idx="56">
                  <c:v>6.5999999999999934</c:v>
                </c:pt>
                <c:pt idx="57">
                  <c:v>6.6999999999999931</c:v>
                </c:pt>
                <c:pt idx="58">
                  <c:v>6.7999999999999927</c:v>
                </c:pt>
                <c:pt idx="59">
                  <c:v>6.8999999999999924</c:v>
                </c:pt>
                <c:pt idx="60">
                  <c:v>6.999999999999992</c:v>
                </c:pt>
                <c:pt idx="61">
                  <c:v>7.0999999999999917</c:v>
                </c:pt>
                <c:pt idx="62">
                  <c:v>7.1999999999999913</c:v>
                </c:pt>
                <c:pt idx="63">
                  <c:v>7.2999999999999909</c:v>
                </c:pt>
                <c:pt idx="64">
                  <c:v>7.3999999999999906</c:v>
                </c:pt>
                <c:pt idx="65">
                  <c:v>7.4999999999999902</c:v>
                </c:pt>
                <c:pt idx="66">
                  <c:v>7.5999999999999899</c:v>
                </c:pt>
                <c:pt idx="67">
                  <c:v>7.6999999999999895</c:v>
                </c:pt>
                <c:pt idx="68">
                  <c:v>7.7999999999999892</c:v>
                </c:pt>
                <c:pt idx="69">
                  <c:v>7.8999999999999888</c:v>
                </c:pt>
                <c:pt idx="70">
                  <c:v>7.9999999999999885</c:v>
                </c:pt>
                <c:pt idx="71">
                  <c:v>8.099999999999989</c:v>
                </c:pt>
                <c:pt idx="72">
                  <c:v>8.1999999999999886</c:v>
                </c:pt>
                <c:pt idx="73">
                  <c:v>8.2999999999999883</c:v>
                </c:pt>
                <c:pt idx="74">
                  <c:v>8.3999999999999879</c:v>
                </c:pt>
                <c:pt idx="75">
                  <c:v>8.4999999999999876</c:v>
                </c:pt>
                <c:pt idx="76">
                  <c:v>8.5999999999999872</c:v>
                </c:pt>
                <c:pt idx="77">
                  <c:v>8.6999999999999869</c:v>
                </c:pt>
                <c:pt idx="78">
                  <c:v>8.7999999999999865</c:v>
                </c:pt>
                <c:pt idx="79">
                  <c:v>8.8999999999999861</c:v>
                </c:pt>
                <c:pt idx="80">
                  <c:v>8.9999999999999858</c:v>
                </c:pt>
              </c:numCache>
            </c:numRef>
          </c:xVal>
          <c:yVal>
            <c:numRef>
              <c:f>[0]!npdf</c:f>
              <c:numCache>
                <c:formatCode>General</c:formatCode>
                <c:ptCount val="81"/>
                <c:pt idx="0">
                  <c:v>2.0703080790700656E-5</c:v>
                </c:pt>
                <c:pt idx="1">
                  <c:v>6.7524842908507572E-5</c:v>
                </c:pt>
                <c:pt idx="2">
                  <c:v>1.8541482578519951E-4</c:v>
                </c:pt>
                <c:pt idx="3">
                  <c:v>4.4296497863847636E-4</c:v>
                </c:pt>
                <c:pt idx="4">
                  <c:v>9.4388057624415149E-4</c:v>
                </c:pt>
                <c:pt idx="5">
                  <c:v>1.828481687822665E-3</c:v>
                </c:pt>
                <c:pt idx="6">
                  <c:v>3.2689122909686911E-3</c:v>
                </c:pt>
                <c:pt idx="7">
                  <c:v>5.4581413132084155E-3</c:v>
                </c:pt>
                <c:pt idx="8">
                  <c:v>8.5942388888088153E-3</c:v>
                </c:pt>
                <c:pt idx="9">
                  <c:v>1.2862306328674886E-2</c:v>
                </c:pt>
                <c:pt idx="10">
                  <c:v>1.8416696368631622E-2</c:v>
                </c:pt>
                <c:pt idx="11">
                  <c:v>2.536585933519743E-2</c:v>
                </c:pt>
                <c:pt idx="12">
                  <c:v>3.3761485611641127E-2</c:v>
                </c:pt>
                <c:pt idx="13">
                  <c:v>4.3592804216243536E-2</c:v>
                </c:pt>
                <c:pt idx="14">
                  <c:v>5.4786123243474517E-2</c:v>
                </c:pt>
                <c:pt idx="15">
                  <c:v>6.7209078050748189E-2</c:v>
                </c:pt>
                <c:pt idx="16">
                  <c:v>8.0678640132736804E-2</c:v>
                </c:pt>
                <c:pt idx="17">
                  <c:v>9.49717351169867E-2</c:v>
                </c:pt>
                <c:pt idx="18">
                  <c:v>0.10983729105368589</c:v>
                </c:pt>
                <c:pt idx="19">
                  <c:v>0.12500864148247087</c:v>
                </c:pt>
                <c:pt idx="20">
                  <c:v>0.14021539244940245</c:v>
                </c:pt>
                <c:pt idx="21">
                  <c:v>0.15519408516734709</c:v>
                </c:pt>
                <c:pt idx="22">
                  <c:v>0.16969721244001465</c:v>
                </c:pt>
                <c:pt idx="23">
                  <c:v>0.18350035396592823</c:v>
                </c:pt>
                <c:pt idx="24">
                  <c:v>0.19640736953200333</c:v>
                </c:pt>
                <c:pt idx="25">
                  <c:v>0.20825372403762965</c:v>
                </c:pt>
                <c:pt idx="26">
                  <c:v>0.21890811408502234</c:v>
                </c:pt>
                <c:pt idx="27">
                  <c:v>0.22827262604808155</c:v>
                </c:pt>
                <c:pt idx="28">
                  <c:v>0.23628168564470875</c:v>
                </c:pt>
                <c:pt idx="29">
                  <c:v>0.24290006542756712</c:v>
                </c:pt>
                <c:pt idx="30">
                  <c:v>0.24812020554180689</c:v>
                </c:pt>
                <c:pt idx="31">
                  <c:v>0.25195908023476032</c:v>
                </c:pt>
                <c:pt idx="32">
                  <c:v>0.25445481271928411</c:v>
                </c:pt>
                <c:pt idx="33">
                  <c:v>0.25566320789182273</c:v>
                </c:pt>
                <c:pt idx="34">
                  <c:v>0.25565433894464296</c:v>
                </c:pt>
                <c:pt idx="35">
                  <c:v>0.25450929209830364</c:v>
                </c:pt>
                <c:pt idx="36">
                  <c:v>0.25231714481128836</c:v>
                </c:pt>
                <c:pt idx="37">
                  <c:v>0.24917222762462019</c:v>
                </c:pt>
                <c:pt idx="38">
                  <c:v>0.24517169856222407</c:v>
                </c:pt>
                <c:pt idx="39">
                  <c:v>0.24041344171201215</c:v>
                </c:pt>
                <c:pt idx="40">
                  <c:v>0.23499428802606842</c:v>
                </c:pt>
                <c:pt idx="41">
                  <c:v>0.22900854613882873</c:v>
                </c:pt>
                <c:pt idx="42">
                  <c:v>0.22254682368006984</c:v>
                </c:pt>
                <c:pt idx="43">
                  <c:v>0.21569511470317762</c:v>
                </c:pt>
                <c:pt idx="44">
                  <c:v>0.20853412601677129</c:v>
                </c:pt>
                <c:pt idx="45">
                  <c:v>0.20113881398803188</c:v>
                </c:pt>
                <c:pt idx="46">
                  <c:v>0.19357810341035236</c:v>
                </c:pt>
                <c:pt idx="47">
                  <c:v>0.18591476097579013</c:v>
                </c:pt>
                <c:pt idx="48">
                  <c:v>0.17820539749334569</c:v>
                </c:pt>
                <c:pt idx="49">
                  <c:v>0.17050057502399449</c:v>
                </c:pt>
                <c:pt idx="50">
                  <c:v>0.16284499738316571</c:v>
                </c:pt>
                <c:pt idx="51">
                  <c:v>0.15527776485053962</c:v>
                </c:pt>
                <c:pt idx="52">
                  <c:v>0.14783267631894095</c:v>
                </c:pt>
                <c:pt idx="53">
                  <c:v>0.14053856443060872</c:v>
                </c:pt>
                <c:pt idx="54">
                  <c:v>0.13341965143567538</c:v>
                </c:pt>
                <c:pt idx="55">
                  <c:v>0.12649591552879422</c:v>
                </c:pt>
                <c:pt idx="56">
                  <c:v>0.11978345925507844</c:v>
                </c:pt>
                <c:pt idx="57">
                  <c:v>0.1132948732170215</c:v>
                </c:pt>
                <c:pt idx="58">
                  <c:v>0.10703958975972069</c:v>
                </c:pt>
                <c:pt idx="59">
                  <c:v>0.1010242225686761</c:v>
                </c:pt>
                <c:pt idx="60">
                  <c:v>9.5252889193168475E-2</c:v>
                </c:pt>
                <c:pt idx="61">
                  <c:v>8.9727514422010393E-2</c:v>
                </c:pt>
                <c:pt idx="62">
                  <c:v>8.4448113202157657E-2</c:v>
                </c:pt>
                <c:pt idx="63">
                  <c:v>7.9413052419778515E-2</c:v>
                </c:pt>
                <c:pt idx="64">
                  <c:v>7.4619291373374474E-2</c:v>
                </c:pt>
                <c:pt idx="65">
                  <c:v>7.0062601174418815E-2</c:v>
                </c:pt>
                <c:pt idx="66">
                  <c:v>6.5737763626840098E-2</c:v>
                </c:pt>
                <c:pt idx="67">
                  <c:v>6.163875037562011E-2</c:v>
                </c:pt>
                <c:pt idx="68">
                  <c:v>5.7758883288705633E-2</c:v>
                </c:pt>
                <c:pt idx="69">
                  <c:v>5.4090977156050518E-2</c:v>
                </c:pt>
                <c:pt idx="70">
                  <c:v>5.0627465864407459E-2</c:v>
                </c:pt>
                <c:pt idx="71">
                  <c:v>4.7360513244800548E-2</c:v>
                </c:pt>
                <c:pt idx="72">
                  <c:v>4.4282109798670817E-2</c:v>
                </c:pt>
                <c:pt idx="73">
                  <c:v>4.1384156494710223E-2</c:v>
                </c:pt>
                <c:pt idx="74">
                  <c:v>3.8658536796685454E-2</c:v>
                </c:pt>
                <c:pt idx="75">
                  <c:v>3.6097178037562211E-2</c:v>
                </c:pt>
                <c:pt idx="76">
                  <c:v>3.3692103200703441E-2</c:v>
                </c:pt>
                <c:pt idx="77">
                  <c:v>3.1435474107906113E-2</c:v>
                </c:pt>
                <c:pt idx="78">
                  <c:v>2.9319626949076607E-2</c:v>
                </c:pt>
                <c:pt idx="79">
                  <c:v>2.7337101021445088E-2</c:v>
                </c:pt>
                <c:pt idx="80">
                  <c:v>2.5480661478995748E-2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A6-4BCB-B2BE-6F6897A6E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3869424"/>
        <c:axId val="1183879984"/>
      </c:scatterChart>
      <c:valAx>
        <c:axId val="1183869424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879984"/>
        <c:crosses val="autoZero"/>
        <c:crossBetween val="midCat"/>
      </c:valAx>
      <c:valAx>
        <c:axId val="118387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869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Sheet2!$G$2</c:f>
              <c:strCache>
                <c:ptCount val="1"/>
                <c:pt idx="0">
                  <c:v>jput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[0]!strike</c:f>
              <c:numCache>
                <c:formatCode>General</c:formatCode>
                <c:ptCount val="11"/>
                <c:pt idx="0">
                  <c:v>95</c:v>
                </c:pt>
                <c:pt idx="1">
                  <c:v>96</c:v>
                </c:pt>
                <c:pt idx="2">
                  <c:v>97</c:v>
                </c:pt>
                <c:pt idx="3">
                  <c:v>98</c:v>
                </c:pt>
                <c:pt idx="4">
                  <c:v>99</c:v>
                </c:pt>
                <c:pt idx="5">
                  <c:v>100</c:v>
                </c:pt>
                <c:pt idx="6">
                  <c:v>101</c:v>
                </c:pt>
                <c:pt idx="7">
                  <c:v>102</c:v>
                </c:pt>
                <c:pt idx="8">
                  <c:v>103</c:v>
                </c:pt>
                <c:pt idx="9">
                  <c:v>104</c:v>
                </c:pt>
                <c:pt idx="10">
                  <c:v>105</c:v>
                </c:pt>
              </c:numCache>
            </c:numRef>
          </c:xVal>
          <c:yVal>
            <c:numRef>
              <c:f>[0]!jput</c:f>
              <c:numCache>
                <c:formatCode>General</c:formatCode>
                <c:ptCount val="11"/>
                <c:pt idx="0">
                  <c:v>0.21964104664022965</c:v>
                </c:pt>
                <c:pt idx="1">
                  <c:v>0.29371700965105951</c:v>
                </c:pt>
                <c:pt idx="2">
                  <c:v>0.40485038926779637</c:v>
                </c:pt>
                <c:pt idx="3">
                  <c:v>0.5783109449391155</c:v>
                </c:pt>
                <c:pt idx="4">
                  <c:v>0.85749011579833478</c:v>
                </c:pt>
                <c:pt idx="5">
                  <c:v>1.3003336793219376</c:v>
                </c:pt>
                <c:pt idx="6">
                  <c:v>1.9340968825215015</c:v>
                </c:pt>
                <c:pt idx="7">
                  <c:v>2.7175624881759006</c:v>
                </c:pt>
                <c:pt idx="8">
                  <c:v>3.5903697274681434</c:v>
                </c:pt>
                <c:pt idx="9">
                  <c:v>4.5125670111857374</c:v>
                </c:pt>
                <c:pt idx="10">
                  <c:v>5.4626589026709382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92-48B7-8B98-2F3CE8CA83E9}"/>
            </c:ext>
          </c:extLst>
        </c:ser>
        <c:ser>
          <c:idx val="1"/>
          <c:order val="1"/>
          <c:tx>
            <c:strRef>
              <c:f>Sheet2!$H$2</c:f>
              <c:strCache>
                <c:ptCount val="1"/>
                <c:pt idx="0">
                  <c:v>nput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[0]!strike</c:f>
              <c:numCache>
                <c:formatCode>General</c:formatCode>
                <c:ptCount val="11"/>
                <c:pt idx="0">
                  <c:v>95</c:v>
                </c:pt>
                <c:pt idx="1">
                  <c:v>96</c:v>
                </c:pt>
                <c:pt idx="2">
                  <c:v>97</c:v>
                </c:pt>
                <c:pt idx="3">
                  <c:v>98</c:v>
                </c:pt>
                <c:pt idx="4">
                  <c:v>99</c:v>
                </c:pt>
                <c:pt idx="5">
                  <c:v>100</c:v>
                </c:pt>
                <c:pt idx="6">
                  <c:v>101</c:v>
                </c:pt>
                <c:pt idx="7">
                  <c:v>102</c:v>
                </c:pt>
                <c:pt idx="8">
                  <c:v>103</c:v>
                </c:pt>
                <c:pt idx="9">
                  <c:v>104</c:v>
                </c:pt>
                <c:pt idx="10">
                  <c:v>105</c:v>
                </c:pt>
              </c:numCache>
            </c:numRef>
          </c:xVal>
          <c:yVal>
            <c:numRef>
              <c:f>[0]!nput</c:f>
              <c:numCache>
                <c:formatCode>General</c:formatCode>
                <c:ptCount val="11"/>
                <c:pt idx="0">
                  <c:v>0.15047516015719964</c:v>
                </c:pt>
                <c:pt idx="1">
                  <c:v>0.27323255315290318</c:v>
                </c:pt>
                <c:pt idx="2">
                  <c:v>0.46430618247089228</c:v>
                </c:pt>
                <c:pt idx="3">
                  <c:v>0.74206810660077238</c:v>
                </c:pt>
                <c:pt idx="4">
                  <c:v>1.1211384892197884</c:v>
                </c:pt>
                <c:pt idx="5">
                  <c:v>1.6095107827846178</c:v>
                </c:pt>
                <c:pt idx="6">
                  <c:v>2.2070064174084365</c:v>
                </c:pt>
                <c:pt idx="7">
                  <c:v>2.9055415213955911</c:v>
                </c:pt>
                <c:pt idx="8">
                  <c:v>3.6910306629170435</c:v>
                </c:pt>
                <c:pt idx="9">
                  <c:v>4.5462182555494337</c:v>
                </c:pt>
                <c:pt idx="10">
                  <c:v>5.4535456694156039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92-48B7-8B98-2F3CE8CA8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457072"/>
        <c:axId val="1751457552"/>
      </c:scatterChart>
      <c:valAx>
        <c:axId val="175145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457552"/>
        <c:crosses val="autoZero"/>
        <c:crossBetween val="midCat"/>
      </c:valAx>
      <c:valAx>
        <c:axId val="175145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457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308610</xdr:colOff>
      <xdr:row>2</xdr:row>
      <xdr:rowOff>167640</xdr:rowOff>
    </xdr:from>
    <xdr:to>
      <xdr:col>23</xdr:col>
      <xdr:colOff>289560</xdr:colOff>
      <xdr:row>23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7B54C6-513A-87E2-E200-06C0CFC01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361950</xdr:colOff>
      <xdr:row>1</xdr:row>
      <xdr:rowOff>190500</xdr:rowOff>
    </xdr:from>
    <xdr:to>
      <xdr:col>14</xdr:col>
      <xdr:colOff>179070</xdr:colOff>
      <xdr:row>27</xdr:row>
      <xdr:rowOff>213360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E3B608-E0CE-E9B4-BE19-AFB6C1A860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A76B-08E5-40E0-BCFA-A9D795A3DB2C}">
  <dimension ref="B1:L83"/>
  <sheetViews>
    <sheetView tabSelected="1" workbookViewId="0"/>
  </sheetViews>
  <sheetFormatPr defaultRowHeight="18" x14ac:dyDescent="0.35"/>
  <cols>
    <col min="1" max="1" width="3.58203125" customWidth="1"/>
    <col min="3" max="3" width="12.4140625" customWidth="1"/>
    <col min="4" max="5" width="11.75" customWidth="1"/>
    <col min="6" max="7" width="8.6640625" customWidth="1"/>
    <col min="11" max="12" width="11.75" bestFit="1" customWidth="1"/>
  </cols>
  <sheetData>
    <row r="1" spans="2:12" ht="19.2" thickTop="1" thickBot="1" x14ac:dyDescent="0.4">
      <c r="I1" s="3">
        <f>1-SUM(pdf)*G5</f>
        <v>3.6045820170739651E-2</v>
      </c>
      <c r="K1" s="3">
        <f>1-SUM(npdf)*G5</f>
        <v>3.3953997020412352E-2</v>
      </c>
    </row>
    <row r="2" spans="2:12" ht="18.600000000000001" thickTop="1" x14ac:dyDescent="0.35">
      <c r="B2" s="1" t="s">
        <v>16</v>
      </c>
      <c r="C2">
        <v>0.1</v>
      </c>
      <c r="H2" s="6" t="s">
        <v>5</v>
      </c>
      <c r="I2" s="6" t="s">
        <v>25</v>
      </c>
      <c r="J2" s="6" t="s">
        <v>26</v>
      </c>
      <c r="K2" s="6" t="s">
        <v>10</v>
      </c>
      <c r="L2" s="6" t="s">
        <v>11</v>
      </c>
    </row>
    <row r="3" spans="2:12" x14ac:dyDescent="0.35">
      <c r="B3" s="1" t="s">
        <v>0</v>
      </c>
      <c r="C3">
        <v>5</v>
      </c>
      <c r="G3">
        <v>1</v>
      </c>
      <c r="H3" cm="1">
        <f t="array" ref="H3:H83">_xlfn.SEQUENCE(1+(G4-G3)/G5,1,G3,G5)</f>
        <v>1</v>
      </c>
      <c r="I3" cm="1">
        <f t="array" ref="I3:I83">_xlfn.MAP(x,_xlfn.LAMBDA(_xlpm.x,_xll.VARIATE.PDF(Johnson,_xlpm.x,s)))</f>
        <v>8.7043986617569222E-3</v>
      </c>
      <c r="J3" cm="1">
        <f t="array" ref="J3:J83">_xlfn.MAP(x,_xlfn.LAMBDA(_xlpm.x,_xll.VARIATE.CDF(Johnson,_xlpm.x,s)))</f>
        <v>1.4092112053010641E-2</v>
      </c>
      <c r="K3" cm="1">
        <f t="array" ref="K3:K83">_xlfn.MAP(x,_xlfn.LAMBDA(_xlpm.x,_xll.VARIATE.PDF(Normal,_xll.NORMAL.MONEYNESS(f,s,_xlpm.x))/(s*_xlpm.x)))</f>
        <v>2.0703080790700656E-5</v>
      </c>
      <c r="L3" cm="1">
        <f t="array" ref="L3:L83">_xlfn.MAP(x,_xlfn.LAMBDA(_xlpm.x,_xll.VARIATE.CDF(Normal,_xll.NORMAL.MONEYNESS(f,s,_xlpm.x))))</f>
        <v>1.4374249124871064E-6</v>
      </c>
    </row>
    <row r="4" spans="2:12" x14ac:dyDescent="0.35">
      <c r="B4" s="1" t="s">
        <v>1</v>
      </c>
      <c r="C4">
        <v>1</v>
      </c>
      <c r="G4">
        <v>9</v>
      </c>
      <c r="H4">
        <v>1.1000000000000001</v>
      </c>
      <c r="I4">
        <v>9.4044719258295027E-3</v>
      </c>
      <c r="J4">
        <v>1.4997013704622197E-2</v>
      </c>
      <c r="K4">
        <v>6.7524842908507572E-5</v>
      </c>
      <c r="L4">
        <v>5.4601522335162578E-6</v>
      </c>
    </row>
    <row r="5" spans="2:12" x14ac:dyDescent="0.35">
      <c r="B5" s="1" t="s">
        <v>2</v>
      </c>
      <c r="C5">
        <v>-0.1</v>
      </c>
      <c r="G5">
        <v>0.1</v>
      </c>
      <c r="H5">
        <v>1.2000000000000002</v>
      </c>
      <c r="I5">
        <v>1.0173262688855026E-2</v>
      </c>
      <c r="J5">
        <v>1.5975295982949222E-2</v>
      </c>
      <c r="K5">
        <v>1.8541482578519951E-4</v>
      </c>
      <c r="L5">
        <v>1.7279073039166981E-5</v>
      </c>
    </row>
    <row r="6" spans="2:12" x14ac:dyDescent="0.35">
      <c r="B6" s="1" t="s">
        <v>3</v>
      </c>
      <c r="C6">
        <v>1</v>
      </c>
      <c r="H6">
        <v>1.3000000000000003</v>
      </c>
      <c r="I6">
        <v>1.1018772248612533E-2</v>
      </c>
      <c r="J6">
        <v>1.7034222341395067E-2</v>
      </c>
      <c r="K6">
        <v>4.4296497863847636E-4</v>
      </c>
      <c r="L6">
        <v>4.7158774936995052E-5</v>
      </c>
    </row>
    <row r="7" spans="2:12" x14ac:dyDescent="0.35">
      <c r="B7" s="1" t="s">
        <v>4</v>
      </c>
      <c r="C7" s="2" cm="1">
        <f t="array" ref="C7">_xll.\VARIATE.JOHNSON(xi, lambda, gamma, delta)</f>
        <v>1871133711760</v>
      </c>
      <c r="E7" s="2"/>
      <c r="H7">
        <v>1.4000000000000004</v>
      </c>
      <c r="I7">
        <v>1.1950079458531314E-2</v>
      </c>
      <c r="J7">
        <v>1.8181908978683936E-2</v>
      </c>
      <c r="K7">
        <v>9.4388057624415149E-4</v>
      </c>
      <c r="L7">
        <v>1.1394270194620137E-4</v>
      </c>
    </row>
    <row r="8" spans="2:12" x14ac:dyDescent="0.35">
      <c r="B8" s="4" t="s">
        <v>6</v>
      </c>
      <c r="H8">
        <v>1.5000000000000004</v>
      </c>
      <c r="I8">
        <v>1.297750450768184E-2</v>
      </c>
      <c r="J8">
        <v>1.942744057369411E-2</v>
      </c>
      <c r="K8">
        <v>1.828481687822665E-3</v>
      </c>
      <c r="L8">
        <v>2.4868819646811646E-4</v>
      </c>
    </row>
    <row r="9" spans="2:12" x14ac:dyDescent="0.35">
      <c r="B9">
        <v>1</v>
      </c>
      <c r="C9" s="5" cm="1">
        <f t="array" ref="C9">_xll.JOHNSON.MOMENT(Johnson,B9)</f>
        <v>5.1651470513746194</v>
      </c>
      <c r="D9" s="5">
        <f>xi-SQRT(EXP(1))*lambda*gamma/delta</f>
        <v>5.1648721270700131</v>
      </c>
      <c r="E9" s="1" t="s">
        <v>8</v>
      </c>
      <c r="H9">
        <v>1.6000000000000005</v>
      </c>
      <c r="I9">
        <v>1.4112800043611179E-2</v>
      </c>
      <c r="J9">
        <v>2.0781003728369885E-2</v>
      </c>
      <c r="K9">
        <v>3.2689122909686911E-3</v>
      </c>
      <c r="L9">
        <v>4.9814290683652951E-4</v>
      </c>
    </row>
    <row r="10" spans="2:12" x14ac:dyDescent="0.35">
      <c r="B10">
        <v>2</v>
      </c>
      <c r="C10" s="5" cm="1">
        <f t="array" ref="C10">_xll.JOHNSON.MOMENT(Johnson,B10)</f>
        <v>29.92013575470796</v>
      </c>
      <c r="E10" s="1" t="s">
        <v>9</v>
      </c>
      <c r="H10">
        <v>1.7000000000000006</v>
      </c>
      <c r="I10">
        <v>1.5369374471788265E-2</v>
      </c>
      <c r="J10">
        <v>2.2254041088117793E-2</v>
      </c>
      <c r="K10">
        <v>5.4581413132084155E-3</v>
      </c>
      <c r="L10">
        <v>9.2742461871231363E-4</v>
      </c>
    </row>
    <row r="11" spans="2:12" x14ac:dyDescent="0.35">
      <c r="B11">
        <v>3</v>
      </c>
      <c r="C11" s="5" cm="1">
        <f t="array" ref="C11">_xll.JOHNSON.MOMENT(Johnson,B11)</f>
        <v>193.14515798871818</v>
      </c>
      <c r="H11">
        <v>1.8000000000000007</v>
      </c>
      <c r="I11">
        <v>1.6762553112508016E-2</v>
      </c>
      <c r="J11">
        <v>2.3859429633833307E-2</v>
      </c>
      <c r="K11">
        <v>8.5942388888088153E-3</v>
      </c>
      <c r="L11">
        <v>1.621347909641746E-3</v>
      </c>
    </row>
    <row r="12" spans="2:12" x14ac:dyDescent="0.35">
      <c r="B12">
        <v>4</v>
      </c>
      <c r="C12" s="5" cm="1">
        <f t="array" ref="C12">_xll.JOHNSON.MOMENT(Johnson,B12)</f>
        <v>1731.8915721897665</v>
      </c>
      <c r="H12">
        <v>1.9000000000000008</v>
      </c>
      <c r="I12">
        <v>1.8309883864989725E-2</v>
      </c>
      <c r="J12">
        <v>2.5611687255201132E-2</v>
      </c>
      <c r="K12">
        <v>1.2862306328674886E-2</v>
      </c>
      <c r="L12">
        <v>2.684039252012882E-3</v>
      </c>
    </row>
    <row r="13" spans="2:12" x14ac:dyDescent="0.35">
      <c r="B13" s="1" t="s">
        <v>19</v>
      </c>
      <c r="C13" s="5">
        <f>C9</f>
        <v>5.1651470513746194</v>
      </c>
      <c r="E13" s="7">
        <f ca="1">_xlfn.NORM.S.INV(RAND())</f>
        <v>-0.41472170918068268</v>
      </c>
      <c r="F13" s="7"/>
      <c r="G13" s="7"/>
      <c r="H13">
        <v>2.0000000000000009</v>
      </c>
      <c r="I13">
        <v>2.0031495117685684E-2</v>
      </c>
      <c r="J13">
        <v>2.7527212433388182E-2</v>
      </c>
      <c r="K13">
        <v>1.8416696368631622E-2</v>
      </c>
      <c r="L13">
        <v>4.2367381834458318E-3</v>
      </c>
    </row>
    <row r="14" spans="2:12" x14ac:dyDescent="0.35">
      <c r="B14" s="1" t="s">
        <v>20</v>
      </c>
      <c r="C14" s="5">
        <f>C10-C9^2</f>
        <v>3.2413916923840347</v>
      </c>
      <c r="E14" s="7">
        <f ca="1">f*EXP(s*E13-s*s/2)</f>
        <v>4.2383226880100402</v>
      </c>
      <c r="F14" s="7">
        <f t="array" aca="1" ref="F14:G14" ca="1">_xll.MONTE.STDEV(E14)</f>
        <v>5.1677054167145267</v>
      </c>
      <c r="G14" s="7">
        <f ca="1"/>
        <v>1.8056932835616211</v>
      </c>
      <c r="H14">
        <v>2.100000000000001</v>
      </c>
      <c r="I14">
        <v>2.1950514837471201E-2</v>
      </c>
      <c r="J14">
        <v>2.9624562694086032E-2</v>
      </c>
      <c r="K14">
        <v>2.536585933519743E-2</v>
      </c>
      <c r="L14">
        <v>6.4139347213673092E-3</v>
      </c>
    </row>
    <row r="15" spans="2:12" x14ac:dyDescent="0.35">
      <c r="B15" s="1" t="s">
        <v>17</v>
      </c>
      <c r="C15" s="5">
        <f>mean</f>
        <v>5.1651470513746194</v>
      </c>
      <c r="E15" s="7">
        <f ca="1">E14^2</f>
        <v>17.963379207700651</v>
      </c>
      <c r="F15" s="7">
        <f t="array" aca="1" ref="F15:G15" ca="1">_xll.MONTE.STDEV(E15)</f>
        <v>29.965618361877315</v>
      </c>
      <c r="G15" s="7">
        <f ca="1"/>
        <v>22.982552693325765</v>
      </c>
      <c r="H15">
        <v>2.2000000000000011</v>
      </c>
      <c r="I15">
        <v>2.4093561027048488E-2</v>
      </c>
      <c r="J15">
        <v>3.1924778447701696E-2</v>
      </c>
      <c r="K15">
        <v>3.3761485611641127E-2</v>
      </c>
      <c r="L15">
        <v>9.3581956017799728E-3</v>
      </c>
    </row>
    <row r="16" spans="2:12" x14ac:dyDescent="0.35">
      <c r="B16" s="1" t="s">
        <v>16</v>
      </c>
      <c r="C16" s="5">
        <f>SQRT(LN(m_2/(m_1*m_1)))</f>
        <v>0.33862153584592586</v>
      </c>
      <c r="E16" s="7"/>
      <c r="F16" s="7">
        <f>f*f*EXP(s*s)</f>
        <v>29.92013575470796</v>
      </c>
      <c r="G16" s="7"/>
      <c r="H16">
        <v>2.3000000000000012</v>
      </c>
      <c r="I16">
        <v>2.6491314975748824E-2</v>
      </c>
      <c r="J16">
        <v>3.4451759914897906E-2</v>
      </c>
      <c r="K16">
        <v>4.3592804216243536E-2</v>
      </c>
      <c r="L16">
        <v>1.3214158797857145E-2</v>
      </c>
    </row>
    <row r="17" spans="2:12" x14ac:dyDescent="0.35">
      <c r="B17" s="1" t="s">
        <v>18</v>
      </c>
      <c r="C17">
        <v>5</v>
      </c>
      <c r="D17" s="2"/>
      <c r="E17" s="7"/>
      <c r="F17" s="7">
        <f ca="1">(F16-F15)/G15</f>
        <v>-1.9790058909584462E-3</v>
      </c>
      <c r="G17" s="7"/>
      <c r="H17">
        <v>2.4000000000000012</v>
      </c>
      <c r="I17">
        <v>2.9179189790783069E-2</v>
      </c>
      <c r="J17">
        <v>3.7232706033645036E-2</v>
      </c>
      <c r="K17">
        <v>5.4786123243474517E-2</v>
      </c>
      <c r="L17">
        <v>1.8122222152518463E-2</v>
      </c>
    </row>
    <row r="18" spans="2:12" x14ac:dyDescent="0.35">
      <c r="B18" s="1" t="s">
        <v>7</v>
      </c>
      <c r="C18" s="2" cm="1">
        <f t="array" ref="C18">_xll.\VARIATE.NORMAL(0, 1)</f>
        <v>1872329293040</v>
      </c>
      <c r="H18">
        <v>2.5000000000000013</v>
      </c>
      <c r="I18">
        <v>3.2198107319314759E-2</v>
      </c>
      <c r="J18">
        <v>4.0298625528965626E-2</v>
      </c>
      <c r="K18">
        <v>6.7209078050748189E-2</v>
      </c>
      <c r="L18">
        <v>2.4212427944569848E-2</v>
      </c>
    </row>
    <row r="19" spans="2:12" x14ac:dyDescent="0.35">
      <c r="H19">
        <v>2.6000000000000014</v>
      </c>
      <c r="I19">
        <v>3.5595396315536147E-2</v>
      </c>
      <c r="J19">
        <v>4.3684931634591251E-2</v>
      </c>
      <c r="K19">
        <v>8.0678640132736804E-2</v>
      </c>
      <c r="L19">
        <v>3.1598969354152129E-2</v>
      </c>
    </row>
    <row r="20" spans="2:12" x14ac:dyDescent="0.35">
      <c r="H20">
        <v>2.7000000000000015</v>
      </c>
      <c r="I20">
        <v>3.9425822854032046E-2</v>
      </c>
      <c r="J20">
        <v>4.7432133165795365E-2</v>
      </c>
      <c r="K20">
        <v>9.49717351169867E-2</v>
      </c>
      <c r="L20">
        <v>4.0375638219305288E-2</v>
      </c>
    </row>
    <row r="21" spans="2:12" x14ac:dyDescent="0.35">
      <c r="B21" s="1" t="s">
        <v>12</v>
      </c>
      <c r="C21">
        <f ca="1">_xlfn.NORM.S.INV(RAND())</f>
        <v>0.67601452050896749</v>
      </c>
      <c r="E21">
        <f t="array" aca="1" ref="E21:F21" ca="1">_xll.MONTE.STDEV(Z)</f>
        <v>-2.4549556081976441E-3</v>
      </c>
      <c r="F21">
        <f ca="1"/>
        <v>0.99957045836885949</v>
      </c>
      <c r="H21">
        <v>2.8000000000000016</v>
      </c>
      <c r="I21">
        <v>4.3752759396218865E-2</v>
      </c>
      <c r="J21">
        <v>5.1586635542199888E-2</v>
      </c>
      <c r="K21">
        <v>0.10983729105368589</v>
      </c>
      <c r="L21">
        <v>5.0612415660992893E-2</v>
      </c>
    </row>
    <row r="22" spans="2:12" x14ac:dyDescent="0.35">
      <c r="B22" s="1" t="s">
        <v>13</v>
      </c>
      <c r="C22">
        <f ca="1">(Z-gamma)/delta</f>
        <v>0.77601452050896746</v>
      </c>
      <c r="E22">
        <f t="array" aca="1" ref="E22:F22" ca="1">_xll.MONTE.STDEV(C22)</f>
        <v>9.7545044391802727E-2</v>
      </c>
      <c r="F22">
        <f ca="1"/>
        <v>0.99957045836885949</v>
      </c>
      <c r="H22">
        <v>2.9000000000000017</v>
      </c>
      <c r="I22">
        <v>4.8649489780981631E-2</v>
      </c>
      <c r="J22">
        <v>5.6201665590885796E-2</v>
      </c>
      <c r="K22">
        <v>0.12500864148247087</v>
      </c>
      <c r="L22">
        <v>6.2353293557458167E-2</v>
      </c>
    </row>
    <row r="23" spans="2:12" x14ac:dyDescent="0.35">
      <c r="B23" s="1" t="s">
        <v>14</v>
      </c>
      <c r="C23">
        <f ca="1">SINH(C22)</f>
        <v>0.85627936512969005</v>
      </c>
      <c r="E23">
        <f t="array" aca="1" ref="E23:F23" ca="1">_xll.MONTE.STDEV(C23)</f>
        <v>0.16128042992196492</v>
      </c>
      <c r="F23">
        <f ca="1"/>
        <v>1.7918917200764766</v>
      </c>
      <c r="H23">
        <v>3.0000000000000018</v>
      </c>
      <c r="I23">
        <v>5.4200630945848531E-2</v>
      </c>
      <c r="J23">
        <v>6.1338332940132412E-2</v>
      </c>
      <c r="K23">
        <v>0.14021539244940245</v>
      </c>
      <c r="L23">
        <v>7.5615316047683068E-2</v>
      </c>
    </row>
    <row r="24" spans="2:12" x14ac:dyDescent="0.35">
      <c r="B24">
        <v>1</v>
      </c>
      <c r="C24">
        <f ca="1">POWER($C$23,B24)</f>
        <v>0.85627936512969005</v>
      </c>
      <c r="D24" cm="1">
        <f t="array" ref="D24">_xll.JOHNSON.Esinh_k(Johnson,B24)</f>
        <v>0.16514705137461927</v>
      </c>
      <c r="E24">
        <f t="array" aca="1" ref="E24:F24" ca="1">_xll.MONTE.STDEV(C24)</f>
        <v>0.16128042992196492</v>
      </c>
      <c r="F24">
        <f ca="1"/>
        <v>1.7918917200764766</v>
      </c>
      <c r="G24">
        <f ca="1">(D24-E24)/F24</f>
        <v>2.1578432498640713E-3</v>
      </c>
      <c r="H24">
        <v>3.1000000000000019</v>
      </c>
      <c r="I24">
        <v>6.0503624137080839E-2</v>
      </c>
      <c r="J24">
        <v>6.7066837611608143E-2</v>
      </c>
      <c r="K24">
        <v>0.15519408516734709</v>
      </c>
      <c r="L24">
        <v>9.0388752129344385E-2</v>
      </c>
    </row>
    <row r="25" spans="2:12" x14ac:dyDescent="0.35">
      <c r="B25">
        <v>2</v>
      </c>
      <c r="C25">
        <f ca="1">POWER($C$23,B25)</f>
        <v>0.73321435114690503</v>
      </c>
      <c r="D25" cm="1">
        <f t="array" ref="D25">_xll.JOHNSON.Esinh_k(Johnson,B25)</f>
        <v>3.2686652409617674</v>
      </c>
      <c r="E25">
        <f t="array" aca="1" ref="E25:F25" ca="1">_xll.MONTE.STDEV(C25)</f>
        <v>3.2367995247387333</v>
      </c>
      <c r="F25">
        <f ca="1"/>
        <v>14.732003160093081</v>
      </c>
      <c r="G25">
        <f ca="1">(D25-E25)/F25</f>
        <v>2.1630267029370286E-3</v>
      </c>
      <c r="H25">
        <v>3.200000000000002</v>
      </c>
      <c r="I25">
        <v>6.7670202359770157E-2</v>
      </c>
      <c r="J25">
        <v>7.3467826577642226E-2</v>
      </c>
      <c r="K25">
        <v>0.16969721244001465</v>
      </c>
      <c r="L25">
        <v>0.10663825498790908</v>
      </c>
    </row>
    <row r="26" spans="2:12" x14ac:dyDescent="0.35">
      <c r="B26">
        <v>3</v>
      </c>
      <c r="C26">
        <f ca="1">POWER($C$23,B26)</f>
        <v>0.62783631910404947</v>
      </c>
      <c r="D26" cm="1">
        <f t="array" ref="D26">_xll.JOHNSON.Esinh_k(Johnson,B26)</f>
        <v>6.7291505211952476</v>
      </c>
      <c r="E26">
        <f t="array" aca="1" ref="E26:F26" ca="1">_xll.MONTE.STDEV(C26)</f>
        <v>5.1722612484910853</v>
      </c>
      <c r="F26">
        <f ca="1"/>
        <v>276.85406046823147</v>
      </c>
      <c r="G26">
        <f ca="1">(D26-E26)/F26</f>
        <v>5.6235016747490062E-3</v>
      </c>
      <c r="H26">
        <v>3.300000000000002</v>
      </c>
      <c r="I26">
        <v>7.582766751435821E-2</v>
      </c>
      <c r="J26">
        <v>8.0633889336059084E-2</v>
      </c>
      <c r="K26">
        <v>0.18350035396592823</v>
      </c>
      <c r="L26">
        <v>0.12430483008776005</v>
      </c>
    </row>
    <row r="27" spans="2:12" x14ac:dyDescent="0.35">
      <c r="B27">
        <v>4</v>
      </c>
      <c r="C27">
        <f ca="1">POWER($C$23,B27)</f>
        <v>0.53760328472777696</v>
      </c>
      <c r="D27" cm="1">
        <f t="array" ref="D27">_xll.JOHNSON.Esinh_k(Johnson,B27)</f>
        <v>399.43524993428662</v>
      </c>
      <c r="E27">
        <f t="array" aca="1" ref="E27:F27" ca="1">_xll.MONTE.STDEV(C27)</f>
        <v>227.50285438534203</v>
      </c>
      <c r="F27">
        <f ca="1"/>
        <v>6661.6498393543679</v>
      </c>
      <c r="G27">
        <f ca="1">(D27-E27)/F27</f>
        <v>2.5809281438546442E-2</v>
      </c>
      <c r="H27">
        <v>3.4000000000000021</v>
      </c>
      <c r="I27">
        <v>8.5119696826040203E-2</v>
      </c>
      <c r="J27">
        <v>8.8671160612564082E-2</v>
      </c>
      <c r="K27">
        <v>0.19640736953200333</v>
      </c>
      <c r="L27">
        <v>0.14330841957311458</v>
      </c>
    </row>
    <row r="28" spans="2:12" x14ac:dyDescent="0.35">
      <c r="H28">
        <v>3.5000000000000022</v>
      </c>
      <c r="I28">
        <v>9.570622593997144E-2</v>
      </c>
      <c r="J28">
        <v>9.770096222312219E-2</v>
      </c>
      <c r="K28">
        <v>0.20825372403762965</v>
      </c>
      <c r="L28">
        <v>0.16355091150652795</v>
      </c>
    </row>
    <row r="29" spans="2:12" x14ac:dyDescent="0.35">
      <c r="B29" s="1" t="s">
        <v>15</v>
      </c>
      <c r="C29" cm="1">
        <f t="array" aca="1" ref="C29" ca="1">_xll.JOHNSON.X(Johnson,Z)</f>
        <v>5.8562793651296898</v>
      </c>
      <c r="D29">
        <f>m_1</f>
        <v>5.1651470513746194</v>
      </c>
      <c r="E29">
        <f t="array" aca="1" ref="E29:F29" ca="1">_xll.MONTE.STDEV(C29)</f>
        <v>5.1612804299219484</v>
      </c>
      <c r="F29">
        <f ca="1"/>
        <v>1.7918917200764766</v>
      </c>
      <c r="G29">
        <f ca="1">(D29-E29)/F29</f>
        <v>2.1578432498733807E-3</v>
      </c>
      <c r="H29">
        <v>3.6000000000000023</v>
      </c>
      <c r="I29">
        <v>0.10776170327179441</v>
      </c>
      <c r="J29">
        <v>0.10786135899791904</v>
      </c>
      <c r="K29">
        <v>0.21890811408502234</v>
      </c>
      <c r="L29">
        <v>0.18491939497232529</v>
      </c>
    </row>
    <row r="30" spans="2:12" x14ac:dyDescent="0.35">
      <c r="B30" s="1" t="s">
        <v>30</v>
      </c>
      <c r="C30">
        <f ca="1">f*EXP(s*Z-s*s/2)</f>
        <v>6.1319596197896047</v>
      </c>
      <c r="D30">
        <f>D29</f>
        <v>5.1651470513746194</v>
      </c>
      <c r="E30">
        <f t="array" aca="1" ref="E30:F30" ca="1">_xll.MONTE.STDEV(C30)</f>
        <v>5.1606725655930292</v>
      </c>
      <c r="F30">
        <f ca="1"/>
        <v>1.7990905441741645</v>
      </c>
      <c r="G30">
        <f ca="1">(D30-E30)/F30</f>
        <v>2.4870820404673268E-3</v>
      </c>
      <c r="H30">
        <v>3.7000000000000024</v>
      </c>
      <c r="I30">
        <v>0.12147065364184442</v>
      </c>
      <c r="J30">
        <v>0.11930841624988675</v>
      </c>
      <c r="K30">
        <v>0.22827262604808155</v>
      </c>
      <c r="L30">
        <v>0.20728950233041415</v>
      </c>
    </row>
    <row r="31" spans="2:12" x14ac:dyDescent="0.35">
      <c r="H31">
        <v>3.8000000000000025</v>
      </c>
      <c r="I31">
        <v>0.137019014479622</v>
      </c>
      <c r="J31">
        <v>0.13221681732302659</v>
      </c>
      <c r="K31">
        <v>0.23628168564470875</v>
      </c>
      <c r="L31">
        <v>0.23052870462733138</v>
      </c>
    </row>
    <row r="32" spans="2:12" x14ac:dyDescent="0.35">
      <c r="B32" t="s">
        <v>31</v>
      </c>
      <c r="C32">
        <f ca="1">MAX(k-C29,0)</f>
        <v>0</v>
      </c>
      <c r="D32" cm="1">
        <f t="array" ref="D32">_xll.JOHNSON.PUT.VALUE(Johnson, k)</f>
        <v>0.48501978828634895</v>
      </c>
      <c r="E32">
        <f t="array" aca="1" ref="E32:F32" ca="1">_xll.MONTE.STDEV(C32)</f>
        <v>0.4861622511978112</v>
      </c>
      <c r="F32">
        <f ca="1"/>
        <v>1.0218021388504597</v>
      </c>
      <c r="G32">
        <f t="shared" ref="G32:G33" ca="1" si="0">(D32-E32)/F32</f>
        <v>-1.1180862400107471E-3</v>
      </c>
      <c r="H32">
        <v>3.9000000000000026</v>
      </c>
      <c r="I32">
        <v>0.15457913278414251</v>
      </c>
      <c r="J32">
        <v>0.14677931793184146</v>
      </c>
      <c r="K32">
        <v>0.24290006542756712</v>
      </c>
      <c r="L32">
        <v>0.25449945266432794</v>
      </c>
    </row>
    <row r="33" spans="2:12" x14ac:dyDescent="0.35">
      <c r="B33" t="s">
        <v>32</v>
      </c>
      <c r="C33">
        <f ca="1">MAX(k-C30,0)</f>
        <v>0</v>
      </c>
      <c r="D33" cm="1">
        <f t="array" ref="D33">_xll.NORMAL.PUT.VALUE(f, s, k)</f>
        <v>0.60388109459734007</v>
      </c>
      <c r="E33">
        <f t="array" aca="1" ref="E33:F33" ca="1">_xll.MONTE.STDEV(C33)</f>
        <v>0.60478527804354842</v>
      </c>
      <c r="F33">
        <f ca="1"/>
        <v>0.78123545686887463</v>
      </c>
      <c r="G33">
        <f t="shared" ca="1" si="0"/>
        <v>-1.1573763559481049E-3</v>
      </c>
      <c r="H33">
        <v>4.0000000000000027</v>
      </c>
      <c r="I33">
        <v>0.17428573313919507</v>
      </c>
      <c r="J33">
        <v>0.16320427319547132</v>
      </c>
      <c r="K33">
        <v>0.24812020554180689</v>
      </c>
      <c r="L33">
        <v>0.27906208243117209</v>
      </c>
    </row>
    <row r="34" spans="2:12" x14ac:dyDescent="0.35">
      <c r="H34">
        <v>4.1000000000000023</v>
      </c>
      <c r="I34">
        <v>0.19619984748318434</v>
      </c>
      <c r="J34">
        <v>0.18171018443208858</v>
      </c>
      <c r="K34">
        <v>0.25195908023476032</v>
      </c>
      <c r="L34">
        <v>0.30407742808294902</v>
      </c>
    </row>
    <row r="35" spans="2:12" x14ac:dyDescent="0.35">
      <c r="H35">
        <v>4.200000000000002</v>
      </c>
      <c r="I35">
        <v>0.22025818193956156</v>
      </c>
      <c r="J35">
        <v>0.20251592610222136</v>
      </c>
      <c r="K35">
        <v>0.25445481271928411</v>
      </c>
      <c r="L35">
        <v>0.32940910743263985</v>
      </c>
    </row>
    <row r="36" spans="2:12" x14ac:dyDescent="0.35">
      <c r="H36">
        <v>4.3000000000000016</v>
      </c>
      <c r="I36">
        <v>0.24620763039771493</v>
      </c>
      <c r="J36">
        <v>0.2258251529019118</v>
      </c>
      <c r="K36">
        <v>0.25566320789182273</v>
      </c>
      <c r="L36">
        <v>0.35492546355091414</v>
      </c>
    </row>
    <row r="37" spans="2:12" x14ac:dyDescent="0.35">
      <c r="H37">
        <v>4.4000000000000012</v>
      </c>
      <c r="I37">
        <v>0.27352992293590844</v>
      </c>
      <c r="J37">
        <v>0.25180359090759113</v>
      </c>
      <c r="K37">
        <v>0.25565433894464296</v>
      </c>
      <c r="L37">
        <v>0.38050116133504402</v>
      </c>
    </row>
    <row r="38" spans="2:12" x14ac:dyDescent="0.35">
      <c r="H38">
        <v>4.5000000000000009</v>
      </c>
      <c r="I38">
        <v>0.30137079308283654</v>
      </c>
      <c r="J38">
        <v>0.28054884945445269</v>
      </c>
      <c r="K38">
        <v>0.25450929209830364</v>
      </c>
      <c r="L38">
        <v>0.40601844990199903</v>
      </c>
    </row>
    <row r="39" spans="2:12" x14ac:dyDescent="0.35">
      <c r="H39">
        <v>4.6000000000000005</v>
      </c>
      <c r="I39">
        <v>0.32850085343828406</v>
      </c>
      <c r="J39">
        <v>0.31205445295372758</v>
      </c>
      <c r="K39">
        <v>0.25231714481128836</v>
      </c>
      <c r="L39">
        <v>0.4313681106116169</v>
      </c>
    </row>
    <row r="40" spans="2:12" x14ac:dyDescent="0.35">
      <c r="H40">
        <v>4.7</v>
      </c>
      <c r="I40">
        <v>0.35334655493768902</v>
      </c>
      <c r="J40">
        <v>0.34617312057652722</v>
      </c>
      <c r="K40">
        <v>0.24917222762462019</v>
      </c>
      <c r="L40">
        <v>0.45645011676910918</v>
      </c>
    </row>
    <row r="41" spans="2:12" x14ac:dyDescent="0.35">
      <c r="H41">
        <v>4.8</v>
      </c>
      <c r="I41">
        <v>0.37412819205475406</v>
      </c>
      <c r="J41">
        <v>0.38258825179180384</v>
      </c>
      <c r="K41">
        <v>0.24517169856222407</v>
      </c>
      <c r="L41">
        <v>0.48117403497677308</v>
      </c>
    </row>
    <row r="42" spans="2:12" x14ac:dyDescent="0.35">
      <c r="H42">
        <v>4.8999999999999995</v>
      </c>
      <c r="I42">
        <v>0.38911493037080314</v>
      </c>
      <c r="J42">
        <v>0.42080517387138539</v>
      </c>
      <c r="K42">
        <v>0.24041344171201215</v>
      </c>
      <c r="L42">
        <v>0.50545920009993206</v>
      </c>
    </row>
    <row r="43" spans="2:12" x14ac:dyDescent="0.35">
      <c r="H43">
        <v>4.9999999999999991</v>
      </c>
      <c r="I43">
        <v>0.3969525474770117</v>
      </c>
      <c r="J43">
        <v>0.46017216272297068</v>
      </c>
      <c r="K43">
        <v>0.23499428802606842</v>
      </c>
      <c r="L43">
        <v>0.52923469626574837</v>
      </c>
    </row>
    <row r="44" spans="2:12" x14ac:dyDescent="0.35">
      <c r="H44">
        <v>5.0999999999999988</v>
      </c>
      <c r="I44">
        <v>0.39696240028245705</v>
      </c>
      <c r="J44">
        <v>0.49993380705798635</v>
      </c>
      <c r="K44">
        <v>0.22900854613882873</v>
      </c>
      <c r="L44">
        <v>0.55243917557925282</v>
      </c>
    </row>
    <row r="45" spans="2:12" x14ac:dyDescent="0.35">
      <c r="H45">
        <v>5.1999999999999984</v>
      </c>
      <c r="I45">
        <v>0.38929465325194246</v>
      </c>
      <c r="J45">
        <v>0.5393078393356916</v>
      </c>
      <c r="K45">
        <v>0.22254682368006984</v>
      </c>
      <c r="L45">
        <v>0.57502054463228369</v>
      </c>
    </row>
    <row r="46" spans="2:12" x14ac:dyDescent="0.35">
      <c r="H46">
        <v>5.299999999999998</v>
      </c>
      <c r="I46">
        <v>0.37487173478413854</v>
      </c>
      <c r="J46">
        <v>0.57756695924323231</v>
      </c>
      <c r="K46">
        <v>0.21569511470317762</v>
      </c>
      <c r="L46">
        <v>0.59693554666721726</v>
      </c>
    </row>
    <row r="47" spans="2:12" x14ac:dyDescent="0.35">
      <c r="H47">
        <v>5.3999999999999977</v>
      </c>
      <c r="I47">
        <v>0.35515222481475828</v>
      </c>
      <c r="J47">
        <v>0.61410539145661369</v>
      </c>
      <c r="K47">
        <v>0.20853412601677129</v>
      </c>
      <c r="L47">
        <v>0.61814926466271047</v>
      </c>
    </row>
    <row r="48" spans="2:12" x14ac:dyDescent="0.35">
      <c r="H48">
        <v>5.4999999999999973</v>
      </c>
      <c r="I48">
        <v>0.33181704320580685</v>
      </c>
      <c r="J48">
        <v>0.64847696234307906</v>
      </c>
      <c r="K48">
        <v>0.20113881398803188</v>
      </c>
      <c r="L48">
        <v>0.63863456781465922</v>
      </c>
    </row>
    <row r="49" spans="8:12" x14ac:dyDescent="0.35">
      <c r="H49">
        <v>5.599999999999997</v>
      </c>
      <c r="I49">
        <v>0.3064872031846162</v>
      </c>
      <c r="J49">
        <v>0.68040259943958292</v>
      </c>
      <c r="K49">
        <v>0.19357810341035236</v>
      </c>
      <c r="L49">
        <v>0.65837152103467478</v>
      </c>
    </row>
    <row r="50" spans="8:12" x14ac:dyDescent="0.35">
      <c r="H50">
        <v>5.6999999999999966</v>
      </c>
      <c r="I50">
        <v>0.28053781232243769</v>
      </c>
      <c r="J50">
        <v>0.70975412431358742</v>
      </c>
      <c r="K50">
        <v>0.18591476097579013</v>
      </c>
      <c r="L50">
        <v>0.67734677428853485</v>
      </c>
    </row>
    <row r="51" spans="8:12" x14ac:dyDescent="0.35">
      <c r="H51">
        <v>5.7999999999999963</v>
      </c>
      <c r="I51">
        <v>0.25501798287634664</v>
      </c>
      <c r="J51">
        <v>0.73652484815274577</v>
      </c>
      <c r="K51">
        <v>0.17820539749334569</v>
      </c>
      <c r="L51">
        <v>0.69555294592671313</v>
      </c>
    </row>
    <row r="52" spans="8:12" x14ac:dyDescent="0.35">
      <c r="H52">
        <v>5.8999999999999959</v>
      </c>
      <c r="I52">
        <v>0.23065132552719075</v>
      </c>
      <c r="J52">
        <v>0.76079647237959835</v>
      </c>
      <c r="K52">
        <v>0.17050057502399449</v>
      </c>
      <c r="L52">
        <v>0.71298801167191295</v>
      </c>
    </row>
    <row r="53" spans="8:12" x14ac:dyDescent="0.35">
      <c r="H53">
        <v>5.9999999999999956</v>
      </c>
      <c r="I53">
        <v>0.20788204224630144</v>
      </c>
      <c r="J53">
        <v>0.78270859937506321</v>
      </c>
      <c r="K53">
        <v>0.16284499738316571</v>
      </c>
      <c r="L53">
        <v>0.7296547086581745</v>
      </c>
    </row>
    <row r="54" spans="8:12" x14ac:dyDescent="0.35">
      <c r="H54">
        <v>6.0999999999999952</v>
      </c>
      <c r="I54">
        <v>0.18693772452971127</v>
      </c>
      <c r="J54">
        <v>0.80243388390379722</v>
      </c>
      <c r="K54">
        <v>0.15527776485053962</v>
      </c>
      <c r="L54">
        <v>0.74555996188023477</v>
      </c>
    </row>
    <row r="55" spans="8:12" x14ac:dyDescent="0.35">
      <c r="H55">
        <v>6.1999999999999948</v>
      </c>
      <c r="I55">
        <v>0.16789089515948438</v>
      </c>
      <c r="J55">
        <v>0.82015950696594442</v>
      </c>
      <c r="K55">
        <v>0.14783267631894095</v>
      </c>
      <c r="L55">
        <v>0.76071433861573945</v>
      </c>
    </row>
    <row r="56" spans="8:12" x14ac:dyDescent="0.35">
      <c r="H56">
        <v>6.2999999999999945</v>
      </c>
      <c r="I56">
        <v>0.15071082154566329</v>
      </c>
      <c r="J56">
        <v>0.8360743571747864</v>
      </c>
      <c r="K56">
        <v>0.14053856443060872</v>
      </c>
      <c r="L56">
        <v>0.77513153482280517</v>
      </c>
    </row>
    <row r="57" spans="8:12" x14ac:dyDescent="0.35">
      <c r="H57">
        <v>6.3999999999999941</v>
      </c>
      <c r="I57">
        <v>0.13530327595289776</v>
      </c>
      <c r="J57">
        <v>0.85036079315007773</v>
      </c>
      <c r="K57">
        <v>0.13341965143567538</v>
      </c>
      <c r="L57">
        <v>0.78882789618083216</v>
      </c>
    </row>
    <row r="58" spans="8:12" x14ac:dyDescent="0.35">
      <c r="H58">
        <v>6.4999999999999938</v>
      </c>
      <c r="I58">
        <v>0.12153909695350115</v>
      </c>
      <c r="J58">
        <v>0.86318980756224684</v>
      </c>
      <c r="K58">
        <v>0.12649591552879422</v>
      </c>
      <c r="L58">
        <v>0.80182197531850141</v>
      </c>
    </row>
    <row r="59" spans="8:12" x14ac:dyDescent="0.35">
      <c r="H59">
        <v>6.5999999999999934</v>
      </c>
      <c r="I59">
        <v>0.10927363283563755</v>
      </c>
      <c r="J59">
        <v>0.87471857229878713</v>
      </c>
      <c r="K59">
        <v>0.11978345925507844</v>
      </c>
      <c r="L59">
        <v>0.81413412584183709</v>
      </c>
    </row>
    <row r="60" spans="8:12" x14ac:dyDescent="0.35">
      <c r="H60">
        <v>6.6999999999999931</v>
      </c>
      <c r="I60">
        <v>9.8359321402480521E-2</v>
      </c>
      <c r="J60">
        <v>0.88508956681374573</v>
      </c>
      <c r="K60">
        <v>0.1132948732170215</v>
      </c>
      <c r="L60">
        <v>0.82578613301799542</v>
      </c>
    </row>
    <row r="61" spans="8:12" x14ac:dyDescent="0.35">
      <c r="H61">
        <v>6.7999999999999927</v>
      </c>
      <c r="I61">
        <v>8.8653373743276864E-2</v>
      </c>
      <c r="J61">
        <v>0.89443070496776067</v>
      </c>
      <c r="K61">
        <v>0.10703958975972069</v>
      </c>
      <c r="L61">
        <v>0.83680088036750022</v>
      </c>
    </row>
    <row r="62" spans="8:12" x14ac:dyDescent="0.35">
      <c r="H62">
        <v>6.8999999999999924</v>
      </c>
      <c r="I62">
        <v>8.0022107428719069E-2</v>
      </c>
      <c r="J62">
        <v>0.90285605161681581</v>
      </c>
      <c r="K62">
        <v>0.1010242225686761</v>
      </c>
      <c r="L62">
        <v>0.8472020509497511</v>
      </c>
    </row>
    <row r="63" spans="8:12" x14ac:dyDescent="0.35">
      <c r="H63">
        <v>6.999999999999992</v>
      </c>
      <c r="I63">
        <v>7.2343068580088668E-2</v>
      </c>
      <c r="J63">
        <v>0.91046685398806537</v>
      </c>
      <c r="K63">
        <v>9.5252889193168475E-2</v>
      </c>
      <c r="L63">
        <v>0.85701386177543526</v>
      </c>
    </row>
    <row r="64" spans="8:12" x14ac:dyDescent="0.35">
      <c r="H64">
        <v>7.0999999999999917</v>
      </c>
      <c r="I64">
        <v>6.5505747596820943E-2</v>
      </c>
      <c r="J64">
        <v>0.91735270941722669</v>
      </c>
      <c r="K64">
        <v>8.9727514422010393E-2</v>
      </c>
      <c r="L64">
        <v>0.86626082952777006</v>
      </c>
    </row>
    <row r="65" spans="8:12" x14ac:dyDescent="0.35">
      <c r="H65">
        <v>7.1999999999999913</v>
      </c>
      <c r="I65">
        <v>5.9411438890712147E-2</v>
      </c>
      <c r="J65">
        <v>0.92359275813611785</v>
      </c>
      <c r="K65">
        <v>8.4448113202157657E-2</v>
      </c>
      <c r="L65">
        <v>0.87496756560656586</v>
      </c>
    </row>
    <row r="66" spans="8:12" x14ac:dyDescent="0.35">
      <c r="H66">
        <v>7.2999999999999909</v>
      </c>
      <c r="I66">
        <v>5.3972610919898287E-2</v>
      </c>
      <c r="J66">
        <v>0.92925683510532187</v>
      </c>
      <c r="K66">
        <v>7.9413052419778515E-2</v>
      </c>
      <c r="L66">
        <v>0.88315859841064315</v>
      </c>
    </row>
    <row r="67" spans="8:12" x14ac:dyDescent="0.35">
      <c r="H67">
        <v>7.3999999999999906</v>
      </c>
      <c r="I67">
        <v>4.9112024108012846E-2</v>
      </c>
      <c r="J67">
        <v>0.93440654468291728</v>
      </c>
      <c r="K67">
        <v>7.4619291373374474E-2</v>
      </c>
      <c r="L67">
        <v>0.89085822073254262</v>
      </c>
    </row>
    <row r="68" spans="8:12" x14ac:dyDescent="0.35">
      <c r="H68">
        <v>7.4999999999999902</v>
      </c>
      <c r="I68">
        <v>4.4761746468563637E-2</v>
      </c>
      <c r="J68">
        <v>0.93909624100298772</v>
      </c>
      <c r="K68">
        <v>7.0062601174418815E-2</v>
      </c>
      <c r="L68">
        <v>0.89809036014351684</v>
      </c>
    </row>
    <row r="69" spans="8:12" x14ac:dyDescent="0.35">
      <c r="H69">
        <v>7.5999999999999899</v>
      </c>
      <c r="I69">
        <v>4.0862158127352749E-2</v>
      </c>
      <c r="J69">
        <v>0.94337390878688232</v>
      </c>
      <c r="K69">
        <v>6.5737763626840098E-2</v>
      </c>
      <c r="L69">
        <v>0.90487847028683066</v>
      </c>
    </row>
    <row r="70" spans="8:12" x14ac:dyDescent="0.35">
      <c r="H70">
        <v>7.6999999999999895</v>
      </c>
      <c r="I70">
        <v>3.736099750259031E-2</v>
      </c>
      <c r="J70">
        <v>0.94728194636986829</v>
      </c>
      <c r="K70">
        <v>6.163875037562011E-2</v>
      </c>
      <c r="L70">
        <v>0.91124544106506411</v>
      </c>
    </row>
    <row r="71" spans="8:12" x14ac:dyDescent="0.35">
      <c r="H71">
        <v>7.7999999999999892</v>
      </c>
      <c r="I71">
        <v>3.4212477192339191E-2</v>
      </c>
      <c r="J71">
        <v>0.95085785667338851</v>
      </c>
      <c r="K71">
        <v>5.7758883288705633E-2</v>
      </c>
      <c r="L71">
        <v>0.91721352579533166</v>
      </c>
    </row>
    <row r="72" spans="8:12" x14ac:dyDescent="0.35">
      <c r="H72">
        <v>7.8999999999999888</v>
      </c>
      <c r="I72">
        <v>3.1376482088588779E-2</v>
      </c>
      <c r="J72">
        <v>0.95413485381991725</v>
      </c>
      <c r="K72">
        <v>5.4090977156050518E-2</v>
      </c>
      <c r="L72">
        <v>0.92280428350914523</v>
      </c>
    </row>
    <row r="73" spans="8:12" x14ac:dyDescent="0.35">
      <c r="H73">
        <v>7.9999999999999885</v>
      </c>
      <c r="I73">
        <v>2.8817852761897109E-2</v>
      </c>
      <c r="J73">
        <v>0.9571423938252106</v>
      </c>
      <c r="K73">
        <v>5.0627465864407459E-2</v>
      </c>
      <c r="L73">
        <v>0.92803853468610309</v>
      </c>
    </row>
    <row r="74" spans="8:12" x14ac:dyDescent="0.35">
      <c r="H74">
        <v>8.099999999999989</v>
      </c>
      <c r="I74">
        <v>2.6505751623854535E-2</v>
      </c>
      <c r="J74">
        <v>0.95990663780425822</v>
      </c>
      <c r="K74">
        <v>4.7360513244800548E-2</v>
      </c>
      <c r="L74">
        <v>0.9329363288286403</v>
      </c>
    </row>
    <row r="75" spans="8:12" x14ac:dyDescent="0.35">
      <c r="H75">
        <v>8.1999999999999886</v>
      </c>
      <c r="I75">
        <v>2.4413106360586356E-2</v>
      </c>
      <c r="J75">
        <v>0.96245085571074807</v>
      </c>
      <c r="K75">
        <v>4.4282109798670817E-2</v>
      </c>
      <c r="L75">
        <v>0.9375169224054376</v>
      </c>
    </row>
    <row r="76" spans="8:12" x14ac:dyDescent="0.35">
      <c r="H76">
        <v>8.2999999999999883</v>
      </c>
      <c r="I76">
        <v>2.2516123701599122E-2</v>
      </c>
      <c r="J76">
        <v>0.96479577799747862</v>
      </c>
      <c r="K76">
        <v>4.1384156494710223E-2</v>
      </c>
      <c r="L76">
        <v>0.94179876581115518</v>
      </c>
    </row>
    <row r="77" spans="8:12" x14ac:dyDescent="0.35">
      <c r="H77">
        <v>8.3999999999999879</v>
      </c>
      <c r="I77">
        <v>2.0793866130059947E-2</v>
      </c>
      <c r="J77">
        <v>0.96695990186250991</v>
      </c>
      <c r="K77">
        <v>3.8658536796685454E-2</v>
      </c>
      <c r="L77">
        <v>0.94579949810789954</v>
      </c>
    </row>
    <row r="78" spans="8:12" x14ac:dyDescent="0.35">
      <c r="H78">
        <v>8.4999999999999876</v>
      </c>
      <c r="I78">
        <v>1.9227884254774771E-2</v>
      </c>
      <c r="J78">
        <v>0.96895975800863532</v>
      </c>
      <c r="K78">
        <v>3.6097178037562211E-2</v>
      </c>
      <c r="L78">
        <v>0.94953594842770872</v>
      </c>
    </row>
    <row r="79" spans="8:12" x14ac:dyDescent="0.35">
      <c r="H79">
        <v>8.5999999999999872</v>
      </c>
      <c r="I79">
        <v>1.7801897995831175E-2</v>
      </c>
      <c r="J79">
        <v>0.97081014313549252</v>
      </c>
      <c r="K79">
        <v>3.3692103200703441E-2</v>
      </c>
      <c r="L79">
        <v>0.95302414302421101</v>
      </c>
    </row>
    <row r="80" spans="8:12" x14ac:dyDescent="0.35">
      <c r="H80">
        <v>8.6999999999999869</v>
      </c>
      <c r="I80">
        <v>1.6501520324694447E-2</v>
      </c>
      <c r="J80">
        <v>0.97252432272746359</v>
      </c>
      <c r="K80">
        <v>3.1435474107906113E-2</v>
      </c>
      <c r="L80">
        <v>0.95627931706467895</v>
      </c>
    </row>
    <row r="81" spans="8:12" x14ac:dyDescent="0.35">
      <c r="H81">
        <v>8.7999999999999865</v>
      </c>
      <c r="I81">
        <v>1.5314017946838236E-2</v>
      </c>
      <c r="J81">
        <v>0.97411420810674554</v>
      </c>
      <c r="K81">
        <v>2.9319626949076607E-2</v>
      </c>
      <c r="L81">
        <v>0.95931593035045859</v>
      </c>
    </row>
    <row r="82" spans="8:12" x14ac:dyDescent="0.35">
      <c r="H82">
        <v>8.8999999999999861</v>
      </c>
      <c r="I82">
        <v>1.4228103962082343E-2</v>
      </c>
      <c r="J82">
        <v>0.97559051119232043</v>
      </c>
      <c r="K82">
        <v>2.7337101021445088E-2</v>
      </c>
      <c r="L82">
        <v>0.96214768624388836</v>
      </c>
    </row>
    <row r="83" spans="8:12" x14ac:dyDescent="0.35">
      <c r="H83">
        <v>8.9999999999999858</v>
      </c>
      <c r="I83">
        <v>1.3233758151641524E-2</v>
      </c>
      <c r="J83">
        <v>0.97696287994011866</v>
      </c>
      <c r="K83">
        <v>2.5480661478995748E-2</v>
      </c>
      <c r="L83">
        <v>0.96478755316325859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F1E49-69B3-41E4-B5F7-85CA4F6581D0}">
  <dimension ref="B2:H15"/>
  <sheetViews>
    <sheetView workbookViewId="0"/>
  </sheetViews>
  <sheetFormatPr defaultRowHeight="18" x14ac:dyDescent="0.35"/>
  <cols>
    <col min="3" max="3" width="11.75" bestFit="1" customWidth="1"/>
  </cols>
  <sheetData>
    <row r="2" spans="2:8" x14ac:dyDescent="0.35">
      <c r="B2" s="1" t="s">
        <v>0</v>
      </c>
      <c r="C2">
        <v>100</v>
      </c>
      <c r="F2" s="6" t="s">
        <v>27</v>
      </c>
      <c r="G2" s="6" t="s">
        <v>28</v>
      </c>
      <c r="H2" s="6" t="s">
        <v>29</v>
      </c>
    </row>
    <row r="3" spans="2:8" x14ac:dyDescent="0.35">
      <c r="B3" s="1" t="s">
        <v>1</v>
      </c>
      <c r="C3">
        <v>2</v>
      </c>
      <c r="E3">
        <v>95</v>
      </c>
      <c r="F3" cm="1">
        <f t="array" ref="F3:F13">_xlfn.SEQUENCE(1+(E4-E3)/E5,1,E3,E5)</f>
        <v>95</v>
      </c>
      <c r="G3" cm="1">
        <f t="array" ref="G3:G13">_xlfn.MAP(strike,_xlfn.LAMBDA(_xlpm.k,_xll.JOHNSON.PUT.VALUE(Johnson,_xlpm.k)))</f>
        <v>0.21964104664022965</v>
      </c>
      <c r="H3" cm="1">
        <f t="array" ref="H3:H13">_xlfn.MAP(strike,_xlfn.LAMBDA(_xlpm.k,_xll.NORMAL.PUT.VALUE(f,s,_xlpm.k)))</f>
        <v>0.15047516015719964</v>
      </c>
    </row>
    <row r="4" spans="2:8" x14ac:dyDescent="0.35">
      <c r="B4" s="1" t="s">
        <v>2</v>
      </c>
      <c r="C4">
        <v>0.1</v>
      </c>
      <c r="E4">
        <v>105</v>
      </c>
      <c r="F4">
        <v>96</v>
      </c>
      <c r="G4">
        <v>0.29371700965105951</v>
      </c>
      <c r="H4">
        <v>0.27323255315290318</v>
      </c>
    </row>
    <row r="5" spans="2:8" x14ac:dyDescent="0.35">
      <c r="B5" s="1" t="s">
        <v>3</v>
      </c>
      <c r="C5">
        <v>1</v>
      </c>
      <c r="E5">
        <v>1</v>
      </c>
      <c r="F5">
        <v>97</v>
      </c>
      <c r="G5">
        <v>0.40485038926779637</v>
      </c>
      <c r="H5">
        <v>0.46430618247089228</v>
      </c>
    </row>
    <row r="6" spans="2:8" x14ac:dyDescent="0.35">
      <c r="B6" s="1" t="s">
        <v>4</v>
      </c>
      <c r="C6" s="2" cm="1">
        <f t="array" ref="C6">_xll.\VARIATE.JOHNSON(xi, lambda, gamma, delta)</f>
        <v>1872423192352</v>
      </c>
      <c r="F6">
        <v>98</v>
      </c>
      <c r="G6">
        <v>0.5783109449391155</v>
      </c>
      <c r="H6">
        <v>0.74206810660077238</v>
      </c>
    </row>
    <row r="7" spans="2:8" x14ac:dyDescent="0.35">
      <c r="B7" s="1" t="s">
        <v>19</v>
      </c>
      <c r="C7" s="5" cm="1">
        <f t="array" ref="C7">_xll.JOHNSON.MOMENT(Johnson,1)</f>
        <v>99.669705897250765</v>
      </c>
      <c r="D7">
        <f>xi-SQRT(EXP(1))*lambda*gamma/delta</f>
        <v>99.670255745859976</v>
      </c>
      <c r="F7">
        <v>99</v>
      </c>
      <c r="G7">
        <v>0.85749011579833478</v>
      </c>
      <c r="H7">
        <v>1.1211384892197884</v>
      </c>
    </row>
    <row r="8" spans="2:8" x14ac:dyDescent="0.35">
      <c r="B8" s="1" t="s">
        <v>20</v>
      </c>
      <c r="C8" s="5" cm="1">
        <f t="array" ref="C8">_xll.JOHNSON.MOMENT(Johnson,2) - mean^2</f>
        <v>12.965566769535144</v>
      </c>
      <c r="F8">
        <v>100</v>
      </c>
      <c r="G8">
        <v>1.3003336793219376</v>
      </c>
      <c r="H8">
        <v>1.6095107827846178</v>
      </c>
    </row>
    <row r="9" spans="2:8" x14ac:dyDescent="0.35">
      <c r="B9" s="1" t="s">
        <v>17</v>
      </c>
      <c r="C9" s="5">
        <f>mean</f>
        <v>99.669705897250765</v>
      </c>
      <c r="F9">
        <v>101</v>
      </c>
      <c r="G9">
        <v>1.9340968825215015</v>
      </c>
      <c r="H9">
        <v>2.2070064174084365</v>
      </c>
    </row>
    <row r="10" spans="2:8" x14ac:dyDescent="0.35">
      <c r="B10" s="1" t="s">
        <v>16</v>
      </c>
      <c r="C10" s="5">
        <f>SQRT(LN(1+variance/(mean*mean)))</f>
        <v>3.6115276722036238E-2</v>
      </c>
      <c r="F10">
        <v>102</v>
      </c>
      <c r="G10">
        <v>2.7175624881759006</v>
      </c>
      <c r="H10">
        <v>2.9055415213955911</v>
      </c>
    </row>
    <row r="11" spans="2:8" x14ac:dyDescent="0.35">
      <c r="B11" s="1" t="s">
        <v>18</v>
      </c>
      <c r="C11" s="5">
        <f>f</f>
        <v>99.669705897250765</v>
      </c>
      <c r="F11">
        <v>103</v>
      </c>
      <c r="G11">
        <v>3.5903697274681434</v>
      </c>
      <c r="H11">
        <v>3.6910306629170435</v>
      </c>
    </row>
    <row r="12" spans="2:8" x14ac:dyDescent="0.35">
      <c r="B12" s="1" t="s">
        <v>21</v>
      </c>
      <c r="C12" s="5" cm="1">
        <f t="array" ref="C12">_xll.NORMAL.PUT.VALUE(f, s, k)</f>
        <v>1.4359541979520429</v>
      </c>
      <c r="F12">
        <v>104</v>
      </c>
      <c r="G12">
        <v>4.5125670111857374</v>
      </c>
      <c r="H12">
        <v>4.5462182555494337</v>
      </c>
    </row>
    <row r="13" spans="2:8" x14ac:dyDescent="0.35">
      <c r="B13" s="1" t="s">
        <v>22</v>
      </c>
      <c r="C13" s="5" cm="1">
        <f t="array" ref="C13">_xll.NORMAL.PUT.DELTA(f, s, k)</f>
        <v>-0.49279643606336931</v>
      </c>
      <c r="F13">
        <v>105</v>
      </c>
      <c r="G13">
        <v>5.4626589026709382</v>
      </c>
      <c r="H13">
        <v>5.4535456694156039</v>
      </c>
    </row>
    <row r="14" spans="2:8" x14ac:dyDescent="0.35">
      <c r="B14" s="1" t="s">
        <v>23</v>
      </c>
      <c r="C14" s="5" cm="1">
        <f t="array" ref="C14">_xll.NORMAL.PUT.IMPLIED(f, value, k)</f>
        <v>3.6115276714757762E-2</v>
      </c>
    </row>
    <row r="15" spans="2:8" x14ac:dyDescent="0.35">
      <c r="B15" s="1" t="s">
        <v>24</v>
      </c>
      <c r="C15" s="5" cm="1">
        <f t="array" ref="C15">_xll.JOHNSON.PUT.VALUE(Johnson,k)</f>
        <v>1.13286858585289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size="33" baseType="lpstr">
      <vt:lpstr>Sheet1</vt:lpstr>
      <vt:lpstr>Sheet2</vt:lpstr>
      <vt:lpstr>Sheet2!delta</vt:lpstr>
      <vt:lpstr>delta</vt:lpstr>
      <vt:lpstr>Sheet1!f</vt:lpstr>
      <vt:lpstr>f</vt:lpstr>
      <vt:lpstr>Sheet2!gamma</vt:lpstr>
      <vt:lpstr>gamma</vt:lpstr>
      <vt:lpstr>implied</vt:lpstr>
      <vt:lpstr>Sheet2!Johnson</vt:lpstr>
      <vt:lpstr>Johnson</vt:lpstr>
      <vt:lpstr>Sheet1!k</vt:lpstr>
      <vt:lpstr>k</vt:lpstr>
      <vt:lpstr>Sheet2!lambda</vt:lpstr>
      <vt:lpstr>lambda</vt:lpstr>
      <vt:lpstr>m_1</vt:lpstr>
      <vt:lpstr>m_2</vt:lpstr>
      <vt:lpstr>m_3</vt:lpstr>
      <vt:lpstr>m_4</vt:lpstr>
      <vt:lpstr>Sheet1!mean</vt:lpstr>
      <vt:lpstr>mean</vt:lpstr>
      <vt:lpstr>mu</vt:lpstr>
      <vt:lpstr>Normal</vt:lpstr>
      <vt:lpstr>Sheet2!s</vt:lpstr>
      <vt:lpstr>s</vt:lpstr>
      <vt:lpstr>s2_</vt:lpstr>
      <vt:lpstr>sigma</vt:lpstr>
      <vt:lpstr>value</vt:lpstr>
      <vt:lpstr>Sheet1!variance</vt:lpstr>
      <vt:lpstr>variance</vt:lpstr>
      <vt:lpstr>Sheet2!xi</vt:lpstr>
      <vt:lpstr>xi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2025-05-11T07:55:15Z</dcterms:created>
  <dcterms:modified xsi:type="dcterms:W3CDTF">2025-05-27T12:18:29Z</dcterms:modified>
</cp:coreProperties>
</file>