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fms_johnson\xll_johnson\"/>
    </mc:Choice>
  </mc:AlternateContent>
  <xr:revisionPtr revIDLastSave="0" documentId="13_ncr:1_{A944784A-A9DC-472E-AF9F-0E233E5FA57A}" xr6:coauthVersionLast="47" xr6:coauthVersionMax="47" xr10:uidLastSave="{00000000-0000-0000-0000-000000000000}"/>
  <bookViews>
    <workbookView xWindow="-108" yWindow="-108" windowWidth="30936" windowHeight="17496" activeTab="1" xr2:uid="{04679C06-6483-44F4-8D12-E76B362C6884}"/>
  </bookViews>
  <sheets>
    <sheet name="Sheet1" sheetId="1" r:id="rId1"/>
    <sheet name="Sheet2" sheetId="2" r:id="rId2"/>
  </sheets>
  <definedNames>
    <definedName name="cdf">_xlfn.ANCHORARRAY(Sheet1!$J$3)</definedName>
    <definedName name="delta" localSheetId="1">Sheet2!$C$3</definedName>
    <definedName name="delta">Sheet1!$C$6</definedName>
    <definedName name="f" localSheetId="0">Sheet1!$C$15</definedName>
    <definedName name="f">Sheet2!$C$9</definedName>
    <definedName name="gamma" localSheetId="1">Sheet2!$C$2</definedName>
    <definedName name="gamma">Sheet1!$C$5</definedName>
    <definedName name="implied">Sheet2!$C$14</definedName>
    <definedName name="Johnson" localSheetId="1">Sheet2!$C$6</definedName>
    <definedName name="Johnson">Sheet1!$C$7</definedName>
    <definedName name="jput">_xlfn.ANCHORARRAY(Sheet2!$G$3)</definedName>
    <definedName name="k">Sheet2!$C$11</definedName>
    <definedName name="lambda" localSheetId="1">Sheet2!$C$5</definedName>
    <definedName name="lambda">Sheet1!$C$4</definedName>
    <definedName name="m_1">Sheet1!$C$9</definedName>
    <definedName name="m_2">Sheet1!$C$10</definedName>
    <definedName name="m_3">Sheet1!$C$11</definedName>
    <definedName name="m_4">Sheet1!$C$12</definedName>
    <definedName name="mean" localSheetId="0">Sheet1!$C$13</definedName>
    <definedName name="mean">Sheet2!$C$7</definedName>
    <definedName name="mu">Sheet1!$F$9</definedName>
    <definedName name="ncdf">_xlfn.ANCHORARRAY(Sheet1!$L$3)</definedName>
    <definedName name="Normal">Sheet1!$C$17</definedName>
    <definedName name="npdf">_xlfn.ANCHORARRAY(Sheet1!$K$3)</definedName>
    <definedName name="nput">_xlfn.ANCHORARRAY(Sheet2!$H$3)</definedName>
    <definedName name="pdf">_xlfn.ANCHORARRAY(Sheet1!$I$3)</definedName>
    <definedName name="s" localSheetId="1">Sheet2!$C$10</definedName>
    <definedName name="s">Sheet1!$C$16</definedName>
    <definedName name="s2_">Sheet1!$C$16</definedName>
    <definedName name="sigma">Sheet1!$F$10</definedName>
    <definedName name="strike">_xlfn.ANCHORARRAY(Sheet2!$F$3)</definedName>
    <definedName name="value">Sheet2!$C$12</definedName>
    <definedName name="variance" localSheetId="0">Sheet1!$C$14</definedName>
    <definedName name="variance">Sheet2!$C$8</definedName>
    <definedName name="x">_xlfn.ANCHORARRAY(Sheet1!$H$3)</definedName>
    <definedName name="xi" localSheetId="1">Sheet2!$C$4</definedName>
    <definedName name="xi">Sheet1!$C$3</definedName>
    <definedName name="Z">Sheet1!$C$21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 a="1"/>
  <c r="K3" i="1" a="1"/>
  <c r="K3" i="1" s="1"/>
  <c r="C17" i="1" a="1"/>
  <c r="C17" i="1" s="1"/>
  <c r="E13" i="1"/>
  <c r="C6" i="2" a="1"/>
  <c r="C6" i="2" s="1"/>
  <c r="C21" i="1"/>
  <c r="C22" i="1" s="1"/>
  <c r="C23" i="1" s="1"/>
  <c r="H3" i="1" a="1"/>
  <c r="C7" i="1" a="1"/>
  <c r="E23" i="1" a="1"/>
  <c r="E21" i="1" a="1"/>
  <c r="E22" i="1" a="1"/>
  <c r="F3" i="2" l="1"/>
  <c r="G3" i="2" s="1" a="1"/>
  <c r="G3" i="2" s="1"/>
  <c r="H3" i="1"/>
  <c r="C7" i="2" a="1"/>
  <c r="C7" i="2" s="1"/>
  <c r="C7" i="1"/>
  <c r="E23" i="1"/>
  <c r="F23" i="1"/>
  <c r="F21" i="1"/>
  <c r="E21" i="1"/>
  <c r="F22" i="1"/>
  <c r="E22" i="1"/>
  <c r="C25" i="1"/>
  <c r="C26" i="1"/>
  <c r="C27" i="1"/>
  <c r="C24" i="1"/>
  <c r="D26" i="1" a="1"/>
  <c r="D24" i="1" a="1"/>
  <c r="C12" i="1" a="1"/>
  <c r="D27" i="1" a="1"/>
  <c r="C9" i="1" a="1"/>
  <c r="C11" i="1" a="1"/>
  <c r="D25" i="1" a="1"/>
  <c r="C10" i="1" a="1"/>
  <c r="E26" i="1" a="1"/>
  <c r="E24" i="1" a="1"/>
  <c r="C29" i="1" a="1"/>
  <c r="E25" i="1" a="1"/>
  <c r="E27" i="1" a="1"/>
  <c r="C9" i="2" l="1"/>
  <c r="C8" i="2" a="1"/>
  <c r="C8" i="2" s="1"/>
  <c r="C10" i="2" s="1"/>
  <c r="F24" i="1"/>
  <c r="E24" i="1"/>
  <c r="F27" i="1"/>
  <c r="E27" i="1"/>
  <c r="F25" i="1"/>
  <c r="E25" i="1"/>
  <c r="F26" i="1"/>
  <c r="E26" i="1"/>
  <c r="C29" i="1"/>
  <c r="D25" i="1"/>
  <c r="C11" i="1"/>
  <c r="C9" i="1"/>
  <c r="C13" i="1" s="1"/>
  <c r="C15" i="1" s="1"/>
  <c r="D27" i="1"/>
  <c r="C12" i="1"/>
  <c r="D24" i="1"/>
  <c r="C10" i="1"/>
  <c r="D26" i="1"/>
  <c r="E29" i="1" a="1"/>
  <c r="C11" i="2" l="1"/>
  <c r="C15" i="2" s="1" a="1"/>
  <c r="C15" i="2" s="1"/>
  <c r="H3" i="2" a="1"/>
  <c r="H3" i="2" s="1"/>
  <c r="C16" i="1"/>
  <c r="L3" i="1" a="1"/>
  <c r="L3" i="1" s="1"/>
  <c r="I3" i="1" a="1"/>
  <c r="I3" i="1" s="1"/>
  <c r="I1" i="1" s="1"/>
  <c r="J3" i="1" a="1"/>
  <c r="J3" i="1" s="1"/>
  <c r="C14" i="1"/>
  <c r="C12" i="2" a="1"/>
  <c r="C12" i="2" s="1"/>
  <c r="C14" i="2" s="1" a="1"/>
  <c r="C14" i="2" s="1"/>
  <c r="C13" i="2" a="1"/>
  <c r="C13" i="2" s="1"/>
  <c r="G26" i="1"/>
  <c r="G25" i="1"/>
  <c r="G24" i="1"/>
  <c r="G27" i="1"/>
  <c r="F29" i="1"/>
  <c r="E29" i="1"/>
  <c r="D29" i="1"/>
  <c r="F16" i="1" l="1"/>
  <c r="E14" i="1"/>
  <c r="E15" i="1" s="1"/>
  <c r="F15" i="1" s="1" a="1"/>
  <c r="K1" i="1"/>
  <c r="F14" i="1" a="1"/>
  <c r="G29" i="1"/>
  <c r="G14" i="1" l="1"/>
  <c r="F14" i="1"/>
  <c r="F15" i="1"/>
  <c r="G15" i="1"/>
  <c r="F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<sst xmlns="http://schemas.openxmlformats.org/spreadsheetml/2006/main" count="40" uniqueCount="30">
  <si>
    <t>xi</t>
  </si>
  <si>
    <t>lambda</t>
  </si>
  <si>
    <t>gamma</t>
  </si>
  <si>
    <t>delta</t>
  </si>
  <si>
    <t>Johnson</t>
  </si>
  <si>
    <t>x</t>
  </si>
  <si>
    <t>moment</t>
  </si>
  <si>
    <t>Normal</t>
  </si>
  <si>
    <t>mu</t>
  </si>
  <si>
    <t>sigma</t>
  </si>
  <si>
    <t>npdf</t>
  </si>
  <si>
    <t>ncdf</t>
  </si>
  <si>
    <t>Z</t>
  </si>
  <si>
    <t>U</t>
  </si>
  <si>
    <t>sinh(U)</t>
  </si>
  <si>
    <t>X</t>
  </si>
  <si>
    <t>s</t>
  </si>
  <si>
    <t>f</t>
  </si>
  <si>
    <t>k</t>
  </si>
  <si>
    <t>mean</t>
  </si>
  <si>
    <t>variance</t>
  </si>
  <si>
    <t>put_value</t>
  </si>
  <si>
    <t>put_delta</t>
  </si>
  <si>
    <t>put_implied</t>
  </si>
  <si>
    <t>johnson_put_value</t>
  </si>
  <si>
    <t>jpdf</t>
  </si>
  <si>
    <t>jcdf</t>
  </si>
  <si>
    <t>strike</t>
  </si>
  <si>
    <t>jput</t>
  </si>
  <si>
    <t>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</si>
</sst>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"/>
  </numFmts>
  <fonts count="4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horizontal="center" vertical="center"/>
    </xf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1" fillId="0" borderId="0" xfId="1">
      <alignment horizontal="center" vertical="center"/>
    </xf>
    <xf numFmtId="0" fontId="2" fillId="2" borderId="1" xfId="2"/>
    <xf numFmtId="0" fontId="0" fillId="0" borderId="2" xfId="0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</cellXfs>
  <cellStyles count="3">
    <cellStyle name="Check Cell" xfId="2" builtinId="23"/>
    <cellStyle name="Handle" xfId="1" xr:uid="{0EBF5B21-6312-4F15-AB84-20907DB8AB9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jpdf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[0]!pdf</c:f>
              <c:numCache>
                <c:formatCode>General</c:formatCode>
                <c:ptCount val="81"/>
                <c:pt idx="0">
                  <c:v>8.8668387166442389E-4</c:v>
                </c:pt>
                <c:pt idx="1">
                  <c:v>9.6059283809736648E-4</c:v>
                </c:pt>
                <c:pt idx="2">
                  <c:v>1.0419254433636344E-3</c:v>
                </c:pt>
                <c:pt idx="3">
                  <c:v>1.1315625443476366E-3</c:v>
                </c:pt>
                <c:pt idx="4">
                  <c:v>1.2305064932842586E-3</c:v>
                </c:pt>
                <c:pt idx="5">
                  <c:v>1.3399003599820004E-3</c:v>
                </c:pt>
                <c:pt idx="6">
                  <c:v>1.4610506038847508E-3</c:v>
                </c:pt>
                <c:pt idx="7">
                  <c:v>1.5954538916816818E-3</c:v>
                </c:pt>
                <c:pt idx="8">
                  <c:v>1.744828912535922E-3</c:v>
                </c:pt>
                <c:pt idx="9">
                  <c:v>1.911154238246948E-3</c:v>
                </c:pt>
                <c:pt idx="10">
                  <c:v>2.0967135204184562E-3</c:v>
                </c:pt>
                <c:pt idx="11">
                  <c:v>2.3041496247767379E-3</c:v>
                </c:pt>
                <c:pt idx="12">
                  <c:v>2.5365296921837635E-3</c:v>
                </c:pt>
                <c:pt idx="13">
                  <c:v>2.7974236102196264E-3</c:v>
                </c:pt>
                <c:pt idx="14">
                  <c:v>3.0909990095621042E-3</c:v>
                </c:pt>
                <c:pt idx="15">
                  <c:v>3.4221367069174999E-3</c:v>
                </c:pt>
                <c:pt idx="16">
                  <c:v>3.7965715557000648E-3</c:v>
                </c:pt>
                <c:pt idx="17">
                  <c:v>4.221065010217755E-3</c:v>
                </c:pt>
                <c:pt idx="18">
                  <c:v>4.7036174571953677E-3</c:v>
                </c:pt>
                <c:pt idx="19">
                  <c:v>5.2537306530203234E-3</c:v>
                </c:pt>
                <c:pt idx="20">
                  <c:v>5.8827336067863575E-3</c:v>
                </c:pt>
                <c:pt idx="21">
                  <c:v>6.6041892147967627E-3</c:v>
                </c:pt>
                <c:pt idx="22">
                  <c:v>7.4344042205264143E-3</c:v>
                </c:pt>
                <c:pt idx="23">
                  <c:v>8.3930721128567184E-3</c:v>
                </c:pt>
                <c:pt idx="24">
                  <c:v>9.5040880334958805E-3</c:v>
                </c:pt>
                <c:pt idx="25">
                  <c:v>1.0796587545932147E-2</c:v>
                </c:pt>
                <c:pt idx="26">
                  <c:v>1.2306278487664461E-2</c:v>
                </c:pt>
                <c:pt idx="27">
                  <c:v>1.4077158858943813E-2</c:v>
                </c:pt>
                <c:pt idx="28">
                  <c:v>1.616374628726586E-2</c:v>
                </c:pt>
                <c:pt idx="29">
                  <c:v>1.8633989545868274E-2</c:v>
                </c:pt>
                <c:pt idx="30">
                  <c:v>2.157309478537521E-2</c:v>
                </c:pt>
                <c:pt idx="31">
                  <c:v>2.5088585322889542E-2</c:v>
                </c:pt>
                <c:pt idx="32">
                  <c:v>2.931703319012734E-2</c:v>
                </c:pt>
                <c:pt idx="33">
                  <c:v>3.4433065131738244E-2</c:v>
                </c:pt>
                <c:pt idx="34">
                  <c:v>4.0661469801546772E-2</c:v>
                </c:pt>
                <c:pt idx="35">
                  <c:v>4.829353096872406E-2</c:v>
                </c:pt>
                <c:pt idx="36">
                  <c:v>5.7709089888482105E-2</c:v>
                </c:pt>
                <c:pt idx="37">
                  <c:v>6.940627433837751E-2</c:v>
                </c:pt>
                <c:pt idx="38">
                  <c:v>8.4041210885873796E-2</c:v>
                </c:pt>
                <c:pt idx="39">
                  <c:v>0.10248002615379626</c:v>
                </c:pt>
                <c:pt idx="40">
                  <c:v>0.12586416596247432</c:v>
                </c:pt>
                <c:pt idx="41">
                  <c:v>0.15568538300626228</c:v>
                </c:pt>
                <c:pt idx="42">
                  <c:v>0.19385374387987608</c:v>
                </c:pt>
                <c:pt idx="43">
                  <c:v>0.24271009910123953</c:v>
                </c:pt>
                <c:pt idx="44">
                  <c:v>0.30486352028865021</c:v>
                </c:pt>
                <c:pt idx="45">
                  <c:v>0.38259639558195085</c:v>
                </c:pt>
                <c:pt idx="46">
                  <c:v>0.47637931574696657</c:v>
                </c:pt>
                <c:pt idx="47">
                  <c:v>0.58198268344306903</c:v>
                </c:pt>
                <c:pt idx="48">
                  <c:v>0.68655761571907392</c:v>
                </c:pt>
                <c:pt idx="49">
                  <c:v>0.76709809668935058</c:v>
                </c:pt>
                <c:pt idx="50">
                  <c:v>0.79788456080286529</c:v>
                </c:pt>
                <c:pt idx="51">
                  <c:v>0.76709809668935602</c:v>
                </c:pt>
                <c:pt idx="52">
                  <c:v>0.68655761571908258</c:v>
                </c:pt>
                <c:pt idx="53">
                  <c:v>0.58198268344307869</c:v>
                </c:pt>
                <c:pt idx="54">
                  <c:v>0.47637931574697545</c:v>
                </c:pt>
                <c:pt idx="55">
                  <c:v>0.38259639558195851</c:v>
                </c:pt>
                <c:pt idx="56">
                  <c:v>0.30486352028865632</c:v>
                </c:pt>
                <c:pt idx="57">
                  <c:v>0.24271009910124436</c:v>
                </c:pt>
                <c:pt idx="58">
                  <c:v>0.19385374387987991</c:v>
                </c:pt>
                <c:pt idx="59">
                  <c:v>0.15568538300626528</c:v>
                </c:pt>
                <c:pt idx="60">
                  <c:v>0.12586416596247665</c:v>
                </c:pt>
                <c:pt idx="61">
                  <c:v>0.1024800261537981</c:v>
                </c:pt>
                <c:pt idx="62">
                  <c:v>8.4041210885875253E-2</c:v>
                </c:pt>
                <c:pt idx="63">
                  <c:v>6.9406274338378704E-2</c:v>
                </c:pt>
                <c:pt idx="64">
                  <c:v>5.7709089888483021E-2</c:v>
                </c:pt>
                <c:pt idx="65">
                  <c:v>4.8293530968724796E-2</c:v>
                </c:pt>
                <c:pt idx="66">
                  <c:v>4.066146980154739E-2</c:v>
                </c:pt>
                <c:pt idx="67">
                  <c:v>3.4433065131738744E-2</c:v>
                </c:pt>
                <c:pt idx="68">
                  <c:v>2.9317033190127764E-2</c:v>
                </c:pt>
                <c:pt idx="69">
                  <c:v>2.5088585322889882E-2</c:v>
                </c:pt>
                <c:pt idx="70">
                  <c:v>2.1573094785375484E-2</c:v>
                </c:pt>
                <c:pt idx="71">
                  <c:v>1.86339895458685E-2</c:v>
                </c:pt>
                <c:pt idx="72">
                  <c:v>1.6163746287266065E-2</c:v>
                </c:pt>
                <c:pt idx="73">
                  <c:v>1.4077158858943993E-2</c:v>
                </c:pt>
                <c:pt idx="74">
                  <c:v>1.2306278487664621E-2</c:v>
                </c:pt>
                <c:pt idx="75">
                  <c:v>1.0796587545932275E-2</c:v>
                </c:pt>
                <c:pt idx="76">
                  <c:v>9.5040880334960071E-3</c:v>
                </c:pt>
                <c:pt idx="77">
                  <c:v>8.3930721128568312E-3</c:v>
                </c:pt>
                <c:pt idx="78">
                  <c:v>7.4344042205265175E-3</c:v>
                </c:pt>
                <c:pt idx="79">
                  <c:v>6.6041892147968547E-3</c:v>
                </c:pt>
                <c:pt idx="80">
                  <c:v>5.8827336067864382E-3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D-482C-BE2B-DAD434487BAC}"/>
            </c:ext>
          </c:extLst>
        </c:ser>
        <c:ser>
          <c:idx val="2"/>
          <c:order val="1"/>
          <c:tx>
            <c:strRef>
              <c:f>Sheet1!$K$2</c:f>
              <c:strCache>
                <c:ptCount val="1"/>
                <c:pt idx="0">
                  <c:v>npdf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[0]!npdf</c:f>
              <c:numCache>
                <c:formatCode>General</c:formatCode>
                <c:ptCount val="81"/>
                <c:pt idx="0">
                  <c:v>1.1124644433352448E-31</c:v>
                </c:pt>
                <c:pt idx="1">
                  <c:v>1.8811298513891116E-28</c:v>
                </c:pt>
                <c:pt idx="2">
                  <c:v>1.1600421454975094E-25</c:v>
                </c:pt>
                <c:pt idx="3">
                  <c:v>3.153147989793066E-23</c:v>
                </c:pt>
                <c:pt idx="4">
                  <c:v>4.3598430056608754E-21</c:v>
                </c:pt>
                <c:pt idx="5">
                  <c:v>3.4255602369764219E-19</c:v>
                </c:pt>
                <c:pt idx="6">
                  <c:v>1.6685609185828112E-17</c:v>
                </c:pt>
                <c:pt idx="7">
                  <c:v>5.4014925719551492E-16</c:v>
                </c:pt>
                <c:pt idx="8">
                  <c:v>1.229462128898644E-14</c:v>
                </c:pt>
                <c:pt idx="9">
                  <c:v>2.0606445390193371E-13</c:v>
                </c:pt>
                <c:pt idx="10">
                  <c:v>2.6423782141658445E-12</c:v>
                </c:pt>
                <c:pt idx="11">
                  <c:v>2.6766452447055784E-11</c:v>
                </c:pt>
                <c:pt idx="12">
                  <c:v>2.2004822956114729E-10</c:v>
                </c:pt>
                <c:pt idx="13">
                  <c:v>1.502268739145018E-9</c:v>
                </c:pt>
                <c:pt idx="14">
                  <c:v>8.6859776831664877E-9</c:v>
                </c:pt>
                <c:pt idx="15">
                  <c:v>4.3260361382311521E-8</c:v>
                </c:pt>
                <c:pt idx="16">
                  <c:v>1.8833971913821282E-7</c:v>
                </c:pt>
                <c:pt idx="17">
                  <c:v>7.2599795416191904E-7</c:v>
                </c:pt>
                <c:pt idx="18">
                  <c:v>2.5057789070989102E-6</c:v>
                </c:pt>
                <c:pt idx="19">
                  <c:v>7.8208192016833E-6</c:v>
                </c:pt>
                <c:pt idx="20">
                  <c:v>2.2266633319928001E-5</c:v>
                </c:pt>
                <c:pt idx="21">
                  <c:v>5.8279253302506481E-5</c:v>
                </c:pt>
                <c:pt idx="22">
                  <c:v>1.4119769478299711E-4</c:v>
                </c:pt>
                <c:pt idx="23">
                  <c:v>3.1862129170455358E-4</c:v>
                </c:pt>
                <c:pt idx="24">
                  <c:v>6.7337769333722201E-4</c:v>
                </c:pt>
                <c:pt idx="25">
                  <c:v>1.3394963903093358E-3</c:v>
                </c:pt>
                <c:pt idx="26">
                  <c:v>2.5192670384341048E-3</c:v>
                </c:pt>
                <c:pt idx="27">
                  <c:v>4.4980253479526174E-3</c:v>
                </c:pt>
                <c:pt idx="28">
                  <c:v>7.6521929112598266E-3</c:v>
                </c:pt>
                <c:pt idx="29">
                  <c:v>1.2445787391360723E-2</c:v>
                </c:pt>
                <c:pt idx="30">
                  <c:v>1.9411474531159958E-2</c:v>
                </c:pt>
                <c:pt idx="31">
                  <c:v>2.9114326068600128E-2</c:v>
                </c:pt>
                <c:pt idx="32">
                  <c:v>4.2099488610585656E-2</c:v>
                </c:pt>
                <c:pt idx="33">
                  <c:v>5.8828350473762669E-2</c:v>
                </c:pt>
                <c:pt idx="34">
                  <c:v>7.9610744892588195E-2</c:v>
                </c:pt>
                <c:pt idx="35">
                  <c:v>0.10454252563674796</c:v>
                </c:pt>
                <c:pt idx="36">
                  <c:v>0.1334580200110726</c:v>
                </c:pt>
                <c:pt idx="37">
                  <c:v>0.16590530202404336</c:v>
                </c:pt>
                <c:pt idx="38">
                  <c:v>0.2011492213841399</c:v>
                </c:pt>
                <c:pt idx="39">
                  <c:v>0.23820325924474209</c:v>
                </c:pt>
                <c:pt idx="40">
                  <c:v>0.27588729222768493</c:v>
                </c:pt>
                <c:pt idx="41">
                  <c:v>0.31290493709476663</c:v>
                </c:pt>
                <c:pt idx="42">
                  <c:v>0.34793185120821568</c:v>
                </c:pt>
                <c:pt idx="43">
                  <c:v>0.37970545147559981</c:v>
                </c:pt>
                <c:pt idx="44">
                  <c:v>0.4071069842220042</c:v>
                </c:pt>
                <c:pt idx="45">
                  <c:v>0.42922849548685615</c:v>
                </c:pt>
                <c:pt idx="46">
                  <c:v>0.4454196298161468</c:v>
                </c:pt>
                <c:pt idx="47">
                  <c:v>0.45531188336956946</c:v>
                </c:pt>
                <c:pt idx="48">
                  <c:v>0.45882054041946063</c:v>
                </c:pt>
                <c:pt idx="49">
                  <c:v>0.45612670761169083</c:v>
                </c:pt>
                <c:pt idx="50">
                  <c:v>0.44764342629902232</c:v>
                </c:pt>
                <c:pt idx="51">
                  <c:v>0.43397071439785634</c:v>
                </c:pt>
                <c:pt idx="52">
                  <c:v>0.41584459846999927</c:v>
                </c:pt>
                <c:pt idx="53">
                  <c:v>0.39408485509301622</c:v>
                </c:pt>
                <c:pt idx="54">
                  <c:v>0.36954544274130824</c:v>
                </c:pt>
                <c:pt idx="55">
                  <c:v>0.34307063793661974</c:v>
                </c:pt>
                <c:pt idx="56">
                  <c:v>0.31545884592455403</c:v>
                </c:pt>
                <c:pt idx="57">
                  <c:v>0.28743506099585475</c:v>
                </c:pt>
                <c:pt idx="58">
                  <c:v>0.25963209238678236</c:v>
                </c:pt>
                <c:pt idx="59">
                  <c:v>0.23257999868863763</c:v>
                </c:pt>
                <c:pt idx="60">
                  <c:v>0.20670270418641537</c:v>
                </c:pt>
                <c:pt idx="61">
                  <c:v>0.18232049621838084</c:v>
                </c:pt>
                <c:pt idx="62">
                  <c:v>0.15965699781694936</c:v>
                </c:pt>
                <c:pt idx="63">
                  <c:v>0.13884923933077165</c:v>
                </c:pt>
                <c:pt idx="64">
                  <c:v>0.11995957821527302</c:v>
                </c:pt>
                <c:pt idx="65">
                  <c:v>0.10298840134868119</c:v>
                </c:pt>
                <c:pt idx="66">
                  <c:v>8.7886757701217247E-2</c:v>
                </c:pt>
                <c:pt idx="67">
                  <c:v>7.4568286153011254E-2</c:v>
                </c:pt>
                <c:pt idx="68">
                  <c:v>6.2920005881136692E-2</c:v>
                </c:pt>
                <c:pt idx="69">
                  <c:v>5.2811713677595913E-2</c:v>
                </c:pt>
                <c:pt idx="70">
                  <c:v>4.4103878003003937E-2</c:v>
                </c:pt>
                <c:pt idx="71">
                  <c:v>3.665403202819955E-2</c:v>
                </c:pt>
                <c:pt idx="72">
                  <c:v>3.0321748957887296E-2</c:v>
                </c:pt>
                <c:pt idx="73">
                  <c:v>2.4972336123929718E-2</c:v>
                </c:pt>
                <c:pt idx="74">
                  <c:v>2.0479414274384763E-2</c:v>
                </c:pt>
                <c:pt idx="75">
                  <c:v>1.6726560081830596E-2</c:v>
                </c:pt>
                <c:pt idx="76">
                  <c:v>1.3608187881513585E-2</c:v>
                </c:pt>
                <c:pt idx="77">
                  <c:v>1.1029835255261695E-2</c:v>
                </c:pt>
                <c:pt idx="78">
                  <c:v>8.9079998607718164E-3</c:v>
                </c:pt>
                <c:pt idx="79">
                  <c:v>7.1696547046143271E-3</c:v>
                </c:pt>
                <c:pt idx="80">
                  <c:v>5.751548009232707E-3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BCB-B2BE-6F6897A6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69424"/>
        <c:axId val="1183879984"/>
      </c:scatterChart>
      <c:valAx>
        <c:axId val="11838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79984"/>
        <c:crosses val="autoZero"/>
        <c:crossBetween val="midCat"/>
      </c:valAx>
      <c:valAx>
        <c:axId val="11838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6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Sheet2!$G$2</c:f>
              <c:strCache>
                <c:ptCount val="1"/>
                <c:pt idx="0">
                  <c:v>jput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11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100</c:v>
                </c:pt>
                <c:pt idx="6">
                  <c:v>101</c:v>
                </c:pt>
                <c:pt idx="7">
                  <c:v>102</c:v>
                </c:pt>
                <c:pt idx="8">
                  <c:v>103</c:v>
                </c:pt>
                <c:pt idx="9">
                  <c:v>104</c:v>
                </c:pt>
                <c:pt idx="10">
                  <c:v>105</c:v>
                </c:pt>
              </c:numCache>
            </c:numRef>
          </c:xVal>
          <c:yVal>
            <c:numRef>
              <c:f>[0]!jput</c:f>
              <c:numCache>
                <c:formatCode>General</c:formatCode>
                <c:ptCount val="11"/>
                <c:pt idx="0">
                  <c:v>0.17112571861433423</c:v>
                </c:pt>
                <c:pt idx="1">
                  <c:v>0.2321879431957985</c:v>
                </c:pt>
                <c:pt idx="2">
                  <c:v>0.32556118066794149</c:v>
                </c:pt>
                <c:pt idx="3">
                  <c:v>0.4746916475353018</c:v>
                </c:pt>
                <c:pt idx="4">
                  <c:v>0.72148464792208244</c:v>
                </c:pt>
                <c:pt idx="5">
                  <c:v>1.1255646869698808</c:v>
                </c:pt>
                <c:pt idx="6">
                  <c:v>1.7214846479220824</c:v>
                </c:pt>
                <c:pt idx="7">
                  <c:v>2.4746916475352947</c:v>
                </c:pt>
                <c:pt idx="8">
                  <c:v>3.3255611806679468</c:v>
                </c:pt>
                <c:pt idx="9">
                  <c:v>4.2321879431958109</c:v>
                </c:pt>
                <c:pt idx="10">
                  <c:v>5.1711257186143342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2-48B7-8B98-2F3CE8CA83E9}"/>
            </c:ext>
          </c:extLst>
        </c:ser>
        <c:ser>
          <c:idx val="1"/>
          <c:order val="1"/>
          <c:tx>
            <c:strRef>
              <c:f>Sheet2!$H$2</c:f>
              <c:strCache>
                <c:ptCount val="1"/>
                <c:pt idx="0">
                  <c:v>nput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11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100</c:v>
                </c:pt>
                <c:pt idx="6">
                  <c:v>101</c:v>
                </c:pt>
                <c:pt idx="7">
                  <c:v>102</c:v>
                </c:pt>
                <c:pt idx="8">
                  <c:v>103</c:v>
                </c:pt>
                <c:pt idx="9">
                  <c:v>104</c:v>
                </c:pt>
                <c:pt idx="10">
                  <c:v>105</c:v>
                </c:pt>
              </c:numCache>
            </c:numRef>
          </c:xVal>
          <c:yVal>
            <c:numRef>
              <c:f>[0]!nput</c:f>
              <c:numCache>
                <c:formatCode>General</c:formatCode>
                <c:ptCount val="11"/>
                <c:pt idx="0">
                  <c:v>0.11807288295062524</c:v>
                </c:pt>
                <c:pt idx="1">
                  <c:v>0.22079106116632552</c:v>
                </c:pt>
                <c:pt idx="2">
                  <c:v>0.3853678358233239</c:v>
                </c:pt>
                <c:pt idx="3">
                  <c:v>0.6309751086400901</c:v>
                </c:pt>
                <c:pt idx="4">
                  <c:v>0.97414410439486687</c:v>
                </c:pt>
                <c:pt idx="5">
                  <c:v>1.4255473400794187</c:v>
                </c:pt>
                <c:pt idx="6">
                  <c:v>1.9878522343826148</c:v>
                </c:pt>
                <c:pt idx="7">
                  <c:v>2.6553526600854269</c:v>
                </c:pt>
                <c:pt idx="8">
                  <c:v>3.4154306054407897</c:v>
                </c:pt>
                <c:pt idx="9">
                  <c:v>4.251260322242004</c:v>
                </c:pt>
                <c:pt idx="10">
                  <c:v>5.1448407517500812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92-48B7-8B98-2F3CE8CA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457072"/>
        <c:axId val="1751457552"/>
      </c:scatterChart>
      <c:valAx>
        <c:axId val="175145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552"/>
        <c:crosses val="autoZero"/>
        <c:crossBetween val="midCat"/>
      </c:valAx>
      <c:valAx>
        <c:axId val="17514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308610</xdr:colOff>
      <xdr:row>2</xdr:row>
      <xdr:rowOff>167640</xdr:rowOff>
    </xdr:from>
    <xdr:to>
      <xdr:col>23</xdr:col>
      <xdr:colOff>289560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B54C6-513A-87E2-E200-06C0CFC0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190500</xdr:rowOff>
    </xdr:from>
    <xdr:to>
      <xdr:col>14</xdr:col>
      <xdr:colOff>179070</xdr:colOff>
      <xdr:row>27</xdr:row>
      <xdr:rowOff>213360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3B608-E0CE-E9B4-BE19-AFB6C1A86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76B-08E5-40E0-BCFA-A9D795A3DB2C}">
  <dimension ref="B1:L83"/>
  <sheetViews>
    <sheetView workbookViewId="0">
      <selection activeCell="C7" sqref="C7"/>
    </sheetView>
  </sheetViews>
  <sheetFormatPr defaultRowHeight="18" x14ac:dyDescent="0.35"/>
  <cols>
    <col min="1" max="1" width="3.58203125" customWidth="1"/>
    <col min="3" max="3" width="12.4140625" customWidth="1"/>
    <col min="4" max="5" width="11.75" customWidth="1"/>
    <col min="6" max="7" width="8.6640625" customWidth="1"/>
    <col min="11" max="12" width="11.75" bestFit="1" customWidth="1"/>
  </cols>
  <sheetData>
    <row r="1" spans="2:12" ht="19.2" thickTop="1" thickBot="1" x14ac:dyDescent="0.4">
      <c r="I1" s="3">
        <f>1-SUM(pdf)*D19</f>
        <v>7.3807547559805453E-3</v>
      </c>
      <c r="K1" s="3">
        <f>1-SUM(npdf)*D19</f>
        <v>2.1898659267018949E-3</v>
      </c>
    </row>
    <row r="2" spans="2:12" ht="18.600000000000001" thickTop="1" x14ac:dyDescent="0.35">
      <c r="B2" s="1" t="s">
        <v>16</v>
      </c>
      <c r="C2">
        <v>0.1</v>
      </c>
      <c r="H2" s="6" t="s">
        <v>5</v>
      </c>
      <c r="I2" s="6" t="s">
        <v>25</v>
      </c>
      <c r="J2" s="6" t="s">
        <v>26</v>
      </c>
      <c r="K2" s="6" t="s">
        <v>10</v>
      </c>
      <c r="L2" s="6" t="s">
        <v>11</v>
      </c>
    </row>
    <row r="3" spans="2:12" x14ac:dyDescent="0.35">
      <c r="B3" s="1" t="s">
        <v>0</v>
      </c>
      <c r="C3">
        <v>6</v>
      </c>
      <c r="H3" cm="1">
        <f t="array" ref="H3:H83">_xlfn.SEQUENCE(1+(C19-B19)/D19,1,B19,D19)</f>
        <v>1</v>
      </c>
      <c r="I3" cm="1">
        <f t="array" ref="I3:I83">_xlfn.MAP(x,_xlfn.LAMBDA(_xlpm.x,_xll.VARIATE.PDF(Johnson,_xlpm.x,s)))</f>
        <v>8.8668387166442389E-4</v>
      </c>
      <c r="J3" cm="1">
        <f t="array" ref="J3:J83">_xlfn.MAP(x,_xlfn.LAMBDA(_xlpm.x,_xll.VARIATE.CDF(Johnson,_xlpm.x,s)))</f>
        <v>1.3577946727624246E-3</v>
      </c>
      <c r="K3" cm="1">
        <f t="array" ref="K3:K83">_xlfn.MAP(x,_xlfn.LAMBDA(_xlpm.x,_xll.VARIATE.PDF(Normal,_xll.NORMAL.MONEYNESS(f,s,_xlpm.x))/(s*_xlpm.x)))</f>
        <v>1.1124644433352448E-31</v>
      </c>
      <c r="L3" cm="1">
        <f t="array" ref="L3:L83">_xlfn.MAP(x,_xlfn.LAMBDA(_xlpm.x,_xll.VARIATE.CDF(Normal,_xll.NORMAL.MONEYNESS(f,s,_xlpm.x))))</f>
        <v>0</v>
      </c>
    </row>
    <row r="4" spans="2:12" x14ac:dyDescent="0.35">
      <c r="B4" s="1" t="s">
        <v>1</v>
      </c>
      <c r="C4">
        <v>0.5</v>
      </c>
      <c r="H4">
        <v>1.1000000000000001</v>
      </c>
      <c r="I4">
        <v>9.6059283809736648E-4</v>
      </c>
      <c r="J4">
        <v>1.4501000260063734E-3</v>
      </c>
      <c r="K4">
        <v>1.8811298513891116E-28</v>
      </c>
      <c r="L4">
        <v>0</v>
      </c>
    </row>
    <row r="5" spans="2:12" x14ac:dyDescent="0.35">
      <c r="B5" s="1" t="s">
        <v>2</v>
      </c>
      <c r="C5">
        <v>0</v>
      </c>
      <c r="H5">
        <v>1.2000000000000002</v>
      </c>
      <c r="I5">
        <v>1.0419254433636344E-3</v>
      </c>
      <c r="J5">
        <v>1.5501605784903338E-3</v>
      </c>
      <c r="K5">
        <v>1.1600421454975094E-25</v>
      </c>
      <c r="L5">
        <v>0</v>
      </c>
    </row>
    <row r="6" spans="2:12" x14ac:dyDescent="0.35">
      <c r="B6" s="1" t="s">
        <v>3</v>
      </c>
      <c r="C6">
        <v>1</v>
      </c>
      <c r="H6">
        <v>1.3000000000000003</v>
      </c>
      <c r="I6">
        <v>1.1315625443476366E-3</v>
      </c>
      <c r="J6">
        <v>1.6587617965870827E-3</v>
      </c>
      <c r="K6">
        <v>3.153147989793066E-23</v>
      </c>
      <c r="L6">
        <v>0</v>
      </c>
    </row>
    <row r="7" spans="2:12" x14ac:dyDescent="0.35">
      <c r="B7" s="1" t="s">
        <v>4</v>
      </c>
      <c r="C7" s="2" cm="1">
        <f t="array" ref="C7">_xll.\VARIATE.JOHNSON(gamma, delta, lambda, xi)</f>
        <v>2289869316112</v>
      </c>
      <c r="E7" s="2"/>
      <c r="H7">
        <v>1.4000000000000004</v>
      </c>
      <c r="I7">
        <v>1.2305064932842586E-3</v>
      </c>
      <c r="J7">
        <v>1.7767831597259032E-3</v>
      </c>
      <c r="K7">
        <v>4.3598430056608754E-21</v>
      </c>
      <c r="L7">
        <v>0</v>
      </c>
    </row>
    <row r="8" spans="2:12" x14ac:dyDescent="0.35">
      <c r="B8" s="4" t="s">
        <v>6</v>
      </c>
      <c r="H8">
        <v>1.5000000000000004</v>
      </c>
      <c r="I8">
        <v>1.3399003599820004E-3</v>
      </c>
      <c r="J8">
        <v>1.9052112448371128E-3</v>
      </c>
      <c r="K8">
        <v>3.4255602369764219E-19</v>
      </c>
      <c r="L8">
        <v>0</v>
      </c>
    </row>
    <row r="9" spans="2:12" x14ac:dyDescent="0.35">
      <c r="B9">
        <v>1</v>
      </c>
      <c r="C9" s="5" cm="1">
        <f t="array" ref="C9">_xll.JOHNSON.MOMENT(Johnson,B9)</f>
        <v>6</v>
      </c>
      <c r="D9" s="2"/>
      <c r="E9" s="1" t="s">
        <v>8</v>
      </c>
      <c r="H9">
        <v>1.6000000000000005</v>
      </c>
      <c r="I9">
        <v>1.4610506038847508E-3</v>
      </c>
      <c r="J9">
        <v>2.0451549002782343E-3</v>
      </c>
      <c r="K9">
        <v>1.6685609185828112E-17</v>
      </c>
      <c r="L9">
        <v>0</v>
      </c>
    </row>
    <row r="10" spans="2:12" x14ac:dyDescent="0.35">
      <c r="B10">
        <v>2</v>
      </c>
      <c r="C10" s="5" cm="1">
        <f t="array" ref="C10">_xll.JOHNSON.MOMENT(Johnson,B10)</f>
        <v>36.798632012366333</v>
      </c>
      <c r="E10" s="1" t="s">
        <v>9</v>
      </c>
      <c r="H10">
        <v>1.7000000000000006</v>
      </c>
      <c r="I10">
        <v>1.5954538916816818E-3</v>
      </c>
      <c r="J10">
        <v>2.197862887846902E-3</v>
      </c>
      <c r="K10">
        <v>5.4014925719551492E-16</v>
      </c>
      <c r="L10">
        <v>0</v>
      </c>
    </row>
    <row r="11" spans="2:12" x14ac:dyDescent="0.35">
      <c r="B11">
        <v>3</v>
      </c>
      <c r="C11" s="5" cm="1">
        <f t="array" ref="C11">_xll.JOHNSON.MOMENT(Johnson,B11)</f>
        <v>230.37537622259396</v>
      </c>
      <c r="H11">
        <v>1.8000000000000007</v>
      </c>
      <c r="I11">
        <v>1.744828912535922E-3</v>
      </c>
      <c r="J11">
        <v>2.3647444485889735E-3</v>
      </c>
      <c r="K11">
        <v>1.229462128898644E-14</v>
      </c>
      <c r="L11">
        <v>3.8857805861880479E-16</v>
      </c>
    </row>
    <row r="12" spans="2:12" x14ac:dyDescent="0.35">
      <c r="B12">
        <v>4</v>
      </c>
      <c r="C12" s="5" cm="1">
        <f t="array" ref="C12">_xll.JOHNSON.MOMENT(Johnson,B12)</f>
        <v>1491.5857784417994</v>
      </c>
      <c r="H12">
        <v>1.9000000000000008</v>
      </c>
      <c r="I12">
        <v>1.911154238246948E-3</v>
      </c>
      <c r="J12">
        <v>2.547393342712756E-3</v>
      </c>
      <c r="K12">
        <v>2.0606445390193371E-13</v>
      </c>
      <c r="L12">
        <v>7.4384942649885488E-15</v>
      </c>
    </row>
    <row r="13" spans="2:12" x14ac:dyDescent="0.35">
      <c r="B13" s="1" t="s">
        <v>19</v>
      </c>
      <c r="C13" s="5">
        <f>C9</f>
        <v>6</v>
      </c>
      <c r="E13" s="7">
        <f ca="1">_xlfn.NORM.S.INV(RAND())</f>
        <v>0.20478507635085622</v>
      </c>
      <c r="F13" s="7"/>
      <c r="G13" s="7"/>
      <c r="H13">
        <v>2.0000000000000009</v>
      </c>
      <c r="I13">
        <v>2.0967135204184562E-3</v>
      </c>
      <c r="J13">
        <v>2.7476160304290009E-3</v>
      </c>
      <c r="K13">
        <v>2.6423782141658445E-12</v>
      </c>
      <c r="L13">
        <v>1.0474954237338352E-13</v>
      </c>
    </row>
    <row r="14" spans="2:12" x14ac:dyDescent="0.35">
      <c r="B14" s="1" t="s">
        <v>20</v>
      </c>
      <c r="C14" s="5">
        <f>C10-C9^2</f>
        <v>0.7986320123663333</v>
      </c>
      <c r="E14" s="7">
        <f ca="1">f*EXP(s*E13-s*s/2)</f>
        <v>6.1173126336917463</v>
      </c>
      <c r="F14" s="7">
        <f t="array" aca="1" ref="F14:G14" ca="1">_xll.MONTE.STDEV(E14)</f>
        <v>6.0030498849921701</v>
      </c>
      <c r="G14" s="7">
        <f ca="1"/>
        <v>0.8956626141652041</v>
      </c>
      <c r="H14">
        <v>2.100000000000001</v>
      </c>
      <c r="I14">
        <v>2.3041496247767379E-3</v>
      </c>
      <c r="J14">
        <v>2.9674648045471264E-3</v>
      </c>
      <c r="K14">
        <v>2.6766452447055784E-11</v>
      </c>
      <c r="L14">
        <v>1.1644019082268642E-12</v>
      </c>
    </row>
    <row r="15" spans="2:12" x14ac:dyDescent="0.35">
      <c r="B15" s="1" t="s">
        <v>17</v>
      </c>
      <c r="C15">
        <f>mean</f>
        <v>6</v>
      </c>
      <c r="E15" s="7">
        <f ca="1">E14^2</f>
        <v>37.421513858324651</v>
      </c>
      <c r="F15" s="7">
        <f t="array" aca="1" ref="F15:G15" ca="1">_xll.MONTE.STDEV(E15)</f>
        <v>36.838796679111141</v>
      </c>
      <c r="G15" s="7">
        <f ca="1"/>
        <v>11.19848352713225</v>
      </c>
      <c r="H15">
        <v>2.2000000000000011</v>
      </c>
      <c r="I15">
        <v>2.5365296921837635E-3</v>
      </c>
      <c r="J15">
        <v>3.2092768643814384E-3</v>
      </c>
      <c r="K15">
        <v>2.2004822956114729E-10</v>
      </c>
      <c r="L15">
        <v>1.0480116774402859E-11</v>
      </c>
    </row>
    <row r="16" spans="2:12" x14ac:dyDescent="0.35">
      <c r="B16" s="1" t="s">
        <v>16</v>
      </c>
      <c r="C16" s="5">
        <f>SQRT(LN(m_2/(m_1*m_1)))</f>
        <v>0.14812741964544848</v>
      </c>
      <c r="E16" s="7"/>
      <c r="F16" s="7">
        <f>f*f*EXP(s*s)</f>
        <v>36.798632012366326</v>
      </c>
      <c r="G16" s="7"/>
      <c r="H16">
        <v>2.3000000000000012</v>
      </c>
      <c r="I16">
        <v>2.7974236102196264E-3</v>
      </c>
      <c r="J16">
        <v>3.4757205431962257E-3</v>
      </c>
      <c r="K16">
        <v>1.502268739145018E-9</v>
      </c>
      <c r="L16">
        <v>7.815703639835192E-11</v>
      </c>
    </row>
    <row r="17" spans="2:12" x14ac:dyDescent="0.35">
      <c r="B17" s="1" t="s">
        <v>7</v>
      </c>
      <c r="C17" s="2" cm="1">
        <f t="array" ref="C17">_xll.\VARIATE.NORMAL(0, 1)</f>
        <v>2289967381376</v>
      </c>
      <c r="D17" s="2"/>
      <c r="E17" s="7"/>
      <c r="F17" s="7">
        <f ca="1">(F16-F15)/G15</f>
        <v>-3.5866165849600799E-3</v>
      </c>
      <c r="G17" s="7"/>
      <c r="H17">
        <v>2.4000000000000012</v>
      </c>
      <c r="I17">
        <v>3.0909990095621042E-3</v>
      </c>
      <c r="J17">
        <v>3.7698501800405571E-3</v>
      </c>
      <c r="K17">
        <v>8.6859776831664877E-9</v>
      </c>
      <c r="L17">
        <v>4.9267839807853875E-10</v>
      </c>
    </row>
    <row r="18" spans="2:12" x14ac:dyDescent="0.35">
      <c r="H18">
        <v>2.5000000000000013</v>
      </c>
      <c r="I18">
        <v>3.4221367069174999E-3</v>
      </c>
      <c r="J18">
        <v>4.0951714769393299E-3</v>
      </c>
      <c r="K18">
        <v>4.3260361382311521E-8</v>
      </c>
      <c r="L18">
        <v>2.6706043487756403E-9</v>
      </c>
    </row>
    <row r="19" spans="2:12" x14ac:dyDescent="0.35">
      <c r="B19">
        <v>1</v>
      </c>
      <c r="C19">
        <v>9</v>
      </c>
      <c r="D19">
        <v>0.1</v>
      </c>
      <c r="H19">
        <v>2.6000000000000014</v>
      </c>
      <c r="I19">
        <v>3.7965715557000648E-3</v>
      </c>
      <c r="J19">
        <v>4.4557196243518171E-3</v>
      </c>
      <c r="K19">
        <v>1.8833971913821282E-7</v>
      </c>
      <c r="L19">
        <v>1.2634994273064137E-8</v>
      </c>
    </row>
    <row r="20" spans="2:12" x14ac:dyDescent="0.35">
      <c r="H20">
        <v>2.7000000000000015</v>
      </c>
      <c r="I20">
        <v>4.221065010217755E-3</v>
      </c>
      <c r="J20">
        <v>4.8561530382466578E-3</v>
      </c>
      <c r="K20">
        <v>7.2599795416191904E-7</v>
      </c>
      <c r="L20">
        <v>5.2856986509919324E-8</v>
      </c>
    </row>
    <row r="21" spans="2:12" x14ac:dyDescent="0.35">
      <c r="B21" s="1" t="s">
        <v>12</v>
      </c>
      <c r="C21">
        <f ca="1">_xlfn.NORM.S.INV(RAND())</f>
        <v>-0.45767564398012212</v>
      </c>
      <c r="E21">
        <f t="array" aca="1" ref="E21:F21" ca="1">_xll.MONTE.STDEV(Z)</f>
        <v>5.4843010306731988E-3</v>
      </c>
      <c r="F21">
        <f ca="1"/>
        <v>1.0024162775959882</v>
      </c>
      <c r="H21">
        <v>2.8000000000000016</v>
      </c>
      <c r="I21">
        <v>4.7036174571953677E-3</v>
      </c>
      <c r="J21">
        <v>5.3018662662685512E-3</v>
      </c>
      <c r="K21">
        <v>2.5057789070989102E-6</v>
      </c>
      <c r="L21">
        <v>1.9775983012282339E-7</v>
      </c>
    </row>
    <row r="22" spans="2:12" x14ac:dyDescent="0.35">
      <c r="B22" s="1" t="s">
        <v>13</v>
      </c>
      <c r="C22">
        <f ca="1">(Z-gamma)/delta</f>
        <v>-0.45767564398012212</v>
      </c>
      <c r="E22">
        <f t="array" aca="1" ref="E22:F22" ca="1">_xll.MONTE.STDEV(C22)</f>
        <v>5.4843010306731988E-3</v>
      </c>
      <c r="F22">
        <f ca="1"/>
        <v>1.0024162775959882</v>
      </c>
      <c r="H22">
        <v>2.9000000000000017</v>
      </c>
      <c r="I22">
        <v>5.2537306530203234E-3</v>
      </c>
      <c r="J22">
        <v>5.799126534942689E-3</v>
      </c>
      <c r="K22">
        <v>7.8208192016833E-6</v>
      </c>
      <c r="L22">
        <v>6.6840401236056834E-7</v>
      </c>
    </row>
    <row r="23" spans="2:12" x14ac:dyDescent="0.35">
      <c r="B23" s="1" t="s">
        <v>14</v>
      </c>
      <c r="C23">
        <f ca="1">SINH(C22)</f>
        <v>-0.47382181439736659</v>
      </c>
      <c r="E23">
        <f t="array" aca="1" ref="E23:F23" ca="1">_xll.MONTE.STDEV(C23)</f>
        <v>9.9349497670460293E-3</v>
      </c>
      <c r="F23">
        <f ca="1"/>
        <v>1.8437090755255416</v>
      </c>
      <c r="H23">
        <v>3.0000000000000018</v>
      </c>
      <c r="I23">
        <v>5.8827336067863575E-3</v>
      </c>
      <c r="J23">
        <v>6.3552395869006517E-3</v>
      </c>
      <c r="K23">
        <v>2.2266633319928001E-5</v>
      </c>
      <c r="L23">
        <v>2.0590170277667852E-6</v>
      </c>
    </row>
    <row r="24" spans="2:12" x14ac:dyDescent="0.35">
      <c r="B24">
        <v>1</v>
      </c>
      <c r="C24">
        <f ca="1">POWER($C$23,B24)</f>
        <v>-0.47382181439736659</v>
      </c>
      <c r="D24" cm="1">
        <f t="array" ref="D24">_xll.JOHNSON.Esinh_k(Johnson,B24)</f>
        <v>0</v>
      </c>
      <c r="E24">
        <f t="array" aca="1" ref="E24:F24" ca="1">_xll.MONTE.STDEV(C24)</f>
        <v>9.9329803064557316E-3</v>
      </c>
      <c r="F24">
        <f ca="1"/>
        <v>1.8437351683331624</v>
      </c>
      <c r="G24">
        <f ca="1">(D24-E24)/F24</f>
        <v>-5.3874224872738586E-3</v>
      </c>
      <c r="H24">
        <v>3.1000000000000019</v>
      </c>
      <c r="I24">
        <v>6.6041892147967627E-3</v>
      </c>
      <c r="J24">
        <v>6.9787519801180475E-3</v>
      </c>
      <c r="K24">
        <v>5.8279253302506481E-5</v>
      </c>
      <c r="L24">
        <v>5.8267322448068981E-6</v>
      </c>
    </row>
    <row r="25" spans="2:12" x14ac:dyDescent="0.35">
      <c r="B25">
        <v>2</v>
      </c>
      <c r="C25">
        <f ca="1">POWER($C$23,B25)</f>
        <v>0.22450711179881253</v>
      </c>
      <c r="D25" cm="1">
        <f t="array" ref="D25">_xll.JOHNSON.Esinh_k(Johnson,B25)</f>
        <v>3.1945280494653252</v>
      </c>
      <c r="E25">
        <f t="array" aca="1" ref="E25:F25" ca="1">_xll.MONTE.STDEV(C25)</f>
        <v>3.3993615856230419</v>
      </c>
      <c r="F25">
        <f ca="1"/>
        <v>31.70785202801471</v>
      </c>
      <c r="G25">
        <f ca="1">(D25-E25)/F25</f>
        <v>-6.4600256105882218E-3</v>
      </c>
      <c r="H25">
        <v>3.200000000000002</v>
      </c>
      <c r="I25">
        <v>7.4344042205264143E-3</v>
      </c>
      <c r="J25">
        <v>7.6796990025644885E-3</v>
      </c>
      <c r="K25">
        <v>1.4119769478299711E-4</v>
      </c>
      <c r="L25">
        <v>1.5254157879895924E-5</v>
      </c>
    </row>
    <row r="26" spans="2:12" x14ac:dyDescent="0.35">
      <c r="B26">
        <v>3</v>
      </c>
      <c r="C26">
        <f ca="1">POWER($C$23,B26)</f>
        <v>-0.10637636705762578</v>
      </c>
      <c r="D26" cm="1">
        <f t="array" ref="D26">_xll.JOHNSON.Esinh_k(Johnson,B26)</f>
        <v>0</v>
      </c>
      <c r="E26">
        <f t="array" aca="1" ref="E26:F26" ca="1">_xll.MONTE.STDEV(C26)</f>
        <v>7.0577759809248919</v>
      </c>
      <c r="F26">
        <f ca="1"/>
        <v>1656.8200179745322</v>
      </c>
      <c r="G26">
        <f ca="1">(D26-E26)/F26</f>
        <v>-4.2598326338144114E-3</v>
      </c>
      <c r="H26">
        <v>3.300000000000002</v>
      </c>
      <c r="I26">
        <v>8.3930721128567184E-3</v>
      </c>
      <c r="J26">
        <v>8.4699099478720008E-3</v>
      </c>
      <c r="K26">
        <v>3.1862129170455358E-4</v>
      </c>
      <c r="L26">
        <v>3.7177725700554554E-5</v>
      </c>
    </row>
    <row r="27" spans="2:12" x14ac:dyDescent="0.35">
      <c r="B27">
        <v>4</v>
      </c>
      <c r="C27">
        <f ca="1">POWER($C$23,B27)</f>
        <v>5.0403443248244507E-2</v>
      </c>
      <c r="D27" cm="1">
        <f t="array" ref="D27">_xll.JOHNSON.Esinh_k(Johnson,B27)</f>
        <v>369.30022033075073</v>
      </c>
      <c r="E27">
        <f t="array" aca="1" ref="E27:F27" ca="1">_xll.MONTE.STDEV(C27)</f>
        <v>1016.9150137230262</v>
      </c>
      <c r="F27">
        <f ca="1"/>
        <v>94982.3497158354</v>
      </c>
      <c r="G27">
        <f ca="1">(D27-E27)/F27</f>
        <v>-6.8182646073695263E-3</v>
      </c>
      <c r="H27">
        <v>3.4000000000000021</v>
      </c>
      <c r="I27">
        <v>9.5040880334958805E-3</v>
      </c>
      <c r="J27">
        <v>9.3633859083501192E-3</v>
      </c>
      <c r="K27">
        <v>6.7337769333722201E-4</v>
      </c>
      <c r="L27">
        <v>8.4832793037892262E-5</v>
      </c>
    </row>
    <row r="28" spans="2:12" x14ac:dyDescent="0.35">
      <c r="H28">
        <v>3.5000000000000022</v>
      </c>
      <c r="I28">
        <v>1.0796587545932147E-2</v>
      </c>
      <c r="J28">
        <v>1.03767697555186E-2</v>
      </c>
      <c r="K28">
        <v>1.3394963903093358E-3</v>
      </c>
      <c r="L28">
        <v>1.8215588680597916E-4</v>
      </c>
    </row>
    <row r="29" spans="2:12" x14ac:dyDescent="0.35">
      <c r="B29" s="1" t="s">
        <v>15</v>
      </c>
      <c r="C29" cm="1">
        <f t="array" aca="1" ref="C29" ca="1">_xll.JOHNSON.X(Johnson,Z)</f>
        <v>5.7630890928013168</v>
      </c>
      <c r="D29">
        <f>mu</f>
        <v>0</v>
      </c>
      <c r="E29">
        <f t="array" aca="1" ref="E29:F29" ca="1">_xll.MONTE.STDEV(C29)</f>
        <v>6.0049664901532385</v>
      </c>
      <c r="F29">
        <f ca="1"/>
        <v>0.92186758416657955</v>
      </c>
      <c r="G29">
        <f ca="1">(D29-E29)/F29</f>
        <v>-6.5139143552618437</v>
      </c>
      <c r="H29">
        <v>3.6000000000000023</v>
      </c>
      <c r="I29">
        <v>1.2306278487664461E-2</v>
      </c>
      <c r="J29">
        <v>1.1529933987328655E-2</v>
      </c>
      <c r="K29">
        <v>2.5192670384341048E-3</v>
      </c>
      <c r="L29">
        <v>3.6976064473437376E-4</v>
      </c>
    </row>
    <row r="30" spans="2:12" x14ac:dyDescent="0.35">
      <c r="H30">
        <v>3.7000000000000024</v>
      </c>
      <c r="I30">
        <v>1.4077158858943813E-2</v>
      </c>
      <c r="J30">
        <v>1.2846720167876025E-2</v>
      </c>
      <c r="K30">
        <v>4.4980253479526174E-3</v>
      </c>
      <c r="L30">
        <v>7.1253946788701894E-4</v>
      </c>
    </row>
    <row r="31" spans="2:12" x14ac:dyDescent="0.35">
      <c r="H31">
        <v>3.8000000000000025</v>
      </c>
      <c r="I31">
        <v>1.616374628726586E-2</v>
      </c>
      <c r="J31">
        <v>1.4355874523467871E-2</v>
      </c>
      <c r="K31">
        <v>7.6521929112598266E-3</v>
      </c>
      <c r="L31">
        <v>1.3084466055950927E-3</v>
      </c>
    </row>
    <row r="32" spans="2:12" x14ac:dyDescent="0.35">
      <c r="H32">
        <v>3.9000000000000026</v>
      </c>
      <c r="I32">
        <v>1.8633989545868274E-2</v>
      </c>
      <c r="J32">
        <v>1.6092238938931691E-2</v>
      </c>
      <c r="K32">
        <v>1.2445787391360723E-2</v>
      </c>
      <c r="L32">
        <v>2.2975469868894427E-3</v>
      </c>
    </row>
    <row r="33" spans="8:12" x14ac:dyDescent="0.35">
      <c r="H33">
        <v>4.0000000000000027</v>
      </c>
      <c r="I33">
        <v>2.157309478537521E-2</v>
      </c>
      <c r="J33">
        <v>1.8098276586334616E-2</v>
      </c>
      <c r="K33">
        <v>1.9411474531159958E-2</v>
      </c>
      <c r="L33">
        <v>3.8699689662288206E-3</v>
      </c>
    </row>
    <row r="34" spans="8:12" x14ac:dyDescent="0.35">
      <c r="H34">
        <v>4.1000000000000023</v>
      </c>
      <c r="I34">
        <v>2.5088585322889542E-2</v>
      </c>
      <c r="J34">
        <v>2.0426038759288001E-2</v>
      </c>
      <c r="K34">
        <v>2.9114326068600128E-2</v>
      </c>
      <c r="L34">
        <v>6.2711012614361517E-3</v>
      </c>
    </row>
    <row r="35" spans="8:12" x14ac:dyDescent="0.35">
      <c r="H35">
        <v>4.200000000000002</v>
      </c>
      <c r="I35">
        <v>2.931703319012734E-2</v>
      </c>
      <c r="J35">
        <v>2.3139717016422645E-2</v>
      </c>
      <c r="K35">
        <v>4.2099488610585656E-2</v>
      </c>
      <c r="L35">
        <v>9.8023370490290529E-3</v>
      </c>
    </row>
    <row r="36" spans="8:12" x14ac:dyDescent="0.35">
      <c r="H36">
        <v>4.3000000000000016</v>
      </c>
      <c r="I36">
        <v>3.4433065131738244E-2</v>
      </c>
      <c r="J36">
        <v>2.6318976348940204E-2</v>
      </c>
      <c r="K36">
        <v>5.8828350473762669E-2</v>
      </c>
      <c r="L36">
        <v>1.4815958062302403E-2</v>
      </c>
    </row>
    <row r="37" spans="8:12" x14ac:dyDescent="0.35">
      <c r="H37">
        <v>4.4000000000000012</v>
      </c>
      <c r="I37">
        <v>4.0661469801546772E-2</v>
      </c>
      <c r="J37">
        <v>3.0063335998951779E-2</v>
      </c>
      <c r="K37">
        <v>7.9610744892588195E-2</v>
      </c>
      <c r="L37">
        <v>2.1703364651257495E-2</v>
      </c>
    </row>
    <row r="38" spans="8:12" x14ac:dyDescent="0.35">
      <c r="H38">
        <v>4.5000000000000009</v>
      </c>
      <c r="I38">
        <v>4.829353096872406E-2</v>
      </c>
      <c r="J38">
        <v>3.4497961467383487E-2</v>
      </c>
      <c r="K38">
        <v>0.10454252563674796</v>
      </c>
      <c r="L38">
        <v>3.0876713584996551E-2</v>
      </c>
    </row>
    <row r="39" spans="8:12" x14ac:dyDescent="0.35">
      <c r="H39">
        <v>4.6000000000000005</v>
      </c>
      <c r="I39">
        <v>5.7709089888482105E-2</v>
      </c>
      <c r="J39">
        <v>3.9781362006405196E-2</v>
      </c>
      <c r="K39">
        <v>0.1334580200110726</v>
      </c>
      <c r="L39">
        <v>4.2744982044650937E-2</v>
      </c>
    </row>
    <row r="40" spans="8:12" x14ac:dyDescent="0.35">
      <c r="H40">
        <v>4.7</v>
      </c>
      <c r="I40">
        <v>6.940627433837751E-2</v>
      </c>
      <c r="J40">
        <v>4.6115659720046165E-2</v>
      </c>
      <c r="K40">
        <v>0.16590530202404336</v>
      </c>
      <c r="L40">
        <v>5.7686362432050775E-2</v>
      </c>
    </row>
    <row r="41" spans="8:12" x14ac:dyDescent="0.35">
      <c r="H41">
        <v>4.8</v>
      </c>
      <c r="I41">
        <v>8.4041210885873796E-2</v>
      </c>
      <c r="J41">
        <v>5.3760310451663129E-2</v>
      </c>
      <c r="K41">
        <v>0.2011492213841399</v>
      </c>
      <c r="L41">
        <v>7.6019546490850132E-2</v>
      </c>
    </row>
    <row r="42" spans="8:12" x14ac:dyDescent="0.35">
      <c r="H42">
        <v>4.8999999999999995</v>
      </c>
      <c r="I42">
        <v>0.10248002615379626</v>
      </c>
      <c r="J42">
        <v>6.305039345271557E-2</v>
      </c>
      <c r="K42">
        <v>0.23820325924474209</v>
      </c>
      <c r="L42">
        <v>9.797676174596881E-2</v>
      </c>
    </row>
    <row r="43" spans="8:12" x14ac:dyDescent="0.35">
      <c r="H43">
        <v>4.9999999999999991</v>
      </c>
      <c r="I43">
        <v>0.12586416596247432</v>
      </c>
      <c r="J43">
        <v>7.4420770258741831E-2</v>
      </c>
      <c r="K43">
        <v>0.27588729222768493</v>
      </c>
      <c r="L43">
        <v>0.12368132882247646</v>
      </c>
    </row>
    <row r="44" spans="8:12" x14ac:dyDescent="0.35">
      <c r="H44">
        <v>5.0999999999999988</v>
      </c>
      <c r="I44">
        <v>0.15568538300626228</v>
      </c>
      <c r="J44">
        <v>8.8437325073202289E-2</v>
      </c>
      <c r="K44">
        <v>0.31290493709476663</v>
      </c>
      <c r="L44">
        <v>0.15313203849753049</v>
      </c>
    </row>
    <row r="45" spans="8:12" x14ac:dyDescent="0.35">
      <c r="H45">
        <v>5.1999999999999984</v>
      </c>
      <c r="I45">
        <v>0.19385374387987608</v>
      </c>
      <c r="J45">
        <v>0.105835585906987</v>
      </c>
      <c r="K45">
        <v>0.34793185120821568</v>
      </c>
      <c r="L45">
        <v>0.1861958888819249</v>
      </c>
    </row>
    <row r="46" spans="8:12" x14ac:dyDescent="0.35">
      <c r="H46">
        <v>5.299999999999998</v>
      </c>
      <c r="I46">
        <v>0.24271009910123953</v>
      </c>
      <c r="J46">
        <v>0.1275639896320368</v>
      </c>
      <c r="K46">
        <v>0.37970545147559981</v>
      </c>
      <c r="L46">
        <v>0.22260980308668743</v>
      </c>
    </row>
    <row r="47" spans="8:12" x14ac:dyDescent="0.35">
      <c r="H47">
        <v>5.3999999999999977</v>
      </c>
      <c r="I47">
        <v>0.30486352028865021</v>
      </c>
      <c r="J47">
        <v>0.15482109010094225</v>
      </c>
      <c r="K47">
        <v>0.4071069842220042</v>
      </c>
      <c r="L47">
        <v>0.26199100664670777</v>
      </c>
    </row>
    <row r="48" spans="8:12" x14ac:dyDescent="0.35">
      <c r="H48">
        <v>5.4999999999999973</v>
      </c>
      <c r="I48">
        <v>0.38259639558195085</v>
      </c>
      <c r="J48">
        <v>0.18905782442940916</v>
      </c>
      <c r="K48">
        <v>0.42922849548685615</v>
      </c>
      <c r="L48">
        <v>0.30385490995828296</v>
      </c>
    </row>
    <row r="49" spans="8:12" x14ac:dyDescent="0.35">
      <c r="H49">
        <v>5.599999999999997</v>
      </c>
      <c r="I49">
        <v>0.47637931574696657</v>
      </c>
      <c r="J49">
        <v>0.23188039478608408</v>
      </c>
      <c r="K49">
        <v>0.4454196298161468</v>
      </c>
      <c r="L49">
        <v>0.34763871034746957</v>
      </c>
    </row>
    <row r="50" spans="8:12" x14ac:dyDescent="0.35">
      <c r="H50">
        <v>5.6999999999999966</v>
      </c>
      <c r="I50">
        <v>0.58198268344306903</v>
      </c>
      <c r="J50">
        <v>0.28473748785573794</v>
      </c>
      <c r="K50">
        <v>0.45531188336956946</v>
      </c>
      <c r="L50">
        <v>0.39272855524427364</v>
      </c>
    </row>
    <row r="51" spans="8:12" x14ac:dyDescent="0.35">
      <c r="H51">
        <v>5.7999999999999963</v>
      </c>
      <c r="I51">
        <v>0.68655761571907392</v>
      </c>
      <c r="J51">
        <v>0.34825521485692734</v>
      </c>
      <c r="K51">
        <v>0.45882054041946063</v>
      </c>
      <c r="L51">
        <v>0.43848800298946555</v>
      </c>
    </row>
    <row r="52" spans="8:12" x14ac:dyDescent="0.35">
      <c r="H52">
        <v>5.8999999999999959</v>
      </c>
      <c r="I52">
        <v>0.76709809668935058</v>
      </c>
      <c r="J52">
        <v>0.42125258029361984</v>
      </c>
      <c r="K52">
        <v>0.45612670761169083</v>
      </c>
      <c r="L52">
        <v>0.48428565449283417</v>
      </c>
    </row>
    <row r="53" spans="8:12" x14ac:dyDescent="0.35">
      <c r="H53">
        <v>5.9999999999999956</v>
      </c>
      <c r="I53">
        <v>0.79788456080286529</v>
      </c>
      <c r="J53">
        <v>0.49999999999999645</v>
      </c>
      <c r="K53">
        <v>0.44764342629902232</v>
      </c>
      <c r="L53">
        <v>0.52952015435578637</v>
      </c>
    </row>
    <row r="54" spans="8:12" x14ac:dyDescent="0.35">
      <c r="H54">
        <v>6.0999999999999952</v>
      </c>
      <c r="I54">
        <v>0.76709809668935602</v>
      </c>
      <c r="J54">
        <v>0.57874741970637333</v>
      </c>
      <c r="K54">
        <v>0.43397071439785634</v>
      </c>
      <c r="L54">
        <v>0.57364120745714287</v>
      </c>
    </row>
    <row r="55" spans="8:12" x14ac:dyDescent="0.35">
      <c r="H55">
        <v>6.1999999999999948</v>
      </c>
      <c r="I55">
        <v>0.68655761571908258</v>
      </c>
      <c r="J55">
        <v>0.65174478514306655</v>
      </c>
      <c r="K55">
        <v>0.41584459846999927</v>
      </c>
      <c r="L55">
        <v>0.61616575775495508</v>
      </c>
    </row>
    <row r="56" spans="8:12" x14ac:dyDescent="0.35">
      <c r="H56">
        <v>6.2999999999999945</v>
      </c>
      <c r="I56">
        <v>0.58198268344307869</v>
      </c>
      <c r="J56">
        <v>0.71526251214425685</v>
      </c>
      <c r="K56">
        <v>0.39408485509301622</v>
      </c>
      <c r="L56">
        <v>0.65668896903242557</v>
      </c>
    </row>
    <row r="57" spans="8:12" x14ac:dyDescent="0.35">
      <c r="H57">
        <v>6.3999999999999941</v>
      </c>
      <c r="I57">
        <v>0.47637931574697545</v>
      </c>
      <c r="J57">
        <v>0.76811960521391165</v>
      </c>
      <c r="K57">
        <v>0.36954544274130824</v>
      </c>
      <c r="L57">
        <v>0.69489008493443272</v>
      </c>
    </row>
    <row r="58" spans="8:12" x14ac:dyDescent="0.35">
      <c r="H58">
        <v>6.4999999999999938</v>
      </c>
      <c r="I58">
        <v>0.38259639558195851</v>
      </c>
      <c r="J58">
        <v>0.81094217557058745</v>
      </c>
      <c r="K58">
        <v>0.34307063793661974</v>
      </c>
      <c r="L58">
        <v>0.73053359662873785</v>
      </c>
    </row>
    <row r="59" spans="8:12" x14ac:dyDescent="0.35">
      <c r="H59">
        <v>6.5999999999999934</v>
      </c>
      <c r="I59">
        <v>0.30486352028865632</v>
      </c>
      <c r="J59">
        <v>0.84517890989905509</v>
      </c>
      <c r="K59">
        <v>0.31545884592455403</v>
      </c>
      <c r="L59">
        <v>0.7634663956890787</v>
      </c>
    </row>
    <row r="60" spans="8:12" x14ac:dyDescent="0.35">
      <c r="H60">
        <v>6.6999999999999931</v>
      </c>
      <c r="I60">
        <v>0.24271009910124436</v>
      </c>
      <c r="J60">
        <v>0.87243601036796103</v>
      </c>
      <c r="K60">
        <v>0.28743506099585475</v>
      </c>
      <c r="L60">
        <v>0.79361173623953518</v>
      </c>
    </row>
    <row r="61" spans="8:12" x14ac:dyDescent="0.35">
      <c r="H61">
        <v>6.7999999999999927</v>
      </c>
      <c r="I61">
        <v>0.19385374387987991</v>
      </c>
      <c r="J61">
        <v>0.89416441409301128</v>
      </c>
      <c r="K61">
        <v>0.25963209238678236</v>
      </c>
      <c r="L61">
        <v>0.82096088355507946</v>
      </c>
    </row>
    <row r="62" spans="8:12" x14ac:dyDescent="0.35">
      <c r="H62">
        <v>6.8999999999999924</v>
      </c>
      <c r="I62">
        <v>0.15568538300626528</v>
      </c>
      <c r="J62">
        <v>0.91156267492679621</v>
      </c>
      <c r="K62">
        <v>0.23257999868863763</v>
      </c>
      <c r="L62">
        <v>0.845563302587507</v>
      </c>
    </row>
    <row r="63" spans="8:12" x14ac:dyDescent="0.35">
      <c r="H63">
        <v>6.999999999999992</v>
      </c>
      <c r="I63">
        <v>0.12586416596247665</v>
      </c>
      <c r="J63">
        <v>0.92557922974125706</v>
      </c>
      <c r="K63">
        <v>0.20670270418641537</v>
      </c>
      <c r="L63">
        <v>0.86751615900940116</v>
      </c>
    </row>
    <row r="64" spans="8:12" x14ac:dyDescent="0.35">
      <c r="H64">
        <v>7.0999999999999917</v>
      </c>
      <c r="I64">
        <v>0.1024800261537981</v>
      </c>
      <c r="J64">
        <v>0.93694960654728343</v>
      </c>
      <c r="K64">
        <v>0.18232049621838084</v>
      </c>
      <c r="L64">
        <v>0.88695378745462361</v>
      </c>
    </row>
    <row r="65" spans="8:12" x14ac:dyDescent="0.35">
      <c r="H65">
        <v>7.1999999999999913</v>
      </c>
      <c r="I65">
        <v>8.4041210885875253E-2</v>
      </c>
      <c r="J65">
        <v>0.94623968954833615</v>
      </c>
      <c r="K65">
        <v>0.15965699781694936</v>
      </c>
      <c r="L65">
        <v>0.90403764502665696</v>
      </c>
    </row>
    <row r="66" spans="8:12" x14ac:dyDescent="0.35">
      <c r="H66">
        <v>7.2999999999999909</v>
      </c>
      <c r="I66">
        <v>6.9406274338378704E-2</v>
      </c>
      <c r="J66">
        <v>0.95388434027995328</v>
      </c>
      <c r="K66">
        <v>0.13884923933077165</v>
      </c>
      <c r="L66">
        <v>0.91894712808416157</v>
      </c>
    </row>
    <row r="67" spans="8:12" x14ac:dyDescent="0.35">
      <c r="H67">
        <v>7.3999999999999906</v>
      </c>
      <c r="I67">
        <v>5.7709089888483021E-2</v>
      </c>
      <c r="J67">
        <v>0.96021863799359419</v>
      </c>
      <c r="K67">
        <v>0.11995957821527302</v>
      </c>
      <c r="L67">
        <v>0.93187149831435501</v>
      </c>
    </row>
    <row r="68" spans="8:12" x14ac:dyDescent="0.35">
      <c r="H68">
        <v>7.4999999999999902</v>
      </c>
      <c r="I68">
        <v>4.8293530968724796E-2</v>
      </c>
      <c r="J68">
        <v>0.96550203853261607</v>
      </c>
      <c r="K68">
        <v>0.10298840134868119</v>
      </c>
      <c r="L68">
        <v>0.94300304792469425</v>
      </c>
    </row>
    <row r="69" spans="8:12" x14ac:dyDescent="0.35">
      <c r="H69">
        <v>7.5999999999999899</v>
      </c>
      <c r="I69">
        <v>4.066146980154739E-2</v>
      </c>
      <c r="J69">
        <v>0.96993666400104783</v>
      </c>
      <c r="K69">
        <v>8.7886757701217247E-2</v>
      </c>
      <c r="L69">
        <v>0.95253153777076671</v>
      </c>
    </row>
    <row r="70" spans="8:12" x14ac:dyDescent="0.35">
      <c r="H70">
        <v>7.6999999999999895</v>
      </c>
      <c r="I70">
        <v>3.4433065131738744E-2</v>
      </c>
      <c r="J70">
        <v>0.97368102365105935</v>
      </c>
      <c r="K70">
        <v>7.4568286153011254E-2</v>
      </c>
      <c r="L70">
        <v>0.960639867925138</v>
      </c>
    </row>
    <row r="71" spans="8:12" x14ac:dyDescent="0.35">
      <c r="H71">
        <v>7.7999999999999892</v>
      </c>
      <c r="I71">
        <v>2.9317033190127764E-2</v>
      </c>
      <c r="J71">
        <v>0.97686028298357708</v>
      </c>
      <c r="K71">
        <v>6.2920005881136692E-2</v>
      </c>
      <c r="L71">
        <v>0.9675008869787779</v>
      </c>
    </row>
    <row r="72" spans="8:12" x14ac:dyDescent="0.35">
      <c r="H72">
        <v>7.8999999999999888</v>
      </c>
      <c r="I72">
        <v>2.5088585322889882E-2</v>
      </c>
      <c r="J72">
        <v>0.97957396124071172</v>
      </c>
      <c r="K72">
        <v>5.2811713677595913E-2</v>
      </c>
      <c r="L72">
        <v>0.97327521220161195</v>
      </c>
    </row>
    <row r="73" spans="8:12" x14ac:dyDescent="0.35">
      <c r="H73">
        <v>7.9999999999999885</v>
      </c>
      <c r="I73">
        <v>2.1573094785375484E-2</v>
      </c>
      <c r="J73">
        <v>0.98190172341366533</v>
      </c>
      <c r="K73">
        <v>4.4103878003003937E-2</v>
      </c>
      <c r="L73">
        <v>0.97810991467143737</v>
      </c>
    </row>
    <row r="74" spans="8:12" x14ac:dyDescent="0.35">
      <c r="H74">
        <v>8.099999999999989</v>
      </c>
      <c r="I74">
        <v>1.86339895458685E-2</v>
      </c>
      <c r="J74">
        <v>0.98390776106106814</v>
      </c>
      <c r="K74">
        <v>3.665403202819955E-2</v>
      </c>
      <c r="L74">
        <v>0.98213791835543685</v>
      </c>
    </row>
    <row r="75" spans="8:12" x14ac:dyDescent="0.35">
      <c r="H75">
        <v>8.1999999999999886</v>
      </c>
      <c r="I75">
        <v>1.6163746287266065E-2</v>
      </c>
      <c r="J75">
        <v>0.98564412547653202</v>
      </c>
      <c r="K75">
        <v>3.0321748957887296E-2</v>
      </c>
      <c r="L75">
        <v>0.98547796665496201</v>
      </c>
    </row>
    <row r="76" spans="8:12" x14ac:dyDescent="0.35">
      <c r="H76">
        <v>8.2999999999999883</v>
      </c>
      <c r="I76">
        <v>1.4077158858943993E-2</v>
      </c>
      <c r="J76">
        <v>0.98715327983212386</v>
      </c>
      <c r="K76">
        <v>2.4972336123929718E-2</v>
      </c>
      <c r="L76">
        <v>0.98823502112723993</v>
      </c>
    </row>
    <row r="77" spans="8:12" x14ac:dyDescent="0.35">
      <c r="H77">
        <v>8.3999999999999879</v>
      </c>
      <c r="I77">
        <v>1.2306278487664621E-2</v>
      </c>
      <c r="J77">
        <v>0.98847006601267129</v>
      </c>
      <c r="K77">
        <v>2.0479414274384763E-2</v>
      </c>
      <c r="L77">
        <v>0.99050097241670265</v>
      </c>
    </row>
    <row r="78" spans="8:12" x14ac:dyDescent="0.35">
      <c r="H78">
        <v>8.4999999999999876</v>
      </c>
      <c r="I78">
        <v>1.0796587545932275E-2</v>
      </c>
      <c r="J78">
        <v>0.98962323024448129</v>
      </c>
      <c r="K78">
        <v>1.6726560081830596E-2</v>
      </c>
      <c r="L78">
        <v>0.99235556078367193</v>
      </c>
    </row>
    <row r="79" spans="8:12" x14ac:dyDescent="0.35">
      <c r="H79">
        <v>8.5999999999999872</v>
      </c>
      <c r="I79">
        <v>9.5040880334960071E-3</v>
      </c>
      <c r="J79">
        <v>0.99063661409164983</v>
      </c>
      <c r="K79">
        <v>1.3608187881513585E-2</v>
      </c>
      <c r="L79">
        <v>0.99386742141470519</v>
      </c>
    </row>
    <row r="80" spans="8:12" x14ac:dyDescent="0.35">
      <c r="H80">
        <v>8.6999999999999869</v>
      </c>
      <c r="I80">
        <v>8.3930721128568312E-3</v>
      </c>
      <c r="J80">
        <v>0.99153009005212789</v>
      </c>
      <c r="K80">
        <v>1.1029835255261695E-2</v>
      </c>
      <c r="L80">
        <v>0.99509518679247966</v>
      </c>
    </row>
    <row r="81" spans="8:12" x14ac:dyDescent="0.35">
      <c r="H81">
        <v>8.7999999999999865</v>
      </c>
      <c r="I81">
        <v>7.4344042205265175E-3</v>
      </c>
      <c r="J81">
        <v>0.99232030099743551</v>
      </c>
      <c r="K81">
        <v>8.9079998607718164E-3</v>
      </c>
      <c r="L81">
        <v>0.9960885940394637</v>
      </c>
    </row>
    <row r="82" spans="8:12" x14ac:dyDescent="0.35">
      <c r="H82">
        <v>8.8999999999999861</v>
      </c>
      <c r="I82">
        <v>6.6041892147968547E-3</v>
      </c>
      <c r="J82">
        <v>0.9930212480198819</v>
      </c>
      <c r="K82">
        <v>7.1696547046143271E-3</v>
      </c>
      <c r="L82">
        <v>0.9968895588944614</v>
      </c>
    </row>
    <row r="83" spans="8:12" x14ac:dyDescent="0.35">
      <c r="H83">
        <v>8.9999999999999858</v>
      </c>
      <c r="I83">
        <v>5.8827336067864382E-3</v>
      </c>
      <c r="J83">
        <v>0.99364476041309935</v>
      </c>
      <c r="K83">
        <v>5.751548009232707E-3</v>
      </c>
      <c r="L83">
        <v>0.99753318964841786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E49-69B3-41E4-B5F7-85CA4F6581D0}">
  <dimension ref="B2:H15"/>
  <sheetViews>
    <sheetView tabSelected="1" workbookViewId="0"/>
  </sheetViews>
  <sheetFormatPr defaultRowHeight="18" x14ac:dyDescent="0.35"/>
  <cols>
    <col min="3" max="3" width="11.75" bestFit="1" customWidth="1"/>
  </cols>
  <sheetData>
    <row r="2" spans="2:8" x14ac:dyDescent="0.35">
      <c r="B2" s="1" t="s">
        <v>2</v>
      </c>
      <c r="C2">
        <v>0</v>
      </c>
      <c r="F2" s="6" t="s">
        <v>27</v>
      </c>
      <c r="G2" s="6" t="s">
        <v>28</v>
      </c>
      <c r="H2" s="6" t="s">
        <v>29</v>
      </c>
    </row>
    <row r="3" spans="2:8" x14ac:dyDescent="0.35">
      <c r="B3" s="1" t="s">
        <v>3</v>
      </c>
      <c r="C3">
        <v>1</v>
      </c>
      <c r="E3">
        <v>95</v>
      </c>
      <c r="F3" cm="1">
        <f t="array" ref="F3:F13">_xlfn.SEQUENCE(1+(E4-E3)/E5,1,E3,E5)</f>
        <v>95</v>
      </c>
      <c r="G3" cm="1">
        <f t="array" ref="G3:G13">_xlfn.MAP(strike,_xlfn.LAMBDA(_xlpm.k,_xll.JOHNSON.PUT.VALUE(Johnson,_xlpm.k)))</f>
        <v>0.17112571861433423</v>
      </c>
      <c r="H3" cm="1">
        <f t="array" ref="H3:H13">_xlfn.MAP(strike,_xlfn.LAMBDA(_xlpm.k,_xll.NORMAL.PUT.VALUE(f,s,_xlpm.k)))</f>
        <v>0.11807288295062524</v>
      </c>
    </row>
    <row r="4" spans="2:8" x14ac:dyDescent="0.35">
      <c r="B4" s="1" t="s">
        <v>0</v>
      </c>
      <c r="C4">
        <v>100</v>
      </c>
      <c r="E4">
        <v>105</v>
      </c>
      <c r="F4">
        <v>96</v>
      </c>
      <c r="G4">
        <v>0.2321879431957985</v>
      </c>
      <c r="H4">
        <v>0.22079106116632552</v>
      </c>
    </row>
    <row r="5" spans="2:8" x14ac:dyDescent="0.35">
      <c r="B5" s="1" t="s">
        <v>1</v>
      </c>
      <c r="C5">
        <v>2</v>
      </c>
      <c r="E5">
        <v>1</v>
      </c>
      <c r="F5">
        <v>97</v>
      </c>
      <c r="G5">
        <v>0.32556118066794149</v>
      </c>
      <c r="H5">
        <v>0.3853678358233239</v>
      </c>
    </row>
    <row r="6" spans="2:8" x14ac:dyDescent="0.35">
      <c r="B6" s="1" t="s">
        <v>4</v>
      </c>
      <c r="C6" s="2" cm="1">
        <f t="array" ref="C6">_xll.\VARIATE.JOHNSON(gamma, delta, lambda, xi)</f>
        <v>2289410558224</v>
      </c>
      <c r="F6">
        <v>98</v>
      </c>
      <c r="G6">
        <v>0.4746916475353018</v>
      </c>
      <c r="H6">
        <v>0.6309751086400901</v>
      </c>
    </row>
    <row r="7" spans="2:8" x14ac:dyDescent="0.35">
      <c r="B7" s="1" t="s">
        <v>19</v>
      </c>
      <c r="C7" s="5" cm="1">
        <f t="array" ref="C7">_xll.JOHNSON.MOMENT(Johnson,1)</f>
        <v>100</v>
      </c>
      <c r="F7">
        <v>99</v>
      </c>
      <c r="G7">
        <v>0.72148464792208244</v>
      </c>
      <c r="H7">
        <v>0.97414410439486687</v>
      </c>
    </row>
    <row r="8" spans="2:8" x14ac:dyDescent="0.35">
      <c r="B8" s="1" t="s">
        <v>20</v>
      </c>
      <c r="C8" s="5" cm="1">
        <f t="array" ref="C8">_xll.JOHNSON.MOMENT(Johnson,2) - mean^2</f>
        <v>12.778112197860537</v>
      </c>
      <c r="F8">
        <v>100</v>
      </c>
      <c r="G8">
        <v>1.1255646869698808</v>
      </c>
      <c r="H8">
        <v>1.4255473400794187</v>
      </c>
    </row>
    <row r="9" spans="2:8" x14ac:dyDescent="0.35">
      <c r="B9" s="1" t="s">
        <v>17</v>
      </c>
      <c r="C9" s="5">
        <f>mean</f>
        <v>100</v>
      </c>
      <c r="F9">
        <v>101</v>
      </c>
      <c r="G9">
        <v>1.7214846479220824</v>
      </c>
      <c r="H9">
        <v>1.9878522343826148</v>
      </c>
    </row>
    <row r="10" spans="2:8" x14ac:dyDescent="0.35">
      <c r="B10" s="1" t="s">
        <v>16</v>
      </c>
      <c r="C10" s="5">
        <f>SQRT(LN(1+variance/(mean*mean)))</f>
        <v>3.5735074000681002E-2</v>
      </c>
      <c r="F10">
        <v>102</v>
      </c>
      <c r="G10">
        <v>2.4746916475352947</v>
      </c>
      <c r="H10">
        <v>2.6553526600854269</v>
      </c>
    </row>
    <row r="11" spans="2:8" x14ac:dyDescent="0.35">
      <c r="B11" s="1" t="s">
        <v>18</v>
      </c>
      <c r="C11" s="5">
        <f>f</f>
        <v>100</v>
      </c>
      <c r="F11">
        <v>103</v>
      </c>
      <c r="G11">
        <v>3.3255611806679468</v>
      </c>
      <c r="H11">
        <v>3.4154306054407897</v>
      </c>
    </row>
    <row r="12" spans="2:8" x14ac:dyDescent="0.35">
      <c r="B12" s="1" t="s">
        <v>21</v>
      </c>
      <c r="C12" s="5" cm="1">
        <f t="array" ref="C12">_xll.NORMAL.PUT.VALUE(f, s, k)</f>
        <v>1.4255473400794187</v>
      </c>
      <c r="F12">
        <v>104</v>
      </c>
      <c r="G12">
        <v>4.2321879431958109</v>
      </c>
      <c r="H12">
        <v>4.251260322242004</v>
      </c>
    </row>
    <row r="13" spans="2:8" x14ac:dyDescent="0.35">
      <c r="B13" s="1" t="s">
        <v>22</v>
      </c>
      <c r="C13" s="5" cm="1">
        <f t="array" ref="C13">_xll.NORMAL.PUT.DELTA(f, s, k)</f>
        <v>-0.49287226329960288</v>
      </c>
      <c r="F13">
        <v>105</v>
      </c>
      <c r="G13">
        <v>5.1711257186143342</v>
      </c>
      <c r="H13">
        <v>5.1448407517500812</v>
      </c>
    </row>
    <row r="14" spans="2:8" x14ac:dyDescent="0.35">
      <c r="B14" s="1" t="s">
        <v>23</v>
      </c>
      <c r="C14" s="5" cm="1">
        <f t="array" ref="C14">_xll.NORMAL.PUT.IMPLIED(f, value, k)</f>
        <v>3.5735073993330223E-2</v>
      </c>
    </row>
    <row r="15" spans="2:8" x14ac:dyDescent="0.35">
      <c r="B15" s="1" t="s">
        <v>24</v>
      </c>
      <c r="C15" s="5" cm="1">
        <f t="array" ref="C15">_xll.JOHNSON.PUT.VALUE(Johnson,k)</f>
        <v>1.1255646869698808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size="32" baseType="lpstr">
      <vt:lpstr>Sheet1</vt:lpstr>
      <vt:lpstr>Sheet2</vt:lpstr>
      <vt:lpstr>Sheet2!delta</vt:lpstr>
      <vt:lpstr>delta</vt:lpstr>
      <vt:lpstr>Sheet1!f</vt:lpstr>
      <vt:lpstr>f</vt:lpstr>
      <vt:lpstr>Sheet2!gamma</vt:lpstr>
      <vt:lpstr>gamma</vt:lpstr>
      <vt:lpstr>implied</vt:lpstr>
      <vt:lpstr>Sheet2!Johnson</vt:lpstr>
      <vt:lpstr>Johnson</vt:lpstr>
      <vt:lpstr>k</vt:lpstr>
      <vt:lpstr>Sheet2!lambda</vt:lpstr>
      <vt:lpstr>lambda</vt:lpstr>
      <vt:lpstr>m_1</vt:lpstr>
      <vt:lpstr>m_2</vt:lpstr>
      <vt:lpstr>m_3</vt:lpstr>
      <vt:lpstr>m_4</vt:lpstr>
      <vt:lpstr>Sheet1!mean</vt:lpstr>
      <vt:lpstr>mean</vt:lpstr>
      <vt:lpstr>mu</vt:lpstr>
      <vt:lpstr>Normal</vt:lpstr>
      <vt:lpstr>Sheet2!s</vt:lpstr>
      <vt:lpstr>s</vt:lpstr>
      <vt:lpstr>s2_</vt:lpstr>
      <vt:lpstr>sigma</vt:lpstr>
      <vt:lpstr>value</vt:lpstr>
      <vt:lpstr>Sheet1!variance</vt:lpstr>
      <vt:lpstr>variance</vt:lpstr>
      <vt:lpstr>Sheet2!xi</vt:lpstr>
      <vt:lpstr>xi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2025-05-11T07:55:15Z</dcterms:created>
  <dcterms:modified xsi:type="dcterms:W3CDTF">2025-05-26T14:31:15Z</dcterms:modified>
</cp:coreProperties>
</file>