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Dev\GitHub\keithgull\Tools\"/>
    </mc:Choice>
  </mc:AlternateContent>
  <xr:revisionPtr revIDLastSave="0" documentId="13_ncr:1_{1C9EF2A5-50A6-419C-A51F-AEB432452742}" xr6:coauthVersionLast="47" xr6:coauthVersionMax="47" xr10:uidLastSave="{00000000-0000-0000-0000-000000000000}"/>
  <bookViews>
    <workbookView xWindow="60" yWindow="720" windowWidth="28695" windowHeight="13920" activeTab="1" xr2:uid="{BA2AF2A3-0063-4DC5-B0AF-EF04DF30B750}"/>
  </bookViews>
  <sheets>
    <sheet name="設定" sheetId="2" r:id="rId1"/>
    <sheet name="yyyymm" sheetId="1" r:id="rId2"/>
  </sheets>
  <definedNames>
    <definedName name="BASE_DNBK_TIME">設定!$C$6</definedName>
    <definedName name="BASE_EN_TIME">設定!$B$2</definedName>
    <definedName name="BASE_LNBK_TIME">設定!$C$4</definedName>
    <definedName name="BASE_NTBK_TIME">設定!$C$8</definedName>
    <definedName name="BASE_ST_TIME">設定!$A$2</definedName>
    <definedName name="BASE_WORK_TIME">設定!$C$2</definedName>
    <definedName name="DNBK_EN_TIME">設定!$B$6</definedName>
    <definedName name="DNBK_ST_TIME">設定!$A$6</definedName>
    <definedName name="HEADER">yyyymm!$B$3</definedName>
    <definedName name="HOLIDAY_TABLE">設定!$E$2:$E$24</definedName>
    <definedName name="LNBK_EN_TIME">設定!$B$4</definedName>
    <definedName name="LNBK_ST_TIME">設定!$A$4</definedName>
    <definedName name="NTBK_EN_TIME">設定!$B$8</definedName>
    <definedName name="NTBK_ST_TIME">設定!$A$8</definedName>
    <definedName name="WEEKDAY_COL">yyyymm!$C$4:$C$34</definedName>
    <definedName name="WORK_KBN">設定!$A$11:$A$17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  <c r="M4" i="1" s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B6" i="1"/>
  <c r="C6" i="1" s="1"/>
  <c r="D6" i="1" s="1"/>
  <c r="K6" i="1" a="1"/>
  <c r="K6" i="1" s="1"/>
  <c r="B7" i="1"/>
  <c r="C7" i="1" s="1"/>
  <c r="D7" i="1" s="1"/>
  <c r="B8" i="1"/>
  <c r="C8" i="1" s="1"/>
  <c r="D8" i="1" s="1"/>
  <c r="B9" i="1"/>
  <c r="C9" i="1" s="1"/>
  <c r="D9" i="1" s="1"/>
  <c r="B10" i="1"/>
  <c r="C10" i="1" s="1"/>
  <c r="D10" i="1" s="1"/>
  <c r="B11" i="1"/>
  <c r="C11" i="1" s="1"/>
  <c r="D11" i="1" s="1"/>
  <c r="B12" i="1"/>
  <c r="C12" i="1" s="1"/>
  <c r="D12" i="1" s="1"/>
  <c r="B13" i="1"/>
  <c r="C13" i="1" s="1"/>
  <c r="D13" i="1" s="1"/>
  <c r="B14" i="1"/>
  <c r="C14" i="1" s="1"/>
  <c r="D14" i="1" s="1"/>
  <c r="B15" i="1"/>
  <c r="C15" i="1" s="1"/>
  <c r="D15" i="1" s="1"/>
  <c r="B16" i="1"/>
  <c r="C16" i="1" s="1"/>
  <c r="B17" i="1"/>
  <c r="C17" i="1" s="1"/>
  <c r="D17" i="1" s="1"/>
  <c r="B18" i="1"/>
  <c r="C18" i="1" s="1"/>
  <c r="D18" i="1" s="1"/>
  <c r="B19" i="1"/>
  <c r="C19" i="1" s="1"/>
  <c r="B20" i="1"/>
  <c r="C20" i="1" s="1"/>
  <c r="D20" i="1" s="1"/>
  <c r="B21" i="1"/>
  <c r="C21" i="1" s="1"/>
  <c r="D21" i="1" s="1"/>
  <c r="B22" i="1"/>
  <c r="C22" i="1" s="1"/>
  <c r="D22" i="1" s="1"/>
  <c r="B23" i="1"/>
  <c r="C23" i="1" s="1"/>
  <c r="D23" i="1" s="1"/>
  <c r="B24" i="1"/>
  <c r="C24" i="1" s="1"/>
  <c r="D24" i="1" s="1"/>
  <c r="B25" i="1"/>
  <c r="C25" i="1" s="1"/>
  <c r="D25" i="1" s="1"/>
  <c r="B26" i="1"/>
  <c r="C26" i="1" s="1"/>
  <c r="D26" i="1" s="1"/>
  <c r="B27" i="1"/>
  <c r="C27" i="1" s="1"/>
  <c r="D27" i="1" s="1"/>
  <c r="B28" i="1"/>
  <c r="C28" i="1" s="1"/>
  <c r="D28" i="1" s="1"/>
  <c r="B29" i="1"/>
  <c r="C29" i="1" s="1"/>
  <c r="D29" i="1" s="1"/>
  <c r="B30" i="1"/>
  <c r="C30" i="1" s="1"/>
  <c r="D30" i="1" s="1"/>
  <c r="B31" i="1"/>
  <c r="C31" i="1" s="1"/>
  <c r="D31" i="1" s="1"/>
  <c r="B32" i="1"/>
  <c r="C32" i="1" s="1"/>
  <c r="D32" i="1" s="1"/>
  <c r="B33" i="1"/>
  <c r="C33" i="1" s="1"/>
  <c r="D33" i="1" s="1"/>
  <c r="B34" i="1"/>
  <c r="C34" i="1" s="1"/>
  <c r="D34" i="1" s="1"/>
  <c r="K34" i="1" a="1"/>
  <c r="K34" i="1" s="1"/>
  <c r="K33" i="1" a="1"/>
  <c r="K33" i="1" s="1"/>
  <c r="K32" i="1" a="1"/>
  <c r="K32" i="1" s="1"/>
  <c r="K31" i="1" a="1"/>
  <c r="K31" i="1" s="1"/>
  <c r="K30" i="1" a="1"/>
  <c r="K30" i="1" s="1"/>
  <c r="K29" i="1" a="1"/>
  <c r="K29" i="1" s="1"/>
  <c r="K28" i="1" a="1"/>
  <c r="K28" i="1" s="1"/>
  <c r="K27" i="1" a="1"/>
  <c r="K27" i="1" s="1"/>
  <c r="K26" i="1" a="1"/>
  <c r="K26" i="1" s="1"/>
  <c r="K25" i="1" a="1"/>
  <c r="K25" i="1" s="1"/>
  <c r="K24" i="1" a="1"/>
  <c r="K24" i="1" s="1"/>
  <c r="K23" i="1" a="1"/>
  <c r="K23" i="1" s="1"/>
  <c r="K22" i="1" a="1"/>
  <c r="K22" i="1" s="1"/>
  <c r="K21" i="1" a="1"/>
  <c r="K21" i="1" s="1"/>
  <c r="K20" i="1" a="1"/>
  <c r="K20" i="1" s="1"/>
  <c r="K19" i="1" a="1"/>
  <c r="K19" i="1" s="1"/>
  <c r="K18" i="1" a="1"/>
  <c r="K18" i="1" s="1"/>
  <c r="K17" i="1" a="1"/>
  <c r="K17" i="1" s="1"/>
  <c r="K16" i="1" a="1"/>
  <c r="K16" i="1" s="1"/>
  <c r="K15" i="1" a="1"/>
  <c r="K15" i="1" s="1"/>
  <c r="K14" i="1" a="1"/>
  <c r="K14" i="1" s="1"/>
  <c r="K13" i="1" a="1"/>
  <c r="K13" i="1" s="1"/>
  <c r="K12" i="1" a="1"/>
  <c r="K12" i="1" s="1"/>
  <c r="K11" i="1" a="1"/>
  <c r="K11" i="1" s="1"/>
  <c r="K10" i="1" a="1"/>
  <c r="K10" i="1" s="1"/>
  <c r="K9" i="1" a="1"/>
  <c r="K9" i="1" s="1"/>
  <c r="K8" i="1" a="1"/>
  <c r="K8" i="1" s="1"/>
  <c r="K7" i="1" a="1"/>
  <c r="K7" i="1" s="1"/>
  <c r="K5" i="1" a="1"/>
  <c r="K5" i="1" s="1"/>
  <c r="C8" i="2"/>
  <c r="C6" i="2"/>
  <c r="C4" i="2"/>
  <c r="C2" i="2" s="1"/>
  <c r="N23" i="1"/>
  <c r="B5" i="1"/>
  <c r="C5" i="1" s="1"/>
  <c r="D5" i="1" s="1"/>
  <c r="B4" i="1"/>
  <c r="C4" i="1" s="1"/>
  <c r="D4" i="1" s="1"/>
  <c r="N6" i="1" l="1"/>
  <c r="N26" i="1"/>
  <c r="N19" i="1"/>
  <c r="N11" i="1"/>
  <c r="N4" i="1"/>
  <c r="N25" i="1"/>
  <c r="N18" i="1"/>
  <c r="N5" i="1"/>
  <c r="N12" i="1"/>
  <c r="N33" i="1"/>
  <c r="N32" i="1"/>
  <c r="D19" i="1"/>
  <c r="N34" i="1"/>
  <c r="N16" i="1"/>
  <c r="N20" i="1"/>
  <c r="N21" i="1"/>
  <c r="N22" i="1"/>
  <c r="N15" i="1"/>
  <c r="N24" i="1"/>
  <c r="N10" i="1"/>
  <c r="N27" i="1"/>
  <c r="N14" i="1"/>
  <c r="N17" i="1"/>
  <c r="N9" i="1"/>
  <c r="N28" i="1"/>
  <c r="N29" i="1"/>
  <c r="N31" i="1"/>
  <c r="N8" i="1"/>
  <c r="N13" i="1"/>
  <c r="N30" i="1"/>
  <c r="N7" i="1"/>
  <c r="Q6" i="1"/>
  <c r="Q5" i="1"/>
  <c r="D16" i="1"/>
  <c r="Q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<sst xmlns="http://schemas.openxmlformats.org/spreadsheetml/2006/main" count="58" uniqueCount="51">
  <si>
    <t>年月</t>
    <rPh sb="0" eb="2">
      <t>ネンゲツ</t>
    </rPh>
    <phoneticPr fontId="1"/>
  </si>
  <si>
    <t>祝日テーブル</t>
    <rPh sb="0" eb="2">
      <t>シュクジツ</t>
    </rPh>
    <phoneticPr fontId="1"/>
  </si>
  <si>
    <t>元日</t>
    <rPh sb="0" eb="2">
      <t>ガンジツ</t>
    </rPh>
    <phoneticPr fontId="1"/>
  </si>
  <si>
    <t>お正月</t>
    <rPh sb="1" eb="3">
      <t>ショウガツ</t>
    </rPh>
    <phoneticPr fontId="1"/>
  </si>
  <si>
    <t>成人の日</t>
    <rPh sb="0" eb="2">
      <t>セイジン</t>
    </rPh>
    <rPh sb="3" eb="4">
      <t>ヒ</t>
    </rPh>
    <phoneticPr fontId="1"/>
  </si>
  <si>
    <t>建国記念日</t>
    <rPh sb="0" eb="2">
      <t>ケンコク</t>
    </rPh>
    <rPh sb="2" eb="5">
      <t>キネンビ</t>
    </rPh>
    <phoneticPr fontId="1"/>
  </si>
  <si>
    <t>天皇誕生日</t>
    <rPh sb="0" eb="5">
      <t>テンノウタンジョウビ</t>
    </rPh>
    <phoneticPr fontId="1"/>
  </si>
  <si>
    <t>振替休日</t>
    <rPh sb="0" eb="2">
      <t>フリカエ</t>
    </rPh>
    <rPh sb="2" eb="4">
      <t>キュウジツ</t>
    </rPh>
    <phoneticPr fontId="1"/>
  </si>
  <si>
    <t>春分の日</t>
    <rPh sb="0" eb="2">
      <t>シュンブン</t>
    </rPh>
    <rPh sb="3" eb="4">
      <t>ヒ</t>
    </rPh>
    <phoneticPr fontId="1"/>
  </si>
  <si>
    <t>昭和の日</t>
    <rPh sb="0" eb="2">
      <t>ショウワ</t>
    </rPh>
    <rPh sb="3" eb="4">
      <t>ヒ</t>
    </rPh>
    <phoneticPr fontId="1"/>
  </si>
  <si>
    <t>憲法記念日</t>
    <rPh sb="0" eb="2">
      <t>ケンポウ</t>
    </rPh>
    <rPh sb="2" eb="5">
      <t>キネンビ</t>
    </rPh>
    <phoneticPr fontId="1"/>
  </si>
  <si>
    <t>みどりの日</t>
    <rPh sb="4" eb="5">
      <t>ヒ</t>
    </rPh>
    <phoneticPr fontId="1"/>
  </si>
  <si>
    <t>こどもの日</t>
    <rPh sb="4" eb="5">
      <t>ヒ</t>
    </rPh>
    <phoneticPr fontId="1"/>
  </si>
  <si>
    <t>海の日</t>
    <rPh sb="0" eb="1">
      <t>ウミ</t>
    </rPh>
    <rPh sb="2" eb="3">
      <t>ヒ</t>
    </rPh>
    <phoneticPr fontId="1"/>
  </si>
  <si>
    <t>山の日</t>
    <rPh sb="0" eb="1">
      <t>ヤマ</t>
    </rPh>
    <rPh sb="2" eb="3">
      <t>ヒ</t>
    </rPh>
    <phoneticPr fontId="1"/>
  </si>
  <si>
    <t>敬老の日</t>
    <rPh sb="0" eb="2">
      <t>ケイロウ</t>
    </rPh>
    <rPh sb="3" eb="4">
      <t>ヒ</t>
    </rPh>
    <phoneticPr fontId="1"/>
  </si>
  <si>
    <t>秋分の日</t>
    <rPh sb="0" eb="2">
      <t>シュウブン</t>
    </rPh>
    <rPh sb="3" eb="4">
      <t>ヒ</t>
    </rPh>
    <phoneticPr fontId="1"/>
  </si>
  <si>
    <t>スポーツの日</t>
    <rPh sb="5" eb="6">
      <t>ヒ</t>
    </rPh>
    <phoneticPr fontId="1"/>
  </si>
  <si>
    <t>文化の日</t>
    <rPh sb="0" eb="2">
      <t>ブンカ</t>
    </rPh>
    <rPh sb="3" eb="4">
      <t>ヒ</t>
    </rPh>
    <phoneticPr fontId="1"/>
  </si>
  <si>
    <t>勤労感謝の日</t>
    <rPh sb="0" eb="4">
      <t>キンロウカンシャ</t>
    </rPh>
    <rPh sb="5" eb="6">
      <t>ヒ</t>
    </rPh>
    <phoneticPr fontId="1"/>
  </si>
  <si>
    <t>始業</t>
    <phoneticPr fontId="1"/>
  </si>
  <si>
    <t>見込み</t>
    <phoneticPr fontId="1"/>
  </si>
  <si>
    <t>終業</t>
    <phoneticPr fontId="1"/>
  </si>
  <si>
    <t>休憩</t>
    <phoneticPr fontId="1"/>
  </si>
  <si>
    <t>稼働時間</t>
    <phoneticPr fontId="1"/>
  </si>
  <si>
    <t>累積
稼働時間</t>
    <phoneticPr fontId="1"/>
  </si>
  <si>
    <t>その他
休憩</t>
    <phoneticPr fontId="1"/>
  </si>
  <si>
    <t>法定
休憩</t>
    <phoneticPr fontId="1"/>
  </si>
  <si>
    <t>日付</t>
    <rPh sb="0" eb="2">
      <t>ヒヅケ</t>
    </rPh>
    <phoneticPr fontId="1"/>
  </si>
  <si>
    <t>基準時間
始業</t>
    <rPh sb="0" eb="2">
      <t>キジュン</t>
    </rPh>
    <rPh sb="2" eb="4">
      <t>ジカン</t>
    </rPh>
    <rPh sb="5" eb="7">
      <t>シギョウ</t>
    </rPh>
    <phoneticPr fontId="1"/>
  </si>
  <si>
    <t>基準時間
終業</t>
    <rPh sb="0" eb="4">
      <t>キジュンジカン</t>
    </rPh>
    <rPh sb="5" eb="7">
      <t>シュウギョウ</t>
    </rPh>
    <phoneticPr fontId="1"/>
  </si>
  <si>
    <t>稼働日</t>
    <rPh sb="0" eb="3">
      <t>カドウビ</t>
    </rPh>
    <phoneticPr fontId="1"/>
  </si>
  <si>
    <t>営業日</t>
    <rPh sb="0" eb="3">
      <t>エイギョウビ</t>
    </rPh>
    <phoneticPr fontId="1"/>
  </si>
  <si>
    <t>合計時間</t>
    <rPh sb="0" eb="2">
      <t>ゴウケイ</t>
    </rPh>
    <rPh sb="2" eb="4">
      <t>ジカン</t>
    </rPh>
    <phoneticPr fontId="1"/>
  </si>
  <si>
    <t>基準
稼働時間</t>
    <rPh sb="0" eb="2">
      <t>キジュン</t>
    </rPh>
    <rPh sb="3" eb="7">
      <t>カドウジカン</t>
    </rPh>
    <phoneticPr fontId="1"/>
  </si>
  <si>
    <t>昼休開始</t>
    <rPh sb="0" eb="1">
      <t>ヒル</t>
    </rPh>
    <rPh sb="1" eb="2">
      <t>ヤス</t>
    </rPh>
    <rPh sb="2" eb="4">
      <t>カイシ</t>
    </rPh>
    <phoneticPr fontId="1"/>
  </si>
  <si>
    <t>昼休終了</t>
    <rPh sb="0" eb="2">
      <t>ヒルヤス</t>
    </rPh>
    <rPh sb="2" eb="4">
      <t>シュウリョウ</t>
    </rPh>
    <phoneticPr fontId="1"/>
  </si>
  <si>
    <t>夕休開始</t>
    <rPh sb="0" eb="1">
      <t>ユウ</t>
    </rPh>
    <rPh sb="1" eb="2">
      <t>キュウ</t>
    </rPh>
    <rPh sb="2" eb="4">
      <t>カイシ</t>
    </rPh>
    <phoneticPr fontId="1"/>
  </si>
  <si>
    <t>夕休終了</t>
    <rPh sb="0" eb="1">
      <t>ユウ</t>
    </rPh>
    <rPh sb="1" eb="2">
      <t>キュウ</t>
    </rPh>
    <rPh sb="2" eb="4">
      <t>シュウリョウ</t>
    </rPh>
    <phoneticPr fontId="1"/>
  </si>
  <si>
    <t>夜休開始</t>
    <rPh sb="0" eb="1">
      <t>ヨル</t>
    </rPh>
    <rPh sb="1" eb="2">
      <t>キュウ</t>
    </rPh>
    <rPh sb="2" eb="4">
      <t>カイシ</t>
    </rPh>
    <phoneticPr fontId="1"/>
  </si>
  <si>
    <t>夜休終了</t>
    <rPh sb="0" eb="1">
      <t>ヨル</t>
    </rPh>
    <rPh sb="1" eb="2">
      <t>キュウ</t>
    </rPh>
    <rPh sb="2" eb="4">
      <t>シュウリョウ</t>
    </rPh>
    <phoneticPr fontId="1"/>
  </si>
  <si>
    <t>曜日</t>
    <rPh sb="0" eb="2">
      <t>ヨウビ</t>
    </rPh>
    <phoneticPr fontId="1"/>
  </si>
  <si>
    <t>実績</t>
    <phoneticPr fontId="1"/>
  </si>
  <si>
    <t>区分</t>
    <rPh sb="0" eb="2">
      <t>クブン</t>
    </rPh>
    <phoneticPr fontId="1"/>
  </si>
  <si>
    <t>出勤</t>
    <rPh sb="0" eb="2">
      <t>シュッキン</t>
    </rPh>
    <phoneticPr fontId="1"/>
  </si>
  <si>
    <t>全休</t>
    <rPh sb="0" eb="2">
      <t>ゼンキュウ</t>
    </rPh>
    <phoneticPr fontId="1"/>
  </si>
  <si>
    <t>前休</t>
    <rPh sb="0" eb="1">
      <t>マエ</t>
    </rPh>
    <rPh sb="1" eb="2">
      <t>キュウ</t>
    </rPh>
    <phoneticPr fontId="1"/>
  </si>
  <si>
    <t>後休</t>
    <rPh sb="0" eb="1">
      <t>アト</t>
    </rPh>
    <rPh sb="1" eb="2">
      <t>キュウ</t>
    </rPh>
    <phoneticPr fontId="1"/>
  </si>
  <si>
    <t>早退</t>
    <rPh sb="0" eb="2">
      <t>ソウタイ</t>
    </rPh>
    <phoneticPr fontId="1"/>
  </si>
  <si>
    <t>遅刻</t>
    <rPh sb="0" eb="2">
      <t>チコク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</si>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</sst>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/mm/dd"/>
    <numFmt numFmtId="177" formatCode="h:mm"/>
    <numFmt numFmtId="178" formatCode="mm/dd"/>
    <numFmt numFmtId="179" formatCode="0&quot;日&quot;"/>
    <numFmt numFmtId="180" formatCode="[h]:mm"/>
    <numFmt numFmtId="181" formatCode="yyyy&quot;年&quot;mm&quot;月&quot;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1" xfId="0" quotePrefix="1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4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20" fontId="2" fillId="0" borderId="1" xfId="0" applyNumberFormat="1" applyFont="1" applyBorder="1">
      <alignment vertical="center"/>
    </xf>
    <xf numFmtId="177" fontId="2" fillId="5" borderId="1" xfId="0" applyNumberFormat="1" applyFont="1" applyFill="1" applyBorder="1">
      <alignment vertical="center"/>
    </xf>
    <xf numFmtId="177" fontId="2" fillId="0" borderId="1" xfId="0" applyNumberFormat="1" applyFont="1" applyBorder="1">
      <alignment vertical="center"/>
    </xf>
    <xf numFmtId="20" fontId="2" fillId="5" borderId="1" xfId="0" applyNumberFormat="1" applyFont="1" applyFill="1" applyBorder="1">
      <alignment vertical="center"/>
    </xf>
    <xf numFmtId="178" fontId="2" fillId="0" borderId="1" xfId="0" applyNumberFormat="1" applyFont="1" applyBorder="1">
      <alignment vertical="center"/>
    </xf>
    <xf numFmtId="179" fontId="2" fillId="5" borderId="1" xfId="0" applyNumberFormat="1" applyFont="1" applyFill="1" applyBorder="1">
      <alignment vertical="center"/>
    </xf>
    <xf numFmtId="180" fontId="2" fillId="5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vertical="center" textRotation="255"/>
    </xf>
    <xf numFmtId="0" fontId="2" fillId="3" borderId="2" xfId="0" applyFont="1" applyFill="1" applyBorder="1">
      <alignment vertical="center"/>
    </xf>
    <xf numFmtId="178" fontId="2" fillId="0" borderId="5" xfId="0" applyNumberFormat="1" applyFont="1" applyBorder="1">
      <alignment vertical="center"/>
    </xf>
    <xf numFmtId="178" fontId="2" fillId="0" borderId="6" xfId="0" applyNumberFormat="1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81" fontId="2" fillId="0" borderId="1" xfId="0" applyNumberFormat="1" applyFont="1" applyBorder="1" applyAlignment="1">
      <alignment horizontal="left" vertical="center"/>
    </xf>
    <xf numFmtId="180" fontId="2" fillId="0" borderId="1" xfId="0" applyNumberFormat="1" applyFont="1" applyBorder="1">
      <alignment vertical="center"/>
    </xf>
  </cellXfs>
  <cellStyles count="1">
    <cellStyle name="標準" xfId="0" builtinId="0"/>
  </cellStyles>
  <dxfs count="2"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4ACA-9083-43CC-B663-9A3E6DEA1DCF}">
  <sheetPr codeName="Sheet1"/>
  <dimension ref="A1:F24"/>
  <sheetViews>
    <sheetView zoomScale="85" zoomScaleNormal="85" workbookViewId="0">
      <selection activeCell="H6" sqref="H6"/>
    </sheetView>
  </sheetViews>
  <sheetFormatPr defaultRowHeight="18.75" x14ac:dyDescent="0.4"/>
  <cols>
    <col min="4" max="4" width="3.875" customWidth="1"/>
    <col min="5" max="5" width="12.75" bestFit="1" customWidth="1"/>
    <col min="6" max="6" width="19" customWidth="1"/>
  </cols>
  <sheetData>
    <row r="1" spans="1:6" ht="31.5" x14ac:dyDescent="0.4">
      <c r="A1" s="16" t="s">
        <v>29</v>
      </c>
      <c r="B1" s="16" t="s">
        <v>30</v>
      </c>
      <c r="C1" s="16" t="s">
        <v>34</v>
      </c>
      <c r="E1" s="3" t="s">
        <v>1</v>
      </c>
      <c r="F1" s="3"/>
    </row>
    <row r="2" spans="1:6" x14ac:dyDescent="0.4">
      <c r="A2" s="17">
        <v>0.375</v>
      </c>
      <c r="B2" s="17">
        <v>0.75</v>
      </c>
      <c r="C2" s="20">
        <f>BASE_EN_TIME - BASE_ST_TIME - BASE_LNBK_TIME</f>
        <v>0.33333333333333337</v>
      </c>
      <c r="E2" s="5">
        <v>45658</v>
      </c>
      <c r="F2" s="4" t="s">
        <v>2</v>
      </c>
    </row>
    <row r="3" spans="1:6" x14ac:dyDescent="0.4">
      <c r="A3" s="3" t="s">
        <v>35</v>
      </c>
      <c r="B3" s="3" t="s">
        <v>36</v>
      </c>
      <c r="C3" s="3"/>
      <c r="E3" s="5">
        <v>45659</v>
      </c>
      <c r="F3" s="4" t="s">
        <v>3</v>
      </c>
    </row>
    <row r="4" spans="1:6" x14ac:dyDescent="0.4">
      <c r="A4" s="17">
        <v>0.5</v>
      </c>
      <c r="B4" s="17">
        <v>0.54166666666666663</v>
      </c>
      <c r="C4" s="20">
        <f>LNBK_EN_TIME-LNBK_ST_TIME</f>
        <v>4.166666666666663E-2</v>
      </c>
      <c r="E4" s="5">
        <v>45660</v>
      </c>
      <c r="F4" s="4" t="s">
        <v>3</v>
      </c>
    </row>
    <row r="5" spans="1:6" x14ac:dyDescent="0.4">
      <c r="A5" s="3" t="s">
        <v>37</v>
      </c>
      <c r="B5" s="3" t="s">
        <v>38</v>
      </c>
      <c r="C5" s="3"/>
      <c r="E5" s="5">
        <v>45670</v>
      </c>
      <c r="F5" s="4" t="s">
        <v>4</v>
      </c>
    </row>
    <row r="6" spans="1:6" x14ac:dyDescent="0.4">
      <c r="A6" s="17">
        <v>0.75</v>
      </c>
      <c r="B6" s="17">
        <v>0.77083333333333337</v>
      </c>
      <c r="C6" s="18">
        <f>DNBK_EN_TIME-DNBK_ST_TIME</f>
        <v>2.083333333333337E-2</v>
      </c>
      <c r="E6" s="5">
        <v>45699</v>
      </c>
      <c r="F6" s="4" t="s">
        <v>5</v>
      </c>
    </row>
    <row r="7" spans="1:6" x14ac:dyDescent="0.4">
      <c r="A7" s="3" t="s">
        <v>39</v>
      </c>
      <c r="B7" s="3" t="s">
        <v>40</v>
      </c>
      <c r="C7" s="3"/>
      <c r="E7" s="5">
        <v>45711</v>
      </c>
      <c r="F7" s="4" t="s">
        <v>6</v>
      </c>
    </row>
    <row r="8" spans="1:6" x14ac:dyDescent="0.4">
      <c r="A8" s="17">
        <v>0.91666666666666663</v>
      </c>
      <c r="B8" s="17">
        <v>0.9375</v>
      </c>
      <c r="C8" s="18">
        <f>NTBK_EN_TIME-NTBK_ST_TIME</f>
        <v>2.083333333333337E-2</v>
      </c>
      <c r="E8" s="5">
        <v>45712</v>
      </c>
      <c r="F8" s="4" t="s">
        <v>7</v>
      </c>
    </row>
    <row r="9" spans="1:6" x14ac:dyDescent="0.4">
      <c r="E9" s="5">
        <v>45736</v>
      </c>
      <c r="F9" s="4" t="s">
        <v>8</v>
      </c>
    </row>
    <row r="10" spans="1:6" x14ac:dyDescent="0.4">
      <c r="A10" s="28" t="s">
        <v>43</v>
      </c>
      <c r="E10" s="5">
        <v>45776</v>
      </c>
      <c r="F10" s="4" t="s">
        <v>9</v>
      </c>
    </row>
    <row r="11" spans="1:6" x14ac:dyDescent="0.4">
      <c r="A11" s="29" t="s">
        <v>44</v>
      </c>
      <c r="E11" s="5">
        <v>45780</v>
      </c>
      <c r="F11" s="4" t="s">
        <v>10</v>
      </c>
    </row>
    <row r="12" spans="1:6" x14ac:dyDescent="0.4">
      <c r="A12" s="29" t="s">
        <v>45</v>
      </c>
      <c r="E12" s="5">
        <v>45781</v>
      </c>
      <c r="F12" s="4" t="s">
        <v>11</v>
      </c>
    </row>
    <row r="13" spans="1:6" x14ac:dyDescent="0.4">
      <c r="A13" s="29" t="s">
        <v>46</v>
      </c>
      <c r="E13" s="5">
        <v>45782</v>
      </c>
      <c r="F13" s="4" t="s">
        <v>12</v>
      </c>
    </row>
    <row r="14" spans="1:6" x14ac:dyDescent="0.4">
      <c r="A14" s="29" t="s">
        <v>47</v>
      </c>
      <c r="E14" s="5">
        <v>45783</v>
      </c>
      <c r="F14" s="4" t="s">
        <v>7</v>
      </c>
    </row>
    <row r="15" spans="1:6" x14ac:dyDescent="0.4">
      <c r="A15" s="29" t="s">
        <v>48</v>
      </c>
      <c r="E15" s="5">
        <v>45859</v>
      </c>
      <c r="F15" s="4" t="s">
        <v>13</v>
      </c>
    </row>
    <row r="16" spans="1:6" x14ac:dyDescent="0.4">
      <c r="A16" s="29" t="s">
        <v>49</v>
      </c>
      <c r="E16" s="5">
        <v>45880</v>
      </c>
      <c r="F16" s="4" t="s">
        <v>14</v>
      </c>
    </row>
    <row r="17" spans="1:6" x14ac:dyDescent="0.4">
      <c r="A17" s="29"/>
      <c r="E17" s="5">
        <v>45915</v>
      </c>
      <c r="F17" s="4" t="s">
        <v>15</v>
      </c>
    </row>
    <row r="18" spans="1:6" x14ac:dyDescent="0.4">
      <c r="E18" s="5">
        <v>45923</v>
      </c>
      <c r="F18" s="4" t="s">
        <v>16</v>
      </c>
    </row>
    <row r="19" spans="1:6" x14ac:dyDescent="0.4">
      <c r="E19" s="5">
        <v>45943</v>
      </c>
      <c r="F19" s="4" t="s">
        <v>17</v>
      </c>
    </row>
    <row r="20" spans="1:6" x14ac:dyDescent="0.4">
      <c r="E20" s="5">
        <v>45964</v>
      </c>
      <c r="F20" s="4" t="s">
        <v>18</v>
      </c>
    </row>
    <row r="21" spans="1:6" x14ac:dyDescent="0.4">
      <c r="E21" s="5">
        <v>45984</v>
      </c>
      <c r="F21" s="4" t="s">
        <v>19</v>
      </c>
    </row>
    <row r="22" spans="1:6" x14ac:dyDescent="0.4">
      <c r="E22" s="5">
        <v>45985</v>
      </c>
      <c r="F22" s="4" t="s">
        <v>7</v>
      </c>
    </row>
    <row r="23" spans="1:6" x14ac:dyDescent="0.4">
      <c r="E23" s="5"/>
      <c r="F23" s="4"/>
    </row>
    <row r="24" spans="1:6" x14ac:dyDescent="0.4">
      <c r="E24" s="5"/>
      <c r="F24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7D90-024A-4FE3-933C-7E76028E1D53}">
  <sheetPr codeName="Sheet2"/>
  <dimension ref="B1:Q34"/>
  <sheetViews>
    <sheetView tabSelected="1" zoomScale="70" zoomScaleNormal="70" workbookViewId="0">
      <selection activeCell="K4" sqref="K4"/>
    </sheetView>
  </sheetViews>
  <sheetFormatPr defaultRowHeight="15.75" x14ac:dyDescent="0.4"/>
  <cols>
    <col min="1" max="1" width="2" style="1" customWidth="1"/>
    <col min="2" max="2" width="12" style="1" customWidth="1"/>
    <col min="3" max="3" width="5.25" style="1" customWidth="1"/>
    <col min="4" max="4" width="3.125" style="1" hidden="1" customWidth="1"/>
    <col min="5" max="5" width="9.25" style="1" customWidth="1"/>
    <col min="6" max="7" width="9" style="1"/>
    <col min="8" max="8" width="6.125" style="1" customWidth="1"/>
    <col min="9" max="9" width="9" style="1" customWidth="1"/>
    <col min="10" max="14" width="9" style="1"/>
    <col min="15" max="15" width="17.25" style="1" customWidth="1"/>
    <col min="16" max="19" width="9" style="1"/>
    <col min="20" max="20" width="9.5" style="1" bestFit="1" customWidth="1"/>
    <col min="21" max="21" width="9" style="1"/>
    <col min="22" max="22" width="12.75" style="1" bestFit="1" customWidth="1"/>
    <col min="23" max="23" width="14.75" style="1" customWidth="1"/>
    <col min="24" max="16384" width="9" style="1"/>
  </cols>
  <sheetData>
    <row r="1" spans="2:17" x14ac:dyDescent="0.4">
      <c r="B1" s="31" t="s">
        <v>0</v>
      </c>
      <c r="C1" s="31"/>
    </row>
    <row r="2" spans="2:17" x14ac:dyDescent="0.4">
      <c r="B2" s="32">
        <v>45839</v>
      </c>
      <c r="C2" s="32"/>
      <c r="D2" s="2"/>
      <c r="E2" s="7" t="s">
        <v>21</v>
      </c>
      <c r="F2" s="8"/>
      <c r="G2" s="9"/>
      <c r="H2" s="25" t="s">
        <v>42</v>
      </c>
      <c r="I2" s="10"/>
      <c r="J2" s="10"/>
      <c r="K2" s="10"/>
      <c r="L2" s="15"/>
    </row>
    <row r="3" spans="2:17" ht="33" x14ac:dyDescent="0.4">
      <c r="B3" s="3" t="s">
        <v>28</v>
      </c>
      <c r="C3" s="24" t="s">
        <v>41</v>
      </c>
      <c r="D3" s="3"/>
      <c r="E3" s="3" t="s">
        <v>20</v>
      </c>
      <c r="F3" s="3" t="s">
        <v>22</v>
      </c>
      <c r="G3" s="3" t="s">
        <v>23</v>
      </c>
      <c r="H3" s="11" t="s">
        <v>43</v>
      </c>
      <c r="I3" s="11" t="s">
        <v>20</v>
      </c>
      <c r="J3" s="11" t="s">
        <v>22</v>
      </c>
      <c r="K3" s="14" t="s">
        <v>27</v>
      </c>
      <c r="L3" s="14" t="s">
        <v>26</v>
      </c>
      <c r="M3" s="12" t="s">
        <v>24</v>
      </c>
      <c r="N3" s="13" t="s">
        <v>25</v>
      </c>
      <c r="O3" s="13" t="s">
        <v>50</v>
      </c>
    </row>
    <row r="4" spans="2:17" x14ac:dyDescent="0.4">
      <c r="B4" s="21">
        <f>IF($B$2&lt;&gt;"",$B$2,"")</f>
        <v>45839</v>
      </c>
      <c r="C4" s="30" t="str">
        <f>CHOOSE(WEEKDAY($B4),"日","月","火","水","木","金","土")</f>
        <v>火</v>
      </c>
      <c r="D4" s="6">
        <f t="shared" ref="D4:D34" si="0">IF(OR($C4="土",$C4="日",NOT(ISNA(VLOOKUP($B4,HOLIDAY_TABLE,1,FALSE))),MONTH($B$2)+1&lt;=MONTH($B4)),1,0)</f>
        <v>0</v>
      </c>
      <c r="E4" s="17">
        <v>0.375</v>
      </c>
      <c r="F4" s="17">
        <v>0.75</v>
      </c>
      <c r="G4" s="19">
        <v>4.1666666666666602E-2</v>
      </c>
      <c r="H4" s="4" t="s">
        <v>46</v>
      </c>
      <c r="I4" s="17">
        <v>0.54166666666666663</v>
      </c>
      <c r="J4" s="17">
        <v>0.875</v>
      </c>
      <c r="K4" s="23" cm="1">
        <f t="array" ref="K4">IF(AND($I4&lt;&gt;"",$J4&lt;&gt;""),_xlfn.IFS(AND($H4="出勤",$J4&gt;=LNBK_EN_TIME),TIME(1,0,0),AND($H4="前休",$J4&lt;=BASE_EN_TIME),TIME(0,0,0),AND($H4="前休",$J4&gt;BASE_EN_TIME),BASE_DNBK_TIME,AND($H4="後休",$J4&lt;=LNBK_EN_TIME),""),"")</f>
        <v>2.083333333333337E-2</v>
      </c>
      <c r="L4" s="33"/>
      <c r="M4" s="18">
        <f>IF(AND($H4&lt;&gt;"全休", $I4&lt;&gt;"",$J4&lt;&gt;"",$K4&lt;&gt;""),J4-I4-K4-L4,IF(AND($H4&lt;&gt;"全休", $E4&lt;&gt;"",$F4&lt;&gt;""),$F4-$E4-$G4,IF($H4="全休",TIME(0,0,0),"")))</f>
        <v>0.3125</v>
      </c>
      <c r="N4" s="18">
        <f>IF(AND($E4&lt;&gt;"",$F4&lt;&gt;"",$G4&lt;&gt;""),SUM($M$4:$M4),"")</f>
        <v>0.3125</v>
      </c>
      <c r="O4" s="4"/>
      <c r="P4" s="9" t="s">
        <v>32</v>
      </c>
      <c r="Q4" s="22">
        <f>COUNTIF($D$4:$D$34,0)</f>
        <v>22</v>
      </c>
    </row>
    <row r="5" spans="2:17" x14ac:dyDescent="0.4">
      <c r="B5" s="21">
        <f>IF($B$2&lt;&gt;"",$B$2+1,"")</f>
        <v>45840</v>
      </c>
      <c r="C5" s="30" t="str">
        <f t="shared" ref="C5:C34" si="1">CHOOSE(WEEKDAY($B5),"日","月","火","水","木","金","土")</f>
        <v>水</v>
      </c>
      <c r="D5" s="6">
        <f t="shared" si="0"/>
        <v>0</v>
      </c>
      <c r="E5" s="17">
        <v>0.375</v>
      </c>
      <c r="F5" s="17">
        <v>0.75</v>
      </c>
      <c r="G5" s="19">
        <v>4.1666666666666602E-2</v>
      </c>
      <c r="H5" s="4"/>
      <c r="I5" s="17"/>
      <c r="J5" s="17"/>
      <c r="K5" s="23" t="str" cm="1">
        <f t="array" ref="K5">IF(AND($I5&lt;&gt;"",$J5&lt;&gt;""),_xlfn.IFS(AND($I5&lt;=BASE_ST_TIME,$J5&lt;=LNBK_ST_TIME),TIME(0,0,0),AND($I5&lt;=LNBK_ST_TIME,LNBK_EN_TIME&lt;=$J5),BASE_LNBK_TIME,AND(DNBK_EN_TIME&lt;=$J5),""),"")</f>
        <v/>
      </c>
      <c r="L5" s="33"/>
      <c r="M5" s="18">
        <f t="shared" ref="M5:M34" si="2">IF(AND($H5&lt;&gt;"全休", $I5&lt;&gt;"",$J5&lt;&gt;"",$K5&lt;&gt;""),J5-I5-K5-L5,IF(AND($H5&lt;&gt;"全休", $E5&lt;&gt;"",$F5&lt;&gt;""),$F5-$E5-$G5,IF($H5="全休",TIME(0,0,0),"")))</f>
        <v>0.33333333333333337</v>
      </c>
      <c r="N5" s="18">
        <f>IF(AND($E5&lt;&gt;"",$F5&lt;&gt;"",$G5&lt;&gt;""),SUM($M$4:$M5),"")</f>
        <v>0.64583333333333337</v>
      </c>
      <c r="O5" s="4"/>
      <c r="P5" s="9" t="s">
        <v>31</v>
      </c>
      <c r="Q5" s="22">
        <f>COUNTIF($M$2:$M$33,"&gt;0")</f>
        <v>21</v>
      </c>
    </row>
    <row r="6" spans="2:17" x14ac:dyDescent="0.4">
      <c r="B6" s="21">
        <f>IF($B$2&lt;&gt;"",$B$2+2,"")</f>
        <v>45841</v>
      </c>
      <c r="C6" s="30" t="str">
        <f t="shared" si="1"/>
        <v>木</v>
      </c>
      <c r="D6" s="6">
        <f t="shared" si="0"/>
        <v>0</v>
      </c>
      <c r="E6" s="17">
        <v>0.375</v>
      </c>
      <c r="F6" s="17">
        <v>0.75</v>
      </c>
      <c r="G6" s="19">
        <v>4.1666666666666602E-2</v>
      </c>
      <c r="H6" s="4"/>
      <c r="I6" s="17"/>
      <c r="J6" s="17"/>
      <c r="K6" s="23" t="str" cm="1">
        <f t="array" ref="K6">IF(AND($I6&lt;&gt;"",$J6&lt;&gt;""),_xlfn.IFS(AND($I6&lt;=BASE_ST_TIME,$J6&lt;=LNBK_ST_TIME),TIME(0,0,0),AND($I6&lt;=LNBK_ST_TIME,LNBK_EN_TIME&lt;=$J6),BASE_LNBK_TIME,AND(DNBK_EN_TIME&lt;=$J6),""),"")</f>
        <v/>
      </c>
      <c r="L6" s="33"/>
      <c r="M6" s="18">
        <f t="shared" si="2"/>
        <v>0.33333333333333337</v>
      </c>
      <c r="N6" s="18">
        <f>IF(AND($E6&lt;&gt;"",$F6&lt;&gt;"",$G6&lt;&gt;""),SUM($M$4:$M6),"")</f>
        <v>0.97916666666666674</v>
      </c>
      <c r="O6" s="4"/>
      <c r="P6" s="9" t="s">
        <v>33</v>
      </c>
      <c r="Q6" s="23">
        <f>SUM($M$4:$M$34)</f>
        <v>7.3124999999999982</v>
      </c>
    </row>
    <row r="7" spans="2:17" x14ac:dyDescent="0.4">
      <c r="B7" s="21">
        <f>IF($B$2&lt;&gt;"",$B$2+3,"")</f>
        <v>45842</v>
      </c>
      <c r="C7" s="30" t="str">
        <f t="shared" si="1"/>
        <v>金</v>
      </c>
      <c r="D7" s="6">
        <f t="shared" si="0"/>
        <v>0</v>
      </c>
      <c r="E7" s="17">
        <v>0.375</v>
      </c>
      <c r="F7" s="17">
        <v>0.75</v>
      </c>
      <c r="G7" s="19">
        <v>4.1666666666666602E-2</v>
      </c>
      <c r="H7" s="17"/>
      <c r="I7" s="17"/>
      <c r="J7" s="17"/>
      <c r="K7" s="23" t="str" cm="1">
        <f t="array" ref="K7">IF(AND($I7&lt;&gt;"",$J7&lt;&gt;""),_xlfn.IFS(AND($I7&lt;=BASE_ST_TIME,$J7&lt;=LNBK_ST_TIME),TIME(0,0,0),AND($I7&lt;=LNBK_ST_TIME,LNBK_EN_TIME&lt;=$J7),BASE_LNBK_TIME,AND(DNBK_EN_TIME&lt;=$J7),""),"")</f>
        <v/>
      </c>
      <c r="L7" s="33"/>
      <c r="M7" s="18">
        <f t="shared" si="2"/>
        <v>0.33333333333333337</v>
      </c>
      <c r="N7" s="18">
        <f>IF(AND($E7&lt;&gt;"",$F7&lt;&gt;"",$G7&lt;&gt;""),SUM($M$4:$M7),"")</f>
        <v>1.3125</v>
      </c>
      <c r="O7" s="4"/>
    </row>
    <row r="8" spans="2:17" x14ac:dyDescent="0.4">
      <c r="B8" s="21">
        <f>IF($B$2&lt;&gt;"",$B$2+4,"")</f>
        <v>45843</v>
      </c>
      <c r="C8" s="30" t="str">
        <f t="shared" si="1"/>
        <v>土</v>
      </c>
      <c r="D8" s="6">
        <f t="shared" si="0"/>
        <v>1</v>
      </c>
      <c r="E8" s="17"/>
      <c r="F8" s="17"/>
      <c r="G8" s="19"/>
      <c r="H8" s="4"/>
      <c r="I8" s="17"/>
      <c r="J8" s="17"/>
      <c r="K8" s="23" t="str" cm="1">
        <f t="array" ref="K8">IF(AND($I8&lt;&gt;"",$J8&lt;&gt;""),_xlfn.IFS(AND($I8&lt;=BASE_ST_TIME,$J8&lt;=LNBK_ST_TIME),TIME(0,0,0),AND($I8&lt;=LNBK_ST_TIME,LNBK_EN_TIME&lt;=$J8),BASE_LNBK_TIME,AND(DNBK_EN_TIME&lt;=$J8),""),"")</f>
        <v/>
      </c>
      <c r="L8" s="33"/>
      <c r="M8" s="18" t="str">
        <f t="shared" si="2"/>
        <v/>
      </c>
      <c r="N8" s="18" t="str">
        <f>IF(AND($E8&lt;&gt;"",$F8&lt;&gt;"",$G8&lt;&gt;""),SUM($M$4:$M8),"")</f>
        <v/>
      </c>
      <c r="O8" s="4"/>
    </row>
    <row r="9" spans="2:17" x14ac:dyDescent="0.4">
      <c r="B9" s="21">
        <f>IF($B$2&lt;&gt;"",$B$2+5,"")</f>
        <v>45844</v>
      </c>
      <c r="C9" s="30" t="str">
        <f t="shared" si="1"/>
        <v>日</v>
      </c>
      <c r="D9" s="6">
        <f t="shared" si="0"/>
        <v>1</v>
      </c>
      <c r="E9" s="17"/>
      <c r="F9" s="17"/>
      <c r="G9" s="19"/>
      <c r="H9" s="4"/>
      <c r="I9" s="17"/>
      <c r="J9" s="17"/>
      <c r="K9" s="23" t="str" cm="1">
        <f t="array" ref="K9">IF(AND($I9&lt;&gt;"",$J9&lt;&gt;""),_xlfn.IFS(AND($I9&lt;=BASE_ST_TIME,$J9&lt;=LNBK_ST_TIME),TIME(0,0,0),AND($I9&lt;=LNBK_ST_TIME,LNBK_EN_TIME&lt;=$J9),BASE_LNBK_TIME,AND(DNBK_EN_TIME&lt;=$J9),""),"")</f>
        <v/>
      </c>
      <c r="L9" s="33"/>
      <c r="M9" s="18" t="str">
        <f t="shared" si="2"/>
        <v/>
      </c>
      <c r="N9" s="18" t="str">
        <f>IF(AND($E9&lt;&gt;"",$F9&lt;&gt;"",$G9&lt;&gt;""),SUM($M$4:$M9),"")</f>
        <v/>
      </c>
      <c r="O9" s="4"/>
    </row>
    <row r="10" spans="2:17" x14ac:dyDescent="0.4">
      <c r="B10" s="26">
        <f>IF($B$2&lt;&gt;"",$B$2+6,"")</f>
        <v>45845</v>
      </c>
      <c r="C10" s="30" t="str">
        <f t="shared" si="1"/>
        <v>月</v>
      </c>
      <c r="D10" s="6">
        <f t="shared" si="0"/>
        <v>0</v>
      </c>
      <c r="E10" s="17">
        <v>0.375</v>
      </c>
      <c r="F10" s="17">
        <v>0.75</v>
      </c>
      <c r="G10" s="19">
        <v>4.1666666666666602E-2</v>
      </c>
      <c r="H10" s="4"/>
      <c r="I10" s="17"/>
      <c r="J10" s="17"/>
      <c r="K10" s="23" t="str" cm="1">
        <f t="array" ref="K10">IF(AND($I10&lt;&gt;"",$J10&lt;&gt;""),_xlfn.IFS(AND($I10&lt;=BASE_ST_TIME,$J10&lt;=LNBK_ST_TIME),TIME(0,0,0),AND($I10&lt;=LNBK_ST_TIME,LNBK_EN_TIME&lt;=$J10),BASE_LNBK_TIME,AND(DNBK_EN_TIME&lt;=$J10),""),"")</f>
        <v/>
      </c>
      <c r="L10" s="33"/>
      <c r="M10" s="18">
        <f t="shared" si="2"/>
        <v>0.33333333333333337</v>
      </c>
      <c r="N10" s="18">
        <f>IF(AND($E10&lt;&gt;"",$F10&lt;&gt;"",$G10&lt;&gt;""),SUM($M$4:$M10),"")</f>
        <v>1.6458333333333335</v>
      </c>
      <c r="O10" s="4"/>
    </row>
    <row r="11" spans="2:17" x14ac:dyDescent="0.4">
      <c r="B11" s="21">
        <f>IF($B$2&lt;&gt;"",$B$2+7,"")</f>
        <v>45846</v>
      </c>
      <c r="C11" s="30" t="str">
        <f t="shared" si="1"/>
        <v>火</v>
      </c>
      <c r="D11" s="6">
        <f t="shared" si="0"/>
        <v>0</v>
      </c>
      <c r="E11" s="17">
        <v>0.375</v>
      </c>
      <c r="F11" s="17">
        <v>0.75</v>
      </c>
      <c r="G11" s="19">
        <v>4.1666666666666602E-2</v>
      </c>
      <c r="H11" s="4"/>
      <c r="I11" s="17"/>
      <c r="J11" s="17"/>
      <c r="K11" s="23" t="str" cm="1">
        <f t="array" ref="K11">IF(AND($I11&lt;&gt;"",$J11&lt;&gt;""),_xlfn.IFS(AND($I11&lt;=BASE_ST_TIME,$J11&lt;=LNBK_ST_TIME),TIME(0,0,0),AND($I11&lt;=LNBK_ST_TIME,LNBK_EN_TIME&lt;=$J11),BASE_LNBK_TIME,AND(DNBK_EN_TIME&lt;=$J11),""),"")</f>
        <v/>
      </c>
      <c r="L11" s="33"/>
      <c r="M11" s="18">
        <f t="shared" si="2"/>
        <v>0.33333333333333337</v>
      </c>
      <c r="N11" s="18">
        <f>IF(AND($E11&lt;&gt;"",$F11&lt;&gt;"",$G11&lt;&gt;""),SUM($M$4:$M11),"")</f>
        <v>1.979166666666667</v>
      </c>
      <c r="O11" s="4"/>
    </row>
    <row r="12" spans="2:17" x14ac:dyDescent="0.4">
      <c r="B12" s="27">
        <f>IF($B$2&lt;&gt;"",$B$2+8,"")</f>
        <v>45847</v>
      </c>
      <c r="C12" s="30" t="str">
        <f t="shared" si="1"/>
        <v>水</v>
      </c>
      <c r="D12" s="6">
        <f t="shared" si="0"/>
        <v>0</v>
      </c>
      <c r="E12" s="17">
        <v>0.375</v>
      </c>
      <c r="F12" s="17">
        <v>0.75</v>
      </c>
      <c r="G12" s="19">
        <v>4.1666666666666602E-2</v>
      </c>
      <c r="H12" s="4"/>
      <c r="I12" s="17"/>
      <c r="J12" s="17"/>
      <c r="K12" s="23" t="str" cm="1">
        <f t="array" ref="K12">IF(AND($I12&lt;&gt;"",$J12&lt;&gt;""),_xlfn.IFS(AND($I12&lt;=BASE_ST_TIME,$J12&lt;=LNBK_ST_TIME),TIME(0,0,0),AND($I12&lt;=LNBK_ST_TIME,LNBK_EN_TIME&lt;=$J12),BASE_LNBK_TIME,AND(DNBK_EN_TIME&lt;=$J12),""),"")</f>
        <v/>
      </c>
      <c r="L12" s="33"/>
      <c r="M12" s="18">
        <f t="shared" si="2"/>
        <v>0.33333333333333337</v>
      </c>
      <c r="N12" s="18">
        <f>IF(AND($E12&lt;&gt;"",$F12&lt;&gt;"",$G12&lt;&gt;""),SUM($M$4:$M12),"")</f>
        <v>2.3125000000000004</v>
      </c>
      <c r="O12" s="4"/>
    </row>
    <row r="13" spans="2:17" x14ac:dyDescent="0.4">
      <c r="B13" s="21">
        <f>IF($B$2&lt;&gt;"",$B$2+9,"")</f>
        <v>45848</v>
      </c>
      <c r="C13" s="30" t="str">
        <f t="shared" si="1"/>
        <v>木</v>
      </c>
      <c r="D13" s="6">
        <f t="shared" si="0"/>
        <v>0</v>
      </c>
      <c r="E13" s="17">
        <v>0.375</v>
      </c>
      <c r="F13" s="17">
        <v>0.75</v>
      </c>
      <c r="G13" s="19">
        <v>4.1666666666666602E-2</v>
      </c>
      <c r="H13" s="4"/>
      <c r="I13" s="17"/>
      <c r="J13" s="17"/>
      <c r="K13" s="23" t="str" cm="1">
        <f t="array" ref="K13">IF(AND($I13&lt;&gt;"",$J13&lt;&gt;""),_xlfn.IFS(AND($I13&lt;=BASE_ST_TIME,$J13&lt;=LNBK_ST_TIME),TIME(0,0,0),AND($I13&lt;=LNBK_ST_TIME,LNBK_EN_TIME&lt;=$J13),BASE_LNBK_TIME,AND(DNBK_EN_TIME&lt;=$J13),""),"")</f>
        <v/>
      </c>
      <c r="L13" s="33"/>
      <c r="M13" s="18">
        <f t="shared" si="2"/>
        <v>0.33333333333333337</v>
      </c>
      <c r="N13" s="18">
        <f>IF(AND($E13&lt;&gt;"",$F13&lt;&gt;"",$G13&lt;&gt;""),SUM($M$4:$M13),"")</f>
        <v>2.6458333333333339</v>
      </c>
      <c r="O13" s="4"/>
    </row>
    <row r="14" spans="2:17" x14ac:dyDescent="0.4">
      <c r="B14" s="21">
        <f>IF($B$2&lt;&gt;"",$B$2+10,"")</f>
        <v>45849</v>
      </c>
      <c r="C14" s="30" t="str">
        <f t="shared" si="1"/>
        <v>金</v>
      </c>
      <c r="D14" s="6">
        <f t="shared" si="0"/>
        <v>0</v>
      </c>
      <c r="E14" s="17">
        <v>0.375</v>
      </c>
      <c r="F14" s="17">
        <v>0.75</v>
      </c>
      <c r="G14" s="19">
        <v>4.1666666666666602E-2</v>
      </c>
      <c r="H14" s="4"/>
      <c r="I14" s="17"/>
      <c r="J14" s="17"/>
      <c r="K14" s="23" t="str" cm="1">
        <f t="array" ref="K14">IF(AND($I14&lt;&gt;"",$J14&lt;&gt;""),_xlfn.IFS(AND($I14&lt;=BASE_ST_TIME,$J14&lt;=LNBK_ST_TIME),TIME(0,0,0),AND($I14&lt;=LNBK_ST_TIME,LNBK_EN_TIME&lt;=$J14),BASE_LNBK_TIME,AND(DNBK_EN_TIME&lt;=$J14),""),"")</f>
        <v/>
      </c>
      <c r="L14" s="33"/>
      <c r="M14" s="18">
        <f t="shared" si="2"/>
        <v>0.33333333333333337</v>
      </c>
      <c r="N14" s="18">
        <f>IF(AND($E14&lt;&gt;"",$F14&lt;&gt;"",$G14&lt;&gt;""),SUM($M$4:$M14),"")</f>
        <v>2.9791666666666674</v>
      </c>
      <c r="O14" s="4"/>
    </row>
    <row r="15" spans="2:17" x14ac:dyDescent="0.4">
      <c r="B15" s="21">
        <f>IF($B$2&lt;&gt;"",$B$2+11,"")</f>
        <v>45850</v>
      </c>
      <c r="C15" s="30" t="str">
        <f t="shared" si="1"/>
        <v>土</v>
      </c>
      <c r="D15" s="6">
        <f t="shared" si="0"/>
        <v>1</v>
      </c>
      <c r="E15" s="17"/>
      <c r="F15" s="17"/>
      <c r="G15" s="19"/>
      <c r="H15" s="4"/>
      <c r="I15" s="17"/>
      <c r="J15" s="17"/>
      <c r="K15" s="23" t="str" cm="1">
        <f t="array" ref="K15">IF(AND($I15&lt;&gt;"",$J15&lt;&gt;""),_xlfn.IFS(AND($I15&lt;=BASE_ST_TIME,$J15&lt;=LNBK_ST_TIME),TIME(0,0,0),AND($I15&lt;=LNBK_ST_TIME,LNBK_EN_TIME&lt;=$J15),BASE_LNBK_TIME,AND(DNBK_EN_TIME&lt;=$J15),""),"")</f>
        <v/>
      </c>
      <c r="L15" s="33"/>
      <c r="M15" s="18" t="str">
        <f t="shared" si="2"/>
        <v/>
      </c>
      <c r="N15" s="18" t="str">
        <f>IF(AND($E15&lt;&gt;"",$F15&lt;&gt;"",$G15&lt;&gt;""),SUM($M$4:$M15),"")</f>
        <v/>
      </c>
      <c r="O15" s="4"/>
    </row>
    <row r="16" spans="2:17" x14ac:dyDescent="0.4">
      <c r="B16" s="21">
        <f>IF($B$2&lt;&gt;"",$B$2+12,"")</f>
        <v>45851</v>
      </c>
      <c r="C16" s="30" t="str">
        <f t="shared" si="1"/>
        <v>日</v>
      </c>
      <c r="D16" s="6">
        <f t="shared" si="0"/>
        <v>1</v>
      </c>
      <c r="E16" s="17"/>
      <c r="F16" s="17"/>
      <c r="G16" s="19"/>
      <c r="H16" s="4"/>
      <c r="I16" s="17"/>
      <c r="J16" s="17"/>
      <c r="K16" s="23" t="str" cm="1">
        <f t="array" ref="K16">IF(AND($I16&lt;&gt;"",$J16&lt;&gt;""),_xlfn.IFS(AND($I16&lt;=BASE_ST_TIME,$J16&lt;=LNBK_ST_TIME),TIME(0,0,0),AND($I16&lt;=LNBK_ST_TIME,LNBK_EN_TIME&lt;=$J16),BASE_LNBK_TIME,AND(DNBK_EN_TIME&lt;=$J16),""),"")</f>
        <v/>
      </c>
      <c r="L16" s="33"/>
      <c r="M16" s="18" t="str">
        <f t="shared" si="2"/>
        <v/>
      </c>
      <c r="N16" s="18" t="str">
        <f>IF(AND($E16&lt;&gt;"",$F16&lt;&gt;"",$G16&lt;&gt;""),SUM($M$4:$M16),"")</f>
        <v/>
      </c>
      <c r="O16" s="4"/>
    </row>
    <row r="17" spans="2:15" x14ac:dyDescent="0.4">
      <c r="B17" s="21">
        <f>IF($B$2&lt;&gt;"",$B$2+13,"")</f>
        <v>45852</v>
      </c>
      <c r="C17" s="30" t="str">
        <f t="shared" si="1"/>
        <v>月</v>
      </c>
      <c r="D17" s="6">
        <f t="shared" si="0"/>
        <v>0</v>
      </c>
      <c r="E17" s="17">
        <v>0.375</v>
      </c>
      <c r="F17" s="17">
        <v>0.75</v>
      </c>
      <c r="G17" s="19">
        <v>4.1666666666666602E-2</v>
      </c>
      <c r="H17" s="4"/>
      <c r="I17" s="17"/>
      <c r="J17" s="17"/>
      <c r="K17" s="23" t="str" cm="1">
        <f t="array" ref="K17">IF(AND($I17&lt;&gt;"",$J17&lt;&gt;""),_xlfn.IFS(AND($I17&lt;=BASE_ST_TIME,$J17&lt;=LNBK_ST_TIME),TIME(0,0,0),AND($I17&lt;=LNBK_ST_TIME,LNBK_EN_TIME&lt;=$J17),BASE_LNBK_TIME,AND(DNBK_EN_TIME&lt;=$J17),""),"")</f>
        <v/>
      </c>
      <c r="L17" s="33"/>
      <c r="M17" s="18">
        <f t="shared" si="2"/>
        <v>0.33333333333333337</v>
      </c>
      <c r="N17" s="18">
        <f>IF(AND($E17&lt;&gt;"",$F17&lt;&gt;"",$G17&lt;&gt;""),SUM($M$4:$M17),"")</f>
        <v>3.3125000000000009</v>
      </c>
      <c r="O17" s="4"/>
    </row>
    <row r="18" spans="2:15" x14ac:dyDescent="0.4">
      <c r="B18" s="21">
        <f>IF($B$2&lt;&gt;"",$B$2+14,"")</f>
        <v>45853</v>
      </c>
      <c r="C18" s="30" t="str">
        <f t="shared" si="1"/>
        <v>火</v>
      </c>
      <c r="D18" s="6">
        <f t="shared" si="0"/>
        <v>0</v>
      </c>
      <c r="E18" s="17">
        <v>0.375</v>
      </c>
      <c r="F18" s="17">
        <v>0.75</v>
      </c>
      <c r="G18" s="19">
        <v>4.1666666666666602E-2</v>
      </c>
      <c r="H18" s="4"/>
      <c r="I18" s="17"/>
      <c r="J18" s="17"/>
      <c r="K18" s="23" t="str" cm="1">
        <f t="array" ref="K18">IF(AND($I18&lt;&gt;"",$J18&lt;&gt;""),_xlfn.IFS(AND($I18&lt;=BASE_ST_TIME,$J18&lt;=LNBK_ST_TIME),TIME(0,0,0),AND($I18&lt;=LNBK_ST_TIME,LNBK_EN_TIME&lt;=$J18),BASE_LNBK_TIME,AND(DNBK_EN_TIME&lt;=$J18),""),"")</f>
        <v/>
      </c>
      <c r="L18" s="33"/>
      <c r="M18" s="18">
        <f t="shared" si="2"/>
        <v>0.33333333333333337</v>
      </c>
      <c r="N18" s="18">
        <f>IF(AND($E18&lt;&gt;"",$F18&lt;&gt;"",$G18&lt;&gt;""),SUM($M$4:$M18),"")</f>
        <v>3.6458333333333344</v>
      </c>
      <c r="O18" s="4"/>
    </row>
    <row r="19" spans="2:15" x14ac:dyDescent="0.4">
      <c r="B19" s="21">
        <f>IF($B$2&lt;&gt;"",$B$2+15,"")</f>
        <v>45854</v>
      </c>
      <c r="C19" s="30" t="str">
        <f t="shared" si="1"/>
        <v>水</v>
      </c>
      <c r="D19" s="6">
        <f t="shared" si="0"/>
        <v>0</v>
      </c>
      <c r="E19" s="17">
        <v>0.375</v>
      </c>
      <c r="F19" s="17">
        <v>0.75</v>
      </c>
      <c r="G19" s="19">
        <v>4.1666666666666602E-2</v>
      </c>
      <c r="H19" s="4"/>
      <c r="I19" s="17"/>
      <c r="J19" s="17"/>
      <c r="K19" s="23" t="str" cm="1">
        <f t="array" ref="K19">IF(AND($I19&lt;&gt;"",$J19&lt;&gt;""),_xlfn.IFS(AND($I19&lt;=BASE_ST_TIME,$J19&lt;=LNBK_ST_TIME),TIME(0,0,0),AND($I19&lt;=LNBK_ST_TIME,LNBK_EN_TIME&lt;=$J19),BASE_LNBK_TIME,AND(DNBK_EN_TIME&lt;=$J19),""),"")</f>
        <v/>
      </c>
      <c r="L19" s="33"/>
      <c r="M19" s="18">
        <f t="shared" si="2"/>
        <v>0.33333333333333337</v>
      </c>
      <c r="N19" s="18">
        <f>IF(AND($E19&lt;&gt;"",$F19&lt;&gt;"",$G19&lt;&gt;""),SUM($M$4:$M19),"")</f>
        <v>3.9791666666666679</v>
      </c>
      <c r="O19" s="4"/>
    </row>
    <row r="20" spans="2:15" x14ac:dyDescent="0.4">
      <c r="B20" s="21">
        <f>IF($B$2&lt;&gt;"",$B$2+16,"")</f>
        <v>45855</v>
      </c>
      <c r="C20" s="30" t="str">
        <f t="shared" si="1"/>
        <v>木</v>
      </c>
      <c r="D20" s="6">
        <f t="shared" si="0"/>
        <v>0</v>
      </c>
      <c r="E20" s="17">
        <v>0.375</v>
      </c>
      <c r="F20" s="17">
        <v>0.75</v>
      </c>
      <c r="G20" s="19">
        <v>4.1666666666666602E-2</v>
      </c>
      <c r="H20" s="4"/>
      <c r="I20" s="17"/>
      <c r="J20" s="17"/>
      <c r="K20" s="23" t="str" cm="1">
        <f t="array" ref="K20">IF(AND($I20&lt;&gt;"",$J20&lt;&gt;""),_xlfn.IFS(AND($I20&lt;=BASE_ST_TIME,$J20&lt;=LNBK_ST_TIME),TIME(0,0,0),AND($I20&lt;=LNBK_ST_TIME,LNBK_EN_TIME&lt;=$J20),BASE_LNBK_TIME,AND(DNBK_EN_TIME&lt;=$J20),""),"")</f>
        <v/>
      </c>
      <c r="L20" s="33"/>
      <c r="M20" s="18">
        <f t="shared" si="2"/>
        <v>0.33333333333333337</v>
      </c>
      <c r="N20" s="18">
        <f>IF(AND($E20&lt;&gt;"",$F20&lt;&gt;"",$G20&lt;&gt;""),SUM($M$4:$M20),"")</f>
        <v>4.3125000000000009</v>
      </c>
      <c r="O20" s="4"/>
    </row>
    <row r="21" spans="2:15" x14ac:dyDescent="0.4">
      <c r="B21" s="21">
        <f>IF($B$2&lt;&gt;"",$B$2+17,"")</f>
        <v>45856</v>
      </c>
      <c r="C21" s="30" t="str">
        <f t="shared" si="1"/>
        <v>金</v>
      </c>
      <c r="D21" s="6">
        <f t="shared" si="0"/>
        <v>0</v>
      </c>
      <c r="E21" s="17">
        <v>0.375</v>
      </c>
      <c r="F21" s="17">
        <v>0.75</v>
      </c>
      <c r="G21" s="19">
        <v>4.1666666666666602E-2</v>
      </c>
      <c r="H21" s="4"/>
      <c r="I21" s="17"/>
      <c r="J21" s="17"/>
      <c r="K21" s="23" t="str" cm="1">
        <f t="array" ref="K21">IF(AND($I21&lt;&gt;"",$J21&lt;&gt;""),_xlfn.IFS(AND($I21&lt;=BASE_ST_TIME,$J21&lt;=LNBK_ST_TIME),TIME(0,0,0),AND($I21&lt;=LNBK_ST_TIME,LNBK_EN_TIME&lt;=$J21),BASE_LNBK_TIME,AND(DNBK_EN_TIME&lt;=$J21),""),"")</f>
        <v/>
      </c>
      <c r="L21" s="33"/>
      <c r="M21" s="18">
        <f t="shared" si="2"/>
        <v>0.33333333333333337</v>
      </c>
      <c r="N21" s="18">
        <f>IF(AND($E21&lt;&gt;"",$F21&lt;&gt;"",$G21&lt;&gt;""),SUM($M$4:$M21),"")</f>
        <v>4.6458333333333339</v>
      </c>
      <c r="O21" s="4"/>
    </row>
    <row r="22" spans="2:15" x14ac:dyDescent="0.4">
      <c r="B22" s="21">
        <f>IF($B$2&lt;&gt;"",$B$2+18,"")</f>
        <v>45857</v>
      </c>
      <c r="C22" s="30" t="str">
        <f t="shared" si="1"/>
        <v>土</v>
      </c>
      <c r="D22" s="6">
        <f t="shared" si="0"/>
        <v>1</v>
      </c>
      <c r="E22" s="17"/>
      <c r="F22" s="17"/>
      <c r="G22" s="19"/>
      <c r="H22" s="4"/>
      <c r="I22" s="17"/>
      <c r="J22" s="17"/>
      <c r="K22" s="23" t="str" cm="1">
        <f t="array" ref="K22">IF(AND($I22&lt;&gt;"",$J22&lt;&gt;""),_xlfn.IFS(AND($I22&lt;=BASE_ST_TIME,$J22&lt;=LNBK_ST_TIME),TIME(0,0,0),AND($I22&lt;=LNBK_ST_TIME,LNBK_EN_TIME&lt;=$J22),BASE_LNBK_TIME,AND(DNBK_EN_TIME&lt;=$J22),""),"")</f>
        <v/>
      </c>
      <c r="L22" s="33"/>
      <c r="M22" s="18" t="str">
        <f t="shared" si="2"/>
        <v/>
      </c>
      <c r="N22" s="18" t="str">
        <f>IF(AND($E22&lt;&gt;"",$F22&lt;&gt;"",$G22&lt;&gt;""),SUM($M$4:$M22),"")</f>
        <v/>
      </c>
      <c r="O22" s="4"/>
    </row>
    <row r="23" spans="2:15" x14ac:dyDescent="0.4">
      <c r="B23" s="21">
        <f>IF($B$2&lt;&gt;"",$B$2+19,"")</f>
        <v>45858</v>
      </c>
      <c r="C23" s="30" t="str">
        <f t="shared" si="1"/>
        <v>日</v>
      </c>
      <c r="D23" s="6">
        <f t="shared" si="0"/>
        <v>1</v>
      </c>
      <c r="E23" s="17"/>
      <c r="F23" s="17"/>
      <c r="G23" s="19"/>
      <c r="H23" s="4"/>
      <c r="I23" s="17"/>
      <c r="J23" s="17"/>
      <c r="K23" s="23" t="str" cm="1">
        <f t="array" ref="K23">IF(AND($I23&lt;&gt;"",$J23&lt;&gt;""),_xlfn.IFS(AND($I23&lt;=BASE_ST_TIME,$J23&lt;=LNBK_ST_TIME),TIME(0,0,0),AND($I23&lt;=LNBK_ST_TIME,LNBK_EN_TIME&lt;=$J23),BASE_LNBK_TIME,AND(DNBK_EN_TIME&lt;=$J23),""),"")</f>
        <v/>
      </c>
      <c r="L23" s="33"/>
      <c r="M23" s="18" t="str">
        <f t="shared" si="2"/>
        <v/>
      </c>
      <c r="N23" s="18" t="str">
        <f>IF(AND($E23&lt;&gt;"",$F23&lt;&gt;"",$G23&lt;&gt;""),SUM($M$4:$M23),"")</f>
        <v/>
      </c>
      <c r="O23" s="4"/>
    </row>
    <row r="24" spans="2:15" x14ac:dyDescent="0.4">
      <c r="B24" s="21">
        <f>IF($B$2&lt;&gt;"",$B$2+20,"")</f>
        <v>45859</v>
      </c>
      <c r="C24" s="30" t="str">
        <f t="shared" si="1"/>
        <v>月</v>
      </c>
      <c r="D24" s="6">
        <f t="shared" si="0"/>
        <v>1</v>
      </c>
      <c r="E24" s="17"/>
      <c r="F24" s="17"/>
      <c r="G24" s="19"/>
      <c r="H24" s="4"/>
      <c r="I24" s="17"/>
      <c r="J24" s="17"/>
      <c r="K24" s="23" t="str" cm="1">
        <f t="array" ref="K24">IF(AND($I24&lt;&gt;"",$J24&lt;&gt;""),_xlfn.IFS(AND($I24&lt;=BASE_ST_TIME,$J24&lt;=LNBK_ST_TIME),TIME(0,0,0),AND($I24&lt;=LNBK_ST_TIME,LNBK_EN_TIME&lt;=$J24),BASE_LNBK_TIME,AND(DNBK_EN_TIME&lt;=$J24),""),"")</f>
        <v/>
      </c>
      <c r="L24" s="33"/>
      <c r="M24" s="18" t="str">
        <f t="shared" si="2"/>
        <v/>
      </c>
      <c r="N24" s="18" t="str">
        <f>IF(AND($E24&lt;&gt;"",$F24&lt;&gt;"",$G24&lt;&gt;""),SUM($M$4:$M24),"")</f>
        <v/>
      </c>
      <c r="O24" s="4"/>
    </row>
    <row r="25" spans="2:15" x14ac:dyDescent="0.4">
      <c r="B25" s="21">
        <f>IF($B$2&lt;&gt;"",$B$2+21,"")</f>
        <v>45860</v>
      </c>
      <c r="C25" s="30" t="str">
        <f t="shared" si="1"/>
        <v>火</v>
      </c>
      <c r="D25" s="6">
        <f t="shared" si="0"/>
        <v>0</v>
      </c>
      <c r="E25" s="17">
        <v>0.375</v>
      </c>
      <c r="F25" s="17">
        <v>0.75</v>
      </c>
      <c r="G25" s="19">
        <v>4.1666666666666602E-2</v>
      </c>
      <c r="H25" s="4"/>
      <c r="I25" s="17"/>
      <c r="J25" s="17"/>
      <c r="K25" s="23" t="str" cm="1">
        <f t="array" ref="K25">IF(AND($I25&lt;&gt;"",$J25&lt;&gt;""),_xlfn.IFS(AND($I25&lt;=BASE_ST_TIME,$J25&lt;=LNBK_ST_TIME),TIME(0,0,0),AND($I25&lt;=LNBK_ST_TIME,LNBK_EN_TIME&lt;=$J25),BASE_LNBK_TIME,AND(DNBK_EN_TIME&lt;=$J25),""),"")</f>
        <v/>
      </c>
      <c r="L25" s="33"/>
      <c r="M25" s="18">
        <f t="shared" si="2"/>
        <v>0.33333333333333337</v>
      </c>
      <c r="N25" s="18">
        <f>IF(AND($E25&lt;&gt;"",$F25&lt;&gt;"",$G25&lt;&gt;""),SUM($M$4:$M25),"")</f>
        <v>4.979166666666667</v>
      </c>
      <c r="O25" s="4"/>
    </row>
    <row r="26" spans="2:15" x14ac:dyDescent="0.4">
      <c r="B26" s="21">
        <f>IF($B$2&lt;&gt;"",$B$2+22,"")</f>
        <v>45861</v>
      </c>
      <c r="C26" s="30" t="str">
        <f t="shared" si="1"/>
        <v>水</v>
      </c>
      <c r="D26" s="6">
        <f t="shared" si="0"/>
        <v>0</v>
      </c>
      <c r="E26" s="17">
        <v>0.375</v>
      </c>
      <c r="F26" s="17">
        <v>0.75</v>
      </c>
      <c r="G26" s="19">
        <v>4.1666666666666602E-2</v>
      </c>
      <c r="H26" s="4"/>
      <c r="I26" s="17"/>
      <c r="J26" s="17"/>
      <c r="K26" s="23" t="str" cm="1">
        <f t="array" ref="K26">IF(AND($I26&lt;&gt;"",$J26&lt;&gt;""),_xlfn.IFS(AND($I26&lt;=BASE_ST_TIME,$J26&lt;=LNBK_ST_TIME),TIME(0,0,0),AND($I26&lt;=LNBK_ST_TIME,LNBK_EN_TIME&lt;=$J26),BASE_LNBK_TIME,AND(DNBK_EN_TIME&lt;=$J26),""),"")</f>
        <v/>
      </c>
      <c r="L26" s="33"/>
      <c r="M26" s="18">
        <f t="shared" si="2"/>
        <v>0.33333333333333337</v>
      </c>
      <c r="N26" s="18">
        <f>IF(AND($E26&lt;&gt;"",$F26&lt;&gt;"",$G26&lt;&gt;""),SUM($M$4:$M26),"")</f>
        <v>5.3125</v>
      </c>
      <c r="O26" s="4"/>
    </row>
    <row r="27" spans="2:15" x14ac:dyDescent="0.4">
      <c r="B27" s="21">
        <f>IF($B$2&lt;&gt;"",$B$2+23,"")</f>
        <v>45862</v>
      </c>
      <c r="C27" s="30" t="str">
        <f t="shared" si="1"/>
        <v>木</v>
      </c>
      <c r="D27" s="6">
        <f t="shared" si="0"/>
        <v>0</v>
      </c>
      <c r="E27" s="17">
        <v>0.375</v>
      </c>
      <c r="F27" s="17">
        <v>0.75</v>
      </c>
      <c r="G27" s="19">
        <v>4.1666666666666602E-2</v>
      </c>
      <c r="H27" s="4"/>
      <c r="I27" s="17"/>
      <c r="J27" s="17"/>
      <c r="K27" s="23" t="str" cm="1">
        <f t="array" ref="K27">IF(AND($I27&lt;&gt;"",$J27&lt;&gt;""),_xlfn.IFS(AND($I27&lt;=BASE_ST_TIME,$J27&lt;=LNBK_ST_TIME),TIME(0,0,0),AND($I27&lt;=LNBK_ST_TIME,LNBK_EN_TIME&lt;=$J27),BASE_LNBK_TIME,AND(DNBK_EN_TIME&lt;=$J27),""),"")</f>
        <v/>
      </c>
      <c r="L27" s="33"/>
      <c r="M27" s="18">
        <f t="shared" si="2"/>
        <v>0.33333333333333337</v>
      </c>
      <c r="N27" s="18">
        <f>IF(AND($E27&lt;&gt;"",$F27&lt;&gt;"",$G27&lt;&gt;""),SUM($M$4:$M27),"")</f>
        <v>5.645833333333333</v>
      </c>
      <c r="O27" s="4"/>
    </row>
    <row r="28" spans="2:15" x14ac:dyDescent="0.4">
      <c r="B28" s="21">
        <f>IF($B$2&lt;&gt;"",$B$2+24,"")</f>
        <v>45863</v>
      </c>
      <c r="C28" s="30" t="str">
        <f t="shared" si="1"/>
        <v>金</v>
      </c>
      <c r="D28" s="6">
        <f t="shared" si="0"/>
        <v>0</v>
      </c>
      <c r="E28" s="17">
        <v>0.375</v>
      </c>
      <c r="F28" s="17">
        <v>0.75</v>
      </c>
      <c r="G28" s="19">
        <v>4.1666666666666602E-2</v>
      </c>
      <c r="H28" s="4"/>
      <c r="I28" s="17"/>
      <c r="J28" s="17"/>
      <c r="K28" s="23" t="str" cm="1">
        <f t="array" ref="K28">IF(AND($I28&lt;&gt;"",$J28&lt;&gt;""),_xlfn.IFS(AND($I28&lt;=BASE_ST_TIME,$J28&lt;=LNBK_ST_TIME),TIME(0,0,0),AND($I28&lt;=LNBK_ST_TIME,LNBK_EN_TIME&lt;=$J28),BASE_LNBK_TIME,AND(DNBK_EN_TIME&lt;=$J28),""),"")</f>
        <v/>
      </c>
      <c r="L28" s="33"/>
      <c r="M28" s="18">
        <f t="shared" si="2"/>
        <v>0.33333333333333337</v>
      </c>
      <c r="N28" s="18">
        <f>IF(AND($E28&lt;&gt;"",$F28&lt;&gt;"",$G28&lt;&gt;""),SUM($M$4:$M28),"")</f>
        <v>5.9791666666666661</v>
      </c>
      <c r="O28" s="4"/>
    </row>
    <row r="29" spans="2:15" x14ac:dyDescent="0.4">
      <c r="B29" s="21">
        <f>IF($B$2&lt;&gt;"",$B$2+25,"")</f>
        <v>45864</v>
      </c>
      <c r="C29" s="30" t="str">
        <f t="shared" si="1"/>
        <v>土</v>
      </c>
      <c r="D29" s="6">
        <f t="shared" si="0"/>
        <v>1</v>
      </c>
      <c r="E29" s="17"/>
      <c r="F29" s="17"/>
      <c r="G29" s="19"/>
      <c r="H29" s="4"/>
      <c r="I29" s="17"/>
      <c r="J29" s="17"/>
      <c r="K29" s="23" t="str" cm="1">
        <f t="array" ref="K29">IF(AND($I29&lt;&gt;"",$J29&lt;&gt;""),_xlfn.IFS(AND($I29&lt;=BASE_ST_TIME,$J29&lt;=LNBK_ST_TIME),TIME(0,0,0),AND($I29&lt;=LNBK_ST_TIME,LNBK_EN_TIME&lt;=$J29),BASE_LNBK_TIME,AND(DNBK_EN_TIME&lt;=$J29),""),"")</f>
        <v/>
      </c>
      <c r="L29" s="33"/>
      <c r="M29" s="18" t="str">
        <f t="shared" si="2"/>
        <v/>
      </c>
      <c r="N29" s="18" t="str">
        <f>IF(AND($E29&lt;&gt;"",$F29&lt;&gt;"",$G29&lt;&gt;""),SUM($M$4:$M29),"")</f>
        <v/>
      </c>
      <c r="O29" s="4"/>
    </row>
    <row r="30" spans="2:15" x14ac:dyDescent="0.4">
      <c r="B30" s="21">
        <f>IF($B$2&lt;&gt;"",$B$2+26,"")</f>
        <v>45865</v>
      </c>
      <c r="C30" s="30" t="str">
        <f t="shared" si="1"/>
        <v>日</v>
      </c>
      <c r="D30" s="6">
        <f t="shared" si="0"/>
        <v>1</v>
      </c>
      <c r="E30" s="17"/>
      <c r="F30" s="17"/>
      <c r="G30" s="19"/>
      <c r="H30" s="4"/>
      <c r="I30" s="17"/>
      <c r="J30" s="17"/>
      <c r="K30" s="23" t="str" cm="1">
        <f t="array" ref="K30">IF(AND($I30&lt;&gt;"",$J30&lt;&gt;""),_xlfn.IFS(AND($I30&lt;=BASE_ST_TIME,$J30&lt;=LNBK_ST_TIME),TIME(0,0,0),AND($I30&lt;=LNBK_ST_TIME,LNBK_EN_TIME&lt;=$J30),BASE_LNBK_TIME,AND(DNBK_EN_TIME&lt;=$J30),""),"")</f>
        <v/>
      </c>
      <c r="L30" s="33"/>
      <c r="M30" s="18" t="str">
        <f t="shared" si="2"/>
        <v/>
      </c>
      <c r="N30" s="18" t="str">
        <f>IF(AND($E30&lt;&gt;"",$F30&lt;&gt;"",$G30&lt;&gt;""),SUM($M$4:$M30),"")</f>
        <v/>
      </c>
      <c r="O30" s="4"/>
    </row>
    <row r="31" spans="2:15" x14ac:dyDescent="0.4">
      <c r="B31" s="21">
        <f>IF($B$2&lt;&gt;"",$B$2+27,"")</f>
        <v>45866</v>
      </c>
      <c r="C31" s="30" t="str">
        <f t="shared" si="1"/>
        <v>月</v>
      </c>
      <c r="D31" s="6">
        <f t="shared" si="0"/>
        <v>0</v>
      </c>
      <c r="E31" s="17">
        <v>0.375</v>
      </c>
      <c r="F31" s="17">
        <v>0.75</v>
      </c>
      <c r="G31" s="19">
        <v>4.1666666666666602E-2</v>
      </c>
      <c r="H31" s="4"/>
      <c r="I31" s="17"/>
      <c r="J31" s="17"/>
      <c r="K31" s="23" t="str" cm="1">
        <f t="array" ref="K31">IF(AND($I31&lt;&gt;"",$J31&lt;&gt;""),_xlfn.IFS(AND($I31&lt;=BASE_ST_TIME,$J31&lt;=LNBK_ST_TIME),TIME(0,0,0),AND($I31&lt;=LNBK_ST_TIME,LNBK_EN_TIME&lt;=$J31),BASE_LNBK_TIME,AND(DNBK_EN_TIME&lt;=$J31),""),"")</f>
        <v/>
      </c>
      <c r="L31" s="33"/>
      <c r="M31" s="18">
        <f t="shared" si="2"/>
        <v>0.33333333333333337</v>
      </c>
      <c r="N31" s="18">
        <f>IF(AND($E31&lt;&gt;"",$F31&lt;&gt;"",$G31&lt;&gt;""),SUM($M$4:$M31),"")</f>
        <v>6.3124999999999991</v>
      </c>
      <c r="O31" s="4"/>
    </row>
    <row r="32" spans="2:15" x14ac:dyDescent="0.4">
      <c r="B32" s="21">
        <f>IF($B$2&lt;&gt;"",$B$2+28,"")</f>
        <v>45867</v>
      </c>
      <c r="C32" s="30" t="str">
        <f t="shared" si="1"/>
        <v>火</v>
      </c>
      <c r="D32" s="6">
        <f t="shared" si="0"/>
        <v>0</v>
      </c>
      <c r="E32" s="17">
        <v>0.375</v>
      </c>
      <c r="F32" s="17">
        <v>0.75</v>
      </c>
      <c r="G32" s="19">
        <v>4.1666666666666602E-2</v>
      </c>
      <c r="H32" s="4"/>
      <c r="I32" s="17"/>
      <c r="J32" s="17"/>
      <c r="K32" s="23" t="str" cm="1">
        <f t="array" ref="K32">IF(AND($I32&lt;&gt;"",$J32&lt;&gt;""),_xlfn.IFS(AND($I32&lt;=BASE_ST_TIME,$J32&lt;=LNBK_ST_TIME),TIME(0,0,0),AND($I32&lt;=LNBK_ST_TIME,LNBK_EN_TIME&lt;=$J32),BASE_LNBK_TIME,AND(DNBK_EN_TIME&lt;=$J32),""),"")</f>
        <v/>
      </c>
      <c r="L32" s="33"/>
      <c r="M32" s="18">
        <f t="shared" si="2"/>
        <v>0.33333333333333337</v>
      </c>
      <c r="N32" s="18">
        <f>IF(AND($E32&lt;&gt;"",$F32&lt;&gt;"",$G32&lt;&gt;""),SUM($M$4:$M32),"")</f>
        <v>6.6458333333333321</v>
      </c>
      <c r="O32" s="4"/>
    </row>
    <row r="33" spans="2:15" x14ac:dyDescent="0.4">
      <c r="B33" s="21">
        <f>IF($B$2&lt;&gt;"",$B$2+29,"")</f>
        <v>45868</v>
      </c>
      <c r="C33" s="30" t="str">
        <f t="shared" si="1"/>
        <v>水</v>
      </c>
      <c r="D33" s="6">
        <f t="shared" si="0"/>
        <v>0</v>
      </c>
      <c r="E33" s="17">
        <v>0.375</v>
      </c>
      <c r="F33" s="17">
        <v>0.75</v>
      </c>
      <c r="G33" s="19">
        <v>4.1666666666666602E-2</v>
      </c>
      <c r="H33" s="4"/>
      <c r="I33" s="17"/>
      <c r="J33" s="17"/>
      <c r="K33" s="23" t="str" cm="1">
        <f t="array" ref="K33">IF(AND($I33&lt;&gt;"",$J33&lt;&gt;""),_xlfn.IFS(AND($I33&lt;=BASE_ST_TIME,$J33&lt;=LNBK_ST_TIME),TIME(0,0,0),AND($I33&lt;=LNBK_ST_TIME,LNBK_EN_TIME&lt;=$J33),BASE_LNBK_TIME,AND(DNBK_EN_TIME&lt;=$J33),""),"")</f>
        <v/>
      </c>
      <c r="L33" s="33"/>
      <c r="M33" s="18">
        <f t="shared" si="2"/>
        <v>0.33333333333333337</v>
      </c>
      <c r="N33" s="18">
        <f>IF(AND($E33&lt;&gt;"",$F33&lt;&gt;"",$G33&lt;&gt;""),SUM($M$4:$M33),"")</f>
        <v>6.9791666666666652</v>
      </c>
      <c r="O33" s="4"/>
    </row>
    <row r="34" spans="2:15" x14ac:dyDescent="0.4">
      <c r="B34" s="21">
        <f>IF($B$2&lt;&gt;"",$B$2+30,"")</f>
        <v>45869</v>
      </c>
      <c r="C34" s="30" t="str">
        <f t="shared" si="1"/>
        <v>木</v>
      </c>
      <c r="D34" s="6">
        <f t="shared" si="0"/>
        <v>0</v>
      </c>
      <c r="E34" s="17">
        <v>0.375</v>
      </c>
      <c r="F34" s="17">
        <v>0.75</v>
      </c>
      <c r="G34" s="19">
        <v>4.1666666666666602E-2</v>
      </c>
      <c r="H34" s="4"/>
      <c r="I34" s="17"/>
      <c r="J34" s="17"/>
      <c r="K34" s="23" t="str" cm="1">
        <f t="array" ref="K34">IF(AND($I34&lt;&gt;"",$J34&lt;&gt;""),_xlfn.IFS(AND($I34&lt;=BASE_ST_TIME,$J34&lt;=LNBK_ST_TIME),TIME(0,0,0),AND($I34&lt;=LNBK_ST_TIME,LNBK_EN_TIME&lt;=$J34),BASE_LNBK_TIME,AND(DNBK_EN_TIME&lt;=$J34),""),"")</f>
        <v/>
      </c>
      <c r="L34" s="33"/>
      <c r="M34" s="18">
        <f t="shared" si="2"/>
        <v>0.33333333333333337</v>
      </c>
      <c r="N34" s="18">
        <f>IF(AND($E34&lt;&gt;"",$F34&lt;&gt;"",$G34&lt;&gt;""),SUM($M$4:$M34),"")</f>
        <v>7.3124999999999982</v>
      </c>
      <c r="O34" s="4"/>
    </row>
  </sheetData>
  <mergeCells count="2">
    <mergeCell ref="B1:C1"/>
    <mergeCell ref="B2:C2"/>
  </mergeCells>
  <phoneticPr fontId="1"/>
  <conditionalFormatting sqref="B4:N34">
    <cfRule type="expression" dxfId="1" priority="3">
      <formula>IF($D4=1,TRUE,FALSE)</formula>
    </cfRule>
    <cfRule type="expression" dxfId="0" priority="4">
      <formula>IF(AND($I4&lt;&gt;"",$J4&lt;&gt;""),TRUE,FALSE)</formula>
    </cfRule>
  </conditionalFormatting>
  <dataValidations count="1">
    <dataValidation type="list" allowBlank="1" showInputMessage="1" showErrorMessage="1" sqref="H4:H34" xr:uid="{CD821DB2-EA74-400C-AC0E-7BADC827638F}">
      <formula1>WORK_KBN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74441DD8614A34EAB918240CADC7AF9" ma:contentTypeVersion="5" ma:contentTypeDescription="新しいドキュメントを作成します。" ma:contentTypeScope="" ma:versionID="c2d71dc22a9ad64779e78d4064b740c0">
  <xsd:schema xmlns:xsd="http://www.w3.org/2001/XMLSchema" xmlns:xs="http://www.w3.org/2001/XMLSchema" xmlns:p="http://schemas.microsoft.com/office/2006/metadata/properties" xmlns:ns3="9306625e-a029-4da5-ac63-306f8d6569bb" targetNamespace="http://schemas.microsoft.com/office/2006/metadata/properties" ma:root="true" ma:fieldsID="2ed82b24e61c6e54fbf178f8b70961ab" ns3:_="">
    <xsd:import namespace="9306625e-a029-4da5-ac63-306f8d6569b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6625e-a029-4da5-ac63-306f8d6569b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scriptIds xmlns="http://schemas.microsoft.com/office/extensibility/maker/v1.0" id="script-ids-node-id">
  <scriptId id="ms-officescript%3A%2F%2Fonedrive_business_itemlink%2F01BZQCBQYD73UWCULNTZGZ2TPNVSZRVLTI:ms-officescript%3A%2F%2Fonedrive_business_sharinglink%2Fu!aHR0cHM6Ly9rZzg1LW15LnNoYXJlcG9pbnQuY29tLzp1Oi9nL3BlcnNvbmFsL2tfbWF0c3VuYWdhX2tnODVfb25taWNyb3NvZnRfY29tL0VRUC02V0ZSYlo1Tm5VM3RyTE1hcm1nQkJuOWNOVFJYVzVTXzRPREYwRkkzVmc"/>
</scriptId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E098C3-B1A0-44BE-BFD6-7AB892A162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4CE861-6A64-4AC9-945C-3021AAF06F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06625e-a029-4da5-ac63-306f8d6569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0A537E-3C06-49C8-9FAC-6F9CCA7178A4}">
  <ds:schemaRefs>
    <ds:schemaRef ds:uri="http://schemas.microsoft.com/office/extensibility/maker/v1.0"/>
  </ds:schemaRefs>
</ds:datastoreItem>
</file>

<file path=customXml/itemProps4.xml><?xml version="1.0" encoding="utf-8"?>
<ds:datastoreItem xmlns:ds="http://schemas.openxmlformats.org/officeDocument/2006/customXml" ds:itemID="{A0F179F4-6111-4478-8FED-B172C6867907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9306625e-a029-4da5-ac63-306f8d6569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16</vt:i4>
      </vt:variant>
    </vt:vector>
  </HeadingPairs>
  <TitlesOfParts>
    <vt:vector size="18" baseType="lpstr">
      <vt:lpstr>設定</vt:lpstr>
      <vt:lpstr>yyyymm</vt:lpstr>
      <vt:lpstr>BASE_DNBK_TIME</vt:lpstr>
      <vt:lpstr>BASE_EN_TIME</vt:lpstr>
      <vt:lpstr>BASE_LNBK_TIME</vt:lpstr>
      <vt:lpstr>BASE_NTBK_TIME</vt:lpstr>
      <vt:lpstr>BASE_ST_TIME</vt:lpstr>
      <vt:lpstr>BASE_WORK_TIME</vt:lpstr>
      <vt:lpstr>DNBK_EN_TIME</vt:lpstr>
      <vt:lpstr>DNBK_ST_TIME</vt:lpstr>
      <vt:lpstr>HEADER</vt:lpstr>
      <vt:lpstr>HOLIDAY_TABLE</vt:lpstr>
      <vt:lpstr>LNBK_EN_TIME</vt:lpstr>
      <vt:lpstr>LNBK_ST_TIME</vt:lpstr>
      <vt:lpstr>NTBK_EN_TIME</vt:lpstr>
      <vt:lpstr>NTBK_ST_TIME</vt:lpstr>
      <vt:lpstr>WEEKDAY_COL</vt:lpstr>
      <vt:lpstr>WORK_KBN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松永公彦</dc:creator>
  <cp:lastModifiedBy>松永公彦</cp:lastModifiedBy>
  <dcterms:created xsi:type="dcterms:W3CDTF">2025-03-04T09:49:37Z</dcterms:created>
  <dcterms:modified xsi:type="dcterms:W3CDTF">2025-07-16T23:48:27Z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0x010100474441DD8614A34EAB918240CADC7AF9</vt:lpwstr>
  </property>
</Properties>
</file>