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GitHub\keithgull\Documents\"/>
    </mc:Choice>
  </mc:AlternateContent>
  <xr:revisionPtr revIDLastSave="0" documentId="8_{05D7A2EF-B4E2-4752-B87E-CE509F9099F8}" xr6:coauthVersionLast="47" xr6:coauthVersionMax="47" xr10:uidLastSave="{00000000-0000-0000-0000-000000000000}"/>
  <bookViews>
    <workbookView xWindow="1515" yWindow="1515" windowWidth="25200" windowHeight="11295" activeTab="1" xr2:uid="{BA2AF2A3-0063-4DC5-B0AF-EF04DF30B750}"/>
  </bookViews>
  <sheets>
    <sheet name="設定" sheetId="2" r:id="rId1"/>
    <sheet name="yyyymm" sheetId="1" r:id="rId2"/>
  </sheets>
  <definedNames>
    <definedName name="BASE_DNBK_TIME">設定!$C$6</definedName>
    <definedName name="BASE_EN_TIME">設定!$B$2</definedName>
    <definedName name="BASE_LNBK_TIME">設定!$C$4</definedName>
    <definedName name="BASE_NTBK_TIME">設定!$C$8</definedName>
    <definedName name="BASE_ST_TIME">設定!$A$2</definedName>
    <definedName name="BASE_WORK_TIME">設定!$C$2</definedName>
    <definedName name="DNBK_EN_TIME">設定!$B$6</definedName>
    <definedName name="DNBK_ST_TIME">設定!$A$6</definedName>
    <definedName name="HEADER">yyyymm!$B$3</definedName>
    <definedName name="HOLIDAY_TABLE">設定!$E$2:$E$24</definedName>
    <definedName name="LNBK_EN_TIME">設定!$B$4</definedName>
    <definedName name="LNBK_ST_TIME">設定!$A$4</definedName>
    <definedName name="NTBK_EN_TIME">設定!$B$8</definedName>
    <definedName name="NTBK_ST_TIME">設定!$A$8</definedName>
    <definedName name="WEEKDAY_COL">yyyymm!$C$4:$C$33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/>
  <c r="J33" i="1" a="1"/>
  <c r="J32" i="1"/>
  <c r="J32" i="1" a="1"/>
  <c r="J31" i="1"/>
  <c r="J31" i="1" a="1"/>
  <c r="J30" i="1"/>
  <c r="J30" i="1" a="1"/>
  <c r="J29" i="1"/>
  <c r="J29" i="1" a="1"/>
  <c r="J28" i="1"/>
  <c r="J28" i="1" a="1"/>
  <c r="J27" i="1"/>
  <c r="J27" i="1" a="1"/>
  <c r="J26" i="1"/>
  <c r="J26" i="1" a="1"/>
  <c r="J25" i="1"/>
  <c r="J25" i="1" a="1"/>
  <c r="J24" i="1"/>
  <c r="J24" i="1" a="1"/>
  <c r="J23" i="1"/>
  <c r="J23" i="1" a="1"/>
  <c r="J22" i="1"/>
  <c r="J22" i="1" a="1"/>
  <c r="J21" i="1"/>
  <c r="J21" i="1" a="1"/>
  <c r="J20" i="1"/>
  <c r="J20" i="1" a="1"/>
  <c r="J19" i="1"/>
  <c r="J19" i="1" a="1"/>
  <c r="J18" i="1"/>
  <c r="J18" i="1" a="1"/>
  <c r="J17" i="1"/>
  <c r="J17" i="1" a="1"/>
  <c r="J16" i="1"/>
  <c r="J16" i="1" a="1"/>
  <c r="J15" i="1"/>
  <c r="J15" i="1" a="1"/>
  <c r="J14" i="1"/>
  <c r="J14" i="1" a="1"/>
  <c r="J13" i="1"/>
  <c r="J13" i="1" a="1"/>
  <c r="J12" i="1"/>
  <c r="J12" i="1" a="1"/>
  <c r="J11" i="1"/>
  <c r="J11" i="1" a="1"/>
  <c r="J10" i="1"/>
  <c r="J10" i="1" a="1"/>
  <c r="J9" i="1"/>
  <c r="J9" i="1" a="1"/>
  <c r="J8" i="1"/>
  <c r="J8" i="1" a="1"/>
  <c r="J7" i="1"/>
  <c r="J7" i="1" a="1"/>
  <c r="J6" i="1"/>
  <c r="J6" i="1" a="1"/>
  <c r="J5" i="1"/>
  <c r="J5" i="1" a="1"/>
  <c r="J4" i="1" a="1"/>
  <c r="J4" i="1" s="1"/>
  <c r="L4" i="1" s="1"/>
  <c r="L6" i="1"/>
  <c r="L32" i="1"/>
  <c r="L31" i="1"/>
  <c r="L30" i="1"/>
  <c r="L29" i="1"/>
  <c r="L28" i="1"/>
  <c r="L27" i="1"/>
  <c r="L26" i="1"/>
  <c r="L24" i="1"/>
  <c r="L23" i="1"/>
  <c r="L22" i="1"/>
  <c r="L21" i="1"/>
  <c r="L20" i="1"/>
  <c r="L19" i="1"/>
  <c r="L18" i="1"/>
  <c r="L16" i="1"/>
  <c r="L15" i="1"/>
  <c r="L14" i="1"/>
  <c r="L13" i="1"/>
  <c r="L12" i="1"/>
  <c r="L11" i="1"/>
  <c r="L10" i="1"/>
  <c r="L8" i="1"/>
  <c r="L7" i="1"/>
  <c r="L5" i="1"/>
  <c r="C8" i="2"/>
  <c r="C6" i="2"/>
  <c r="C4" i="2"/>
  <c r="C2" i="2" s="1"/>
  <c r="M32" i="1"/>
  <c r="M31" i="1"/>
  <c r="M25" i="1"/>
  <c r="M24" i="1"/>
  <c r="M22" i="1"/>
  <c r="M18" i="1"/>
  <c r="M17" i="1"/>
  <c r="M11" i="1"/>
  <c r="M10" i="1"/>
  <c r="M5" i="1"/>
  <c r="M4" i="1"/>
  <c r="L33" i="1"/>
  <c r="L25" i="1"/>
  <c r="L17" i="1"/>
  <c r="L9" i="1"/>
  <c r="B18" i="1"/>
  <c r="D29" i="1"/>
  <c r="B33" i="1"/>
  <c r="C33" i="1" s="1"/>
  <c r="D33" i="1" s="1"/>
  <c r="B32" i="1"/>
  <c r="C32" i="1" s="1"/>
  <c r="D32" i="1" s="1"/>
  <c r="B31" i="1"/>
  <c r="C31" i="1" s="1"/>
  <c r="D31" i="1" s="1"/>
  <c r="B30" i="1"/>
  <c r="C30" i="1" s="1"/>
  <c r="D30" i="1" s="1"/>
  <c r="B29" i="1"/>
  <c r="C29" i="1" s="1"/>
  <c r="B28" i="1"/>
  <c r="C28" i="1" s="1"/>
  <c r="D28" i="1" s="1"/>
  <c r="B27" i="1"/>
  <c r="C27" i="1" s="1"/>
  <c r="D27" i="1" s="1"/>
  <c r="B26" i="1"/>
  <c r="C26" i="1" s="1"/>
  <c r="D26" i="1" s="1"/>
  <c r="B25" i="1"/>
  <c r="C25" i="1" s="1"/>
  <c r="D25" i="1" s="1"/>
  <c r="B24" i="1"/>
  <c r="C24" i="1" s="1"/>
  <c r="D24" i="1" s="1"/>
  <c r="B23" i="1"/>
  <c r="C23" i="1" s="1"/>
  <c r="D23" i="1" s="1"/>
  <c r="B22" i="1"/>
  <c r="C22" i="1" s="1"/>
  <c r="D22" i="1" s="1"/>
  <c r="B21" i="1"/>
  <c r="C21" i="1" s="1"/>
  <c r="D21" i="1" s="1"/>
  <c r="B20" i="1"/>
  <c r="C20" i="1" s="1"/>
  <c r="D20" i="1" s="1"/>
  <c r="B19" i="1"/>
  <c r="C19" i="1" s="1"/>
  <c r="D19" i="1" s="1"/>
  <c r="B17" i="1"/>
  <c r="C17" i="1" s="1"/>
  <c r="D17" i="1" s="1"/>
  <c r="B16" i="1"/>
  <c r="C16" i="1" s="1"/>
  <c r="D16" i="1" s="1"/>
  <c r="B15" i="1"/>
  <c r="B14" i="1"/>
  <c r="C14" i="1" s="1"/>
  <c r="D14" i="1" s="1"/>
  <c r="B13" i="1"/>
  <c r="C13" i="1" s="1"/>
  <c r="D13" i="1" s="1"/>
  <c r="B12" i="1"/>
  <c r="C12" i="1" s="1"/>
  <c r="D12" i="1" s="1"/>
  <c r="B11" i="1"/>
  <c r="C11" i="1" s="1"/>
  <c r="D11" i="1" s="1"/>
  <c r="B10" i="1"/>
  <c r="C10" i="1" s="1"/>
  <c r="D10" i="1" s="1"/>
  <c r="B9" i="1"/>
  <c r="C9" i="1" s="1"/>
  <c r="D9" i="1" s="1"/>
  <c r="B8" i="1"/>
  <c r="C8" i="1" s="1"/>
  <c r="D8" i="1" s="1"/>
  <c r="B7" i="1"/>
  <c r="C7" i="1" s="1"/>
  <c r="D7" i="1" s="1"/>
  <c r="B6" i="1"/>
  <c r="C6" i="1" s="1"/>
  <c r="D6" i="1" s="1"/>
  <c r="B5" i="1"/>
  <c r="C5" i="1" s="1"/>
  <c r="D5" i="1" s="1"/>
  <c r="B4" i="1"/>
  <c r="C4" i="1" s="1"/>
  <c r="D4" i="1" s="1"/>
  <c r="C18" i="1" l="1"/>
  <c r="D18" i="1" s="1"/>
  <c r="M33" i="1"/>
  <c r="M15" i="1"/>
  <c r="M19" i="1"/>
  <c r="M20" i="1"/>
  <c r="M21" i="1"/>
  <c r="M14" i="1"/>
  <c r="M23" i="1"/>
  <c r="M9" i="1"/>
  <c r="M26" i="1"/>
  <c r="M13" i="1"/>
  <c r="M16" i="1"/>
  <c r="M8" i="1"/>
  <c r="M27" i="1"/>
  <c r="M28" i="1"/>
  <c r="M30" i="1"/>
  <c r="M7" i="1"/>
  <c r="M12" i="1"/>
  <c r="M29" i="1"/>
  <c r="M6" i="1"/>
  <c r="P6" i="1"/>
  <c r="P5" i="1"/>
  <c r="C15" i="1"/>
  <c r="D15" i="1" s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<sst xmlns="http://schemas.openxmlformats.org/spreadsheetml/2006/main" count="48" uniqueCount="43">
  <si>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年月</t>
    <rPh sb="0" eb="2">
      <t>ネンゲツ</t>
    </rPh>
    <phoneticPr fontId="1"/>
  </si>
  <si>
    <t>実績</t>
    <rPh sb="0" eb="2">
      <t>ジッセキ</t>
    </rPh>
    <phoneticPr fontId="1"/>
  </si>
  <si>
    <t>祝日テーブル</t>
    <rPh sb="0" eb="2">
      <t>シュクジツ</t>
    </rPh>
    <phoneticPr fontId="1"/>
  </si>
  <si>
    <t>元日</t>
    <rPh sb="0" eb="2">
      <t>ガンジツ</t>
    </rPh>
    <phoneticPr fontId="1"/>
  </si>
  <si>
    <t>お正月</t>
    <rPh sb="1" eb="3">
      <t>ショウガツ</t>
    </rPh>
    <phoneticPr fontId="1"/>
  </si>
  <si>
    <t>成人の日</t>
    <rPh sb="0" eb="2">
      <t>セイジン</t>
    </rPh>
    <rPh sb="3" eb="4">
      <t>ヒ</t>
    </rPh>
    <phoneticPr fontId="1"/>
  </si>
  <si>
    <t>建国記念日</t>
    <rPh sb="0" eb="2">
      <t>ケンコク</t>
    </rPh>
    <rPh sb="2" eb="5">
      <t>キネンビ</t>
    </rPh>
    <phoneticPr fontId="1"/>
  </si>
  <si>
    <t>天皇誕生日</t>
    <rPh sb="0" eb="5">
      <t>テンノウタンジョウビ</t>
    </rPh>
    <phoneticPr fontId="1"/>
  </si>
  <si>
    <t>振替休日</t>
    <rPh sb="0" eb="2">
      <t>フリカエ</t>
    </rPh>
    <rPh sb="2" eb="4">
      <t>キュウジツ</t>
    </rPh>
    <phoneticPr fontId="1"/>
  </si>
  <si>
    <t>春分の日</t>
    <rPh sb="0" eb="2">
      <t>シュンブン</t>
    </rPh>
    <rPh sb="3" eb="4">
      <t>ヒ</t>
    </rPh>
    <phoneticPr fontId="1"/>
  </si>
  <si>
    <t>昭和の日</t>
    <rPh sb="0" eb="2">
      <t>ショウワ</t>
    </rPh>
    <rPh sb="3" eb="4">
      <t>ヒ</t>
    </rPh>
    <phoneticPr fontId="1"/>
  </si>
  <si>
    <t>憲法記念日</t>
    <rPh sb="0" eb="2">
      <t>ケンポウ</t>
    </rPh>
    <rPh sb="2" eb="5">
      <t>キネンビ</t>
    </rPh>
    <phoneticPr fontId="1"/>
  </si>
  <si>
    <t>みどりの日</t>
    <rPh sb="4" eb="5">
      <t>ヒ</t>
    </rPh>
    <phoneticPr fontId="1"/>
  </si>
  <si>
    <t>こどもの日</t>
    <rPh sb="4" eb="5">
      <t>ヒ</t>
    </rPh>
    <phoneticPr fontId="1"/>
  </si>
  <si>
    <t>海の日</t>
    <rPh sb="0" eb="1">
      <t>ウミ</t>
    </rPh>
    <rPh sb="2" eb="3">
      <t>ヒ</t>
    </rPh>
    <phoneticPr fontId="1"/>
  </si>
  <si>
    <t>山の日</t>
    <rPh sb="0" eb="1">
      <t>ヤマ</t>
    </rPh>
    <rPh sb="2" eb="3">
      <t>ヒ</t>
    </rPh>
    <phoneticPr fontId="1"/>
  </si>
  <si>
    <t>敬老の日</t>
    <rPh sb="0" eb="2">
      <t>ケイロウ</t>
    </rPh>
    <rPh sb="3" eb="4">
      <t>ヒ</t>
    </rPh>
    <phoneticPr fontId="1"/>
  </si>
  <si>
    <t>秋分の日</t>
    <rPh sb="0" eb="2">
      <t>シュウブン</t>
    </rPh>
    <rPh sb="3" eb="4">
      <t>ヒ</t>
    </rPh>
    <phoneticPr fontId="1"/>
  </si>
  <si>
    <t>スポーツの日</t>
    <rPh sb="5" eb="6">
      <t>ヒ</t>
    </rPh>
    <phoneticPr fontId="1"/>
  </si>
  <si>
    <t>文化の日</t>
    <rPh sb="0" eb="2">
      <t>ブンカ</t>
    </rPh>
    <rPh sb="3" eb="4">
      <t>ヒ</t>
    </rPh>
    <phoneticPr fontId="1"/>
  </si>
  <si>
    <t>勤労感謝の日</t>
    <rPh sb="0" eb="4">
      <t>キンロウカンシャ</t>
    </rPh>
    <rPh sb="5" eb="6">
      <t>ヒ</t>
    </rPh>
    <phoneticPr fontId="1"/>
  </si>
  <si>
    <t>始業</t>
    <phoneticPr fontId="1"/>
  </si>
  <si>
    <t>見込み</t>
    <phoneticPr fontId="1"/>
  </si>
  <si>
    <t>終業</t>
    <phoneticPr fontId="1"/>
  </si>
  <si>
    <t>休憩</t>
    <phoneticPr fontId="1"/>
  </si>
  <si>
    <t>稼働時間</t>
    <phoneticPr fontId="1"/>
  </si>
  <si>
    <t>累積
稼働時間</t>
    <phoneticPr fontId="1"/>
  </si>
  <si>
    <t>その他
休憩</t>
    <phoneticPr fontId="1"/>
  </si>
  <si>
    <t>法定
休憩</t>
    <phoneticPr fontId="1"/>
  </si>
  <si>
    <t>日付</t>
    <rPh sb="0" eb="2">
      <t>ヒヅケ</t>
    </rPh>
    <phoneticPr fontId="1"/>
  </si>
  <si>
    <t>基準時間
始業</t>
    <rPh sb="0" eb="2">
      <t>キジュン</t>
    </rPh>
    <rPh sb="2" eb="4">
      <t>ジカン</t>
    </rPh>
    <rPh sb="5" eb="7">
      <t>シギョウ</t>
    </rPh>
    <phoneticPr fontId="1"/>
  </si>
  <si>
    <t>基準時間
終業</t>
    <rPh sb="0" eb="4">
      <t>キジュンジカン</t>
    </rPh>
    <rPh sb="5" eb="7">
      <t>シュウギョウ</t>
    </rPh>
    <phoneticPr fontId="1"/>
  </si>
  <si>
    <t>稼働日</t>
    <rPh sb="0" eb="3">
      <t>カドウビ</t>
    </rPh>
    <phoneticPr fontId="1"/>
  </si>
  <si>
    <t>営業日</t>
    <rPh sb="0" eb="3">
      <t>エイギョウビ</t>
    </rPh>
    <phoneticPr fontId="1"/>
  </si>
  <si>
    <t>合計時間</t>
    <rPh sb="0" eb="2">
      <t>ゴウケイ</t>
    </rPh>
    <rPh sb="2" eb="4">
      <t>ジカン</t>
    </rPh>
    <phoneticPr fontId="1"/>
  </si>
  <si>
    <t>基準
稼働時間</t>
    <rPh sb="0" eb="2">
      <t>キジュン</t>
    </rPh>
    <rPh sb="3" eb="7">
      <t>カドウジカン</t>
    </rPh>
    <phoneticPr fontId="1"/>
  </si>
  <si>
    <t>昼休開始</t>
    <rPh sb="0" eb="1">
      <t>ヒル</t>
    </rPh>
    <rPh sb="1" eb="2">
      <t>ヤス</t>
    </rPh>
    <rPh sb="2" eb="4">
      <t>カイシ</t>
    </rPh>
    <phoneticPr fontId="1"/>
  </si>
  <si>
    <t>昼休終了</t>
    <rPh sb="0" eb="2">
      <t>ヒルヤス</t>
    </rPh>
    <rPh sb="2" eb="4">
      <t>シュウリョウ</t>
    </rPh>
    <phoneticPr fontId="1"/>
  </si>
  <si>
    <t>夕休開始</t>
    <rPh sb="0" eb="1">
      <t>ユウ</t>
    </rPh>
    <rPh sb="1" eb="2">
      <t>キュウ</t>
    </rPh>
    <rPh sb="2" eb="4">
      <t>カイシ</t>
    </rPh>
    <phoneticPr fontId="1"/>
  </si>
  <si>
    <t>夕休終了</t>
    <rPh sb="0" eb="1">
      <t>ユウ</t>
    </rPh>
    <rPh sb="1" eb="2">
      <t>キュウ</t>
    </rPh>
    <rPh sb="2" eb="4">
      <t>シュウリョウ</t>
    </rPh>
    <phoneticPr fontId="1"/>
  </si>
  <si>
    <t>夜休開始</t>
    <rPh sb="0" eb="1">
      <t>ヨル</t>
    </rPh>
    <rPh sb="1" eb="2">
      <t>キュウ</t>
    </rPh>
    <rPh sb="2" eb="4">
      <t>カイシ</t>
    </rPh>
    <phoneticPr fontId="1"/>
  </si>
  <si>
    <t>夜休終了</t>
    <rPh sb="0" eb="1">
      <t>ヨル</t>
    </rPh>
    <rPh sb="1" eb="2">
      <t>キュウ</t>
    </rPh>
    <rPh sb="2" eb="4">
      <t>シュウリョウ</t>
    </rPh>
    <phoneticPr fontId="1"/>
  </si>
  <si>
    <t>曜日</t>
    <rPh sb="0" eb="2">
      <t>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</si>
</sst>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h:mm"/>
    <numFmt numFmtId="178" formatCode="mm/dd"/>
    <numFmt numFmtId="179" formatCode="0&quot;日&quot;"/>
    <numFmt numFmtId="180" formatCode="[h]:mm"/>
    <numFmt numFmtId="181" formatCode="yyyy&quot;年&quot;mm&quot;月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quotePrefix="1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20" fontId="2" fillId="0" borderId="1" xfId="0" applyNumberFormat="1" applyFont="1" applyBorder="1">
      <alignment vertical="center"/>
    </xf>
    <xf numFmtId="177" fontId="2" fillId="5" borderId="1" xfId="0" applyNumberFormat="1" applyFont="1" applyFill="1" applyBorder="1">
      <alignment vertical="center"/>
    </xf>
    <xf numFmtId="177" fontId="2" fillId="0" borderId="1" xfId="0" applyNumberFormat="1" applyFont="1" applyBorder="1">
      <alignment vertical="center"/>
    </xf>
    <xf numFmtId="20" fontId="2" fillId="5" borderId="1" xfId="0" applyNumberFormat="1" applyFont="1" applyFill="1" applyBorder="1">
      <alignment vertical="center"/>
    </xf>
    <xf numFmtId="178" fontId="2" fillId="0" borderId="1" xfId="0" applyNumberFormat="1" applyFont="1" applyBorder="1">
      <alignment vertical="center"/>
    </xf>
    <xf numFmtId="179" fontId="2" fillId="5" borderId="1" xfId="0" applyNumberFormat="1" applyFont="1" applyFill="1" applyBorder="1">
      <alignment vertical="center"/>
    </xf>
    <xf numFmtId="180" fontId="2" fillId="5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vertical="center" textRotation="255"/>
    </xf>
    <xf numFmtId="5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81" fontId="2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2"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4ACA-9083-43CC-B663-9A3E6DEA1DCF}">
  <dimension ref="A1:F24"/>
  <sheetViews>
    <sheetView zoomScale="85" zoomScaleNormal="85" workbookViewId="0">
      <selection activeCell="A4" sqref="A4"/>
    </sheetView>
  </sheetViews>
  <sheetFormatPr defaultRowHeight="18.75" x14ac:dyDescent="0.4"/>
  <cols>
    <col min="4" max="4" width="3.875" customWidth="1"/>
    <col min="5" max="5" width="12.75" bestFit="1" customWidth="1"/>
    <col min="6" max="6" width="19" customWidth="1"/>
  </cols>
  <sheetData>
    <row r="1" spans="1:6" ht="31.5" x14ac:dyDescent="0.4">
      <c r="A1" s="17" t="s">
        <v>30</v>
      </c>
      <c r="B1" s="17" t="s">
        <v>31</v>
      </c>
      <c r="C1" s="17" t="s">
        <v>35</v>
      </c>
      <c r="E1" s="3" t="s">
        <v>2</v>
      </c>
      <c r="F1" s="3"/>
    </row>
    <row r="2" spans="1:6" x14ac:dyDescent="0.4">
      <c r="A2" s="19">
        <v>0.375</v>
      </c>
      <c r="B2" s="19">
        <v>0.75</v>
      </c>
      <c r="C2" s="22">
        <f>BASE_EN_TIME - BASE_ST_TIME - BASE_LNBK_TIME</f>
        <v>0.33333333333333337</v>
      </c>
      <c r="E2" s="5">
        <v>45658</v>
      </c>
      <c r="F2" s="4" t="s">
        <v>3</v>
      </c>
    </row>
    <row r="3" spans="1:6" x14ac:dyDescent="0.4">
      <c r="A3" s="3" t="s">
        <v>36</v>
      </c>
      <c r="B3" s="3" t="s">
        <v>37</v>
      </c>
      <c r="C3" s="3"/>
      <c r="E3" s="5">
        <v>45659</v>
      </c>
      <c r="F3" s="4" t="s">
        <v>4</v>
      </c>
    </row>
    <row r="4" spans="1:6" x14ac:dyDescent="0.4">
      <c r="A4" s="19">
        <v>0.5</v>
      </c>
      <c r="B4" s="19">
        <v>0.54166666666666663</v>
      </c>
      <c r="C4" s="22">
        <f>LNBK_EN_TIME-LNBK_ST_TIME</f>
        <v>4.166666666666663E-2</v>
      </c>
      <c r="E4" s="5">
        <v>45660</v>
      </c>
      <c r="F4" s="4" t="s">
        <v>4</v>
      </c>
    </row>
    <row r="5" spans="1:6" x14ac:dyDescent="0.4">
      <c r="A5" s="3" t="s">
        <v>38</v>
      </c>
      <c r="B5" s="3" t="s">
        <v>39</v>
      </c>
      <c r="C5" s="3"/>
      <c r="E5" s="5">
        <v>45670</v>
      </c>
      <c r="F5" s="4" t="s">
        <v>5</v>
      </c>
    </row>
    <row r="6" spans="1:6" x14ac:dyDescent="0.4">
      <c r="A6" s="19">
        <v>0.75</v>
      </c>
      <c r="B6" s="19">
        <v>0.77083333333333337</v>
      </c>
      <c r="C6" s="20">
        <f>DNBK_EN_TIME-DNBK_ST_TIME</f>
        <v>2.083333333333337E-2</v>
      </c>
      <c r="E6" s="5">
        <v>45699</v>
      </c>
      <c r="F6" s="4" t="s">
        <v>6</v>
      </c>
    </row>
    <row r="7" spans="1:6" x14ac:dyDescent="0.4">
      <c r="A7" s="3" t="s">
        <v>40</v>
      </c>
      <c r="B7" s="3" t="s">
        <v>41</v>
      </c>
      <c r="C7" s="3"/>
      <c r="E7" s="5">
        <v>45711</v>
      </c>
      <c r="F7" s="4" t="s">
        <v>7</v>
      </c>
    </row>
    <row r="8" spans="1:6" x14ac:dyDescent="0.4">
      <c r="A8" s="19">
        <v>0.91666666666666663</v>
      </c>
      <c r="B8" s="19">
        <v>0.9375</v>
      </c>
      <c r="C8" s="20">
        <f>NTBK_EN_TIME-NTBK_ST_TIME</f>
        <v>2.083333333333337E-2</v>
      </c>
      <c r="E8" s="5">
        <v>45712</v>
      </c>
      <c r="F8" s="4" t="s">
        <v>8</v>
      </c>
    </row>
    <row r="9" spans="1:6" x14ac:dyDescent="0.4">
      <c r="E9" s="5">
        <v>45736</v>
      </c>
      <c r="F9" s="4" t="s">
        <v>9</v>
      </c>
    </row>
    <row r="10" spans="1:6" x14ac:dyDescent="0.4">
      <c r="E10" s="5">
        <v>45776</v>
      </c>
      <c r="F10" s="4" t="s">
        <v>10</v>
      </c>
    </row>
    <row r="11" spans="1:6" x14ac:dyDescent="0.4">
      <c r="E11" s="5">
        <v>45780</v>
      </c>
      <c r="F11" s="4" t="s">
        <v>11</v>
      </c>
    </row>
    <row r="12" spans="1:6" x14ac:dyDescent="0.4">
      <c r="E12" s="5">
        <v>45781</v>
      </c>
      <c r="F12" s="4" t="s">
        <v>12</v>
      </c>
    </row>
    <row r="13" spans="1:6" x14ac:dyDescent="0.4">
      <c r="E13" s="5">
        <v>45782</v>
      </c>
      <c r="F13" s="4" t="s">
        <v>13</v>
      </c>
    </row>
    <row r="14" spans="1:6" x14ac:dyDescent="0.4">
      <c r="E14" s="5">
        <v>45783</v>
      </c>
      <c r="F14" s="4" t="s">
        <v>8</v>
      </c>
    </row>
    <row r="15" spans="1:6" x14ac:dyDescent="0.4">
      <c r="E15" s="5">
        <v>45859</v>
      </c>
      <c r="F15" s="4" t="s">
        <v>14</v>
      </c>
    </row>
    <row r="16" spans="1:6" x14ac:dyDescent="0.4">
      <c r="E16" s="5">
        <v>45880</v>
      </c>
      <c r="F16" s="4" t="s">
        <v>15</v>
      </c>
    </row>
    <row r="17" spans="5:6" x14ac:dyDescent="0.4">
      <c r="E17" s="5">
        <v>45915</v>
      </c>
      <c r="F17" s="4" t="s">
        <v>16</v>
      </c>
    </row>
    <row r="18" spans="5:6" x14ac:dyDescent="0.4">
      <c r="E18" s="5">
        <v>45923</v>
      </c>
      <c r="F18" s="4" t="s">
        <v>17</v>
      </c>
    </row>
    <row r="19" spans="5:6" x14ac:dyDescent="0.4">
      <c r="E19" s="5">
        <v>45943</v>
      </c>
      <c r="F19" s="4" t="s">
        <v>18</v>
      </c>
    </row>
    <row r="20" spans="5:6" x14ac:dyDescent="0.4">
      <c r="E20" s="5">
        <v>45964</v>
      </c>
      <c r="F20" s="4" t="s">
        <v>19</v>
      </c>
    </row>
    <row r="21" spans="5:6" x14ac:dyDescent="0.4">
      <c r="E21" s="5">
        <v>45984</v>
      </c>
      <c r="F21" s="4" t="s">
        <v>20</v>
      </c>
    </row>
    <row r="22" spans="5:6" x14ac:dyDescent="0.4">
      <c r="E22" s="5">
        <v>45985</v>
      </c>
      <c r="F22" s="4" t="s">
        <v>8</v>
      </c>
    </row>
    <row r="23" spans="5:6" x14ac:dyDescent="0.4">
      <c r="E23" s="5"/>
      <c r="F23" s="4"/>
    </row>
    <row r="24" spans="5:6" x14ac:dyDescent="0.4">
      <c r="E24" s="5"/>
      <c r="F24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7D90-024A-4FE3-933C-7E76028E1D53}">
  <dimension ref="B1:P33"/>
  <sheetViews>
    <sheetView tabSelected="1" zoomScale="70" zoomScaleNormal="70" workbookViewId="0">
      <selection activeCell="E1" sqref="E1"/>
    </sheetView>
  </sheetViews>
  <sheetFormatPr defaultRowHeight="15.75" x14ac:dyDescent="0.4"/>
  <cols>
    <col min="1" max="1" width="2" style="1" customWidth="1"/>
    <col min="2" max="2" width="12" style="1" customWidth="1"/>
    <col min="3" max="3" width="3.25" style="1" customWidth="1"/>
    <col min="4" max="4" width="3.125" style="1" hidden="1" customWidth="1"/>
    <col min="5" max="5" width="9.25" style="1" customWidth="1"/>
    <col min="6" max="18" width="9" style="1"/>
    <col min="19" max="19" width="9.5" style="1" bestFit="1" customWidth="1"/>
    <col min="20" max="20" width="9" style="1"/>
    <col min="21" max="21" width="12.75" style="1" bestFit="1" customWidth="1"/>
    <col min="22" max="22" width="14.75" style="1" customWidth="1"/>
    <col min="23" max="16384" width="9" style="1"/>
  </cols>
  <sheetData>
    <row r="1" spans="2:16" x14ac:dyDescent="0.4">
      <c r="B1" s="28" t="s">
        <v>0</v>
      </c>
      <c r="C1" s="28"/>
    </row>
    <row r="2" spans="2:16" x14ac:dyDescent="0.4">
      <c r="B2" s="29">
        <v>45717</v>
      </c>
      <c r="C2" s="29"/>
      <c r="D2" s="2"/>
      <c r="E2" s="7" t="s">
        <v>22</v>
      </c>
      <c r="F2" s="8"/>
      <c r="G2" s="9"/>
      <c r="H2" s="10" t="s">
        <v>1</v>
      </c>
      <c r="I2" s="11"/>
      <c r="J2" s="11"/>
      <c r="K2" s="16"/>
    </row>
    <row r="3" spans="2:16" ht="33" x14ac:dyDescent="0.4">
      <c r="B3" s="3" t="s">
        <v>29</v>
      </c>
      <c r="C3" s="26" t="s">
        <v>42</v>
      </c>
      <c r="D3" s="3"/>
      <c r="E3" s="3" t="s">
        <v>21</v>
      </c>
      <c r="F3" s="3" t="s">
        <v>23</v>
      </c>
      <c r="G3" s="3" t="s">
        <v>24</v>
      </c>
      <c r="H3" s="12" t="s">
        <v>21</v>
      </c>
      <c r="I3" s="12" t="s">
        <v>23</v>
      </c>
      <c r="J3" s="15" t="s">
        <v>28</v>
      </c>
      <c r="K3" s="15" t="s">
        <v>27</v>
      </c>
      <c r="L3" s="13" t="s">
        <v>25</v>
      </c>
      <c r="M3" s="14" t="s">
        <v>26</v>
      </c>
    </row>
    <row r="4" spans="2:16" x14ac:dyDescent="0.4">
      <c r="B4" s="23">
        <f>IF($B$2&lt;&gt;"",$B$2,"")</f>
        <v>45717</v>
      </c>
      <c r="C4" s="27" t="str">
        <f>CHOOSE(WEEKDAY($B4),"日","月","火","水","木","金","土")</f>
        <v>土</v>
      </c>
      <c r="D4" s="6">
        <f t="shared" ref="D4:D33" si="0">IF(OR($C4="土",$C4="日",NOT(ISNA(VLOOKUP($B4,HOLIDAY_TABLE,1,FALSE))),MONTH($B$2)+1&lt;=MONTH($B4)),1,0)</f>
        <v>1</v>
      </c>
      <c r="E4" s="19"/>
      <c r="F4" s="19"/>
      <c r="G4" s="21"/>
      <c r="H4" s="4"/>
      <c r="I4" s="4"/>
      <c r="J4" s="18" t="str" cm="1">
        <f t="array" ref="J4">IF(AND($H4&lt;&gt;"",$I4&lt;&gt;""),_xlfn.IFS(AND($H4&lt;=BASE_ST_TIME,$I4&lt;=LNBK_ST_TIME),TIME(0,0,0),AND($H4&lt;=LNBK_ST_TIME,LNBK_EN_TIME&lt;=$I4),BASE_LNBK_TIME,AND(DNBK_EN_TIME&lt;=$I4),""),"")</f>
        <v/>
      </c>
      <c r="K4" s="4"/>
      <c r="L4" s="20" t="str">
        <f>IF(AND($H4&lt;&gt;"",$I4&lt;&gt;"",$J4&lt;&gt;""),I4-H4-J4-K4,IF(AND($E4&lt;&gt;"",$F4&lt;&gt;""),$F4-$E4-$G4,""))</f>
        <v/>
      </c>
      <c r="M4" s="20" t="str">
        <f>IF(AND($E4&lt;&gt;"",$F4&lt;&gt;"",$G4&lt;&gt;""),SUM($L$4:$L4),"")</f>
        <v/>
      </c>
      <c r="O4" s="3" t="s">
        <v>33</v>
      </c>
      <c r="P4" s="24">
        <f>COUNTIF($D$4:$D$33,0)</f>
        <v>19</v>
      </c>
    </row>
    <row r="5" spans="2:16" x14ac:dyDescent="0.4">
      <c r="B5" s="23">
        <f>IF($B$2&lt;&gt;"",$B$2+1,"")</f>
        <v>45718</v>
      </c>
      <c r="C5" s="27" t="str">
        <f t="shared" ref="C5:C33" si="1">CHOOSE(WEEKDAY($B5),"日","月","火","水","木","金","土")</f>
        <v>日</v>
      </c>
      <c r="D5" s="6">
        <f t="shared" si="0"/>
        <v>1</v>
      </c>
      <c r="E5" s="19"/>
      <c r="F5" s="19"/>
      <c r="G5" s="21"/>
      <c r="H5" s="4"/>
      <c r="I5" s="4"/>
      <c r="J5" s="18" t="str" cm="1">
        <f t="array" ref="J5">IF(AND($H5&lt;&gt;"",$I5&lt;&gt;""),_xlfn.IFS(AND($H5&lt;=BASE_ST_TIME,$I5&lt;=LNBK_ST_TIME),TIME(0,0,0),AND($H5&lt;=LNBK_ST_TIME,LNBK_EN_TIME&lt;=$I5),BASE_LNBK_TIME,AND(DNBK_EN_TIME&lt;=$I5),""),"")</f>
        <v/>
      </c>
      <c r="K5" s="4"/>
      <c r="L5" s="20" t="str">
        <f t="shared" ref="L5:L33" si="2">IF(AND($H5&lt;&gt;"",$I5&lt;&gt;"",$J5&lt;&gt;""),I5-H5-J5-K5,IF(AND($E5&lt;&gt;"",$F5&lt;&gt;""),$F5-$E5-$G5,""))</f>
        <v/>
      </c>
      <c r="M5" s="20" t="str">
        <f>IF(AND($E5&lt;&gt;"",$F5&lt;&gt;"",$G5&lt;&gt;""),SUM($L$4:$L5),"")</f>
        <v/>
      </c>
      <c r="O5" s="3" t="s">
        <v>32</v>
      </c>
      <c r="P5" s="24">
        <f>COUNTIF($L$2:$L$32,"&gt;0")</f>
        <v>18</v>
      </c>
    </row>
    <row r="6" spans="2:16" x14ac:dyDescent="0.4">
      <c r="B6" s="23">
        <f>IF($B$2&lt;&gt;"",$B$2+3,"")</f>
        <v>45720</v>
      </c>
      <c r="C6" s="27" t="str">
        <f t="shared" si="1"/>
        <v>火</v>
      </c>
      <c r="D6" s="6">
        <f t="shared" si="0"/>
        <v>0</v>
      </c>
      <c r="E6" s="19">
        <v>0.375</v>
      </c>
      <c r="F6" s="19">
        <v>0.75</v>
      </c>
      <c r="G6" s="21">
        <v>4.1666666666666602E-2</v>
      </c>
      <c r="H6" s="19"/>
      <c r="I6" s="19"/>
      <c r="J6" s="22" t="str" cm="1">
        <f t="array" ref="J6">IF(AND($H6&lt;&gt;"",$I6&lt;&gt;""),_xlfn.IFS(AND($H6&lt;=BASE_ST_TIME,$I6&lt;=LNBK_ST_TIME),TIME(0,0,0),AND($H6&lt;=LNBK_ST_TIME,LNBK_EN_TIME&lt;=$I6),BASE_LNBK_TIME,AND(DNBK_EN_TIME&lt;=$I6),""),"")</f>
        <v/>
      </c>
      <c r="K6" s="19">
        <v>2.0833333333333332E-2</v>
      </c>
      <c r="L6" s="20">
        <f t="shared" si="2"/>
        <v>0.33333333333333337</v>
      </c>
      <c r="M6" s="20">
        <f>IF(AND($E6&lt;&gt;"",$F6&lt;&gt;"",$G6&lt;&gt;""),SUM($L$4:$L6),"")</f>
        <v>0.33333333333333337</v>
      </c>
      <c r="O6" s="3" t="s">
        <v>34</v>
      </c>
      <c r="P6" s="25">
        <f>SUM($L$4:$L$33)</f>
        <v>6.3333333333333321</v>
      </c>
    </row>
    <row r="7" spans="2:16" x14ac:dyDescent="0.4">
      <c r="B7" s="23">
        <f>IF($B$2&lt;&gt;"",$B$2+4,"")</f>
        <v>45721</v>
      </c>
      <c r="C7" s="27" t="str">
        <f t="shared" si="1"/>
        <v>水</v>
      </c>
      <c r="D7" s="6">
        <f t="shared" si="0"/>
        <v>0</v>
      </c>
      <c r="E7" s="19">
        <v>0.375</v>
      </c>
      <c r="F7" s="19">
        <v>0.75</v>
      </c>
      <c r="G7" s="21">
        <v>4.1666666666666602E-2</v>
      </c>
      <c r="H7" s="4"/>
      <c r="I7" s="4"/>
      <c r="J7" s="18" t="str" cm="1">
        <f t="array" ref="J7">IF(AND($H7&lt;&gt;"",$I7&lt;&gt;""),_xlfn.IFS(AND($H7&lt;=BASE_ST_TIME,$I7&lt;=LNBK_ST_TIME),TIME(0,0,0),AND($H7&lt;=LNBK_ST_TIME,LNBK_EN_TIME&lt;=$I7),BASE_LNBK_TIME,AND(DNBK_EN_TIME&lt;=$I7),""),"")</f>
        <v/>
      </c>
      <c r="K7" s="4"/>
      <c r="L7" s="20">
        <f t="shared" si="2"/>
        <v>0.33333333333333337</v>
      </c>
      <c r="M7" s="20">
        <f>IF(AND($E7&lt;&gt;"",$F7&lt;&gt;"",$G7&lt;&gt;""),SUM($L$4:$L7),"")</f>
        <v>0.66666666666666674</v>
      </c>
    </row>
    <row r="8" spans="2:16" x14ac:dyDescent="0.4">
      <c r="B8" s="23">
        <f>IF($B$2&lt;&gt;"",$B$2+5,"")</f>
        <v>45722</v>
      </c>
      <c r="C8" s="27" t="str">
        <f t="shared" si="1"/>
        <v>木</v>
      </c>
      <c r="D8" s="6">
        <f t="shared" si="0"/>
        <v>0</v>
      </c>
      <c r="E8" s="19">
        <v>0.375</v>
      </c>
      <c r="F8" s="19">
        <v>0.75</v>
      </c>
      <c r="G8" s="21">
        <v>4.1666666666666602E-2</v>
      </c>
      <c r="H8" s="4"/>
      <c r="I8" s="4"/>
      <c r="J8" s="18" t="str" cm="1">
        <f t="array" ref="J8">IF(AND($H8&lt;&gt;"",$I8&lt;&gt;""),_xlfn.IFS(AND($H8&lt;=BASE_ST_TIME,$I8&lt;=LNBK_ST_TIME),TIME(0,0,0),AND($H8&lt;=LNBK_ST_TIME,LNBK_EN_TIME&lt;=$I8),BASE_LNBK_TIME,AND(DNBK_EN_TIME&lt;=$I8),""),"")</f>
        <v/>
      </c>
      <c r="K8" s="4"/>
      <c r="L8" s="20">
        <f t="shared" si="2"/>
        <v>0.33333333333333337</v>
      </c>
      <c r="M8" s="20">
        <f>IF(AND($E8&lt;&gt;"",$F8&lt;&gt;"",$G8&lt;&gt;""),SUM($L$4:$L8),"")</f>
        <v>1</v>
      </c>
    </row>
    <row r="9" spans="2:16" x14ac:dyDescent="0.4">
      <c r="B9" s="23">
        <f>IF($B$2&lt;&gt;"",$B$2+6,"")</f>
        <v>45723</v>
      </c>
      <c r="C9" s="27" t="str">
        <f t="shared" si="1"/>
        <v>金</v>
      </c>
      <c r="D9" s="6">
        <f t="shared" si="0"/>
        <v>0</v>
      </c>
      <c r="E9" s="19">
        <v>0.375</v>
      </c>
      <c r="F9" s="19">
        <v>0.75</v>
      </c>
      <c r="G9" s="21">
        <v>4.1666666666666602E-2</v>
      </c>
      <c r="H9" s="4"/>
      <c r="I9" s="4"/>
      <c r="J9" s="18" t="str" cm="1">
        <f t="array" ref="J9">IF(AND($H9&lt;&gt;"",$I9&lt;&gt;""),_xlfn.IFS(AND($H9&lt;=BASE_ST_TIME,$I9&lt;=LNBK_ST_TIME),TIME(0,0,0),AND($H9&lt;=LNBK_ST_TIME,LNBK_EN_TIME&lt;=$I9),BASE_LNBK_TIME,AND(DNBK_EN_TIME&lt;=$I9),""),"")</f>
        <v/>
      </c>
      <c r="K9" s="4"/>
      <c r="L9" s="20">
        <f t="shared" si="2"/>
        <v>0.33333333333333337</v>
      </c>
      <c r="M9" s="20">
        <f>IF(AND($E9&lt;&gt;"",$F9&lt;&gt;"",$G9&lt;&gt;""),SUM($L$4:$L9),"")</f>
        <v>1.3333333333333335</v>
      </c>
    </row>
    <row r="10" spans="2:16" x14ac:dyDescent="0.4">
      <c r="B10" s="23">
        <f>IF($B$2&lt;&gt;"",$B$2+7,"")</f>
        <v>45724</v>
      </c>
      <c r="C10" s="27" t="str">
        <f t="shared" si="1"/>
        <v>土</v>
      </c>
      <c r="D10" s="6">
        <f t="shared" si="0"/>
        <v>1</v>
      </c>
      <c r="E10" s="19"/>
      <c r="F10" s="19"/>
      <c r="G10" s="21"/>
      <c r="H10" s="4"/>
      <c r="I10" s="4"/>
      <c r="J10" s="18" t="str" cm="1">
        <f t="array" ref="J10">IF(AND($H10&lt;&gt;"",$I10&lt;&gt;""),_xlfn.IFS(AND($H10&lt;=BASE_ST_TIME,$I10&lt;=LNBK_ST_TIME),TIME(0,0,0),AND($H10&lt;=LNBK_ST_TIME,LNBK_EN_TIME&lt;=$I10),BASE_LNBK_TIME,AND(DNBK_EN_TIME&lt;=$I10),""),"")</f>
        <v/>
      </c>
      <c r="K10" s="4"/>
      <c r="L10" s="20" t="str">
        <f t="shared" si="2"/>
        <v/>
      </c>
      <c r="M10" s="20" t="str">
        <f>IF(AND($E10&lt;&gt;"",$F10&lt;&gt;"",$G10&lt;&gt;""),SUM($L$4:$L10),"")</f>
        <v/>
      </c>
    </row>
    <row r="11" spans="2:16" x14ac:dyDescent="0.4">
      <c r="B11" s="23">
        <f>IF($B$2&lt;&gt;"",$B$2+8,"")</f>
        <v>45725</v>
      </c>
      <c r="C11" s="27" t="str">
        <f t="shared" si="1"/>
        <v>日</v>
      </c>
      <c r="D11" s="6">
        <f t="shared" si="0"/>
        <v>1</v>
      </c>
      <c r="E11" s="19"/>
      <c r="F11" s="19"/>
      <c r="G11" s="21"/>
      <c r="H11" s="4"/>
      <c r="I11" s="4"/>
      <c r="J11" s="18" t="str" cm="1">
        <f t="array" ref="J11">IF(AND($H11&lt;&gt;"",$I11&lt;&gt;""),_xlfn.IFS(AND($H11&lt;=BASE_ST_TIME,$I11&lt;=LNBK_ST_TIME),TIME(0,0,0),AND($H11&lt;=LNBK_ST_TIME,LNBK_EN_TIME&lt;=$I11),BASE_LNBK_TIME,AND(DNBK_EN_TIME&lt;=$I11),""),"")</f>
        <v/>
      </c>
      <c r="K11" s="4"/>
      <c r="L11" s="20" t="str">
        <f t="shared" si="2"/>
        <v/>
      </c>
      <c r="M11" s="20" t="str">
        <f>IF(AND($E11&lt;&gt;"",$F11&lt;&gt;"",$G11&lt;&gt;""),SUM($L$4:$L11),"")</f>
        <v/>
      </c>
    </row>
    <row r="12" spans="2:16" x14ac:dyDescent="0.4">
      <c r="B12" s="23">
        <f>IF($B$2&lt;&gt;"",$B$2+9,"")</f>
        <v>45726</v>
      </c>
      <c r="C12" s="27" t="str">
        <f t="shared" si="1"/>
        <v>月</v>
      </c>
      <c r="D12" s="6">
        <f t="shared" si="0"/>
        <v>0</v>
      </c>
      <c r="E12" s="19">
        <v>0.375</v>
      </c>
      <c r="F12" s="19">
        <v>0.75</v>
      </c>
      <c r="G12" s="21">
        <v>4.1666666666666602E-2</v>
      </c>
      <c r="H12" s="4"/>
      <c r="I12" s="4"/>
      <c r="J12" s="18" t="str" cm="1">
        <f t="array" ref="J12">IF(AND($H12&lt;&gt;"",$I12&lt;&gt;""),_xlfn.IFS(AND($H12&lt;=BASE_ST_TIME,$I12&lt;=LNBK_ST_TIME),TIME(0,0,0),AND($H12&lt;=LNBK_ST_TIME,LNBK_EN_TIME&lt;=$I12),BASE_LNBK_TIME,AND(DNBK_EN_TIME&lt;=$I12),""),"")</f>
        <v/>
      </c>
      <c r="K12" s="4"/>
      <c r="L12" s="20">
        <f t="shared" si="2"/>
        <v>0.33333333333333337</v>
      </c>
      <c r="M12" s="20">
        <f>IF(AND($E12&lt;&gt;"",$F12&lt;&gt;"",$G12&lt;&gt;""),SUM($L$4:$L12),"")</f>
        <v>1.666666666666667</v>
      </c>
    </row>
    <row r="13" spans="2:16" x14ac:dyDescent="0.4">
      <c r="B13" s="23">
        <f>IF($B$2&lt;&gt;"",$B$2+10,"")</f>
        <v>45727</v>
      </c>
      <c r="C13" s="27" t="str">
        <f t="shared" si="1"/>
        <v>火</v>
      </c>
      <c r="D13" s="6">
        <f t="shared" si="0"/>
        <v>0</v>
      </c>
      <c r="E13" s="19">
        <v>0.375</v>
      </c>
      <c r="F13" s="19">
        <v>0.75</v>
      </c>
      <c r="G13" s="21">
        <v>4.1666666666666602E-2</v>
      </c>
      <c r="H13" s="4"/>
      <c r="I13" s="4"/>
      <c r="J13" s="18" t="str" cm="1">
        <f t="array" ref="J13">IF(AND($H13&lt;&gt;"",$I13&lt;&gt;""),_xlfn.IFS(AND($H13&lt;=BASE_ST_TIME,$I13&lt;=LNBK_ST_TIME),TIME(0,0,0),AND($H13&lt;=LNBK_ST_TIME,LNBK_EN_TIME&lt;=$I13),BASE_LNBK_TIME,AND(DNBK_EN_TIME&lt;=$I13),""),"")</f>
        <v/>
      </c>
      <c r="K13" s="4"/>
      <c r="L13" s="20">
        <f t="shared" si="2"/>
        <v>0.33333333333333337</v>
      </c>
      <c r="M13" s="20">
        <f>IF(AND($E13&lt;&gt;"",$F13&lt;&gt;"",$G13&lt;&gt;""),SUM($L$4:$L13),"")</f>
        <v>2.0000000000000004</v>
      </c>
    </row>
    <row r="14" spans="2:16" x14ac:dyDescent="0.4">
      <c r="B14" s="23">
        <f>IF($B$2&lt;&gt;"",$B$2+11,"")</f>
        <v>45728</v>
      </c>
      <c r="C14" s="27" t="str">
        <f t="shared" si="1"/>
        <v>水</v>
      </c>
      <c r="D14" s="6">
        <f t="shared" si="0"/>
        <v>0</v>
      </c>
      <c r="E14" s="19">
        <v>0.375</v>
      </c>
      <c r="F14" s="19">
        <v>0.75</v>
      </c>
      <c r="G14" s="21">
        <v>4.1666666666666602E-2</v>
      </c>
      <c r="H14" s="4"/>
      <c r="I14" s="4"/>
      <c r="J14" s="18" t="str" cm="1">
        <f t="array" ref="J14">IF(AND($H14&lt;&gt;"",$I14&lt;&gt;""),_xlfn.IFS(AND($H14&lt;=BASE_ST_TIME,$I14&lt;=LNBK_ST_TIME),TIME(0,0,0),AND($H14&lt;=LNBK_ST_TIME,LNBK_EN_TIME&lt;=$I14),BASE_LNBK_TIME,AND(DNBK_EN_TIME&lt;=$I14),""),"")</f>
        <v/>
      </c>
      <c r="K14" s="4"/>
      <c r="L14" s="20">
        <f t="shared" si="2"/>
        <v>0.33333333333333337</v>
      </c>
      <c r="M14" s="20">
        <f>IF(AND($E14&lt;&gt;"",$F14&lt;&gt;"",$G14&lt;&gt;""),SUM($L$4:$L14),"")</f>
        <v>2.3333333333333339</v>
      </c>
    </row>
    <row r="15" spans="2:16" x14ac:dyDescent="0.4">
      <c r="B15" s="23">
        <f>IF($B$2&lt;&gt;"",$B$2+12,"")</f>
        <v>45729</v>
      </c>
      <c r="C15" s="27" t="str">
        <f t="shared" si="1"/>
        <v>木</v>
      </c>
      <c r="D15" s="6">
        <f t="shared" si="0"/>
        <v>0</v>
      </c>
      <c r="E15" s="19">
        <v>0.375</v>
      </c>
      <c r="F15" s="19">
        <v>0.75</v>
      </c>
      <c r="G15" s="21">
        <v>4.1666666666666602E-2</v>
      </c>
      <c r="H15" s="4"/>
      <c r="I15" s="4"/>
      <c r="J15" s="18" t="str" cm="1">
        <f t="array" ref="J15">IF(AND($H15&lt;&gt;"",$I15&lt;&gt;""),_xlfn.IFS(AND($H15&lt;=BASE_ST_TIME,$I15&lt;=LNBK_ST_TIME),TIME(0,0,0),AND($H15&lt;=LNBK_ST_TIME,LNBK_EN_TIME&lt;=$I15),BASE_LNBK_TIME,AND(DNBK_EN_TIME&lt;=$I15),""),"")</f>
        <v/>
      </c>
      <c r="K15" s="4"/>
      <c r="L15" s="20">
        <f t="shared" si="2"/>
        <v>0.33333333333333337</v>
      </c>
      <c r="M15" s="20">
        <f>IF(AND($E15&lt;&gt;"",$F15&lt;&gt;"",$G15&lt;&gt;""),SUM($L$4:$L15),"")</f>
        <v>2.6666666666666674</v>
      </c>
    </row>
    <row r="16" spans="2:16" x14ac:dyDescent="0.4">
      <c r="B16" s="23">
        <f>IF($B$2&lt;&gt;"",$B$2+13,"")</f>
        <v>45730</v>
      </c>
      <c r="C16" s="27" t="str">
        <f t="shared" si="1"/>
        <v>金</v>
      </c>
      <c r="D16" s="6">
        <f t="shared" si="0"/>
        <v>0</v>
      </c>
      <c r="E16" s="19">
        <v>0.375</v>
      </c>
      <c r="F16" s="19">
        <v>0.75</v>
      </c>
      <c r="G16" s="21">
        <v>4.1666666666666602E-2</v>
      </c>
      <c r="H16" s="4"/>
      <c r="I16" s="4"/>
      <c r="J16" s="18" t="str" cm="1">
        <f t="array" ref="J16">IF(AND($H16&lt;&gt;"",$I16&lt;&gt;""),_xlfn.IFS(AND($H16&lt;=BASE_ST_TIME,$I16&lt;=LNBK_ST_TIME),TIME(0,0,0),AND($H16&lt;=LNBK_ST_TIME,LNBK_EN_TIME&lt;=$I16),BASE_LNBK_TIME,AND(DNBK_EN_TIME&lt;=$I16),""),"")</f>
        <v/>
      </c>
      <c r="K16" s="4"/>
      <c r="L16" s="20">
        <f t="shared" si="2"/>
        <v>0.33333333333333337</v>
      </c>
      <c r="M16" s="20">
        <f>IF(AND($E16&lt;&gt;"",$F16&lt;&gt;"",$G16&lt;&gt;""),SUM($L$4:$L16),"")</f>
        <v>3.0000000000000009</v>
      </c>
    </row>
    <row r="17" spans="2:13" x14ac:dyDescent="0.4">
      <c r="B17" s="23">
        <f>IF($B$2&lt;&gt;"",$B$2+14,"")</f>
        <v>45731</v>
      </c>
      <c r="C17" s="27" t="str">
        <f t="shared" si="1"/>
        <v>土</v>
      </c>
      <c r="D17" s="6">
        <f t="shared" si="0"/>
        <v>1</v>
      </c>
      <c r="E17" s="19"/>
      <c r="F17" s="19"/>
      <c r="G17" s="21"/>
      <c r="H17" s="4"/>
      <c r="I17" s="4"/>
      <c r="J17" s="18" t="str" cm="1">
        <f t="array" ref="J17">IF(AND($H17&lt;&gt;"",$I17&lt;&gt;""),_xlfn.IFS(AND($H17&lt;=BASE_ST_TIME,$I17&lt;=LNBK_ST_TIME),TIME(0,0,0),AND($H17&lt;=LNBK_ST_TIME,LNBK_EN_TIME&lt;=$I17),BASE_LNBK_TIME,AND(DNBK_EN_TIME&lt;=$I17),""),"")</f>
        <v/>
      </c>
      <c r="K17" s="4"/>
      <c r="L17" s="20" t="str">
        <f t="shared" si="2"/>
        <v/>
      </c>
      <c r="M17" s="20" t="str">
        <f>IF(AND($E17&lt;&gt;"",$F17&lt;&gt;"",$G17&lt;&gt;""),SUM($L$4:$L17),"")</f>
        <v/>
      </c>
    </row>
    <row r="18" spans="2:13" x14ac:dyDescent="0.4">
      <c r="B18" s="23">
        <f>IF($B$2&lt;&gt;"",$B$2+15,"")</f>
        <v>45732</v>
      </c>
      <c r="C18" s="27" t="str">
        <f t="shared" si="1"/>
        <v>日</v>
      </c>
      <c r="D18" s="6">
        <f t="shared" si="0"/>
        <v>1</v>
      </c>
      <c r="E18" s="19"/>
      <c r="F18" s="19"/>
      <c r="G18" s="21"/>
      <c r="H18" s="4"/>
      <c r="I18" s="4"/>
      <c r="J18" s="18" t="str" cm="1">
        <f t="array" ref="J18">IF(AND($H18&lt;&gt;"",$I18&lt;&gt;""),_xlfn.IFS(AND($H18&lt;=BASE_ST_TIME,$I18&lt;=LNBK_ST_TIME),TIME(0,0,0),AND($H18&lt;=LNBK_ST_TIME,LNBK_EN_TIME&lt;=$I18),BASE_LNBK_TIME,AND(DNBK_EN_TIME&lt;=$I18),""),"")</f>
        <v/>
      </c>
      <c r="K18" s="4"/>
      <c r="L18" s="20" t="str">
        <f t="shared" si="2"/>
        <v/>
      </c>
      <c r="M18" s="20" t="str">
        <f>IF(AND($E18&lt;&gt;"",$F18&lt;&gt;"",$G18&lt;&gt;""),SUM($L$4:$L18),"")</f>
        <v/>
      </c>
    </row>
    <row r="19" spans="2:13" x14ac:dyDescent="0.4">
      <c r="B19" s="23">
        <f>IF($B$2&lt;&gt;"",$B$2+16,"")</f>
        <v>45733</v>
      </c>
      <c r="C19" s="27" t="str">
        <f t="shared" si="1"/>
        <v>月</v>
      </c>
      <c r="D19" s="6">
        <f t="shared" si="0"/>
        <v>0</v>
      </c>
      <c r="E19" s="19">
        <v>0.375</v>
      </c>
      <c r="F19" s="19">
        <v>0.75</v>
      </c>
      <c r="G19" s="21">
        <v>4.1666666666666602E-2</v>
      </c>
      <c r="H19" s="4"/>
      <c r="I19" s="4"/>
      <c r="J19" s="18" t="str" cm="1">
        <f t="array" ref="J19">IF(AND($H19&lt;&gt;"",$I19&lt;&gt;""),_xlfn.IFS(AND($H19&lt;=BASE_ST_TIME,$I19&lt;=LNBK_ST_TIME),TIME(0,0,0),AND($H19&lt;=LNBK_ST_TIME,LNBK_EN_TIME&lt;=$I19),BASE_LNBK_TIME,AND(DNBK_EN_TIME&lt;=$I19),""),"")</f>
        <v/>
      </c>
      <c r="K19" s="4"/>
      <c r="L19" s="20">
        <f t="shared" si="2"/>
        <v>0.33333333333333337</v>
      </c>
      <c r="M19" s="20">
        <f>IF(AND($E19&lt;&gt;"",$F19&lt;&gt;"",$G19&lt;&gt;""),SUM($L$4:$L19),"")</f>
        <v>3.3333333333333344</v>
      </c>
    </row>
    <row r="20" spans="2:13" x14ac:dyDescent="0.4">
      <c r="B20" s="23">
        <f>IF($B$2&lt;&gt;"",$B$2+17,"")</f>
        <v>45734</v>
      </c>
      <c r="C20" s="27" t="str">
        <f t="shared" si="1"/>
        <v>火</v>
      </c>
      <c r="D20" s="6">
        <f t="shared" si="0"/>
        <v>0</v>
      </c>
      <c r="E20" s="19">
        <v>0.375</v>
      </c>
      <c r="F20" s="19">
        <v>0.75</v>
      </c>
      <c r="G20" s="21">
        <v>4.1666666666666602E-2</v>
      </c>
      <c r="H20" s="4"/>
      <c r="I20" s="4"/>
      <c r="J20" s="18" t="str" cm="1">
        <f t="array" ref="J20">IF(AND($H20&lt;&gt;"",$I20&lt;&gt;""),_xlfn.IFS(AND($H20&lt;=BASE_ST_TIME,$I20&lt;=LNBK_ST_TIME),TIME(0,0,0),AND($H20&lt;=LNBK_ST_TIME,LNBK_EN_TIME&lt;=$I20),BASE_LNBK_TIME,AND(DNBK_EN_TIME&lt;=$I20),""),"")</f>
        <v/>
      </c>
      <c r="K20" s="4"/>
      <c r="L20" s="20">
        <f t="shared" si="2"/>
        <v>0.33333333333333337</v>
      </c>
      <c r="M20" s="20">
        <f>IF(AND($E20&lt;&gt;"",$F20&lt;&gt;"",$G20&lt;&gt;""),SUM($L$4:$L20),"")</f>
        <v>3.6666666666666679</v>
      </c>
    </row>
    <row r="21" spans="2:13" x14ac:dyDescent="0.4">
      <c r="B21" s="23">
        <f>IF($B$2&lt;&gt;"",$B$2+18,"")</f>
        <v>45735</v>
      </c>
      <c r="C21" s="27" t="str">
        <f t="shared" si="1"/>
        <v>水</v>
      </c>
      <c r="D21" s="6">
        <f t="shared" si="0"/>
        <v>0</v>
      </c>
      <c r="E21" s="19">
        <v>0.375</v>
      </c>
      <c r="F21" s="19">
        <v>0.75</v>
      </c>
      <c r="G21" s="21">
        <v>4.1666666666666602E-2</v>
      </c>
      <c r="H21" s="4"/>
      <c r="I21" s="4"/>
      <c r="J21" s="18" t="str" cm="1">
        <f t="array" ref="J21">IF(AND($H21&lt;&gt;"",$I21&lt;&gt;""),_xlfn.IFS(AND($H21&lt;=BASE_ST_TIME,$I21&lt;=LNBK_ST_TIME),TIME(0,0,0),AND($H21&lt;=LNBK_ST_TIME,LNBK_EN_TIME&lt;=$I21),BASE_LNBK_TIME,AND(DNBK_EN_TIME&lt;=$I21),""),"")</f>
        <v/>
      </c>
      <c r="K21" s="4"/>
      <c r="L21" s="20">
        <f t="shared" si="2"/>
        <v>0.33333333333333337</v>
      </c>
      <c r="M21" s="20">
        <f>IF(AND($E21&lt;&gt;"",$F21&lt;&gt;"",$G21&lt;&gt;""),SUM($L$4:$L21),"")</f>
        <v>4.0000000000000009</v>
      </c>
    </row>
    <row r="22" spans="2:13" x14ac:dyDescent="0.4">
      <c r="B22" s="23">
        <f>IF($B$2&lt;&gt;"",$B$2+19,"")</f>
        <v>45736</v>
      </c>
      <c r="C22" s="27" t="str">
        <f t="shared" si="1"/>
        <v>木</v>
      </c>
      <c r="D22" s="6">
        <f t="shared" si="0"/>
        <v>1</v>
      </c>
      <c r="E22" s="19"/>
      <c r="F22" s="19"/>
      <c r="G22" s="21"/>
      <c r="H22" s="4"/>
      <c r="I22" s="4"/>
      <c r="J22" s="18" t="str" cm="1">
        <f t="array" ref="J22">IF(AND($H22&lt;&gt;"",$I22&lt;&gt;""),_xlfn.IFS(AND($H22&lt;=BASE_ST_TIME,$I22&lt;=LNBK_ST_TIME),TIME(0,0,0),AND($H22&lt;=LNBK_ST_TIME,LNBK_EN_TIME&lt;=$I22),BASE_LNBK_TIME,AND(DNBK_EN_TIME&lt;=$I22),""),"")</f>
        <v/>
      </c>
      <c r="K22" s="4"/>
      <c r="L22" s="20" t="str">
        <f t="shared" si="2"/>
        <v/>
      </c>
      <c r="M22" s="20" t="str">
        <f>IF(AND($E22&lt;&gt;"",$F22&lt;&gt;"",$G22&lt;&gt;""),SUM($L$4:$L22),"")</f>
        <v/>
      </c>
    </row>
    <row r="23" spans="2:13" x14ac:dyDescent="0.4">
      <c r="B23" s="23">
        <f>IF($B$2&lt;&gt;"",$B$2+20,"")</f>
        <v>45737</v>
      </c>
      <c r="C23" s="27" t="str">
        <f t="shared" si="1"/>
        <v>金</v>
      </c>
      <c r="D23" s="6">
        <f t="shared" si="0"/>
        <v>0</v>
      </c>
      <c r="E23" s="19">
        <v>0.375</v>
      </c>
      <c r="F23" s="19">
        <v>0.75</v>
      </c>
      <c r="G23" s="21">
        <v>4.1666666666666602E-2</v>
      </c>
      <c r="H23" s="4"/>
      <c r="I23" s="4"/>
      <c r="J23" s="18" t="str" cm="1">
        <f t="array" ref="J23">IF(AND($H23&lt;&gt;"",$I23&lt;&gt;""),_xlfn.IFS(AND($H23&lt;=BASE_ST_TIME,$I23&lt;=LNBK_ST_TIME),TIME(0,0,0),AND($H23&lt;=LNBK_ST_TIME,LNBK_EN_TIME&lt;=$I23),BASE_LNBK_TIME,AND(DNBK_EN_TIME&lt;=$I23),""),"")</f>
        <v/>
      </c>
      <c r="K23" s="4"/>
      <c r="L23" s="20">
        <f t="shared" si="2"/>
        <v>0.33333333333333337</v>
      </c>
      <c r="M23" s="20">
        <f>IF(AND($E23&lt;&gt;"",$F23&lt;&gt;"",$G23&lt;&gt;""),SUM($L$4:$L23),"")</f>
        <v>4.3333333333333339</v>
      </c>
    </row>
    <row r="24" spans="2:13" x14ac:dyDescent="0.4">
      <c r="B24" s="23">
        <f>IF($B$2&lt;&gt;"",$B$2+21,"")</f>
        <v>45738</v>
      </c>
      <c r="C24" s="27" t="str">
        <f t="shared" si="1"/>
        <v>土</v>
      </c>
      <c r="D24" s="6">
        <f t="shared" si="0"/>
        <v>1</v>
      </c>
      <c r="E24" s="19"/>
      <c r="F24" s="19"/>
      <c r="G24" s="21"/>
      <c r="H24" s="4"/>
      <c r="I24" s="4"/>
      <c r="J24" s="18" t="str" cm="1">
        <f t="array" ref="J24">IF(AND($H24&lt;&gt;"",$I24&lt;&gt;""),_xlfn.IFS(AND($H24&lt;=BASE_ST_TIME,$I24&lt;=LNBK_ST_TIME),TIME(0,0,0),AND($H24&lt;=LNBK_ST_TIME,LNBK_EN_TIME&lt;=$I24),BASE_LNBK_TIME,AND(DNBK_EN_TIME&lt;=$I24),""),"")</f>
        <v/>
      </c>
      <c r="K24" s="4"/>
      <c r="L24" s="20" t="str">
        <f t="shared" si="2"/>
        <v/>
      </c>
      <c r="M24" s="20" t="str">
        <f>IF(AND($E24&lt;&gt;"",$F24&lt;&gt;"",$G24&lt;&gt;""),SUM($L$4:$L24),"")</f>
        <v/>
      </c>
    </row>
    <row r="25" spans="2:13" x14ac:dyDescent="0.4">
      <c r="B25" s="23">
        <f>IF($B$2&lt;&gt;"",$B$2+22,"")</f>
        <v>45739</v>
      </c>
      <c r="C25" s="27" t="str">
        <f t="shared" si="1"/>
        <v>日</v>
      </c>
      <c r="D25" s="6">
        <f t="shared" si="0"/>
        <v>1</v>
      </c>
      <c r="E25" s="19"/>
      <c r="F25" s="19"/>
      <c r="G25" s="21"/>
      <c r="H25" s="4"/>
      <c r="I25" s="4"/>
      <c r="J25" s="18" t="str" cm="1">
        <f t="array" ref="J25">IF(AND($H25&lt;&gt;"",$I25&lt;&gt;""),_xlfn.IFS(AND($H25&lt;=BASE_ST_TIME,$I25&lt;=LNBK_ST_TIME),TIME(0,0,0),AND($H25&lt;=LNBK_ST_TIME,LNBK_EN_TIME&lt;=$I25),BASE_LNBK_TIME,AND(DNBK_EN_TIME&lt;=$I25),""),"")</f>
        <v/>
      </c>
      <c r="K25" s="4"/>
      <c r="L25" s="20" t="str">
        <f t="shared" si="2"/>
        <v/>
      </c>
      <c r="M25" s="20" t="str">
        <f>IF(AND($E25&lt;&gt;"",$F25&lt;&gt;"",$G25&lt;&gt;""),SUM($L$4:$L25),"")</f>
        <v/>
      </c>
    </row>
    <row r="26" spans="2:13" x14ac:dyDescent="0.4">
      <c r="B26" s="23">
        <f>IF($B$2&lt;&gt;"",$B$2+23,"")</f>
        <v>45740</v>
      </c>
      <c r="C26" s="27" t="str">
        <f t="shared" si="1"/>
        <v>月</v>
      </c>
      <c r="D26" s="6">
        <f t="shared" si="0"/>
        <v>0</v>
      </c>
      <c r="E26" s="19">
        <v>0.375</v>
      </c>
      <c r="F26" s="19">
        <v>0.75</v>
      </c>
      <c r="G26" s="21">
        <v>4.1666666666666602E-2</v>
      </c>
      <c r="H26" s="4"/>
      <c r="I26" s="4"/>
      <c r="J26" s="18" t="str" cm="1">
        <f t="array" ref="J26">IF(AND($H26&lt;&gt;"",$I26&lt;&gt;""),_xlfn.IFS(AND($H26&lt;=BASE_ST_TIME,$I26&lt;=LNBK_ST_TIME),TIME(0,0,0),AND($H26&lt;=LNBK_ST_TIME,LNBK_EN_TIME&lt;=$I26),BASE_LNBK_TIME,AND(DNBK_EN_TIME&lt;=$I26),""),"")</f>
        <v/>
      </c>
      <c r="K26" s="4"/>
      <c r="L26" s="20">
        <f t="shared" si="2"/>
        <v>0.33333333333333337</v>
      </c>
      <c r="M26" s="20">
        <f>IF(AND($E26&lt;&gt;"",$F26&lt;&gt;"",$G26&lt;&gt;""),SUM($L$4:$L26),"")</f>
        <v>4.666666666666667</v>
      </c>
    </row>
    <row r="27" spans="2:13" x14ac:dyDescent="0.4">
      <c r="B27" s="23">
        <f>IF($B$2&lt;&gt;"",$B$2+24,"")</f>
        <v>45741</v>
      </c>
      <c r="C27" s="27" t="str">
        <f t="shared" si="1"/>
        <v>火</v>
      </c>
      <c r="D27" s="6">
        <f t="shared" si="0"/>
        <v>0</v>
      </c>
      <c r="E27" s="19">
        <v>0.375</v>
      </c>
      <c r="F27" s="19">
        <v>0.75</v>
      </c>
      <c r="G27" s="21">
        <v>4.1666666666666602E-2</v>
      </c>
      <c r="H27" s="4"/>
      <c r="I27" s="4"/>
      <c r="J27" s="18" t="str" cm="1">
        <f t="array" ref="J27">IF(AND($H27&lt;&gt;"",$I27&lt;&gt;""),_xlfn.IFS(AND($H27&lt;=BASE_ST_TIME,$I27&lt;=LNBK_ST_TIME),TIME(0,0,0),AND($H27&lt;=LNBK_ST_TIME,LNBK_EN_TIME&lt;=$I27),BASE_LNBK_TIME,AND(DNBK_EN_TIME&lt;=$I27),""),"")</f>
        <v/>
      </c>
      <c r="K27" s="4"/>
      <c r="L27" s="20">
        <f t="shared" si="2"/>
        <v>0.33333333333333337</v>
      </c>
      <c r="M27" s="20">
        <f>IF(AND($E27&lt;&gt;"",$F27&lt;&gt;"",$G27&lt;&gt;""),SUM($L$4:$L27),"")</f>
        <v>5</v>
      </c>
    </row>
    <row r="28" spans="2:13" x14ac:dyDescent="0.4">
      <c r="B28" s="23">
        <f>IF($B$2&lt;&gt;"",$B$2+25,"")</f>
        <v>45742</v>
      </c>
      <c r="C28" s="27" t="str">
        <f t="shared" si="1"/>
        <v>水</v>
      </c>
      <c r="D28" s="6">
        <f t="shared" si="0"/>
        <v>0</v>
      </c>
      <c r="E28" s="19">
        <v>0.375</v>
      </c>
      <c r="F28" s="19">
        <v>0.75</v>
      </c>
      <c r="G28" s="21">
        <v>4.1666666666666602E-2</v>
      </c>
      <c r="H28" s="4"/>
      <c r="I28" s="4"/>
      <c r="J28" s="18" t="str" cm="1">
        <f t="array" ref="J28">IF(AND($H28&lt;&gt;"",$I28&lt;&gt;""),_xlfn.IFS(AND($H28&lt;=BASE_ST_TIME,$I28&lt;=LNBK_ST_TIME),TIME(0,0,0),AND($H28&lt;=LNBK_ST_TIME,LNBK_EN_TIME&lt;=$I28),BASE_LNBK_TIME,AND(DNBK_EN_TIME&lt;=$I28),""),"")</f>
        <v/>
      </c>
      <c r="K28" s="4"/>
      <c r="L28" s="20">
        <f t="shared" si="2"/>
        <v>0.33333333333333337</v>
      </c>
      <c r="M28" s="20">
        <f>IF(AND($E28&lt;&gt;"",$F28&lt;&gt;"",$G28&lt;&gt;""),SUM($L$4:$L28),"")</f>
        <v>5.333333333333333</v>
      </c>
    </row>
    <row r="29" spans="2:13" x14ac:dyDescent="0.4">
      <c r="B29" s="23">
        <f>IF($B$2&lt;&gt;"",$B$2+26,"")</f>
        <v>45743</v>
      </c>
      <c r="C29" s="27" t="str">
        <f t="shared" si="1"/>
        <v>木</v>
      </c>
      <c r="D29" s="6">
        <f t="shared" si="0"/>
        <v>0</v>
      </c>
      <c r="E29" s="19">
        <v>0.375</v>
      </c>
      <c r="F29" s="19">
        <v>0.75</v>
      </c>
      <c r="G29" s="21">
        <v>4.1666666666666602E-2</v>
      </c>
      <c r="H29" s="4"/>
      <c r="I29" s="4"/>
      <c r="J29" s="18" t="str" cm="1">
        <f t="array" ref="J29">IF(AND($H29&lt;&gt;"",$I29&lt;&gt;""),_xlfn.IFS(AND($H29&lt;=BASE_ST_TIME,$I29&lt;=LNBK_ST_TIME),TIME(0,0,0),AND($H29&lt;=LNBK_ST_TIME,LNBK_EN_TIME&lt;=$I29),BASE_LNBK_TIME,AND(DNBK_EN_TIME&lt;=$I29),""),"")</f>
        <v/>
      </c>
      <c r="K29" s="4"/>
      <c r="L29" s="20">
        <f t="shared" si="2"/>
        <v>0.33333333333333337</v>
      </c>
      <c r="M29" s="20">
        <f>IF(AND($E29&lt;&gt;"",$F29&lt;&gt;"",$G29&lt;&gt;""),SUM($L$4:$L29),"")</f>
        <v>5.6666666666666661</v>
      </c>
    </row>
    <row r="30" spans="2:13" x14ac:dyDescent="0.4">
      <c r="B30" s="23">
        <f>IF($B$2&lt;&gt;"",$B$2+27,"")</f>
        <v>45744</v>
      </c>
      <c r="C30" s="27" t="str">
        <f t="shared" si="1"/>
        <v>金</v>
      </c>
      <c r="D30" s="6">
        <f t="shared" si="0"/>
        <v>0</v>
      </c>
      <c r="E30" s="19">
        <v>0.375</v>
      </c>
      <c r="F30" s="19">
        <v>0.75</v>
      </c>
      <c r="G30" s="21">
        <v>4.1666666666666602E-2</v>
      </c>
      <c r="H30" s="4"/>
      <c r="I30" s="4"/>
      <c r="J30" s="18" t="str" cm="1">
        <f t="array" ref="J30">IF(AND($H30&lt;&gt;"",$I30&lt;&gt;""),_xlfn.IFS(AND($H30&lt;=BASE_ST_TIME,$I30&lt;=LNBK_ST_TIME),TIME(0,0,0),AND($H30&lt;=LNBK_ST_TIME,LNBK_EN_TIME&lt;=$I30),BASE_LNBK_TIME,AND(DNBK_EN_TIME&lt;=$I30),""),"")</f>
        <v/>
      </c>
      <c r="K30" s="4"/>
      <c r="L30" s="20">
        <f t="shared" si="2"/>
        <v>0.33333333333333337</v>
      </c>
      <c r="M30" s="20">
        <f>IF(AND($E30&lt;&gt;"",$F30&lt;&gt;"",$G30&lt;&gt;""),SUM($L$4:$L30),"")</f>
        <v>5.9999999999999991</v>
      </c>
    </row>
    <row r="31" spans="2:13" x14ac:dyDescent="0.4">
      <c r="B31" s="23">
        <f>IF($B$2&lt;&gt;"",$B$2+28,"")</f>
        <v>45745</v>
      </c>
      <c r="C31" s="27" t="str">
        <f t="shared" si="1"/>
        <v>土</v>
      </c>
      <c r="D31" s="6">
        <f t="shared" si="0"/>
        <v>1</v>
      </c>
      <c r="E31" s="19"/>
      <c r="F31" s="19"/>
      <c r="G31" s="21"/>
      <c r="H31" s="4"/>
      <c r="I31" s="4"/>
      <c r="J31" s="18" t="str" cm="1">
        <f t="array" ref="J31">IF(AND($H31&lt;&gt;"",$I31&lt;&gt;""),_xlfn.IFS(AND($H31&lt;=BASE_ST_TIME,$I31&lt;=LNBK_ST_TIME),TIME(0,0,0),AND($H31&lt;=LNBK_ST_TIME,LNBK_EN_TIME&lt;=$I31),BASE_LNBK_TIME,AND(DNBK_EN_TIME&lt;=$I31),""),"")</f>
        <v/>
      </c>
      <c r="K31" s="4"/>
      <c r="L31" s="20" t="str">
        <f t="shared" si="2"/>
        <v/>
      </c>
      <c r="M31" s="20" t="str">
        <f>IF(AND($E31&lt;&gt;"",$F31&lt;&gt;"",$G31&lt;&gt;""),SUM($L$4:$L31),"")</f>
        <v/>
      </c>
    </row>
    <row r="32" spans="2:13" x14ac:dyDescent="0.4">
      <c r="B32" s="23">
        <f>IF($B$2&lt;&gt;"",$B$2+29,"")</f>
        <v>45746</v>
      </c>
      <c r="C32" s="27" t="str">
        <f t="shared" si="1"/>
        <v>日</v>
      </c>
      <c r="D32" s="6">
        <f t="shared" si="0"/>
        <v>1</v>
      </c>
      <c r="E32" s="19"/>
      <c r="F32" s="19"/>
      <c r="G32" s="21"/>
      <c r="H32" s="4"/>
      <c r="I32" s="4"/>
      <c r="J32" s="18" t="str" cm="1">
        <f t="array" ref="J32">IF(AND($H32&lt;&gt;"",$I32&lt;&gt;""),_xlfn.IFS(AND($H32&lt;=BASE_ST_TIME,$I32&lt;=LNBK_ST_TIME),TIME(0,0,0),AND($H32&lt;=LNBK_ST_TIME,LNBK_EN_TIME&lt;=$I32),BASE_LNBK_TIME,AND(DNBK_EN_TIME&lt;=$I32),""),"")</f>
        <v/>
      </c>
      <c r="K32" s="4"/>
      <c r="L32" s="20" t="str">
        <f t="shared" si="2"/>
        <v/>
      </c>
      <c r="M32" s="20" t="str">
        <f>IF(AND($E32&lt;&gt;"",$F32&lt;&gt;"",$G32&lt;&gt;""),SUM($L$4:$L32),"")</f>
        <v/>
      </c>
    </row>
    <row r="33" spans="2:13" x14ac:dyDescent="0.4">
      <c r="B33" s="23">
        <f>IF($B$2&lt;&gt;"",$B$2+30,"")</f>
        <v>45747</v>
      </c>
      <c r="C33" s="27" t="str">
        <f t="shared" si="1"/>
        <v>月</v>
      </c>
      <c r="D33" s="6">
        <f t="shared" si="0"/>
        <v>0</v>
      </c>
      <c r="E33" s="19">
        <v>0.375</v>
      </c>
      <c r="F33" s="19">
        <v>0.75</v>
      </c>
      <c r="G33" s="21">
        <v>4.1666666666666602E-2</v>
      </c>
      <c r="H33" s="4"/>
      <c r="I33" s="4"/>
      <c r="J33" s="18" t="str" cm="1">
        <f t="array" ref="J33">IF(AND($H33&lt;&gt;"",$I33&lt;&gt;""),_xlfn.IFS(AND($H33&lt;=BASE_ST_TIME,$I33&lt;=LNBK_ST_TIME),TIME(0,0,0),AND($H33&lt;=LNBK_ST_TIME,LNBK_EN_TIME&lt;=$I33),BASE_LNBK_TIME,AND(DNBK_EN_TIME&lt;=$I33),""),"")</f>
        <v/>
      </c>
      <c r="K33" s="4"/>
      <c r="L33" s="20">
        <f t="shared" si="2"/>
        <v>0.33333333333333337</v>
      </c>
      <c r="M33" s="20">
        <f>IF(AND($E33&lt;&gt;"",$F33&lt;&gt;"",$G33&lt;&gt;""),SUM($L$4:$L33),"")</f>
        <v>6.3333333333333321</v>
      </c>
    </row>
  </sheetData>
  <mergeCells count="2">
    <mergeCell ref="B1:C1"/>
    <mergeCell ref="B2:C2"/>
  </mergeCells>
  <phoneticPr fontId="1"/>
  <conditionalFormatting sqref="B4:M33">
    <cfRule type="expression" dxfId="1" priority="1">
      <formula>IF($D4=1,TRUE,FALSE)</formula>
    </cfRule>
    <cfRule type="expression" dxfId="0" priority="2">
      <formula>IF(AND($H4&lt;&gt;"",$I4&lt;&gt;""),TRUE,FALSE)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criptIds xmlns="http://schemas.microsoft.com/office/extensibility/maker/v1.0" id="script-ids-node-id">
  <scriptId id="ms-officescript%3A%2F%2Fonedrive_business_itemlink%2F01BZQCBQYD73UWCULNTZGZ2TPNVSZRVLTI:ms-officescript%3A%2F%2Fonedrive_business_sharinglink%2Fu!aHR0cHM6Ly9rZzg1LW15LnNoYXJlcG9pbnQuY29tLzp1Oi9nL3BlcnNvbmFsL2tfbWF0c3VuYWdhX2tnODVfb25taWNyb3NvZnRfY29tL0VRUC02V0ZSYlo1Tm5VM3RyTE1hcm1nQkJuOWNOVFJYVzVTXzRPREYwRkkzVmc"/>
</scriptId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74441DD8614A34EAB918240CADC7AF9" ma:contentTypeVersion="5" ma:contentTypeDescription="新しいドキュメントを作成します。" ma:contentTypeScope="" ma:versionID="c2d71dc22a9ad64779e78d4064b740c0">
  <xsd:schema xmlns:xsd="http://www.w3.org/2001/XMLSchema" xmlns:xs="http://www.w3.org/2001/XMLSchema" xmlns:p="http://schemas.microsoft.com/office/2006/metadata/properties" xmlns:ns3="9306625e-a029-4da5-ac63-306f8d6569bb" targetNamespace="http://schemas.microsoft.com/office/2006/metadata/properties" ma:root="true" ma:fieldsID="2ed82b24e61c6e54fbf178f8b70961ab" ns3:_="">
    <xsd:import namespace="9306625e-a029-4da5-ac63-306f8d6569b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6625e-a029-4da5-ac63-306f8d6569b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A537E-3C06-49C8-9FAC-6F9CCA7178A4}">
  <ds:schemaRefs>
    <ds:schemaRef ds:uri="http://schemas.microsoft.com/office/extensibility/maker/v1.0"/>
  </ds:schemaRefs>
</ds:datastoreItem>
</file>

<file path=customXml/itemProps2.xml><?xml version="1.0" encoding="utf-8"?>
<ds:datastoreItem xmlns:ds="http://schemas.openxmlformats.org/officeDocument/2006/customXml" ds:itemID="{A0F179F4-6111-4478-8FED-B172C6867907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9306625e-a029-4da5-ac63-306f8d6569bb"/>
  </ds:schemaRefs>
</ds:datastoreItem>
</file>

<file path=customXml/itemProps3.xml><?xml version="1.0" encoding="utf-8"?>
<ds:datastoreItem xmlns:ds="http://schemas.openxmlformats.org/officeDocument/2006/customXml" ds:itemID="{11E098C3-B1A0-44BE-BFD6-7AB892A162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4CE861-6A64-4AC9-945C-3021AAF06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6625e-a029-4da5-ac63-306f8d656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15</vt:i4>
      </vt:variant>
    </vt:vector>
  </HeadingPairs>
  <TitlesOfParts>
    <vt:vector size="17" baseType="lpstr">
      <vt:lpstr>設定</vt:lpstr>
      <vt:lpstr>yyyymm</vt:lpstr>
      <vt:lpstr>BASE_DNBK_TIME</vt:lpstr>
      <vt:lpstr>BASE_EN_TIME</vt:lpstr>
      <vt:lpstr>BASE_LNBK_TIME</vt:lpstr>
      <vt:lpstr>BASE_NTBK_TIME</vt:lpstr>
      <vt:lpstr>BASE_ST_TIME</vt:lpstr>
      <vt:lpstr>BASE_WORK_TIME</vt:lpstr>
      <vt:lpstr>DNBK_EN_TIME</vt:lpstr>
      <vt:lpstr>DNBK_ST_TIME</vt:lpstr>
      <vt:lpstr>HEADER</vt:lpstr>
      <vt:lpstr>HOLIDAY_TABLE</vt:lpstr>
      <vt:lpstr>LNBK_EN_TIME</vt:lpstr>
      <vt:lpstr>LNBK_ST_TIME</vt:lpstr>
      <vt:lpstr>NTBK_EN_TIME</vt:lpstr>
      <vt:lpstr>NTBK_ST_TIME</vt:lpstr>
      <vt:lpstr>WEEKDAY_COL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松永公彦</dc:creator>
  <cp:lastModifiedBy>松永公彦</cp:lastModifiedBy>
  <dcterms:created xsi:type="dcterms:W3CDTF">2025-03-04T09:49:37Z</dcterms:created>
  <dcterms:modified xsi:type="dcterms:W3CDTF">2025-03-04T11:54:01Z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0x010100474441DD8614A34EAB918240CADC7AF9</vt:lpwstr>
  </property>
</Properties>
</file>