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Physics_labs\2 course\lab441\"/>
    </mc:Choice>
  </mc:AlternateContent>
  <xr:revisionPtr revIDLastSave="0" documentId="13_ncr:1_{8B37B34C-B528-491F-A86E-E855E003FEEA}" xr6:coauthVersionLast="37" xr6:coauthVersionMax="47" xr10:uidLastSave="{00000000-0000-0000-0000-000000000000}"/>
  <bookViews>
    <workbookView xWindow="0" yWindow="0" windowWidth="28800" windowHeight="18000" xr2:uid="{00A89363-ECD9-6D45-B154-189D337C9C39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S27" i="1" s="1"/>
  <c r="V13" i="1"/>
  <c r="V11" i="1"/>
  <c r="V15" i="1"/>
  <c r="V17" i="1"/>
  <c r="V19" i="1"/>
  <c r="V21" i="1"/>
  <c r="U13" i="1"/>
  <c r="U15" i="1"/>
  <c r="U17" i="1"/>
  <c r="U19" i="1"/>
  <c r="U21" i="1"/>
  <c r="U11" i="1"/>
  <c r="S17" i="1"/>
  <c r="S19" i="1"/>
  <c r="S21" i="1"/>
  <c r="S15" i="1"/>
  <c r="S13" i="1"/>
  <c r="S11" i="1"/>
  <c r="R22" i="1"/>
  <c r="R21" i="1"/>
  <c r="R20" i="1"/>
  <c r="R19" i="1"/>
  <c r="R18" i="1"/>
  <c r="R17" i="1"/>
  <c r="R16" i="1"/>
  <c r="R15" i="1"/>
  <c r="R14" i="1"/>
  <c r="R13" i="1"/>
  <c r="R12" i="1"/>
  <c r="R11" i="1"/>
  <c r="F12" i="1"/>
  <c r="F20" i="1" s="1"/>
  <c r="D12" i="1"/>
  <c r="C20" i="1"/>
  <c r="C28" i="1" s="1"/>
  <c r="E21" i="1"/>
  <c r="D13" i="1"/>
  <c r="F13" i="1"/>
  <c r="G22" i="1"/>
  <c r="H22" i="1" s="1"/>
  <c r="G24" i="1"/>
  <c r="H24" i="1" s="1"/>
  <c r="D34" i="1"/>
  <c r="H34" i="1"/>
  <c r="G34" i="1"/>
  <c r="F34" i="1"/>
  <c r="F21" i="1"/>
  <c r="H30" i="1" s="1"/>
  <c r="F22" i="1"/>
  <c r="H31" i="1" s="1"/>
  <c r="F23" i="1"/>
  <c r="H32" i="1" s="1"/>
  <c r="F24" i="1"/>
  <c r="F33" i="1" s="1"/>
  <c r="F16" i="1"/>
  <c r="F15" i="1"/>
  <c r="F14" i="1"/>
  <c r="C21" i="1"/>
  <c r="D30" i="1" s="1"/>
  <c r="C22" i="1"/>
  <c r="B31" i="1" s="1"/>
  <c r="C23" i="1"/>
  <c r="B32" i="1" s="1"/>
  <c r="C24" i="1"/>
  <c r="D33" i="1" s="1"/>
  <c r="D16" i="1"/>
  <c r="D15" i="1"/>
  <c r="D14" i="1"/>
  <c r="A5" i="1"/>
  <c r="H28" i="1" l="1"/>
  <c r="F28" i="1"/>
  <c r="G20" i="1"/>
  <c r="H20" i="1" s="1"/>
  <c r="G28" i="1"/>
  <c r="D20" i="1"/>
  <c r="E20" i="1" s="1"/>
  <c r="G33" i="1"/>
  <c r="G32" i="1"/>
  <c r="D24" i="1"/>
  <c r="E24" i="1" s="1"/>
  <c r="B34" i="1"/>
  <c r="G30" i="1"/>
  <c r="D23" i="1"/>
  <c r="E23" i="1" s="1"/>
  <c r="G23" i="1"/>
  <c r="H23" i="1" s="1"/>
  <c r="D22" i="1"/>
  <c r="E22" i="1" s="1"/>
  <c r="D21" i="1"/>
  <c r="H33" i="1"/>
  <c r="F32" i="1"/>
  <c r="G31" i="1"/>
  <c r="C34" i="1"/>
  <c r="G21" i="1"/>
  <c r="H21" i="1" s="1"/>
  <c r="F31" i="1"/>
  <c r="F30" i="1"/>
  <c r="B33" i="1"/>
  <c r="B28" i="1"/>
  <c r="C33" i="1"/>
  <c r="D32" i="1"/>
  <c r="C32" i="1"/>
  <c r="C31" i="1"/>
  <c r="C30" i="1"/>
  <c r="D28" i="1"/>
  <c r="B30" i="1"/>
  <c r="D31" i="1"/>
</calcChain>
</file>

<file path=xl/sharedStrings.xml><?xml version="1.0" encoding="utf-8"?>
<sst xmlns="http://schemas.openxmlformats.org/spreadsheetml/2006/main" count="126" uniqueCount="65">
  <si>
    <t>Отсчет угла</t>
  </si>
  <si>
    <t>град</t>
  </si>
  <si>
    <t>мин</t>
  </si>
  <si>
    <t>сек</t>
  </si>
  <si>
    <t>+-1 спектр</t>
  </si>
  <si>
    <t>Цвет</t>
  </si>
  <si>
    <t>Угол</t>
  </si>
  <si>
    <t>Бел</t>
  </si>
  <si>
    <t>180 13 43</t>
  </si>
  <si>
    <t>192 47 11</t>
  </si>
  <si>
    <t>Зел</t>
  </si>
  <si>
    <t>196 01 37</t>
  </si>
  <si>
    <t>Желт 1</t>
  </si>
  <si>
    <t>196 56 40</t>
  </si>
  <si>
    <t xml:space="preserve">Желт 2 </t>
  </si>
  <si>
    <t>197 00 18</t>
  </si>
  <si>
    <t>Красн</t>
  </si>
  <si>
    <t>Син</t>
  </si>
  <si>
    <t>Голуб</t>
  </si>
  <si>
    <t>194 32 54</t>
  </si>
  <si>
    <t>165 49 10</t>
  </si>
  <si>
    <t>164 19 34</t>
  </si>
  <si>
    <t>163 23 46</t>
  </si>
  <si>
    <t>163 20 06</t>
  </si>
  <si>
    <t>N</t>
  </si>
  <si>
    <t>196 56 24</t>
  </si>
  <si>
    <t>197 00 15</t>
  </si>
  <si>
    <t>215 11 51</t>
  </si>
  <si>
    <t>215 20 06</t>
  </si>
  <si>
    <t>239 00 06</t>
  </si>
  <si>
    <t>239 19 43</t>
  </si>
  <si>
    <t>144 42 41</t>
  </si>
  <si>
    <t>144 33 58</t>
  </si>
  <si>
    <t>118 57 40</t>
  </si>
  <si>
    <t>118 33 51</t>
  </si>
  <si>
    <t>Аппар. Разреш.</t>
  </si>
  <si>
    <t>Ширина</t>
  </si>
  <si>
    <t>196 56 11</t>
  </si>
  <si>
    <t>196 57 6</t>
  </si>
  <si>
    <t>215 11 23</t>
  </si>
  <si>
    <t>215 13 19</t>
  </si>
  <si>
    <t>Разреш сила от ширины</t>
  </si>
  <si>
    <t>ноль шкалы</t>
  </si>
  <si>
    <t>мм</t>
  </si>
  <si>
    <t>цель</t>
  </si>
  <si>
    <t>ммz</t>
  </si>
  <si>
    <t>Синий</t>
  </si>
  <si>
    <t>Голубой</t>
  </si>
  <si>
    <t>Зелёный</t>
  </si>
  <si>
    <t>Желтый</t>
  </si>
  <si>
    <t>$\lambda$, нм</t>
  </si>
  <si>
    <t>Угол, град. мин. сек.</t>
  </si>
  <si>
    <t>Ноль шкалы 180 14'43''</t>
  </si>
  <si>
    <t>$\sin \\varphi_1$</t>
  </si>
  <si>
    <t>$\sin \\varphi_{-1}$</t>
  </si>
  <si>
    <t>192 01 11</t>
  </si>
  <si>
    <t>168 10 17</t>
  </si>
  <si>
    <t>m</t>
  </si>
  <si>
    <t>Пары желтых спектров</t>
  </si>
  <si>
    <t>Угол, сек</t>
  </si>
  <si>
    <t>Угол, $\delta$ сек</t>
  </si>
  <si>
    <t>D</t>
  </si>
  <si>
    <t>dlambda</t>
  </si>
  <si>
    <t>$D_{teor}$</t>
  </si>
  <si>
    <t>D, сек/Ангстрем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</si>
</sst>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16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4F-F58F-D843-81A5-54B553D46CAE}">
  <dimension ref="A1:V34"/>
  <sheetViews>
    <sheetView tabSelected="1" zoomScale="84" zoomScaleNormal="84" workbookViewId="0">
      <selection activeCell="M12" sqref="M12"/>
    </sheetView>
  </sheetViews>
  <sheetFormatPr defaultColWidth="10.875" defaultRowHeight="18.75" x14ac:dyDescent="0.3"/>
  <cols>
    <col min="1" max="1" width="15.875" style="1" bestFit="1" customWidth="1"/>
    <col min="2" max="4" width="10.875" style="1"/>
    <col min="5" max="5" width="14.375" style="1" bestFit="1" customWidth="1"/>
    <col min="6" max="6" width="10.75" style="1" bestFit="1" customWidth="1"/>
    <col min="7" max="7" width="14" style="1" bestFit="1" customWidth="1"/>
    <col min="8" max="8" width="15.125" style="1" bestFit="1" customWidth="1"/>
    <col min="9" max="9" width="10.875" style="1"/>
    <col min="10" max="10" width="10.375" style="1" bestFit="1" customWidth="1"/>
    <col min="11" max="11" width="14.875" style="1" bestFit="1" customWidth="1"/>
    <col min="12" max="13" width="22.625" style="1" bestFit="1" customWidth="1"/>
    <col min="14" max="15" width="10.875" style="1"/>
    <col min="16" max="16" width="9.125" style="1" customWidth="1"/>
    <col min="17" max="17" width="25.125" style="1" customWidth="1"/>
    <col min="18" max="18" width="10.625" style="1" bestFit="1" customWidth="1"/>
    <col min="19" max="19" width="18.75" style="1" bestFit="1" customWidth="1"/>
    <col min="20" max="21" width="10.875" style="1"/>
    <col min="22" max="22" width="27.25" style="1" customWidth="1"/>
    <col min="23" max="16384" width="10.875" style="1"/>
  </cols>
  <sheetData>
    <row r="1" spans="1:22" s="2" customFormat="1" ht="20.25" x14ac:dyDescent="0.3">
      <c r="A1" s="6" t="s">
        <v>0</v>
      </c>
      <c r="B1" s="6"/>
      <c r="C1" s="7" t="s">
        <v>4</v>
      </c>
      <c r="D1" s="6"/>
      <c r="E1" s="6"/>
      <c r="F1" s="6"/>
      <c r="G1" s="6" t="s">
        <v>58</v>
      </c>
      <c r="H1" s="6"/>
      <c r="I1" s="6" t="s">
        <v>35</v>
      </c>
      <c r="J1" s="6"/>
      <c r="K1" s="6"/>
      <c r="L1" s="6" t="s">
        <v>41</v>
      </c>
      <c r="M1" s="6"/>
      <c r="N1" s="6"/>
    </row>
    <row r="2" spans="1:22" x14ac:dyDescent="0.3">
      <c r="A2" s="1">
        <v>180</v>
      </c>
      <c r="B2" s="1" t="s">
        <v>1</v>
      </c>
      <c r="C2" s="3" t="s">
        <v>5</v>
      </c>
      <c r="D2" s="3" t="s">
        <v>6</v>
      </c>
      <c r="E2" s="3" t="s">
        <v>5</v>
      </c>
      <c r="F2" s="3" t="s">
        <v>6</v>
      </c>
      <c r="G2" s="1" t="s">
        <v>57</v>
      </c>
      <c r="H2" s="1" t="s">
        <v>6</v>
      </c>
      <c r="I2" s="1" t="s">
        <v>24</v>
      </c>
      <c r="J2" s="5" t="s">
        <v>36</v>
      </c>
      <c r="K2" s="5"/>
      <c r="L2" s="1" t="s">
        <v>42</v>
      </c>
      <c r="M2" s="1">
        <v>0.82</v>
      </c>
      <c r="N2" s="1" t="s">
        <v>43</v>
      </c>
    </row>
    <row r="3" spans="1:22" x14ac:dyDescent="0.3">
      <c r="A3" s="1">
        <v>14</v>
      </c>
      <c r="B3" s="1" t="s">
        <v>2</v>
      </c>
      <c r="C3" s="1" t="s">
        <v>7</v>
      </c>
      <c r="D3" s="1" t="s">
        <v>8</v>
      </c>
      <c r="E3" s="1" t="s">
        <v>7</v>
      </c>
      <c r="F3" s="1" t="s">
        <v>8</v>
      </c>
      <c r="G3" s="1">
        <v>1</v>
      </c>
      <c r="H3" s="1" t="s">
        <v>25</v>
      </c>
      <c r="I3" s="1">
        <v>1</v>
      </c>
      <c r="J3" s="1" t="s">
        <v>37</v>
      </c>
      <c r="K3" s="1" t="s">
        <v>38</v>
      </c>
      <c r="L3" s="1" t="s">
        <v>44</v>
      </c>
      <c r="M3" s="1">
        <v>2.83</v>
      </c>
      <c r="N3" s="1" t="s">
        <v>45</v>
      </c>
    </row>
    <row r="4" spans="1:22" x14ac:dyDescent="0.3">
      <c r="A4" s="1">
        <v>43</v>
      </c>
      <c r="B4" s="1" t="s">
        <v>3</v>
      </c>
      <c r="C4" s="4" t="s">
        <v>17</v>
      </c>
      <c r="D4" s="1" t="s">
        <v>9</v>
      </c>
      <c r="E4" s="4" t="s">
        <v>17</v>
      </c>
      <c r="F4" s="1" t="s">
        <v>56</v>
      </c>
      <c r="G4" s="1">
        <v>1</v>
      </c>
      <c r="H4" s="1" t="s">
        <v>26</v>
      </c>
      <c r="I4" s="1">
        <v>2</v>
      </c>
      <c r="J4" s="1" t="s">
        <v>39</v>
      </c>
      <c r="K4" s="1" t="s">
        <v>40</v>
      </c>
    </row>
    <row r="5" spans="1:22" x14ac:dyDescent="0.3">
      <c r="A5" s="1">
        <f>A4+A3*60+A2*60*60</f>
        <v>648883</v>
      </c>
      <c r="C5" s="1" t="s">
        <v>18</v>
      </c>
      <c r="D5" s="1" t="s">
        <v>19</v>
      </c>
      <c r="E5" s="1" t="s">
        <v>18</v>
      </c>
      <c r="F5" s="1" t="s">
        <v>20</v>
      </c>
      <c r="G5" s="1">
        <v>2</v>
      </c>
      <c r="H5" s="1" t="s">
        <v>27</v>
      </c>
    </row>
    <row r="6" spans="1:22" x14ac:dyDescent="0.3">
      <c r="C6" s="1" t="s">
        <v>10</v>
      </c>
      <c r="D6" s="1" t="s">
        <v>11</v>
      </c>
      <c r="E6" s="1" t="s">
        <v>10</v>
      </c>
      <c r="F6" s="1" t="s">
        <v>21</v>
      </c>
      <c r="G6" s="1">
        <v>2</v>
      </c>
      <c r="H6" s="1" t="s">
        <v>28</v>
      </c>
    </row>
    <row r="7" spans="1:22" x14ac:dyDescent="0.3">
      <c r="C7" s="1" t="s">
        <v>12</v>
      </c>
      <c r="D7" s="1" t="s">
        <v>13</v>
      </c>
      <c r="E7" s="1" t="s">
        <v>12</v>
      </c>
      <c r="F7" s="1" t="s">
        <v>22</v>
      </c>
      <c r="G7" s="1">
        <v>3</v>
      </c>
      <c r="H7" s="1" t="s">
        <v>29</v>
      </c>
    </row>
    <row r="8" spans="1:22" x14ac:dyDescent="0.3">
      <c r="C8" s="1" t="s">
        <v>14</v>
      </c>
      <c r="D8" s="1" t="s">
        <v>15</v>
      </c>
      <c r="E8" s="1" t="s">
        <v>14</v>
      </c>
      <c r="F8" s="1" t="s">
        <v>23</v>
      </c>
      <c r="G8" s="1">
        <v>3</v>
      </c>
      <c r="H8" s="1" t="s">
        <v>30</v>
      </c>
      <c r="J8" s="8" t="s">
        <v>52</v>
      </c>
      <c r="K8" s="8"/>
      <c r="L8" s="8"/>
      <c r="M8" s="8"/>
      <c r="P8" s="8" t="s">
        <v>52</v>
      </c>
      <c r="Q8" s="8"/>
      <c r="R8" s="8"/>
      <c r="S8" s="8"/>
      <c r="T8" s="1" t="s">
        <v>62</v>
      </c>
      <c r="U8" s="1">
        <v>21</v>
      </c>
    </row>
    <row r="9" spans="1:22" ht="20.25" customHeight="1" x14ac:dyDescent="0.3">
      <c r="G9" s="1">
        <v>-1</v>
      </c>
      <c r="H9" s="1" t="s">
        <v>22</v>
      </c>
      <c r="K9" s="9" t="s">
        <v>50</v>
      </c>
      <c r="L9" s="9" t="s">
        <v>51</v>
      </c>
      <c r="M9" s="9" t="s">
        <v>51</v>
      </c>
      <c r="P9" s="6" t="s">
        <v>58</v>
      </c>
      <c r="Q9" s="6"/>
      <c r="R9" s="6"/>
      <c r="S9" s="6"/>
    </row>
    <row r="10" spans="1:22" x14ac:dyDescent="0.3">
      <c r="G10" s="1">
        <v>-1</v>
      </c>
      <c r="H10" s="1" t="s">
        <v>23</v>
      </c>
      <c r="J10" s="9" t="s">
        <v>46</v>
      </c>
      <c r="K10" s="4">
        <v>404.7</v>
      </c>
      <c r="L10" s="4" t="s">
        <v>55</v>
      </c>
      <c r="M10" s="4" t="s">
        <v>56</v>
      </c>
      <c r="P10" s="4" t="s">
        <v>57</v>
      </c>
      <c r="Q10" s="4" t="s">
        <v>6</v>
      </c>
      <c r="R10" s="1" t="s">
        <v>59</v>
      </c>
      <c r="S10" s="1" t="s">
        <v>60</v>
      </c>
      <c r="U10" s="1" t="s">
        <v>61</v>
      </c>
      <c r="V10" s="1" t="s">
        <v>63</v>
      </c>
    </row>
    <row r="11" spans="1:22" x14ac:dyDescent="0.3">
      <c r="C11" s="4"/>
      <c r="G11" s="1">
        <v>-2</v>
      </c>
      <c r="H11" s="1" t="s">
        <v>31</v>
      </c>
      <c r="J11" s="9" t="s">
        <v>47</v>
      </c>
      <c r="K11" s="4">
        <v>491.6</v>
      </c>
      <c r="L11" s="4" t="s">
        <v>19</v>
      </c>
      <c r="M11" s="4" t="s">
        <v>20</v>
      </c>
      <c r="P11" s="4">
        <v>1</v>
      </c>
      <c r="Q11" s="4" t="s">
        <v>25</v>
      </c>
      <c r="R11" s="1">
        <f>196*3600 + 56* 60 +24</f>
        <v>708984</v>
      </c>
      <c r="S11" s="12">
        <f>R12-R11</f>
        <v>231</v>
      </c>
      <c r="U11" s="13">
        <f>S11/$U$8</f>
        <v>11</v>
      </c>
      <c r="V11" s="13">
        <f>P11/(SQRT(2^2 - P11^2*0.579^2))</f>
        <v>0.52236887268530308</v>
      </c>
    </row>
    <row r="12" spans="1:22" x14ac:dyDescent="0.3">
      <c r="A12" s="4" t="s">
        <v>17</v>
      </c>
      <c r="B12" s="1">
        <v>404.7</v>
      </c>
      <c r="D12" s="4">
        <f>192*3600+ 1*60+ 11</f>
        <v>691271</v>
      </c>
      <c r="F12" s="4">
        <f>168*3600+10*60+ 17</f>
        <v>605417</v>
      </c>
      <c r="G12" s="1">
        <v>-2</v>
      </c>
      <c r="H12" s="1" t="s">
        <v>32</v>
      </c>
      <c r="J12" s="9" t="s">
        <v>48</v>
      </c>
      <c r="K12" s="4">
        <v>546.1</v>
      </c>
      <c r="L12" s="4" t="s">
        <v>11</v>
      </c>
      <c r="M12" s="4" t="s">
        <v>21</v>
      </c>
      <c r="P12" s="4">
        <v>1</v>
      </c>
      <c r="Q12" s="4" t="s">
        <v>26</v>
      </c>
      <c r="R12" s="1">
        <f>197*3600 + 15</f>
        <v>709215</v>
      </c>
      <c r="S12" s="12"/>
      <c r="U12" s="13"/>
      <c r="V12" s="13"/>
    </row>
    <row r="13" spans="1:22" x14ac:dyDescent="0.3">
      <c r="A13" s="4" t="s">
        <v>18</v>
      </c>
      <c r="B13" s="1">
        <v>491.6</v>
      </c>
      <c r="D13" s="4">
        <f>194*3600+ 32*60+ 54</f>
        <v>700374</v>
      </c>
      <c r="E13" s="4"/>
      <c r="F13" s="4">
        <f>165*3600+ 49*60+ 10</f>
        <v>596950</v>
      </c>
      <c r="G13" s="1">
        <v>-3</v>
      </c>
      <c r="H13" s="1" t="s">
        <v>33</v>
      </c>
      <c r="J13" s="9" t="s">
        <v>49</v>
      </c>
      <c r="K13" s="4">
        <v>577</v>
      </c>
      <c r="L13" s="4" t="s">
        <v>13</v>
      </c>
      <c r="M13" s="4" t="s">
        <v>22</v>
      </c>
      <c r="P13" s="4">
        <v>2</v>
      </c>
      <c r="Q13" s="4" t="s">
        <v>27</v>
      </c>
      <c r="R13" s="1">
        <f>215*3600 + 11*60 + 51</f>
        <v>774711</v>
      </c>
      <c r="S13" s="12">
        <f>R14-R13</f>
        <v>495</v>
      </c>
      <c r="U13" s="13">
        <f t="shared" ref="U12:U22" si="0">S13/$U$8</f>
        <v>23.571428571428573</v>
      </c>
      <c r="V13" s="13">
        <f>P13/(SQRT(20000^2 - (P13^2)*(5790^2)))</f>
        <v>1.2265009447692888E-4</v>
      </c>
    </row>
    <row r="14" spans="1:22" x14ac:dyDescent="0.3">
      <c r="A14" s="4" t="s">
        <v>10</v>
      </c>
      <c r="B14" s="1">
        <v>546.1</v>
      </c>
      <c r="D14" s="4">
        <f>196*3600+ 60*1+ 37</f>
        <v>705697</v>
      </c>
      <c r="E14" s="4"/>
      <c r="F14" s="4">
        <f>3600*164 +19*60+ 34</f>
        <v>591574</v>
      </c>
      <c r="G14" s="1">
        <v>-3</v>
      </c>
      <c r="H14" s="1" t="s">
        <v>34</v>
      </c>
      <c r="J14" s="9" t="s">
        <v>49</v>
      </c>
      <c r="K14" s="4">
        <v>579.1</v>
      </c>
      <c r="L14" s="4" t="s">
        <v>15</v>
      </c>
      <c r="M14" s="4" t="s">
        <v>23</v>
      </c>
      <c r="P14" s="4">
        <v>2</v>
      </c>
      <c r="Q14" s="4" t="s">
        <v>28</v>
      </c>
      <c r="R14" s="1">
        <f>215*3600 + 20*60+ 6</f>
        <v>775206</v>
      </c>
      <c r="S14" s="12"/>
      <c r="U14" s="13"/>
      <c r="V14" s="13"/>
    </row>
    <row r="15" spans="1:22" x14ac:dyDescent="0.3">
      <c r="A15" s="4" t="s">
        <v>12</v>
      </c>
      <c r="B15" s="1">
        <v>577</v>
      </c>
      <c r="D15" s="4">
        <f>196*3600+ 56*60+ 40</f>
        <v>709000</v>
      </c>
      <c r="E15" s="4"/>
      <c r="F15" s="4">
        <f>163*3600+ 23*60+ 46</f>
        <v>588226</v>
      </c>
      <c r="P15" s="4">
        <v>3</v>
      </c>
      <c r="Q15" s="4" t="s">
        <v>29</v>
      </c>
      <c r="R15" s="1">
        <f>239*3600 + 6</f>
        <v>860406</v>
      </c>
      <c r="S15" s="12">
        <f>R16-R15</f>
        <v>1177</v>
      </c>
      <c r="U15" s="13">
        <f t="shared" si="0"/>
        <v>56.047619047619051</v>
      </c>
      <c r="V15" s="13">
        <f t="shared" ref="V15:V22" si="1">P15/(SQRT(2000^2 - P15^2*579^2))</f>
        <v>3.0260899384516832E-3</v>
      </c>
    </row>
    <row r="16" spans="1:22" x14ac:dyDescent="0.3">
      <c r="A16" s="4" t="s">
        <v>14</v>
      </c>
      <c r="B16" s="1">
        <v>579.1</v>
      </c>
      <c r="D16" s="4">
        <f>197*3600+60* 0 +18</f>
        <v>709218</v>
      </c>
      <c r="E16" s="4"/>
      <c r="F16" s="4">
        <f>163*3600+ 20*60+ 6</f>
        <v>588006</v>
      </c>
      <c r="P16" s="4">
        <v>3</v>
      </c>
      <c r="Q16" s="4" t="s">
        <v>30</v>
      </c>
      <c r="R16" s="1">
        <f>239*3600 + 19*60 + 43</f>
        <v>861583</v>
      </c>
      <c r="S16" s="12"/>
      <c r="U16" s="13"/>
      <c r="V16" s="13"/>
    </row>
    <row r="17" spans="1:22" x14ac:dyDescent="0.3">
      <c r="A17" s="4"/>
      <c r="D17" s="4"/>
      <c r="F17" s="4"/>
      <c r="P17" s="4">
        <v>-1</v>
      </c>
      <c r="Q17" s="4" t="s">
        <v>22</v>
      </c>
      <c r="R17" s="1">
        <f>163*3600 + 23*60 + 46</f>
        <v>588226</v>
      </c>
      <c r="S17" s="12">
        <f t="shared" ref="S17" si="2">R18-R17</f>
        <v>-220</v>
      </c>
      <c r="U17" s="13">
        <f t="shared" si="0"/>
        <v>-10.476190476190476</v>
      </c>
      <c r="V17" s="13">
        <f t="shared" ref="V17:V22" si="3">P17/(SQRT(2000^2 - P17^2*579^2))</f>
        <v>-5.2236887268530309E-4</v>
      </c>
    </row>
    <row r="18" spans="1:22" x14ac:dyDescent="0.3">
      <c r="P18" s="4">
        <v>-1</v>
      </c>
      <c r="Q18" s="4" t="s">
        <v>23</v>
      </c>
      <c r="R18" s="1">
        <f>163 * 3600 + 20*60 + 6</f>
        <v>588006</v>
      </c>
      <c r="S18" s="12"/>
      <c r="U18" s="13"/>
      <c r="V18" s="13"/>
    </row>
    <row r="19" spans="1:22" x14ac:dyDescent="0.3">
      <c r="A19" s="4"/>
      <c r="D19" s="10"/>
      <c r="E19" s="10"/>
      <c r="F19" s="10"/>
      <c r="K19" s="9" t="s">
        <v>50</v>
      </c>
      <c r="L19" s="9" t="s">
        <v>53</v>
      </c>
      <c r="M19" s="9" t="s">
        <v>54</v>
      </c>
      <c r="P19" s="4">
        <v>-2</v>
      </c>
      <c r="Q19" s="4" t="s">
        <v>31</v>
      </c>
      <c r="R19" s="1">
        <f>144*3600+ 42*60 + 41</f>
        <v>520961</v>
      </c>
      <c r="S19" s="12">
        <f t="shared" ref="S19" si="4">R20-R19</f>
        <v>-523</v>
      </c>
      <c r="U19" s="13">
        <f t="shared" si="0"/>
        <v>-24.904761904761905</v>
      </c>
      <c r="V19" s="13">
        <f t="shared" ref="V19:V22" si="5">P19/(SQRT(2000^2 - P19^2*579^2))</f>
        <v>-1.226500944769289E-3</v>
      </c>
    </row>
    <row r="20" spans="1:22" x14ac:dyDescent="0.3">
      <c r="A20" s="4" t="s">
        <v>17</v>
      </c>
      <c r="C20" s="1">
        <f>D12-$A$5</f>
        <v>42388</v>
      </c>
      <c r="D20" s="1">
        <f>4.85*10^(-6)*C20</f>
        <v>0.20558179999999998</v>
      </c>
      <c r="E20" s="4">
        <f>SIN(D20)</f>
        <v>0.2041367431005871</v>
      </c>
      <c r="F20" s="4">
        <f>F12-$A$5</f>
        <v>-43466</v>
      </c>
      <c r="G20" s="4">
        <f>4.85*10^(-6)*F20</f>
        <v>-0.21081009999999997</v>
      </c>
      <c r="H20" s="4">
        <f>SIN(G20)</f>
        <v>-0.20925213420130517</v>
      </c>
      <c r="J20" s="9" t="s">
        <v>46</v>
      </c>
      <c r="K20" s="4">
        <v>404.7</v>
      </c>
      <c r="L20" s="11">
        <v>0.2041367431005871</v>
      </c>
      <c r="M20" s="11">
        <v>-0.20925213420130517</v>
      </c>
      <c r="P20" s="4">
        <v>-2</v>
      </c>
      <c r="Q20" s="4" t="s">
        <v>32</v>
      </c>
      <c r="R20" s="1">
        <f>144*3600+33*60+58</f>
        <v>520438</v>
      </c>
      <c r="S20" s="12"/>
      <c r="U20" s="13"/>
      <c r="V20" s="13"/>
    </row>
    <row r="21" spans="1:22" x14ac:dyDescent="0.3">
      <c r="A21" s="4" t="s">
        <v>18</v>
      </c>
      <c r="C21" s="4">
        <f>D13-$A$5</f>
        <v>51491</v>
      </c>
      <c r="D21" s="4">
        <f>4.85*10^(-6)*C21</f>
        <v>0.24973134999999996</v>
      </c>
      <c r="E21" s="4">
        <f>SIN(D21)</f>
        <v>0.24714365200764044</v>
      </c>
      <c r="F21" s="4">
        <f>F13-$A$5</f>
        <v>-51933</v>
      </c>
      <c r="G21" s="4">
        <f>4.85*10^(-6)*F21</f>
        <v>-0.25187504999999999</v>
      </c>
      <c r="H21" s="4">
        <f>SIN(G21)</f>
        <v>-0.24922028251344838</v>
      </c>
      <c r="J21" s="9" t="s">
        <v>47</v>
      </c>
      <c r="K21" s="4">
        <v>491.6</v>
      </c>
      <c r="L21" s="11">
        <v>0.24714365200764044</v>
      </c>
      <c r="M21" s="11">
        <v>-0.24922028251344838</v>
      </c>
      <c r="P21" s="4">
        <v>-3</v>
      </c>
      <c r="Q21" s="4" t="s">
        <v>33</v>
      </c>
      <c r="R21" s="1">
        <f>118*3600+57*60 + 40</f>
        <v>428260</v>
      </c>
      <c r="S21" s="12">
        <f t="shared" ref="S21" si="6">R22-R21</f>
        <v>-1429</v>
      </c>
      <c r="U21" s="13">
        <f t="shared" si="0"/>
        <v>-68.047619047619051</v>
      </c>
      <c r="V21" s="13">
        <f t="shared" ref="V21:V22" si="7">P21/(SQRT(2000^2 - P21^2*579^2))</f>
        <v>-3.0260899384516832E-3</v>
      </c>
    </row>
    <row r="22" spans="1:22" x14ac:dyDescent="0.3">
      <c r="A22" s="4" t="s">
        <v>10</v>
      </c>
      <c r="C22" s="4">
        <f>D14-$A$5</f>
        <v>56814</v>
      </c>
      <c r="D22" s="4">
        <f>4.85*10^(-6)*C22</f>
        <v>0.27554789999999996</v>
      </c>
      <c r="E22" s="4">
        <f>SIN(D22)</f>
        <v>0.27207420893707535</v>
      </c>
      <c r="F22" s="4">
        <f>F14-$A$5</f>
        <v>-57309</v>
      </c>
      <c r="G22" s="4">
        <f>4.85*10^(-6)*F22</f>
        <v>-0.27794864999999996</v>
      </c>
      <c r="H22" s="4">
        <f>SIN(G22)</f>
        <v>-0.27438360741622936</v>
      </c>
      <c r="J22" s="9" t="s">
        <v>48</v>
      </c>
      <c r="K22" s="4">
        <v>546.1</v>
      </c>
      <c r="L22" s="11">
        <v>0.27207420893707535</v>
      </c>
      <c r="M22" s="11">
        <v>-0.27438360741622936</v>
      </c>
      <c r="P22" s="4">
        <v>-3</v>
      </c>
      <c r="Q22" s="4" t="s">
        <v>34</v>
      </c>
      <c r="R22" s="1">
        <f>118*3600+33*60+51</f>
        <v>426831</v>
      </c>
      <c r="S22" s="12"/>
      <c r="U22" s="13"/>
      <c r="V22" s="13"/>
    </row>
    <row r="23" spans="1:22" x14ac:dyDescent="0.3">
      <c r="A23" s="4" t="s">
        <v>12</v>
      </c>
      <c r="C23" s="4">
        <f>D15-$A$5</f>
        <v>60117</v>
      </c>
      <c r="D23" s="4">
        <f>4.85*10^(-6)*C23</f>
        <v>0.29156744999999995</v>
      </c>
      <c r="E23" s="4">
        <f>SIN(D23)</f>
        <v>0.28745387257459648</v>
      </c>
      <c r="F23" s="4">
        <f>F15-$A$5</f>
        <v>-60657</v>
      </c>
      <c r="G23" s="4">
        <f>4.85*10^(-6)*F23</f>
        <v>-0.29418644999999993</v>
      </c>
      <c r="H23" s="4">
        <f>SIN(G23)</f>
        <v>-0.28996134761156689</v>
      </c>
      <c r="J23" s="9" t="s">
        <v>49</v>
      </c>
      <c r="K23" s="4">
        <v>577</v>
      </c>
      <c r="L23" s="11">
        <v>0.28745387257459648</v>
      </c>
      <c r="M23" s="11">
        <v>-0.28996134761156689</v>
      </c>
    </row>
    <row r="24" spans="1:22" x14ac:dyDescent="0.3">
      <c r="A24" s="4" t="s">
        <v>14</v>
      </c>
      <c r="C24" s="4">
        <f>D16-$A$5</f>
        <v>60335</v>
      </c>
      <c r="D24" s="4">
        <f>4.85*10^(-6)*C24</f>
        <v>0.29262474999999993</v>
      </c>
      <c r="E24" s="4">
        <f>SIN(D24)</f>
        <v>0.28846638782258244</v>
      </c>
      <c r="F24" s="4">
        <f>F16-$A$5</f>
        <v>-60877</v>
      </c>
      <c r="G24" s="4">
        <f>4.85*10^(-6)*F24</f>
        <v>-0.29525344999999997</v>
      </c>
      <c r="H24" s="4">
        <f>SIN(G24)</f>
        <v>-0.29098234228590408</v>
      </c>
      <c r="J24" s="9" t="s">
        <v>49</v>
      </c>
      <c r="K24" s="4">
        <v>579.1</v>
      </c>
      <c r="L24" s="11">
        <v>0.28846638782258244</v>
      </c>
      <c r="M24" s="11">
        <v>-0.29098234228590408</v>
      </c>
      <c r="P24" s="9" t="s">
        <v>57</v>
      </c>
      <c r="Q24" s="9" t="s">
        <v>64</v>
      </c>
    </row>
    <row r="25" spans="1:22" x14ac:dyDescent="0.3">
      <c r="P25" s="1">
        <v>1</v>
      </c>
      <c r="Q25" s="14">
        <v>11</v>
      </c>
    </row>
    <row r="26" spans="1:22" x14ac:dyDescent="0.3">
      <c r="A26" s="4"/>
      <c r="C26" s="4"/>
      <c r="D26" s="4"/>
      <c r="E26" s="4"/>
      <c r="F26" s="4"/>
      <c r="G26" s="4"/>
      <c r="H26" s="4"/>
      <c r="P26" s="1">
        <v>2</v>
      </c>
      <c r="Q26" s="14">
        <v>23.571428571428573</v>
      </c>
    </row>
    <row r="27" spans="1:22" x14ac:dyDescent="0.3">
      <c r="A27" s="4"/>
      <c r="D27" s="10"/>
      <c r="E27" s="10"/>
      <c r="F27" s="10"/>
      <c r="P27" s="1">
        <v>3</v>
      </c>
      <c r="Q27" s="14">
        <v>56.047619047619051</v>
      </c>
      <c r="R27" s="1">
        <f>R12-A5</f>
        <v>60332</v>
      </c>
      <c r="S27" s="1">
        <f>R27/S11</f>
        <v>261.17748917748918</v>
      </c>
    </row>
    <row r="28" spans="1:22" x14ac:dyDescent="0.3">
      <c r="A28" s="4" t="s">
        <v>17</v>
      </c>
      <c r="B28" s="1">
        <f>QUOTIENT(C20, 3600)</f>
        <v>11</v>
      </c>
      <c r="C28" s="1">
        <f>QUOTIENT(MOD(C20, 3600), 60)</f>
        <v>46</v>
      </c>
      <c r="D28" s="1">
        <f>MOD(MOD(C20,3600),60)</f>
        <v>28</v>
      </c>
      <c r="F28" s="1">
        <f>QUOTIENT(F20, 3600)</f>
        <v>-12</v>
      </c>
      <c r="G28" s="1">
        <f>QUOTIENT(MOD(F20, 3600), 60)</f>
        <v>55</v>
      </c>
      <c r="H28" s="4">
        <f>MOD(MOD(F20,3600),60)</f>
        <v>34</v>
      </c>
      <c r="P28" s="1">
        <v>-1</v>
      </c>
      <c r="Q28" s="14">
        <v>-10.476190476190476</v>
      </c>
    </row>
    <row r="29" spans="1:22" x14ac:dyDescent="0.3">
      <c r="A29" s="4"/>
      <c r="B29" s="4"/>
      <c r="C29" s="4"/>
      <c r="D29" s="4"/>
      <c r="F29" s="4"/>
      <c r="G29" s="4"/>
      <c r="H29" s="4"/>
      <c r="P29" s="1">
        <v>-2</v>
      </c>
      <c r="Q29" s="14">
        <v>-24.904761904761905</v>
      </c>
    </row>
    <row r="30" spans="1:22" x14ac:dyDescent="0.3">
      <c r="A30" s="4" t="s">
        <v>18</v>
      </c>
      <c r="B30" s="4">
        <f>QUOTIENT(C21, 3600)</f>
        <v>14</v>
      </c>
      <c r="C30" s="4">
        <f>QUOTIENT(MOD(C21, 3600), 60)</f>
        <v>18</v>
      </c>
      <c r="D30" s="4">
        <f>MOD(MOD(C21,3600),60)</f>
        <v>11</v>
      </c>
      <c r="F30" s="4">
        <f>QUOTIENT(F21, 3600)</f>
        <v>-14</v>
      </c>
      <c r="G30" s="4">
        <f>QUOTIENT(MOD(F21, 3600), 60)</f>
        <v>34</v>
      </c>
      <c r="H30" s="4">
        <f>MOD(MOD(F21,3600),60)</f>
        <v>27</v>
      </c>
      <c r="P30" s="1">
        <v>-3</v>
      </c>
      <c r="Q30" s="14">
        <v>-68.047619047619051</v>
      </c>
    </row>
    <row r="31" spans="1:22" x14ac:dyDescent="0.3">
      <c r="A31" s="4" t="s">
        <v>10</v>
      </c>
      <c r="B31" s="4">
        <f>QUOTIENT(C22, 3600)</f>
        <v>15</v>
      </c>
      <c r="C31" s="4">
        <f>QUOTIENT(MOD(C22, 3600), 60)</f>
        <v>46</v>
      </c>
      <c r="D31" s="4">
        <f>MOD(MOD(C22,3600),60)</f>
        <v>54</v>
      </c>
      <c r="F31" s="4">
        <f>QUOTIENT(F22, 3600)</f>
        <v>-15</v>
      </c>
      <c r="G31" s="4">
        <f>QUOTIENT(MOD(F22, 3600), 60)</f>
        <v>4</v>
      </c>
      <c r="H31" s="4">
        <f>MOD(MOD(F22,3600),60)</f>
        <v>51</v>
      </c>
    </row>
    <row r="32" spans="1:22" x14ac:dyDescent="0.3">
      <c r="A32" s="4" t="s">
        <v>12</v>
      </c>
      <c r="B32" s="4">
        <f>QUOTIENT(C23, 3600)</f>
        <v>16</v>
      </c>
      <c r="C32" s="4">
        <f>QUOTIENT(MOD(C23, 3600), 60)</f>
        <v>41</v>
      </c>
      <c r="D32" s="4">
        <f>MOD(MOD(C23,3600),60)</f>
        <v>57</v>
      </c>
      <c r="F32" s="4">
        <f>QUOTIENT(F23, 3600)</f>
        <v>-16</v>
      </c>
      <c r="G32" s="4">
        <f>QUOTIENT(MOD(F23, 3600), 60)</f>
        <v>9</v>
      </c>
      <c r="H32" s="4">
        <f>MOD(MOD(F23,3600),60)</f>
        <v>3</v>
      </c>
    </row>
    <row r="33" spans="1:8" x14ac:dyDescent="0.3">
      <c r="A33" s="4" t="s">
        <v>14</v>
      </c>
      <c r="B33" s="4">
        <f>QUOTIENT(C24, 3600)</f>
        <v>16</v>
      </c>
      <c r="C33" s="4">
        <f>QUOTIENT(MOD(C24, 3600), 60)</f>
        <v>45</v>
      </c>
      <c r="D33" s="4">
        <f>MOD(MOD(C24,3600),60)</f>
        <v>35</v>
      </c>
      <c r="F33" s="4">
        <f>QUOTIENT(F24, 3600)</f>
        <v>-16</v>
      </c>
      <c r="G33" s="4">
        <f>QUOTIENT(MOD(F24, 3600), 60)</f>
        <v>5</v>
      </c>
      <c r="H33" s="4">
        <f>MOD(MOD(F24,3600),60)</f>
        <v>23</v>
      </c>
    </row>
    <row r="34" spans="1:8" x14ac:dyDescent="0.3">
      <c r="A34" s="4" t="s">
        <v>16</v>
      </c>
      <c r="B34" s="4">
        <f>QUOTIENT(C26, 3600)</f>
        <v>0</v>
      </c>
      <c r="C34" s="4">
        <f>QUOTIENT(MOD(C26, 3600), 60)</f>
        <v>0</v>
      </c>
      <c r="D34" s="4">
        <f>MOD(MOD(C26,3600),60)</f>
        <v>0</v>
      </c>
      <c r="F34" s="4">
        <f t="shared" ref="F29:F34" si="8">QUOTIENT(F26, 3600)</f>
        <v>0</v>
      </c>
      <c r="G34" s="4">
        <f t="shared" ref="G29:G34" si="9">QUOTIENT(MOD(F26, 3600), 60)</f>
        <v>0</v>
      </c>
      <c r="H34" s="4">
        <f t="shared" ref="H29:H34" si="10">MOD(MOD(F26,3600),60)</f>
        <v>0</v>
      </c>
    </row>
  </sheetData>
  <mergeCells count="15">
    <mergeCell ref="S21:S22"/>
    <mergeCell ref="P8:S8"/>
    <mergeCell ref="P9:S9"/>
    <mergeCell ref="S11:S12"/>
    <mergeCell ref="S13:S14"/>
    <mergeCell ref="S15:S16"/>
    <mergeCell ref="S17:S18"/>
    <mergeCell ref="S19:S20"/>
    <mergeCell ref="J8:M8"/>
    <mergeCell ref="J2:K2"/>
    <mergeCell ref="L1:N1"/>
    <mergeCell ref="A1:B1"/>
    <mergeCell ref="C1:F1"/>
    <mergeCell ref="G1:H1"/>
    <mergeCell ref="I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</cp:lastModifiedBy>
  <dcterms:created xsi:type="dcterms:W3CDTF">2023-02-10T07:05:09Z</dcterms:created>
  <dcterms:modified xsi:type="dcterms:W3CDTF">2023-03-02T23:16:53Z</dcterms:modified>
</cp:coreProperties>
</file>