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21/"/>
    </mc:Choice>
  </mc:AlternateContent>
  <xr:revisionPtr revIDLastSave="0" documentId="13_ncr:1_{0BC38CEC-DCD3-7D41-81BE-A71812F36BD6}" xr6:coauthVersionLast="47" xr6:coauthVersionMax="47" xr10:uidLastSave="{00000000-0000-0000-0000-000000000000}"/>
  <bookViews>
    <workbookView xWindow="0" yWindow="0" windowWidth="28800" windowHeight="18000" xr2:uid="{B61DF159-E13B-D545-AC9E-3326B8B71E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2" i="1"/>
  <c r="AA2" i="1"/>
  <c r="AA3" i="1"/>
  <c r="AA4" i="1"/>
  <c r="Y2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2" i="1"/>
  <c r="T25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Q2" i="1"/>
  <c r="P2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P402" i="1"/>
  <c r="K14" i="1"/>
  <c r="I14" i="1" s="1"/>
  <c r="K12" i="1"/>
  <c r="L12" i="1" s="1"/>
  <c r="K8" i="1"/>
  <c r="L8" i="1" s="1"/>
  <c r="I13" i="1"/>
  <c r="K13" i="1" s="1"/>
  <c r="L13" i="1" s="1"/>
  <c r="I12" i="1"/>
  <c r="F11" i="1"/>
  <c r="G11" i="1" s="1"/>
  <c r="I4" i="1"/>
  <c r="I9" i="1"/>
  <c r="I7" i="1"/>
  <c r="K7" i="1" s="1"/>
  <c r="L7" i="1" s="1"/>
  <c r="I8" i="1"/>
  <c r="G6" i="1"/>
  <c r="F6" i="1"/>
  <c r="I3" i="1"/>
  <c r="K3" i="1" s="1"/>
  <c r="L3" i="1" s="1"/>
  <c r="I2" i="1"/>
  <c r="K2" i="1" s="1"/>
  <c r="L2" i="1" s="1"/>
  <c r="B7" i="1"/>
  <c r="F2" i="1" s="1"/>
  <c r="G2" i="1" s="1"/>
</calcChain>
</file>

<file path=xl/sharedStrings.xml><?xml version="1.0" encoding="utf-8"?>
<sst xmlns="http://schemas.openxmlformats.org/spreadsheetml/2006/main" count="39" uniqueCount="26">
  <si>
    <t>Параметры</t>
  </si>
  <si>
    <t>v1</t>
  </si>
  <si>
    <t>420+-10</t>
  </si>
  <si>
    <t>см3</t>
  </si>
  <si>
    <t>v2</t>
  </si>
  <si>
    <t>pгел</t>
  </si>
  <si>
    <t>pвозд</t>
  </si>
  <si>
    <t xml:space="preserve">кгс = </t>
  </si>
  <si>
    <t xml:space="preserve">n = </t>
  </si>
  <si>
    <t>Pсумм</t>
  </si>
  <si>
    <t>торр</t>
  </si>
  <si>
    <t>He</t>
  </si>
  <si>
    <t>Возд</t>
  </si>
  <si>
    <t>Pуст</t>
  </si>
  <si>
    <t>Торр</t>
  </si>
  <si>
    <t>Ячеек</t>
  </si>
  <si>
    <t>y1</t>
  </si>
  <si>
    <t>f1</t>
  </si>
  <si>
    <t>f-y ^ 2</t>
  </si>
  <si>
    <t>b1</t>
  </si>
  <si>
    <t>y2</t>
  </si>
  <si>
    <t>f2</t>
  </si>
  <si>
    <t>b2</t>
  </si>
  <si>
    <t>y3</t>
  </si>
  <si>
    <t>f3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</si>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</sst>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000"/>
  </numFmts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1F0-5E1E-7D49-A61B-3A710DACCF37}">
  <dimension ref="A1:AS515"/>
  <sheetViews>
    <sheetView tabSelected="1" topLeftCell="S1" zoomScale="88" zoomScaleNormal="130" workbookViewId="0">
      <selection activeCell="Z19" sqref="Z19"/>
    </sheetView>
  </sheetViews>
  <sheetFormatPr baseColWidth="10" defaultRowHeight="16" x14ac:dyDescent="0.2"/>
  <cols>
    <col min="14" max="14" width="26.1640625" customWidth="1"/>
    <col min="15" max="15" width="29.5" bestFit="1" customWidth="1"/>
    <col min="16" max="16" width="23.6640625" bestFit="1" customWidth="1"/>
    <col min="17" max="17" width="24.33203125" bestFit="1" customWidth="1"/>
    <col min="18" max="18" width="25.1640625" bestFit="1" customWidth="1"/>
    <col min="19" max="19" width="24.33203125" bestFit="1" customWidth="1"/>
    <col min="20" max="21" width="23.6640625" bestFit="1" customWidth="1"/>
    <col min="22" max="23" width="24.33203125" bestFit="1" customWidth="1"/>
    <col min="24" max="25" width="23.6640625" bestFit="1" customWidth="1"/>
    <col min="27" max="27" width="23.6640625" bestFit="1" customWidth="1"/>
    <col min="30" max="30" width="23.6640625" bestFit="1" customWidth="1"/>
  </cols>
  <sheetData>
    <row r="1" spans="1:45" ht="18" x14ac:dyDescent="0.2">
      <c r="A1" s="3" t="s">
        <v>0</v>
      </c>
      <c r="B1" s="3"/>
      <c r="C1" s="3"/>
      <c r="D1" s="3" t="s">
        <v>9</v>
      </c>
      <c r="E1" s="3"/>
      <c r="F1" s="3"/>
      <c r="G1" s="3"/>
      <c r="H1" s="2"/>
      <c r="I1" s="2" t="s">
        <v>14</v>
      </c>
      <c r="J1" s="2"/>
      <c r="K1" s="2" t="s">
        <v>15</v>
      </c>
      <c r="L1" s="2"/>
      <c r="M1" s="2"/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U1" s="1" t="s">
        <v>22</v>
      </c>
      <c r="V1" s="1" t="s">
        <v>23</v>
      </c>
      <c r="W1" s="1" t="s">
        <v>24</v>
      </c>
      <c r="Y1" s="1" t="s">
        <v>25</v>
      </c>
      <c r="AA1" s="1"/>
    </row>
    <row r="2" spans="1:45" ht="18" x14ac:dyDescent="0.2">
      <c r="A2" s="2" t="s">
        <v>1</v>
      </c>
      <c r="B2" s="2" t="s">
        <v>2</v>
      </c>
      <c r="C2" s="2" t="s">
        <v>3</v>
      </c>
      <c r="D2" s="2">
        <v>40</v>
      </c>
      <c r="E2" s="2" t="s">
        <v>10</v>
      </c>
      <c r="F2" s="2">
        <f>40/(B7*2)</f>
        <v>5.2493438320209975</v>
      </c>
      <c r="G2" s="2">
        <f>100 - F2</f>
        <v>94.750656167979002</v>
      </c>
      <c r="H2" s="2" t="s">
        <v>11</v>
      </c>
      <c r="I2" s="2">
        <f xml:space="preserve"> 0.2*D2</f>
        <v>8</v>
      </c>
      <c r="J2" s="2"/>
      <c r="K2" s="2">
        <f>I2/B6</f>
        <v>1.0498687664041995</v>
      </c>
      <c r="L2" s="2">
        <f>100-K2</f>
        <v>98.950131233595798</v>
      </c>
      <c r="M2" s="2"/>
      <c r="N2" s="4">
        <f>0*10^(0)</f>
        <v>0</v>
      </c>
      <c r="O2" s="4">
        <f>8.48474507945*10^(-3)</f>
        <v>8.4847450794500005E-3</v>
      </c>
      <c r="P2" s="5">
        <f>(N2-O2)^2</f>
        <v>7.1990899063250992E-5</v>
      </c>
      <c r="Q2" s="4">
        <f>SQRT((SUM(P2:P200))/(201))</f>
        <v>5.710542893261855E-3</v>
      </c>
      <c r="R2" s="4">
        <f>0*10^(0)</f>
        <v>0</v>
      </c>
      <c r="S2" s="5">
        <f>-1.32547659321038*10^(-3)</f>
        <v>-1.32547659321038E-3</v>
      </c>
      <c r="T2" s="5">
        <f>(R2 - S2)^2</f>
        <v>1.7568881991485953E-6</v>
      </c>
      <c r="U2" s="5">
        <f>SQRT((SUM(T2:T250))/(251))</f>
        <v>1.2055069879331891E-3</v>
      </c>
      <c r="V2" s="5">
        <f>0*10^(0)</f>
        <v>0</v>
      </c>
      <c r="W2" s="5">
        <f>3.1997001277277*10^(-3)</f>
        <v>3.1997001277277001E-3</v>
      </c>
      <c r="X2" s="5">
        <f>(V2-W2)^2</f>
        <v>1.0238080907380661E-5</v>
      </c>
      <c r="Y2" s="5">
        <f>SQRT((SUM(X2:X195))/(196))</f>
        <v>7.3710895079602513E-4</v>
      </c>
      <c r="Z2" s="5"/>
      <c r="AA2" s="5">
        <f>5.35963541970295*10^(-3)</f>
        <v>5.3596354197029501E-3</v>
      </c>
      <c r="AB2" s="5"/>
      <c r="AC2" s="5" t="s">
        <v>19</v>
      </c>
      <c r="AD2" s="5">
        <f>SQRT((10/420)^2+(0.1/9)^2 + Q2^2)</f>
        <v>2.6887925064897095E-2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8" x14ac:dyDescent="0.2">
      <c r="A3" s="2" t="s">
        <v>4</v>
      </c>
      <c r="B3" s="2" t="s">
        <v>2</v>
      </c>
      <c r="C3" s="2" t="s">
        <v>3</v>
      </c>
      <c r="D3" s="2"/>
      <c r="E3" s="2"/>
      <c r="F3" s="2"/>
      <c r="G3" s="2"/>
      <c r="H3" s="2" t="s">
        <v>12</v>
      </c>
      <c r="I3" s="2">
        <f>B5*40</f>
        <v>68</v>
      </c>
      <c r="J3" s="2"/>
      <c r="K3" s="2">
        <f>I3/B6</f>
        <v>8.9238845144356951</v>
      </c>
      <c r="L3" s="2">
        <f>100-K3</f>
        <v>91.076115485564301</v>
      </c>
      <c r="M3" s="2"/>
      <c r="N3" s="4">
        <f>-5.27863981381945*10^(-3)</f>
        <v>-5.2786398138194501E-3</v>
      </c>
      <c r="O3" s="4">
        <f>3.11975002432735*10^(-3)</f>
        <v>3.1197500243273502E-3</v>
      </c>
      <c r="P3" s="5">
        <f t="shared" ref="P3:P66" si="0">(N3-O3)^2</f>
        <v>7.0532951873487456E-5</v>
      </c>
      <c r="Q3" s="4"/>
      <c r="R3" s="4">
        <f>-1.79033592197299*10^(-3)</f>
        <v>-1.79033592197299E-3</v>
      </c>
      <c r="S3" s="5">
        <f>-3.47667567944886*10^(-3)</f>
        <v>-3.4766756794488603E-3</v>
      </c>
      <c r="T3" s="5">
        <f t="shared" ref="T3:T66" si="1">(R3 - S3)^2</f>
        <v>2.843741777643777E-6</v>
      </c>
      <c r="U3" s="5"/>
      <c r="V3" s="5">
        <f>-1.0377289494005*10^(-3)</f>
        <v>-1.0377289494005E-3</v>
      </c>
      <c r="W3" s="5">
        <f>2.10809400774304*10^(-3)</f>
        <v>2.1080940077430397E-3</v>
      </c>
      <c r="X3" s="5">
        <f t="shared" ref="X3:X66" si="2">(V3-W3)^2</f>
        <v>9.8962020776913246E-6</v>
      </c>
      <c r="Y3" s="5"/>
      <c r="Z3" s="5"/>
      <c r="AA3" s="5">
        <f>2.15119908623847*10^(-3)</f>
        <v>2.1511990862384698E-3</v>
      </c>
      <c r="AB3" s="5"/>
      <c r="AC3" t="s">
        <v>22</v>
      </c>
      <c r="AD3" s="5">
        <f>SQRT((10/420)^2+(0.1/9)^2 + U2^2)</f>
        <v>2.6302156969680138E-2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8" x14ac:dyDescent="0.2">
      <c r="A4" s="2" t="s">
        <v>5</v>
      </c>
      <c r="B4" s="2">
        <v>0.2</v>
      </c>
      <c r="C4" s="2"/>
      <c r="D4" s="2"/>
      <c r="E4" s="2"/>
      <c r="F4" s="2"/>
      <c r="G4" s="2"/>
      <c r="H4" s="2" t="s">
        <v>13</v>
      </c>
      <c r="I4" s="2">
        <f>K4*B6</f>
        <v>45.72</v>
      </c>
      <c r="J4" s="2"/>
      <c r="K4" s="2">
        <v>6</v>
      </c>
      <c r="L4" s="2">
        <v>94</v>
      </c>
      <c r="M4" s="2"/>
      <c r="N4" s="4">
        <f>-1.02225784984863*10^(-2)</f>
        <v>-1.0222578498486302E-2</v>
      </c>
      <c r="O4" s="4">
        <f>-2.2345257599559*10^(-3)</f>
        <v>-2.2345257599559001E-3</v>
      </c>
      <c r="P4" s="5">
        <f t="shared" si="0"/>
        <v>6.3808986553543065E-5</v>
      </c>
      <c r="Q4" s="4"/>
      <c r="R4" s="4">
        <f>-3.48597007135491*10^(-3)</f>
        <v>-3.48597007135491E-3</v>
      </c>
      <c r="S4" s="5">
        <f>-5.6257235666011*10^(-3)</f>
        <v>-5.6257235666011002E-3</v>
      </c>
      <c r="T4" s="5">
        <f t="shared" si="1"/>
        <v>4.5785450204182883E-6</v>
      </c>
      <c r="U4" s="5"/>
      <c r="V4" s="5">
        <f>-1.31322563988483*10^(-3)</f>
        <v>-1.3132256398848301E-3</v>
      </c>
      <c r="W4" s="5">
        <f>9.84251047147843*10^(-4)</f>
        <v>9.8425104714784314E-4</v>
      </c>
      <c r="X4" s="5">
        <f t="shared" si="2"/>
        <v>5.2783991274586294E-6</v>
      </c>
      <c r="Y4" s="5"/>
      <c r="Z4" s="5"/>
      <c r="AA4" s="5">
        <f>1.11161519346706*10^(-3)</f>
        <v>1.1116151934670599E-3</v>
      </c>
      <c r="AB4" s="5"/>
      <c r="AC4" s="5" t="s">
        <v>25</v>
      </c>
      <c r="AD4" s="5">
        <f>SQRT((10/420)^2+(0.1/9)^2 + Y2^2)</f>
        <v>2.6284853885176564E-2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8" x14ac:dyDescent="0.2">
      <c r="A5" s="2" t="s">
        <v>6</v>
      </c>
      <c r="B5" s="2">
        <v>1.7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>
        <f>-1.56467520374588*10^(-2)</f>
        <v>-1.56467520374588E-2</v>
      </c>
      <c r="O5" s="4">
        <f>-7.59416117965886*10^(-3)</f>
        <v>-7.5941611796588602E-3</v>
      </c>
      <c r="P5" s="5">
        <f t="shared" si="0"/>
        <v>6.4844219523123181E-5</v>
      </c>
      <c r="Q5" s="4"/>
      <c r="R5" s="4">
        <f>-5.41335090092598*10^(-3)</f>
        <v>-5.4133509009259805E-3</v>
      </c>
      <c r="S5" s="5">
        <f>-7.77692265283958*10^(-3)</f>
        <v>-7.7769226528395796E-3</v>
      </c>
      <c r="T5" s="5">
        <f t="shared" si="1"/>
        <v>5.5864714264439208E-6</v>
      </c>
      <c r="U5" s="5"/>
      <c r="V5" s="5">
        <f>-2.90411337240928*10^(-3)</f>
        <v>-2.9041133724092799E-3</v>
      </c>
      <c r="W5" s="5">
        <f>-1.15136379191083*10^(-4)</f>
        <v>-1.15136379191083E-4</v>
      </c>
      <c r="X5" s="5">
        <f t="shared" si="2"/>
        <v>7.7783926687004141E-6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18" x14ac:dyDescent="0.2">
      <c r="A6" s="2" t="s">
        <v>7</v>
      </c>
      <c r="B6" s="2">
        <v>7.62</v>
      </c>
      <c r="C6" s="2"/>
      <c r="D6" s="2">
        <v>100</v>
      </c>
      <c r="E6" s="2" t="s">
        <v>10</v>
      </c>
      <c r="F6" s="2">
        <f>D6/B6</f>
        <v>13.123359580052494</v>
      </c>
      <c r="G6" s="2">
        <f>100-F6</f>
        <v>86.876640419947506</v>
      </c>
      <c r="H6" s="2"/>
      <c r="I6" s="2"/>
      <c r="J6" s="2"/>
      <c r="K6" s="2"/>
      <c r="L6" s="2"/>
      <c r="M6" s="2"/>
      <c r="N6" s="4">
        <f>-2.09172177098443*10^(-2)</f>
        <v>-2.09172177098443E-2</v>
      </c>
      <c r="O6" s="4">
        <f>-1.29591562347815*10^(-2)</f>
        <v>-1.2959156234781499E-2</v>
      </c>
      <c r="P6" s="5">
        <f t="shared" si="0"/>
        <v>6.3330742440878719E-5</v>
      </c>
      <c r="Q6" s="4"/>
      <c r="R6" s="4">
        <f>-7.47551100716474*10^(-3)</f>
        <v>-7.4755110071647399E-3</v>
      </c>
      <c r="S6" s="5">
        <f>-9.92812173907806*10^(-3)</f>
        <v>-9.9281217390780607E-3</v>
      </c>
      <c r="T6" s="5">
        <f t="shared" si="1"/>
        <v>6.0152994022963954E-6</v>
      </c>
      <c r="U6" s="5"/>
      <c r="V6" s="5">
        <f>-3.77486981739919*10^(-3)</f>
        <v>-3.7748698173991901E-3</v>
      </c>
      <c r="W6" s="5">
        <f>-1.22563995746468*10^(-3)</f>
        <v>-1.22563995746468E-3</v>
      </c>
      <c r="X6" s="5">
        <f t="shared" si="2"/>
        <v>6.4985728787817216E-6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8" x14ac:dyDescent="0.2">
      <c r="A7" s="2" t="s">
        <v>8</v>
      </c>
      <c r="B7" s="2">
        <f>0.5*B6</f>
        <v>3.81</v>
      </c>
      <c r="C7" s="2"/>
      <c r="D7" s="2"/>
      <c r="E7" s="2"/>
      <c r="F7" s="2"/>
      <c r="G7" s="2"/>
      <c r="H7" s="2" t="s">
        <v>11</v>
      </c>
      <c r="I7" s="2">
        <f>D6*B4</f>
        <v>20</v>
      </c>
      <c r="J7" s="2"/>
      <c r="K7" s="2">
        <f>I7/B6</f>
        <v>2.6246719160104988</v>
      </c>
      <c r="L7" s="2">
        <f>100-K7</f>
        <v>97.375328083989501</v>
      </c>
      <c r="M7" s="2"/>
      <c r="N7" s="4">
        <f>-2.60006768271223*10^(-2)</f>
        <v>-2.6000676827122302E-2</v>
      </c>
      <c r="O7" s="4">
        <f>-1.83134320190647*10^(-2)</f>
        <v>-1.8313432019064699E-2</v>
      </c>
      <c r="P7" s="5">
        <f t="shared" si="0"/>
        <v>5.9093732739008573E-5</v>
      </c>
      <c r="Q7" s="4"/>
      <c r="R7" s="4">
        <f>-9.67327804291946*10^(-3)</f>
        <v>-9.6732780429194601E-3</v>
      </c>
      <c r="S7" s="5">
        <f>-1.20793208253165*10^(-2)</f>
        <v>-1.20793208253165E-2</v>
      </c>
      <c r="T7" s="5">
        <f t="shared" si="1"/>
        <v>5.7890418707248904E-6</v>
      </c>
      <c r="U7" s="5"/>
      <c r="V7" s="5">
        <f>-4.64638514002128*10^(-3)</f>
        <v>-4.6463851400212804E-3</v>
      </c>
      <c r="W7" s="5">
        <f>-2.33725515093174*10^(-3)</f>
        <v>-2.3372551509317401E-3</v>
      </c>
      <c r="X7" s="5">
        <f t="shared" si="2"/>
        <v>5.3320813065126607E-6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8" x14ac:dyDescent="0.2">
      <c r="A8" s="2"/>
      <c r="B8" s="2"/>
      <c r="C8" s="2"/>
      <c r="D8" s="2"/>
      <c r="E8" s="2"/>
      <c r="F8" s="2"/>
      <c r="G8" s="2"/>
      <c r="H8" s="2" t="s">
        <v>12</v>
      </c>
      <c r="I8" s="2">
        <f>B5*D6</f>
        <v>170</v>
      </c>
      <c r="J8" s="2"/>
      <c r="K8" s="2">
        <f>I8/B6</f>
        <v>22.309711286089239</v>
      </c>
      <c r="L8" s="2">
        <f>100-K8</f>
        <v>77.690288713910761</v>
      </c>
      <c r="M8" s="2"/>
      <c r="N8" s="4">
        <f>-3.12952776337235*10^(-2)</f>
        <v>-3.1295277633723501E-2</v>
      </c>
      <c r="O8" s="4">
        <f>-2.36730674387677*10^(-2)</f>
        <v>-2.3673067438767702E-2</v>
      </c>
      <c r="P8" s="5">
        <f t="shared" si="0"/>
        <v>5.8098088256088119E-5</v>
      </c>
      <c r="Q8" s="4"/>
      <c r="R8" s="4">
        <f>-1.20733712533785*10^(-2)</f>
        <v>-1.20733712533785E-2</v>
      </c>
      <c r="S8" s="5">
        <f>-1.42326711106412*10^(-2)</f>
        <v>-1.42326711106412E-2</v>
      </c>
      <c r="T8" s="5">
        <f t="shared" si="1"/>
        <v>4.662575873574717E-6</v>
      </c>
      <c r="U8" s="5"/>
      <c r="V8" s="5">
        <f>-5.51866066417638*10^(-3)</f>
        <v>-5.5186606641763804E-3</v>
      </c>
      <c r="W8" s="5">
        <f>-3.44887034439881*10^(-3)</f>
        <v>-3.44887034439881E-3</v>
      </c>
      <c r="X8" s="5">
        <f t="shared" si="2"/>
        <v>4.2840319678449378E-6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8" x14ac:dyDescent="0.2">
      <c r="A9" s="2"/>
      <c r="B9" s="2"/>
      <c r="C9" s="2"/>
      <c r="D9" s="2"/>
      <c r="E9" s="2"/>
      <c r="F9" s="2"/>
      <c r="G9" s="2"/>
      <c r="H9" s="2" t="s">
        <v>13</v>
      </c>
      <c r="I9" s="2">
        <f>K9*B6</f>
        <v>106.68</v>
      </c>
      <c r="J9" s="2"/>
      <c r="K9" s="2">
        <v>14</v>
      </c>
      <c r="L9" s="2">
        <v>86</v>
      </c>
      <c r="M9" s="2"/>
      <c r="N9" s="4">
        <f>-3.66490899174169*10^(-2)</f>
        <v>-3.6649089917416902E-2</v>
      </c>
      <c r="O9" s="4">
        <f>-2.90380624938903*10^(-2)</f>
        <v>-2.9038062493890304E-2</v>
      </c>
      <c r="P9" s="5">
        <f t="shared" si="0"/>
        <v>5.7927738441673934E-5</v>
      </c>
      <c r="Q9" s="4"/>
      <c r="R9" s="4">
        <f>-1.43472604171738*10^(-2)</f>
        <v>-1.43472604171738E-2</v>
      </c>
      <c r="S9" s="5">
        <f>-1.63817189977935*10^(-2)</f>
        <v>-1.6381718997793501E-2</v>
      </c>
      <c r="T9" s="5">
        <f t="shared" si="1"/>
        <v>4.1390217162571288E-6</v>
      </c>
      <c r="U9" s="5"/>
      <c r="V9" s="5">
        <f>-6.39169771723265*10^(-3)</f>
        <v>-6.39169771723265E-3</v>
      </c>
      <c r="W9" s="5">
        <f>-4.56048553786587*10^(-3)</f>
        <v>-4.5604855378658703E-3</v>
      </c>
      <c r="X9" s="5">
        <f t="shared" si="2"/>
        <v>3.3533380458612309E-6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>
        <f>-4.14391457325346*10^(-2)</f>
        <v>-4.1439145732534606E-2</v>
      </c>
      <c r="O10" s="4">
        <f>-3.43923382781736*10^(-2)</f>
        <v>-3.4392338278173604E-2</v>
      </c>
      <c r="P10" s="5">
        <f t="shared" si="0"/>
        <v>4.9657495298837787E-5</v>
      </c>
      <c r="Q10" s="4"/>
      <c r="R10" s="4">
        <f>-1.63948848982539*10^(-2)</f>
        <v>-1.63948848982539E-2</v>
      </c>
      <c r="S10" s="5">
        <f>-1.85329180840319*10^(-2)</f>
        <v>-1.8532918084031898E-2</v>
      </c>
      <c r="T10" s="5">
        <f t="shared" si="1"/>
        <v>4.5711859034880161E-6</v>
      </c>
      <c r="U10" s="5"/>
      <c r="V10" s="5">
        <f>-7.30814155328589*10^(-3)</f>
        <v>-7.30814155328589E-3</v>
      </c>
      <c r="W10" s="5">
        <f>-5.67210073133294*10^(-3)</f>
        <v>-5.6721007313329406E-3</v>
      </c>
      <c r="X10" s="5">
        <f t="shared" si="2"/>
        <v>2.6766295710964823E-6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8" x14ac:dyDescent="0.2">
      <c r="A11" s="2"/>
      <c r="B11" s="2"/>
      <c r="C11" s="2"/>
      <c r="D11" s="2">
        <v>200</v>
      </c>
      <c r="E11" s="2" t="s">
        <v>10</v>
      </c>
      <c r="F11" s="2">
        <f>D11/B6</f>
        <v>26.246719160104988</v>
      </c>
      <c r="G11" s="2">
        <f>100-F11</f>
        <v>73.753280839895012</v>
      </c>
      <c r="H11" s="2"/>
      <c r="I11" s="2"/>
      <c r="J11" s="2"/>
      <c r="K11" s="2"/>
      <c r="L11" s="2"/>
      <c r="M11" s="2"/>
      <c r="N11" s="4">
        <f>-4.675365117591*10^(-2)</f>
        <v>-4.6753651175910002E-2</v>
      </c>
      <c r="O11" s="4">
        <f>-3.97519736978766*10^(-2)</f>
        <v>-3.97519736978766E-2</v>
      </c>
      <c r="P11" s="5">
        <f t="shared" si="0"/>
        <v>4.9023487506400186E-5</v>
      </c>
      <c r="Q11" s="4"/>
      <c r="R11" s="4">
        <f>-1.88443250690029*10^(-2)</f>
        <v>-1.8844325069002903E-2</v>
      </c>
      <c r="S11" s="5">
        <f>-2.06841171702704*10^(-2)</f>
        <v>-2.0684117170270404E-2</v>
      </c>
      <c r="T11" s="5">
        <f t="shared" si="1"/>
        <v>3.3848349758862871E-6</v>
      </c>
      <c r="U11" s="5"/>
      <c r="V11" s="5">
        <f>-8.1400617369332*10^(-3)</f>
        <v>-8.1400617369332007E-3</v>
      </c>
      <c r="W11" s="5">
        <f>-6.78371592480001*10^(-3)</f>
        <v>-6.7837159248000101E-3</v>
      </c>
      <c r="X11" s="5">
        <f t="shared" si="2"/>
        <v>1.8396739620912446E-6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8" x14ac:dyDescent="0.2">
      <c r="A12" s="2"/>
      <c r="B12" s="2"/>
      <c r="C12" s="2"/>
      <c r="D12" s="2"/>
      <c r="E12" s="2"/>
      <c r="F12" s="2"/>
      <c r="G12" s="2"/>
      <c r="H12" s="2" t="s">
        <v>11</v>
      </c>
      <c r="I12" s="2">
        <f>D11*B4</f>
        <v>40</v>
      </c>
      <c r="J12" s="2"/>
      <c r="K12" s="2">
        <f>I12/B6</f>
        <v>5.2493438320209975</v>
      </c>
      <c r="L12" s="2">
        <f>100-K12</f>
        <v>94.750656167979002</v>
      </c>
      <c r="M12" s="2"/>
      <c r="N12" s="4">
        <f>-5.17184678095939*10^(-2)</f>
        <v>-5.1718467809593903E-2</v>
      </c>
      <c r="O12" s="4">
        <f>-4.51116091175795*10^(-2)</f>
        <v>-4.5111609117579506E-2</v>
      </c>
      <c r="P12" s="5">
        <f t="shared" si="0"/>
        <v>4.3650581776246194E-5</v>
      </c>
      <c r="Q12" s="4"/>
      <c r="R12" s="4">
        <f>-2.08347715860339*10^(-2)</f>
        <v>-2.0834771586033897E-2</v>
      </c>
      <c r="S12" s="5">
        <f>-2.28353162565089*10^(-2)</f>
        <v>-2.2835316256508902E-2</v>
      </c>
      <c r="T12" s="5">
        <f t="shared" si="1"/>
        <v>4.0021789785659478E-6</v>
      </c>
      <c r="U12" s="5"/>
      <c r="V12" s="5">
        <f>-8.86589060128173*10^(-3)</f>
        <v>-8.8658906012817305E-3</v>
      </c>
      <c r="W12" s="5">
        <f>-7.89533111826707*10^(-3)</f>
        <v>-7.89533111826707E-3</v>
      </c>
      <c r="X12" s="5">
        <f t="shared" si="2"/>
        <v>9.4198571006968517E-7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8" x14ac:dyDescent="0.2">
      <c r="A13" s="2"/>
      <c r="B13" s="2"/>
      <c r="C13" s="2"/>
      <c r="D13" s="2"/>
      <c r="E13" s="2"/>
      <c r="F13" s="2"/>
      <c r="G13" s="2"/>
      <c r="H13" s="2" t="s">
        <v>12</v>
      </c>
      <c r="I13" s="2">
        <f>D11*B5</f>
        <v>340</v>
      </c>
      <c r="J13" s="2"/>
      <c r="K13" s="2">
        <f>I13/B6</f>
        <v>44.619422572178479</v>
      </c>
      <c r="L13" s="2">
        <f>100-K13</f>
        <v>55.380577427821521</v>
      </c>
      <c r="M13" s="2"/>
      <c r="N13" s="4">
        <f>-5.72780740052225*10^(-2)</f>
        <v>-5.7278074005222501E-2</v>
      </c>
      <c r="O13" s="4">
        <f>-5.04712445372825*10^(-2)</f>
        <v>-5.0471244537282502E-2</v>
      </c>
      <c r="P13" s="5">
        <f t="shared" si="0"/>
        <v>4.6332927405616335E-5</v>
      </c>
      <c r="Q13" s="4"/>
      <c r="R13" s="4">
        <f>-2.31286937009942*10^(-2)</f>
        <v>-2.3128693700994202E-2</v>
      </c>
      <c r="S13" s="5">
        <f>-2.49865153427474*10^(-2)</f>
        <v>-2.4986515342747401E-2</v>
      </c>
      <c r="T13" s="5">
        <f t="shared" si="1"/>
        <v>3.4515012525665492E-6</v>
      </c>
      <c r="U13" s="5"/>
      <c r="V13" s="5">
        <f>-9.87011054572473*10^(-3)</f>
        <v>-9.8701105457247307E-3</v>
      </c>
      <c r="W13" s="5">
        <f>-9.00694631173414*10^(-3)</f>
        <v>-9.0069463117341403E-3</v>
      </c>
      <c r="X13" s="5">
        <f t="shared" si="2"/>
        <v>7.4505249484056269E-7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8" x14ac:dyDescent="0.2">
      <c r="A14" s="2"/>
      <c r="B14" s="2"/>
      <c r="C14" s="2"/>
      <c r="D14" s="2"/>
      <c r="E14" s="2"/>
      <c r="F14" s="2"/>
      <c r="G14" s="2"/>
      <c r="H14" s="2" t="s">
        <v>13</v>
      </c>
      <c r="I14" s="2">
        <f>K14*B6</f>
        <v>213.36</v>
      </c>
      <c r="J14" s="2"/>
      <c r="K14" s="2">
        <f>100-L14</f>
        <v>28</v>
      </c>
      <c r="L14" s="2">
        <v>72</v>
      </c>
      <c r="M14" s="2"/>
      <c r="N14" s="4">
        <f>-6.24865845256631*10^(-2)</f>
        <v>-6.2486584525663094E-2</v>
      </c>
      <c r="O14" s="4">
        <f>-5.58362395924051*10^(-2)</f>
        <v>-5.5836239592405107E-2</v>
      </c>
      <c r="P14" s="5">
        <f t="shared" si="0"/>
        <v>4.4227087731310181E-5</v>
      </c>
      <c r="Q14" s="4"/>
      <c r="R14" s="4">
        <f>-2.57281752687632*10^(-2)</f>
        <v>-2.5728175268763202E-2</v>
      </c>
      <c r="S14" s="5">
        <f>-2.71398656280721*10^(-2)</f>
        <v>-2.71398656280721E-2</v>
      </c>
      <c r="T14" s="5">
        <f t="shared" si="1"/>
        <v>1.9928696705656879E-6</v>
      </c>
      <c r="U14" s="5"/>
      <c r="V14" s="5">
        <f>-1.09823387526967*10^(-2)</f>
        <v>-1.0982338752696701E-2</v>
      </c>
      <c r="W14" s="5">
        <f>-1.01196731203946*10^(-2)</f>
        <v>-1.0119673120394601E-2</v>
      </c>
      <c r="X14" s="5">
        <f t="shared" si="2"/>
        <v>7.4419199315518181E-7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ht="1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>
        <f>-6.74983262976841*10^(-2)</f>
        <v>-6.7498326297684111E-2</v>
      </c>
      <c r="O15" s="4">
        <f>-6.11905153766884*10^(-2)</f>
        <v>-6.1190515376688404E-2</v>
      </c>
      <c r="P15" s="5">
        <f t="shared" si="0"/>
        <v>3.978847861503271E-5</v>
      </c>
      <c r="Q15" s="4"/>
      <c r="R15" s="4">
        <f>-2.78995836951495*10^(-2)</f>
        <v>-2.7899583695149503E-2</v>
      </c>
      <c r="S15" s="5">
        <f>-2.92910647143106*10^(-2)</f>
        <v>-2.9291064714310599E-2</v>
      </c>
      <c r="T15" s="5">
        <f t="shared" si="1"/>
        <v>1.936219426685603E-6</v>
      </c>
      <c r="U15" s="5"/>
      <c r="V15" s="5">
        <f>-1.17744858337372*10^(-2)</f>
        <v>-1.17744858337372E-2</v>
      </c>
      <c r="W15" s="5">
        <f>-1.12301766986682*10^(-2)</f>
        <v>-1.1230176698668199E-2</v>
      </c>
      <c r="X15" s="5">
        <f t="shared" si="2"/>
        <v>2.9627243451956385E-7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ht="1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>
        <f>-7.26639750667287*10^(-2)</f>
        <v>-7.2663975066728712E-2</v>
      </c>
      <c r="O16" s="4">
        <f>-6.6555510431811*10^(-2)</f>
        <v>-6.6555510431811002E-2</v>
      </c>
      <c r="P16" s="5">
        <f t="shared" si="0"/>
        <v>3.7313340196040345E-5</v>
      </c>
      <c r="Q16" s="4"/>
      <c r="R16" s="4">
        <f>-3.00757173984568*10^(-2)</f>
        <v>-3.0075717398456801E-2</v>
      </c>
      <c r="S16" s="5">
        <f>-3.14401126014628*10^(-2)</f>
        <v>-3.1440112601462802E-2</v>
      </c>
      <c r="T16" s="5">
        <f t="shared" si="1"/>
        <v>1.8615742699857888E-6</v>
      </c>
      <c r="U16" s="5"/>
      <c r="V16" s="5">
        <f>-1.25886959877794*10^(-2)</f>
        <v>-1.2588695987779399E-2</v>
      </c>
      <c r="W16" s="5">
        <f>-1.23417918921353*10^(-2)</f>
        <v>-1.2341791892135301E-2</v>
      </c>
      <c r="X16" s="5">
        <f t="shared" si="2"/>
        <v>6.0961632445829759E-8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ht="1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>
        <f>-7.72745811611235*10^(-2)</f>
        <v>-7.7274581161123498E-2</v>
      </c>
      <c r="O17" s="4">
        <f>-7.19097862160943*10^(-2)</f>
        <v>-7.1909786216094299E-2</v>
      </c>
      <c r="P17" s="5">
        <f t="shared" si="0"/>
        <v>2.8781024802210854E-5</v>
      </c>
      <c r="Q17" s="4"/>
      <c r="R17" s="4">
        <f>-3.26261399359964*10^(-2)</f>
        <v>-3.2626139935996397E-2</v>
      </c>
      <c r="S17" s="5">
        <f>-3.35934628867875*10^(-2)</f>
        <v>-3.3593462886787502E-2</v>
      </c>
      <c r="T17" s="5">
        <f t="shared" si="1"/>
        <v>9.357136911272109E-7</v>
      </c>
      <c r="U17" s="5"/>
      <c r="V17" s="5">
        <f>-1.36181204588881*10^(-2)</f>
        <v>-1.3618120458888102E-2</v>
      </c>
      <c r="W17" s="5">
        <f>-1.34534070856024*10^(-2)</f>
        <v>-1.3453407085602401E-2</v>
      </c>
      <c r="X17" s="5">
        <f t="shared" si="2"/>
        <v>2.7130495339154786E-8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>
        <f>-8.26860426583218*10^(-2)</f>
        <v>-8.2686042658321787E-2</v>
      </c>
      <c r="O18" s="4">
        <f>-7.72694216357973*10^(-2)</f>
        <v>-7.7269421635797308E-2</v>
      </c>
      <c r="P18" s="5">
        <f t="shared" si="0"/>
        <v>2.9339783301654128E-5</v>
      </c>
      <c r="Q18" s="4"/>
      <c r="R18" s="4">
        <f>-3.49473022315851*10^(-2)</f>
        <v>-3.4947302231585098E-2</v>
      </c>
      <c r="S18" s="5">
        <f>-3.5744661973026*10^(-2)</f>
        <v>-3.5744661973026004E-2</v>
      </c>
      <c r="T18" s="5">
        <f t="shared" si="1"/>
        <v>6.3578255727070872E-7</v>
      </c>
      <c r="U18" s="5"/>
      <c r="V18" s="5">
        <f>-1.46915656767155*10^(-2)</f>
        <v>-1.46915656767155E-2</v>
      </c>
      <c r="W18" s="5">
        <f>-1.45661338942629*10^(-2)</f>
        <v>-1.45661338942629E-2</v>
      </c>
      <c r="X18" s="5">
        <f t="shared" si="2"/>
        <v>1.573313204923631E-8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>
        <f>-8.79309523086061*10^(-2)</f>
        <v>-8.7930952308606106E-2</v>
      </c>
      <c r="O19" s="4">
        <f>-8.26290570555002*10^(-2)</f>
        <v>-8.2629057055500207E-2</v>
      </c>
      <c r="P19" s="5">
        <f t="shared" si="0"/>
        <v>2.8110093274906858E-5</v>
      </c>
      <c r="Q19" s="4"/>
      <c r="R19" s="4">
        <f>-3.62616507230979*10^(-2)</f>
        <v>-3.62616507230979E-2</v>
      </c>
      <c r="S19" s="5">
        <f>-3.78958610592645*10^(-2)</f>
        <v>-3.7895861059264506E-2</v>
      </c>
      <c r="T19" s="5">
        <f t="shared" si="1"/>
        <v>2.6706434228337698E-6</v>
      </c>
      <c r="U19" s="5"/>
      <c r="V19" s="5">
        <f>-1.55511522685187*10^(-2)</f>
        <v>-1.5551152268518701E-2</v>
      </c>
      <c r="W19" s="5">
        <f>-1.56766374725365*10^(-2)</f>
        <v>-1.56766374725365E-2</v>
      </c>
      <c r="X19" s="5">
        <f t="shared" si="2"/>
        <v>1.5746536427388641E-8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>
        <f>-9.3170681351811*10^(-2)</f>
        <v>-9.3170681351811016E-2</v>
      </c>
      <c r="O20" s="4">
        <f>-8.79886924752032*10^(-2)</f>
        <v>-8.7988692475203203E-2</v>
      </c>
      <c r="P20" s="5">
        <f t="shared" si="0"/>
        <v>2.6853008717287101E-5</v>
      </c>
      <c r="Q20" s="4"/>
      <c r="R20" s="4">
        <f>-3.88279192258716*10^(-2)</f>
        <v>-3.8827919225871602E-2</v>
      </c>
      <c r="S20" s="5">
        <f>-4.00449089464167*10^(-2)</f>
        <v>-4.0044908946416699E-2</v>
      </c>
      <c r="T20" s="5">
        <f t="shared" si="1"/>
        <v>1.4810639799124345E-6</v>
      </c>
      <c r="U20" s="5"/>
      <c r="V20" s="5">
        <f>-1.65405911653544*10^(-2)</f>
        <v>-1.6540591165354401E-2</v>
      </c>
      <c r="W20" s="5">
        <f>-1.67882526660036*10^(-2)</f>
        <v>-1.67882526660036E-2</v>
      </c>
      <c r="X20" s="5">
        <f t="shared" si="2"/>
        <v>6.133621890381315E-8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>
        <f>-9.83719966958754*10^(-2)</f>
        <v>-9.8371996695875388E-2</v>
      </c>
      <c r="O21" s="4">
        <f>-9.33483278949061*10^(-2)</f>
        <v>-9.3348327894906102E-2</v>
      </c>
      <c r="P21" s="5">
        <f t="shared" si="0"/>
        <v>2.5237248221832183E-5</v>
      </c>
      <c r="Q21" s="4"/>
      <c r="R21" s="4">
        <f>-4.14007904105613*10^(-2)</f>
        <v>-4.14007904105613E-2</v>
      </c>
      <c r="S21" s="5">
        <f>-4.21961080326552*10^(-2)</f>
        <v>-4.2196108032655201E-2</v>
      </c>
      <c r="T21" s="5">
        <f t="shared" si="1"/>
        <v>6.3253012001309701E-7</v>
      </c>
      <c r="U21" s="5"/>
      <c r="V21" s="5">
        <f>-1.76171797756799*10^(-2)</f>
        <v>-1.7617179775679902E-2</v>
      </c>
      <c r="W21" s="5">
        <f>-1.78998678594706*10^(-2)</f>
        <v>-1.7899867859470599E-2</v>
      </c>
      <c r="X21" s="5">
        <f t="shared" si="2"/>
        <v>7.9912552717255732E-8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>
        <f>-1.0356732928372*10^(-1)</f>
        <v>-0.10356732928372002</v>
      </c>
      <c r="O22" s="4">
        <f>-9.87133229500288*10^(-2)</f>
        <v>-9.8713322950028798E-2</v>
      </c>
      <c r="P22" s="5">
        <f t="shared" si="0"/>
        <v>2.3561377487514493E-5</v>
      </c>
      <c r="Q22" s="4"/>
      <c r="R22" s="4">
        <f>-4.3640509006661*10^(-2)</f>
        <v>-4.3640509006660999E-2</v>
      </c>
      <c r="S22" s="5">
        <f>-4.43494583179799*10^(-2)</f>
        <v>-4.4349458317979908E-2</v>
      </c>
      <c r="T22" s="5">
        <f t="shared" si="1"/>
        <v>5.0260912601955474E-7</v>
      </c>
      <c r="U22" s="5"/>
      <c r="V22" s="5">
        <f>-1.86517964132134*10^(-2)</f>
        <v>-1.8651796413213399E-2</v>
      </c>
      <c r="W22" s="5">
        <f>-1.90125946681312*10^(-2)</f>
        <v>-1.90125946681312E-2</v>
      </c>
      <c r="X22" s="5">
        <f t="shared" si="2"/>
        <v>1.3017538075173061E-7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>
        <f>-1.08322987658839*10^(-1)</f>
        <v>-0.10832298765883902</v>
      </c>
      <c r="O23" s="4">
        <f>-1.04067598734312*10^(-1)</f>
        <v>-0.104067598734312</v>
      </c>
      <c r="P23" s="5">
        <f t="shared" si="0"/>
        <v>1.8108334898987255E-5</v>
      </c>
      <c r="Q23" s="4"/>
      <c r="R23" s="4">
        <f>-4.60555172383507*10^(-2)</f>
        <v>-4.6055517238350704E-2</v>
      </c>
      <c r="S23" s="5">
        <f>-4.64985062051321*10^(-2)</f>
        <v>-4.6498506205132108E-2</v>
      </c>
      <c r="T23" s="5">
        <f t="shared" si="1"/>
        <v>1.962392246900552E-7</v>
      </c>
      <c r="U23" s="5"/>
      <c r="V23" s="5">
        <f>-1.98386121105919*10^(-2)</f>
        <v>-1.9838612110591899E-2</v>
      </c>
      <c r="W23" s="5">
        <f>-2.01230982464048*10^(-2)</f>
        <v>-2.0123098246404802E-2</v>
      </c>
      <c r="X23" s="5">
        <f t="shared" si="2"/>
        <v>8.0932361469757523E-8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-1.13536903213777*10^(-1)</f>
        <v>-0.11353690321377702</v>
      </c>
      <c r="O24" s="4">
        <f>-1.09427234154015*10^(-1)</f>
        <v>-0.10942723415401501</v>
      </c>
      <c r="P24" s="5">
        <f t="shared" si="0"/>
        <v>1.6889379780765173E-5</v>
      </c>
      <c r="Q24" s="4"/>
      <c r="R24" s="4">
        <f>-4.8271565739128*10^(-2)</f>
        <v>-4.8271565739128004E-2</v>
      </c>
      <c r="S24" s="5">
        <f>-4.86497052913706*10^(-2)</f>
        <v>-4.8649705291370603E-2</v>
      </c>
      <c r="T24" s="5">
        <f t="shared" si="1"/>
        <v>1.4298952097023282E-7</v>
      </c>
      <c r="U24" s="5"/>
      <c r="V24" s="5">
        <f>-2.09619892729538*10^(-2)</f>
        <v>-2.0961989272953799E-2</v>
      </c>
      <c r="W24" s="5">
        <f>-2.12347134398718*10^(-2)</f>
        <v>-2.1234713439871801E-2</v>
      </c>
      <c r="X24" s="5">
        <f t="shared" si="2"/>
        <v>7.4378471221118342E-8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>
        <f>-1.18475018964183*10^(-1)</f>
        <v>-0.118475018964183</v>
      </c>
      <c r="O25" s="4">
        <f>-1.14786869573718*10^(-1)</f>
        <v>-0.114786869573718</v>
      </c>
      <c r="P25" s="5">
        <f t="shared" si="0"/>
        <v>1.3602445926387317E-5</v>
      </c>
      <c r="Q25" s="4"/>
      <c r="R25" s="4">
        <f>-5.05951615223121*10^(-2)</f>
        <v>-5.0595161522312103E-2</v>
      </c>
      <c r="S25" s="5">
        <f>-5.08009043776091*10^(-2)</f>
        <v>-5.0800904377609105E-2</v>
      </c>
      <c r="T25" s="5">
        <f t="shared" si="1"/>
        <v>4.2330122505762984E-8</v>
      </c>
      <c r="U25" s="5"/>
      <c r="V25" s="5">
        <f>-2.19135258599626*10^(-2)</f>
        <v>-2.1913525859962601E-2</v>
      </c>
      <c r="W25" s="5">
        <f>-2.23463286333389*10^(-2)</f>
        <v>-2.2346328633338901E-2</v>
      </c>
      <c r="X25" s="5">
        <f t="shared" si="2"/>
        <v>1.8731824064221689E-7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>
        <f>-1.23843842111565*10^(-1)</f>
        <v>-0.12384384211156502</v>
      </c>
      <c r="O26" s="4">
        <f>-1.2014650499342*10^(-1)</f>
        <v>-0.12014650499342</v>
      </c>
      <c r="P26" s="5">
        <f t="shared" si="0"/>
        <v>1.3670301765212896E-5</v>
      </c>
      <c r="Q26" s="4"/>
      <c r="R26" s="4">
        <f>-5.31299302974422*10^(-2)</f>
        <v>-5.3129930297442202E-2</v>
      </c>
      <c r="S26" s="5">
        <f>-5.29521034638476*10^(-2)</f>
        <v>-5.29521034638476E-2</v>
      </c>
      <c r="T26" s="5">
        <f t="shared" si="1"/>
        <v>3.1622382746282289E-8</v>
      </c>
      <c r="U26" s="5"/>
      <c r="V26" s="5">
        <f>-2.30608983947764*10^(-2)</f>
        <v>-2.3060898394776399E-2</v>
      </c>
      <c r="W26" s="5">
        <f>-2.34579438268059*10^(-2)</f>
        <v>-2.34579438268059E-2</v>
      </c>
      <c r="X26" s="5">
        <f t="shared" si="2"/>
        <v>1.5764507509549318E-7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>
        <f>-1.2900339191464*10^(-1)</f>
        <v>-0.12900339191464003</v>
      </c>
      <c r="O27" s="4">
        <f>-1.25506140413123*10^(-1)</f>
        <v>-0.125506140413123</v>
      </c>
      <c r="P27" s="5">
        <f t="shared" si="0"/>
        <v>1.2230768064863116E-5</v>
      </c>
      <c r="Q27" s="4"/>
      <c r="R27" s="4">
        <f>-5.51898754073702*10^(-2)</f>
        <v>-5.5189875407370199E-2</v>
      </c>
      <c r="S27" s="5">
        <f>-5.51033025500861*10^(-2)</f>
        <v>-5.5103302550086108E-2</v>
      </c>
      <c r="T27" s="5">
        <f t="shared" si="1"/>
        <v>7.4948596183315832E-9</v>
      </c>
      <c r="U27" s="5"/>
      <c r="V27" s="5">
        <f>-2.41445334458755*10^(-2)</f>
        <v>-2.4144533445875499E-2</v>
      </c>
      <c r="W27" s="5">
        <f>-2.45706706354665*10^(-2)</f>
        <v>-2.4570670635466502E-2</v>
      </c>
      <c r="X27" s="5">
        <f t="shared" si="2"/>
        <v>1.8159290435251814E-7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>
        <f>-1.34292333320693*10^(-1)</f>
        <v>-0.13429233332069299</v>
      </c>
      <c r="O28" s="4">
        <f>-1.30865775832826*10^(-1)</f>
        <v>-0.13086577583282599</v>
      </c>
      <c r="P28" s="5">
        <f t="shared" si="0"/>
        <v>1.1741296217657362E-5</v>
      </c>
      <c r="Q28" s="4"/>
      <c r="R28" s="4">
        <f>-5.7495173450347*10^(-2)</f>
        <v>-5.7495173450347006E-2</v>
      </c>
      <c r="S28" s="5">
        <f>-5.72545016363245*10^(-2)</f>
        <v>-5.7254501636324506E-2</v>
      </c>
      <c r="T28" s="5">
        <f t="shared" si="1"/>
        <v>5.7922922064880848E-8</v>
      </c>
      <c r="U28" s="5"/>
      <c r="V28" s="5">
        <f>-2.52727609467628*10^(-2)</f>
        <v>-2.5272760946762798E-2</v>
      </c>
      <c r="W28" s="5">
        <f>-2.56811742137401*10^(-2)</f>
        <v>-2.56811742137401E-2</v>
      </c>
      <c r="X28" s="5">
        <f t="shared" si="2"/>
        <v>1.668013966430723E-7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>
        <f>-1.39746985861222*10^(-1)</f>
        <v>-0.139746985861222</v>
      </c>
      <c r="O29" s="4">
        <f>-1.36230770887949*10^(-1)</f>
        <v>-0.13623077088794899</v>
      </c>
      <c r="P29" s="5">
        <f t="shared" si="0"/>
        <v>1.2363767738269297E-5</v>
      </c>
      <c r="Q29" s="4"/>
      <c r="R29" s="4">
        <f>-5.98057981743427*10^(-2)</f>
        <v>-5.98057981743427E-2</v>
      </c>
      <c r="S29" s="5">
        <f>-5.94078519216492*10^(-2)</f>
        <v>-5.9407851921649206E-2</v>
      </c>
      <c r="T29" s="5">
        <f t="shared" si="1"/>
        <v>1.5836122003279444E-7</v>
      </c>
      <c r="U29" s="5"/>
      <c r="V29" s="5">
        <f>-2.62936013825012*10^(-2)</f>
        <v>-2.6293601382501201E-2</v>
      </c>
      <c r="W29" s="5">
        <f>-2.67927894072071*10^(-2)</f>
        <v>-2.6792789407207099E-2</v>
      </c>
      <c r="X29" s="5">
        <f t="shared" si="2"/>
        <v>2.4918868400977636E-7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">
        <f>-1.44678285403819*10^(-1)</f>
        <v>-0.144678285403819</v>
      </c>
      <c r="O30" s="4">
        <f>-1.41585046672232*10^(-1)</f>
        <v>-0.14158504667223201</v>
      </c>
      <c r="P30" s="5">
        <f t="shared" si="0"/>
        <v>9.5681258505898512E-6</v>
      </c>
      <c r="Q30" s="4"/>
      <c r="R30" s="4">
        <f>-6.18103609524462*10^(-2)</f>
        <v>-6.18103609524462E-2</v>
      </c>
      <c r="S30" s="5">
        <f>-6.15568998088015*10^(-2)</f>
        <v>-6.1556899808801503E-2</v>
      </c>
      <c r="T30" s="5">
        <f t="shared" si="1"/>
        <v>6.4242551337677626E-8</v>
      </c>
      <c r="U30" s="5"/>
      <c r="V30" s="5">
        <f>-2.73807470801121*10^(-2)</f>
        <v>-2.7380747080112098E-2</v>
      </c>
      <c r="W30" s="5">
        <f>-2.79044046006742*10^(-2)</f>
        <v>-2.7904404600674199E-2</v>
      </c>
      <c r="X30" s="5">
        <f t="shared" si="2"/>
        <v>2.7421719884124689E-7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>
        <f>-1.49738253224792*10^(-1)</f>
        <v>-0.14973825322479201</v>
      </c>
      <c r="O31" s="4">
        <f>-1.46944682091935*10^(-1)</f>
        <v>-0.14694468209193501</v>
      </c>
      <c r="P31" s="5">
        <f t="shared" si="0"/>
        <v>7.8040396743319301E-6</v>
      </c>
      <c r="Q31" s="4"/>
      <c r="R31" s="4">
        <f>-6.38536163255671*10^(-2)</f>
        <v>-6.3853616325567103E-2</v>
      </c>
      <c r="S31" s="5">
        <f>-6.370809889504*10^(-2)</f>
        <v>-6.3708098895040005E-2</v>
      </c>
      <c r="T31" s="5">
        <f t="shared" si="1"/>
        <v>2.1175322587208753E-8</v>
      </c>
      <c r="U31" s="5"/>
      <c r="V31" s="5">
        <f>-2.84037428052718*10^(-2)</f>
        <v>-2.84037428052718E-2</v>
      </c>
      <c r="W31" s="5">
        <f>-2.90160197941413*10^(-2)</f>
        <v>-2.9016019794141302E-2</v>
      </c>
      <c r="X31" s="5">
        <f t="shared" si="2"/>
        <v>3.7488311109910433E-7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>
        <f>-1.54998581321983*10^(-1)</f>
        <v>-0.15499858132198302</v>
      </c>
      <c r="O32" s="4">
        <f>-1.52304317511638*10^(-1)</f>
        <v>-0.152304317511638</v>
      </c>
      <c r="P32" s="5">
        <f t="shared" si="0"/>
        <v>7.2590574797348419E-6</v>
      </c>
      <c r="Q32" s="4"/>
      <c r="R32" s="4">
        <f>-6.61442500276638*10^(-2)</f>
        <v>-6.6144250027663803E-2</v>
      </c>
      <c r="S32" s="5">
        <f>-6.58592979812785*10^(-2)</f>
        <v>-6.58592979812785E-2</v>
      </c>
      <c r="T32" s="5">
        <f t="shared" si="1"/>
        <v>8.1197668739172073E-8</v>
      </c>
      <c r="U32" s="5"/>
      <c r="V32" s="5">
        <f>-2.95585905699963*10^(-2)</f>
        <v>-2.9558590569996303E-2</v>
      </c>
      <c r="W32" s="5">
        <f>-3.01276349876083*10^(-2)</f>
        <v>-3.0127634987608301E-2</v>
      </c>
      <c r="X32" s="5">
        <f t="shared" si="2"/>
        <v>3.2381154921537829E-7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>
        <f>-1.60356956515223*10^(-1)</f>
        <v>-0.160356956515223</v>
      </c>
      <c r="O33" s="4">
        <f>-1.57669312566761*10^(-1)</f>
        <v>-0.15766931256676101</v>
      </c>
      <c r="P33" s="5">
        <f t="shared" si="0"/>
        <v>7.2234299937043714E-6</v>
      </c>
      <c r="Q33" s="4"/>
      <c r="R33" s="4">
        <f>-6.83356695873686*10^(-2)</f>
        <v>-6.83356695873686E-2</v>
      </c>
      <c r="S33" s="5">
        <f>-6.80104970675169*10^(-2)</f>
        <v>-6.8010497067516898E-2</v>
      </c>
      <c r="T33" s="5">
        <f t="shared" si="1"/>
        <v>1.0573716766670548E-7</v>
      </c>
      <c r="U33" s="5"/>
      <c r="V33" s="5">
        <f>-3.07366011774287*10^(-2)</f>
        <v>-3.0736601177428699E-2</v>
      </c>
      <c r="W33" s="5">
        <f>-3.12392501810754*10^(-2)</f>
        <v>-3.1239250181075404E-2</v>
      </c>
      <c r="X33" s="5">
        <f t="shared" si="2"/>
        <v>2.5265602086702557E-7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>
        <f>-1.65426497384887*10^(-1)</f>
        <v>-0.16542649738488702</v>
      </c>
      <c r="O34" s="4">
        <f>-1.63023588351044*10^(-1)</f>
        <v>-0.16302358835104402</v>
      </c>
      <c r="P34" s="5">
        <f t="shared" si="0"/>
        <v>5.7739718249242641E-6</v>
      </c>
      <c r="Q34" s="4"/>
      <c r="R34" s="4">
        <f>-7.04272100716545*10^(-2)</f>
        <v>-7.0427210071654506E-2</v>
      </c>
      <c r="S34" s="5">
        <f>-7.01616961537554*10^(-2)</f>
        <v>-7.0161696153755407E-2</v>
      </c>
      <c r="T34" s="5">
        <f t="shared" si="1"/>
        <v>7.0497640598129462E-8</v>
      </c>
      <c r="U34" s="5"/>
      <c r="V34" s="5">
        <f>-3.19160011306769*10^(-2)</f>
        <v>-3.1916001130676899E-2</v>
      </c>
      <c r="W34" s="5">
        <f>-3.23508653745425*10^(-2)</f>
        <v>-3.2350865374542501E-2</v>
      </c>
      <c r="X34" s="5">
        <f t="shared" si="2"/>
        <v>1.8910691059280124E-7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>
        <f>-1.70486395305986*10^(-1)</f>
        <v>-0.170486395305986</v>
      </c>
      <c r="O35" s="4">
        <f>-1.68383223770747*10^(-1)</f>
        <v>-0.16838322377074699</v>
      </c>
      <c r="P35" s="5">
        <f t="shared" si="0"/>
        <v>4.4233305066396005E-6</v>
      </c>
      <c r="Q35" s="4"/>
      <c r="R35" s="4">
        <f>-7.25581035822802*10^(-2)</f>
        <v>-7.2558103582280195E-2</v>
      </c>
      <c r="S35" s="5">
        <f>-7.23128952399939*10^(-2)</f>
        <v>-7.2312895239993902E-2</v>
      </c>
      <c r="T35" s="5">
        <f t="shared" si="1"/>
        <v>6.012713112679197E-8</v>
      </c>
      <c r="U35" s="5"/>
      <c r="V35" s="5">
        <f>-3.28342748407495*10^(-2)</f>
        <v>-3.2834274840749501E-2</v>
      </c>
      <c r="W35" s="5">
        <f>-3.34624805680095*10^(-2)</f>
        <v>-3.3462480568009496E-2</v>
      </c>
      <c r="X35" s="5">
        <f t="shared" si="2"/>
        <v>3.9464243576225923E-7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>
        <f>-1.75714653974375*10^(-1)</f>
        <v>-0.17571465397437502</v>
      </c>
      <c r="O36" s="4">
        <f>-1.7374285919045*10^(-1)</f>
        <v>-0.17374285919045002</v>
      </c>
      <c r="P36" s="5">
        <f t="shared" si="0"/>
        <v>3.8879746699138657E-6</v>
      </c>
      <c r="Q36" s="4"/>
      <c r="R36" s="4">
        <f>-7.48337360520484*10^(-2)</f>
        <v>-7.4833736052048405E-2</v>
      </c>
      <c r="S36" s="5">
        <f>-7.44640943262324*10^(-2)</f>
        <v>-7.4464094326232411E-2</v>
      </c>
      <c r="T36" s="5">
        <f t="shared" si="1"/>
        <v>1.3663500546422689E-7</v>
      </c>
      <c r="U36" s="5"/>
      <c r="V36" s="5">
        <f>-3.39723546729407*10^(-2)</f>
        <v>-3.3972354672940699E-2</v>
      </c>
      <c r="W36" s="5">
        <f>-3.45740957614766*10^(-2)</f>
        <v>-3.4574095761476603E-2</v>
      </c>
      <c r="X36" s="5">
        <f t="shared" si="2"/>
        <v>3.620923376323743E-7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>
        <f>-1.81149644290176*10^(-1)</f>
        <v>-0.18114964429017599</v>
      </c>
      <c r="O37" s="4">
        <f>-1.79102494610153*10^(-1)</f>
        <v>-0.17910249461015301</v>
      </c>
      <c r="P37" s="5">
        <f t="shared" si="0"/>
        <v>4.1908218124181917E-6</v>
      </c>
      <c r="Q37" s="4"/>
      <c r="R37" s="4">
        <f>-7.66579779191145*10^(-2)</f>
        <v>-7.6657977919114495E-2</v>
      </c>
      <c r="S37" s="5">
        <f>-7.66152934124708*10^(-2)</f>
        <v>-7.6615293412470808E-2</v>
      </c>
      <c r="T37" s="5">
        <f t="shared" si="1"/>
        <v>1.8219671074149173E-9</v>
      </c>
      <c r="U37" s="5"/>
      <c r="V37" s="5">
        <f>-3.51117312067261*10^(-2)</f>
        <v>-3.5111731206726102E-2</v>
      </c>
      <c r="W37" s="5">
        <f>-3.56857109549437*10^(-2)</f>
        <v>-3.5685710954943703E-2</v>
      </c>
      <c r="X37" s="5">
        <f t="shared" si="2"/>
        <v>3.2945275136394089E-7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>
        <f>-1.86506190090908*10^(-1)</f>
        <v>-0.18650619009090802</v>
      </c>
      <c r="O38" s="4">
        <f>-1.84467489665276*10^(-1)</f>
        <v>-0.18446748966527601</v>
      </c>
      <c r="P38" s="5">
        <f t="shared" si="0"/>
        <v>4.1562994254721237E-6</v>
      </c>
      <c r="Q38" s="4"/>
      <c r="R38" s="4">
        <f>-7.87318288179309*10^(-2)</f>
        <v>-7.8731828817930907E-2</v>
      </c>
      <c r="S38" s="5">
        <f>-7.87664924987093*10^(-2)</f>
        <v>-7.8766492498709303E-2</v>
      </c>
      <c r="T38" s="5">
        <f t="shared" si="1"/>
        <v>1.2015707651065549E-9</v>
      </c>
      <c r="U38" s="5"/>
      <c r="V38" s="5">
        <f>-3.62304590448199*10^(-2)</f>
        <v>-3.6230459044819904E-2</v>
      </c>
      <c r="W38" s="5">
        <f>-3.67973261484107*10^(-2)</f>
        <v>-3.6797326148410699E-2</v>
      </c>
      <c r="X38" s="5">
        <f t="shared" si="2"/>
        <v>3.2133831313341638E-7</v>
      </c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>
        <f>-1.91529237963673*10^(-1)</f>
        <v>-0.19152923796367302</v>
      </c>
      <c r="O39" s="4">
        <f>-1.89821765449559*10^(-1)</f>
        <v>-0.189821765449559</v>
      </c>
      <c r="P39" s="5">
        <f t="shared" si="0"/>
        <v>2.9154623864548415E-6</v>
      </c>
      <c r="Q39" s="4"/>
      <c r="R39" s="4">
        <f>-8.07394726248981*10^(-2)</f>
        <v>-8.0739472624898098E-2</v>
      </c>
      <c r="S39" s="5">
        <f>-8.09176915849478*10^(-2)</f>
        <v>-8.0917691584947798E-2</v>
      </c>
      <c r="T39" s="5">
        <f t="shared" si="1"/>
        <v>3.1761997721196666E-8</v>
      </c>
      <c r="U39" s="5"/>
      <c r="V39" s="5">
        <f>-3.73724127880321*10^(-2)</f>
        <v>-3.7372412788032099E-2</v>
      </c>
      <c r="W39" s="5">
        <f>-3.79100529570713*10^(-2)</f>
        <v>-3.7910052957071304E-2</v>
      </c>
      <c r="X39" s="5">
        <f t="shared" si="2"/>
        <v>2.8905695136450514E-7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">
        <f>-1.96723300092182*10^(-1)</f>
        <v>-0.196723300092182</v>
      </c>
      <c r="O40" s="4">
        <f>-1.95181400869262*10^(-1)</f>
        <v>-0.195181400869262</v>
      </c>
      <c r="P40" s="5">
        <f t="shared" si="0"/>
        <v>2.3774532136413036E-6</v>
      </c>
      <c r="Q40" s="4"/>
      <c r="R40" s="4">
        <f>-8.26451761943036*10^(-2)</f>
        <v>-8.2645176194303588E-2</v>
      </c>
      <c r="S40" s="5">
        <f>-8.30688906711863*10^(-2)</f>
        <v>-8.3068890671186307E-2</v>
      </c>
      <c r="T40" s="5">
        <f t="shared" si="1"/>
        <v>1.795339579199966E-7</v>
      </c>
      <c r="U40" s="5"/>
      <c r="V40" s="5">
        <f>-3.86696722349198*10^(-2)</f>
        <v>-3.8669672234919801E-2</v>
      </c>
      <c r="W40" s="5">
        <f>-3.90205565353449*10^(-2)</f>
        <v>-3.9020556535344898E-2</v>
      </c>
      <c r="X40" s="5">
        <f t="shared" si="2"/>
        <v>1.2311979228480987E-7</v>
      </c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">
        <f>-2.02310620852174*10^(-1)</f>
        <v>-0.20231062085217402</v>
      </c>
      <c r="O41" s="4">
        <f>-2.00541036288965*10^(-1)</f>
        <v>-0.200541036288965</v>
      </c>
      <c r="P41" s="5">
        <f t="shared" si="0"/>
        <v>3.1314295263476782E-6</v>
      </c>
      <c r="Q41" s="4"/>
      <c r="R41" s="4">
        <f>-8.46960962908498*10^(-2)</f>
        <v>-8.4696096290849801E-2</v>
      </c>
      <c r="S41" s="5">
        <f>-8.52200897574248*10^(-2)</f>
        <v>-8.5220089757424802E-2</v>
      </c>
      <c r="T41" s="5">
        <f t="shared" si="1"/>
        <v>2.7456915301328693E-7</v>
      </c>
      <c r="U41" s="5"/>
      <c r="V41" s="5">
        <f>-3.96382166325428*10^(-2)</f>
        <v>-3.96382166325428E-2</v>
      </c>
      <c r="W41" s="5">
        <f>-4.01321717288119*10^(-2)</f>
        <v>-4.0132171728811901E-2</v>
      </c>
      <c r="X41" s="5">
        <f t="shared" si="2"/>
        <v>2.4399163713021693E-7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4">
        <f>-2.07082673076746*10^(-1)</f>
        <v>-0.20708267307674602</v>
      </c>
      <c r="O42" s="4">
        <f>-2.05900671708668*10^(-1)</f>
        <v>-0.20590067170866799</v>
      </c>
      <c r="P42" s="5">
        <f t="shared" si="0"/>
        <v>1.3971272341383307E-6</v>
      </c>
      <c r="Q42" s="4"/>
      <c r="R42" s="4">
        <f>-8.66448275752564*10^(-2)</f>
        <v>-8.6644827575256406E-2</v>
      </c>
      <c r="S42" s="5">
        <f>-8.73734400427495*10^(-2)</f>
        <v>-8.7373440042749509E-2</v>
      </c>
      <c r="T42" s="5">
        <f t="shared" si="1"/>
        <v>5.3087612778638844E-7</v>
      </c>
      <c r="U42" s="5"/>
      <c r="V42" s="5">
        <f>-4.06958814954788*10^(-2)</f>
        <v>-4.0695881495478807E-2</v>
      </c>
      <c r="W42" s="5">
        <f>-4.1243786922279*10^(-2)</f>
        <v>-4.1243786922279001E-2</v>
      </c>
      <c r="X42" s="5">
        <f t="shared" si="2"/>
        <v>3.0020035671710246E-7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4">
        <f>-2.12321377598039*10^(-1)</f>
        <v>-0.21232137759803901</v>
      </c>
      <c r="O43" s="4">
        <f>-2.11260307128371*10^(-1)</f>
        <v>-0.21126030712837102</v>
      </c>
      <c r="P43" s="5">
        <f t="shared" si="0"/>
        <v>1.1258705416014621E-6</v>
      </c>
      <c r="Q43" s="4"/>
      <c r="R43" s="4">
        <f>-8.87395152919745*10^(-2)</f>
        <v>-8.8739515291974505E-2</v>
      </c>
      <c r="S43" s="5">
        <f>-8.95246391289879*10^(-2)</f>
        <v>-8.9524639128987893E-2</v>
      </c>
      <c r="T43" s="5">
        <f t="shared" si="1"/>
        <v>6.1641943944662474E-7</v>
      </c>
      <c r="U43" s="5"/>
      <c r="V43" s="5">
        <f>-4.17546661978962*10^(-2)</f>
        <v>-4.1754666197896195E-2</v>
      </c>
      <c r="W43" s="5">
        <f>-4.23554021157461*10^(-2)</f>
        <v>-4.2355402115746101E-2</v>
      </c>
      <c r="X43" s="5">
        <f t="shared" si="2"/>
        <v>3.6088364299496811E-7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>
        <f>-2.17401766030649*10^(-1)</f>
        <v>-0.21740176603064901</v>
      </c>
      <c r="O44" s="4">
        <f>-2.16619942548074*10^(-1)</f>
        <v>-0.21661994254807404</v>
      </c>
      <c r="P44" s="5">
        <f t="shared" si="0"/>
        <v>6.1124795790564982E-7</v>
      </c>
      <c r="Q44" s="4"/>
      <c r="R44" s="4">
        <f>-9.06961497944352*10^(-2)</f>
        <v>-9.0696149794435202E-2</v>
      </c>
      <c r="S44" s="5">
        <f>-9.16758382152264*10^(-2)</f>
        <v>-9.1675838215226402E-2</v>
      </c>
      <c r="T44" s="5">
        <f t="shared" si="1"/>
        <v>9.5978940183235523E-7</v>
      </c>
      <c r="U44" s="5"/>
      <c r="V44" s="5">
        <f>-4.28587602905358*10^(-2)</f>
        <v>-4.2858760290535799E-2</v>
      </c>
      <c r="W44" s="5">
        <f>-4.34670173092131*10^(-2)</f>
        <v>-4.3467017309213096E-2</v>
      </c>
      <c r="X44" s="5">
        <f t="shared" si="2"/>
        <v>3.6997660077019333E-7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">
        <f>-2.22993996240275*10^(-1)</f>
        <v>-0.22299399624027499</v>
      </c>
      <c r="O45" s="4">
        <f>-2.21984937603196*10^(-1)</f>
        <v>-0.22198493760319604</v>
      </c>
      <c r="P45" s="5">
        <f t="shared" si="0"/>
        <v>1.0181993330636328E-6</v>
      </c>
      <c r="Q45" s="4"/>
      <c r="R45" s="4">
        <f>-9.28707224211358*10^(-2)</f>
        <v>-9.2870722421135796E-2</v>
      </c>
      <c r="S45" s="5">
        <f>-9.38270373014649*10^(-2)</f>
        <v>-9.3827037301464911E-2</v>
      </c>
      <c r="T45" s="5">
        <f t="shared" si="1"/>
        <v>9.1453815033888941E-7</v>
      </c>
      <c r="U45" s="5"/>
      <c r="V45" s="5">
        <f>-4.40525527124558*10^(-2)</f>
        <v>-4.4052552712455804E-2</v>
      </c>
      <c r="W45" s="5">
        <f>-4.45786325026802*10^(-2)</f>
        <v>-4.4578632502680203E-2</v>
      </c>
      <c r="X45" s="5">
        <f t="shared" si="2"/>
        <v>2.7675994568254721E-7</v>
      </c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">
        <f>-2.28354532383674*10^(-1)</f>
        <v>-0.22835453238367398</v>
      </c>
      <c r="O46" s="4">
        <f>-2.27344573022899*10^(-1)</f>
        <v>-0.22734457302289901</v>
      </c>
      <c r="P46" s="5">
        <f t="shared" si="0"/>
        <v>1.0200179104169864E-6</v>
      </c>
      <c r="Q46" s="4"/>
      <c r="R46" s="4">
        <f>-9.49427437397559*10^(-2)</f>
        <v>-9.4942743739755905E-2</v>
      </c>
      <c r="S46" s="5">
        <f>-9.59782363877034*10^(-2)</f>
        <v>-9.5978236387703406E-2</v>
      </c>
      <c r="T46" s="5">
        <f t="shared" si="1"/>
        <v>1.0722450239533255E-6</v>
      </c>
      <c r="U46" s="5"/>
      <c r="V46" s="5">
        <f>-4.52699191461792*10^(-2)</f>
        <v>-4.5269919146179199E-2</v>
      </c>
      <c r="W46" s="5">
        <f>-4.56902476961473*10^(-2)</f>
        <v>-4.5690247696147303E-2</v>
      </c>
      <c r="X46" s="5">
        <f t="shared" si="2"/>
        <v>1.7667608991828837E-7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N47" s="5">
        <f>-2.33290581140428*10^(-1)</f>
        <v>-0.233290581140428</v>
      </c>
      <c r="O47" s="5">
        <f>-2.32698848807183*10^(-1)</f>
        <v>-0.23269884880718303</v>
      </c>
      <c r="P47" s="5">
        <f t="shared" si="0"/>
        <v>3.5014715420753725E-7</v>
      </c>
      <c r="Q47" s="5"/>
      <c r="R47" s="5">
        <f>-9.73057953227157*10^(-2)</f>
        <v>-9.7305795322715702E-2</v>
      </c>
      <c r="S47" s="5">
        <f>-9.81272842748556*10^(-2)</f>
        <v>-9.8127284274855606E-2</v>
      </c>
      <c r="T47" s="5">
        <f t="shared" si="1"/>
        <v>6.748440984879172E-7</v>
      </c>
      <c r="U47" s="5"/>
      <c r="V47" s="5">
        <f>-4.63779033931959*10^(-2)</f>
        <v>-4.6377903393195904E-2</v>
      </c>
      <c r="W47" s="5">
        <f>-4.68018628896143*10^(-2)</f>
        <v>-4.6801862889614299E-2</v>
      </c>
      <c r="X47" s="5">
        <f t="shared" si="2"/>
        <v>1.7974165460333827E-7</v>
      </c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N48" s="5">
        <f>-2.38858671888494*10^(-1)</f>
        <v>-0.23885867188849402</v>
      </c>
      <c r="O48" s="5">
        <f>-2.38058484226885*10^(-1)</f>
        <v>-0.23805848422688503</v>
      </c>
      <c r="P48" s="5">
        <f t="shared" si="0"/>
        <v>6.4030029379127556E-7</v>
      </c>
      <c r="Q48" s="5"/>
      <c r="R48" s="5">
        <f>-9.91356219997917*10^(-2)</f>
        <v>-9.9135621999791701E-2</v>
      </c>
      <c r="S48" s="5">
        <f>-1.00278483361094*10^(-1)</f>
        <v>-0.100278483361094</v>
      </c>
      <c r="T48" s="5">
        <f t="shared" si="1"/>
        <v>1.3061320911577522E-6</v>
      </c>
      <c r="U48" s="5"/>
      <c r="V48" s="5">
        <f>-4.74649203046238*10^(-2)</f>
        <v>-4.7464920304623799E-2</v>
      </c>
      <c r="W48" s="5">
        <f>-4.79134780830814*10^(-2)</f>
        <v>-4.7913478083081405E-2</v>
      </c>
      <c r="X48" s="5">
        <f t="shared" si="2"/>
        <v>2.0120408061482287E-7</v>
      </c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4:45" x14ac:dyDescent="0.2">
      <c r="N49" s="5">
        <f>-2.43885147571824*10^(-1)</f>
        <v>-0.243885147571824</v>
      </c>
      <c r="O49" s="5">
        <f>-2.43418119646588*10^(-1)</f>
        <v>-0.24341811964658802</v>
      </c>
      <c r="P49" s="5">
        <f t="shared" si="0"/>
        <v>2.1811508295022403E-7</v>
      </c>
      <c r="Q49" s="5"/>
      <c r="R49" s="5">
        <f>-1.01652613008945*10^(-1)</f>
        <v>-0.101652613008945</v>
      </c>
      <c r="S49" s="5">
        <f>-1.02429682447332*10^(-1)</f>
        <v>-0.102429682447332</v>
      </c>
      <c r="T49" s="5">
        <f t="shared" si="1"/>
        <v>6.0383691207508545E-7</v>
      </c>
      <c r="U49" s="5"/>
      <c r="V49" s="5">
        <f>-4.85309001075343*10^(-2)</f>
        <v>-4.8530900107534303E-2</v>
      </c>
      <c r="W49" s="5">
        <f>-4.90250932765484*10^(-2)</f>
        <v>-4.9025093276548408E-2</v>
      </c>
      <c r="X49" s="5">
        <f t="shared" si="2"/>
        <v>2.4422688830020393E-7</v>
      </c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4:45" x14ac:dyDescent="0.2">
      <c r="N50" s="5">
        <f>-2.49781481371236*10^(-1)</f>
        <v>-0.24978148137123601</v>
      </c>
      <c r="O50" s="5">
        <f>-2.48777755066291*10^(-1)</f>
        <v>-0.24877775506629099</v>
      </c>
      <c r="P50" s="5">
        <f t="shared" si="0"/>
        <v>1.0074664952385914E-6</v>
      </c>
      <c r="Q50" s="5"/>
      <c r="R50" s="5">
        <f>-1.03706852851977*10^(-1)</f>
        <v>-0.103706852851977</v>
      </c>
      <c r="S50" s="5">
        <f>-1.04583032732657*10^(-1)</f>
        <v>-0.10458303273265701</v>
      </c>
      <c r="T50" s="5">
        <f t="shared" si="1"/>
        <v>7.6769118330842933E-7</v>
      </c>
      <c r="U50" s="5"/>
      <c r="V50" s="5">
        <f>-4.96647500939473*10^(-2)</f>
        <v>-4.9664750093947302E-2</v>
      </c>
      <c r="W50" s="5">
        <f>-5.01367084700155*10^(-2)</f>
        <v>-5.0136708470015501E-2</v>
      </c>
      <c r="X50" s="5">
        <f t="shared" si="2"/>
        <v>2.2274470874093146E-7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4:45" x14ac:dyDescent="0.2">
      <c r="N51" s="5">
        <f>-2.55172122433253*10^(-1)</f>
        <v>-0.25517212243325299</v>
      </c>
      <c r="O51" s="5">
        <f>-2.54142750121414*10^(-1)</f>
        <v>-0.25414275012141402</v>
      </c>
      <c r="P51" s="5">
        <f t="shared" si="0"/>
        <v>1.0596073563807097E-6</v>
      </c>
      <c r="Q51" s="5"/>
      <c r="R51" s="5">
        <f>-1.05729171261771*10^(-1)</f>
        <v>-0.105729171261771</v>
      </c>
      <c r="S51" s="5">
        <f>-1.06732080619809*10^(-1)</f>
        <v>-0.10673208061980902</v>
      </c>
      <c r="T51" s="5">
        <f t="shared" si="1"/>
        <v>1.0058271804402177E-6</v>
      </c>
      <c r="U51" s="5"/>
      <c r="V51" s="5">
        <f>-5.07553476936697*10^(-2)</f>
        <v>-5.0755347693669704E-2</v>
      </c>
      <c r="W51" s="5">
        <f>-5.12483236634826*10^(-2)</f>
        <v>-5.1248323663482601E-2</v>
      </c>
      <c r="X51" s="5">
        <f t="shared" si="2"/>
        <v>2.4302530681296565E-7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4:45" x14ac:dyDescent="0.2">
      <c r="N52" s="5">
        <f>-2.60165069155611*10^(-1)</f>
        <v>-0.260165069155611</v>
      </c>
      <c r="O52" s="5">
        <f>-2.59497025905697*10^(-1)</f>
        <v>-0.25949702590569701</v>
      </c>
      <c r="P52" s="5">
        <f t="shared" si="0"/>
        <v>4.4628178375563963E-7</v>
      </c>
      <c r="Q52" s="5"/>
      <c r="R52" s="5">
        <f>-1.08117880323755*10^(-1)</f>
        <v>-0.10811788032375501</v>
      </c>
      <c r="S52" s="5">
        <f>-1.08885430905134*10^(-1)</f>
        <v>-0.10888543090513401</v>
      </c>
      <c r="T52" s="5">
        <f t="shared" si="1"/>
        <v>5.8913389497525047E-7</v>
      </c>
      <c r="U52" s="5"/>
      <c r="V52" s="5">
        <f>-5.19586100163062*10^(-2)</f>
        <v>-5.1958610016306202E-2</v>
      </c>
      <c r="W52" s="5">
        <f>-5.23599388569497*10^(-2)</f>
        <v>-5.2359938856949707E-2</v>
      </c>
      <c r="X52" s="5">
        <f t="shared" si="2"/>
        <v>1.6106483833226031E-7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4:45" x14ac:dyDescent="0.2">
      <c r="N53" s="5">
        <f>-2.64286541609737*10^(-1)</f>
        <v>-0.26428654160973702</v>
      </c>
      <c r="O53" s="5">
        <f>-2.648566613254*10^(-1)</f>
        <v>-0.26485666132539998</v>
      </c>
      <c r="P53" s="5">
        <f t="shared" si="0"/>
        <v>3.2503649018760682E-7</v>
      </c>
      <c r="Q53" s="5"/>
      <c r="R53" s="5">
        <f>-1.10330712017701*10^(-1)</f>
        <v>-0.110330712017701</v>
      </c>
      <c r="S53" s="5">
        <f>-1.11036629991372*10^(-1)</f>
        <v>-0.11103662999137201</v>
      </c>
      <c r="T53" s="5">
        <f t="shared" si="1"/>
        <v>4.9832018555177813E-7</v>
      </c>
      <c r="U53" s="5"/>
      <c r="V53" s="5">
        <f>-5.30070736670896*10^(-2)</f>
        <v>-5.3007073667089601E-2</v>
      </c>
      <c r="W53" s="5">
        <f>-5.34715540504167*10^(-2)</f>
        <v>-5.3471554050416703E-2</v>
      </c>
      <c r="X53" s="5">
        <f t="shared" si="2"/>
        <v>2.1574202649569203E-7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4:45" x14ac:dyDescent="0.2">
      <c r="N54" s="5">
        <f>-2.69991241955418*10^(-1)</f>
        <v>-0.26999124195541802</v>
      </c>
      <c r="O54" s="5">
        <f>-2.70221656380523*10^(-1)</f>
        <v>-0.27022165638052303</v>
      </c>
      <c r="P54" s="5">
        <f t="shared" si="0"/>
        <v>5.3090807296476345E-8</v>
      </c>
      <c r="Q54" s="5"/>
      <c r="R54" s="5">
        <f>-1.12402874896765*10^(-1)</f>
        <v>-0.112402874896765</v>
      </c>
      <c r="S54" s="5">
        <f>-1.13185677878525*10^(-1)</f>
        <v>-0.11318567787852502</v>
      </c>
      <c r="T54" s="5">
        <f t="shared" si="1"/>
        <v>6.127805082523776E-7</v>
      </c>
      <c r="U54" s="5"/>
      <c r="V54" s="5">
        <f>-5.41013244936804*10^(-2)</f>
        <v>-5.4101324493680394E-2</v>
      </c>
      <c r="W54" s="5">
        <f>-5.45831692438838*10^(-2)</f>
        <v>-5.4583169243883803E-2</v>
      </c>
      <c r="X54" s="5">
        <f t="shared" si="2"/>
        <v>2.3217436329858509E-7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4:45" x14ac:dyDescent="0.2">
      <c r="N55" s="5">
        <f>-2.75058919906136*10^(-1)</f>
        <v>-0.27505891990613601</v>
      </c>
      <c r="O55" s="5">
        <f>-2.75575932164806*10^(-1)</f>
        <v>-0.27557593216480603</v>
      </c>
      <c r="P55" s="5">
        <f t="shared" si="0"/>
        <v>2.6730167561506864E-7</v>
      </c>
      <c r="Q55" s="5"/>
      <c r="R55" s="5">
        <f>-1.14515808287597*10^(-1)</f>
        <v>-0.114515808287597</v>
      </c>
      <c r="S55" s="5">
        <f>-1.15336876964763*10^(-1)</f>
        <v>-0.11533687696476301</v>
      </c>
      <c r="T55" s="5">
        <f t="shared" si="1"/>
        <v>6.7415377262314473E-7</v>
      </c>
      <c r="U55" s="5"/>
      <c r="V55" s="5">
        <f>-5.51520382932177*10^(-2)</f>
        <v>-5.5152038293217701E-2</v>
      </c>
      <c r="W55" s="5">
        <f>-5.56947844373508*10^(-2)</f>
        <v>-5.5694784437350799E-2</v>
      </c>
      <c r="X55" s="5">
        <f t="shared" si="2"/>
        <v>2.9457337697134561E-7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4:45" x14ac:dyDescent="0.2">
      <c r="N56" s="5">
        <f>-2.80667149455291*10^(-1)</f>
        <v>-0.28066714945529098</v>
      </c>
      <c r="O56" s="5">
        <f>-2.80935567584509*10^(-1)</f>
        <v>-0.28093556758450905</v>
      </c>
      <c r="P56" s="5">
        <f t="shared" si="0"/>
        <v>7.2048292092930233E-8</v>
      </c>
      <c r="Q56" s="5"/>
      <c r="R56" s="5">
        <f>-1.16925623971096*10^(-1)</f>
        <v>-0.11692562397109602</v>
      </c>
      <c r="S56" s="5">
        <f>-1.17490227250088*10^(-1)</f>
        <v>-0.11749022725008801</v>
      </c>
      <c r="T56" s="5">
        <f t="shared" si="1"/>
        <v>3.1877686264851034E-7</v>
      </c>
      <c r="U56" s="5"/>
      <c r="V56" s="5">
        <f>-5.62934248659642*10^(-2)</f>
        <v>-5.6293424865964205E-2</v>
      </c>
      <c r="W56" s="5">
        <f>-5.68063996308179*10^(-2)</f>
        <v>-5.6806399630817898E-2</v>
      </c>
      <c r="X56" s="5">
        <f t="shared" si="2"/>
        <v>2.631431093767023E-7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4:45" x14ac:dyDescent="0.2">
      <c r="N57" s="5">
        <f>-2.86028240865235*10^(-1)</f>
        <v>-0.28602824086523498</v>
      </c>
      <c r="O57" s="5">
        <f>-2.86295203004212*10^(-1)</f>
        <v>-0.28629520300421202</v>
      </c>
      <c r="P57" s="5">
        <f t="shared" si="0"/>
        <v>7.1268783647193107E-8</v>
      </c>
      <c r="Q57" s="5"/>
      <c r="R57" s="5">
        <f>-1.19267973978851*10^(-1)</f>
        <v>-0.11926797397885101</v>
      </c>
      <c r="S57" s="5">
        <f>-1.19641426336326*10^(-1)</f>
        <v>-0.119641426336326</v>
      </c>
      <c r="T57" s="5">
        <f t="shared" si="1"/>
        <v>1.3946666330362802E-7</v>
      </c>
      <c r="U57" s="5"/>
      <c r="V57" s="5">
        <f>-5.73912796785241*10^(-2)</f>
        <v>-5.7391279678524094E-2</v>
      </c>
      <c r="W57" s="5">
        <f>-5.7918014824285*10^(-2)</f>
        <v>-5.7918014824285005E-2</v>
      </c>
      <c r="X57" s="5">
        <f t="shared" si="2"/>
        <v>2.7744991377976783E-7</v>
      </c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4:45" x14ac:dyDescent="0.2">
      <c r="N58" s="5">
        <f>-2.91218080451229*10^(-1)</f>
        <v>-0.29121808045122899</v>
      </c>
      <c r="O58" s="5">
        <f>-2.91654838423915*10^(-1)</f>
        <v>-0.29165483842391499</v>
      </c>
      <c r="P58" s="5">
        <f t="shared" si="0"/>
        <v>1.9075752670478223E-7</v>
      </c>
      <c r="Q58" s="5"/>
      <c r="R58" s="5">
        <f>-1.21542369676815*10^(-1)</f>
        <v>-0.121542369676815</v>
      </c>
      <c r="S58" s="5">
        <f>-1.21792625422565*10^(-1)</f>
        <v>-0.121792625422565</v>
      </c>
      <c r="T58" s="5">
        <f t="shared" si="1"/>
        <v>6.2627938280885797E-8</v>
      </c>
      <c r="U58" s="5"/>
      <c r="V58" s="5">
        <f>-5.84454577976587*10^(-2)</f>
        <v>-5.8445457797658695E-2</v>
      </c>
      <c r="W58" s="5">
        <f>-5.9029630017752*10^(-2)</f>
        <v>-5.9029630017752001E-2</v>
      </c>
      <c r="X58" s="5">
        <f t="shared" si="2"/>
        <v>3.4125718272874143E-7</v>
      </c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4:45" x14ac:dyDescent="0.2">
      <c r="N59" s="5">
        <f>-2.96434995048204*10^(-1)</f>
        <v>-0.29643499504820403</v>
      </c>
      <c r="O59" s="5">
        <f>-2.97019833479038*10^(-1)</f>
        <v>-0.29701983347903804</v>
      </c>
      <c r="P59" s="5">
        <f t="shared" si="0"/>
        <v>3.4203599018038892E-7</v>
      </c>
      <c r="Q59" s="5"/>
      <c r="R59" s="5">
        <f>-1.23895571483399*10^(-1)</f>
        <v>-0.12389557148339901</v>
      </c>
      <c r="S59" s="5">
        <f>-1.23943824508803*10^(-1)</f>
        <v>-0.12394382450880299</v>
      </c>
      <c r="T59" s="5">
        <f t="shared" si="1"/>
        <v>2.3283544606373879E-9</v>
      </c>
      <c r="U59" s="5"/>
      <c r="V59" s="5">
        <f>-5.93659684092387*10^(-2)</f>
        <v>-5.9365968409238697E-2</v>
      </c>
      <c r="W59" s="5">
        <f>-6.01412452112191*10^(-2)</f>
        <v>-6.0141245211219101E-2</v>
      </c>
      <c r="X59" s="5">
        <f t="shared" si="2"/>
        <v>6.0105411968896269E-7</v>
      </c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4:45" x14ac:dyDescent="0.2">
      <c r="N60" s="5">
        <f>-3.01598378847271*10^(-1)</f>
        <v>-0.30159837884727103</v>
      </c>
      <c r="O60" s="5">
        <f>-3.02374109263321*10^(-1)</f>
        <v>-0.30237410926332098</v>
      </c>
      <c r="P60" s="5">
        <f t="shared" si="0"/>
        <v>6.0175767838502349E-7</v>
      </c>
      <c r="Q60" s="5"/>
      <c r="R60" s="5">
        <f>-1.26143633017241*10^(-1)</f>
        <v>-0.12614363301724102</v>
      </c>
      <c r="S60" s="5">
        <f>-1.26095023595042*10^(-1)</f>
        <v>-0.12609502359504202</v>
      </c>
      <c r="T60" s="5">
        <f t="shared" si="1"/>
        <v>2.362875926520925E-9</v>
      </c>
      <c r="U60" s="5"/>
      <c r="V60" s="5">
        <f>-5.98602504746168*10^(-2)</f>
        <v>-5.9860250474616794E-2</v>
      </c>
      <c r="W60" s="5">
        <f>-6.12539720198796*10^(-2)</f>
        <v>-6.1253972019879602E-2</v>
      </c>
      <c r="X60" s="5">
        <f t="shared" si="2"/>
        <v>1.9424597457297485E-6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4:45" x14ac:dyDescent="0.2">
      <c r="N61" s="5">
        <f>-3.06504026114065*10^(-1)</f>
        <v>-0.30650402611406502</v>
      </c>
      <c r="O61" s="5">
        <f>-3.07733744683024*10^(-1)</f>
        <v>-0.307733744683024</v>
      </c>
      <c r="P61" s="5">
        <f t="shared" si="0"/>
        <v>1.512207758842526E-6</v>
      </c>
      <c r="Q61" s="5"/>
      <c r="R61" s="5">
        <f>-1.28322806163495*10^(-1)</f>
        <v>-0.12832280616349501</v>
      </c>
      <c r="S61" s="5">
        <f>-1.2824622268128*10^(-1)</f>
        <v>-0.12824622268128003</v>
      </c>
      <c r="T61" s="5">
        <f t="shared" si="1"/>
        <v>5.8650297481723646E-9</v>
      </c>
      <c r="U61" s="5"/>
      <c r="V61" s="5">
        <f>-6.03547769755799*10^(-2)</f>
        <v>-6.03547769755799E-2</v>
      </c>
      <c r="W61" s="5">
        <f>-6.23644755981532*10^(-2)</f>
        <v>-6.2364475598153203E-2</v>
      </c>
      <c r="X61" s="5">
        <f t="shared" si="2"/>
        <v>4.0388885535730304E-6</v>
      </c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4:45" x14ac:dyDescent="0.2">
      <c r="N62" s="5">
        <f>-3.1212842959425*10^(-1)</f>
        <v>-0.31212842959425002</v>
      </c>
      <c r="O62" s="5">
        <f>-3.13093380102727*10^(-1)</f>
        <v>-0.31309338010272703</v>
      </c>
      <c r="P62" s="5">
        <f t="shared" si="0"/>
        <v>9.3112948381002606E-7</v>
      </c>
      <c r="Q62" s="5"/>
      <c r="R62" s="5">
        <f>-1.30729100707275*10^(-1)</f>
        <v>-0.130729100707275</v>
      </c>
      <c r="S62" s="5">
        <f>-1.30397421767519*10^(-1)</f>
        <v>-0.13039742176751901</v>
      </c>
      <c r="T62" s="5">
        <f t="shared" si="1"/>
        <v>1.1001091907766239E-7</v>
      </c>
      <c r="U62" s="5"/>
      <c r="V62" s="5">
        <f>-6.19298993731985*10^(-2)</f>
        <v>-6.1929899373198503E-2</v>
      </c>
      <c r="W62" s="5">
        <f>-6.34760907916203*10^(-2)</f>
        <v>-6.3476090791620296E-2</v>
      </c>
      <c r="X62" s="5">
        <f t="shared" si="2"/>
        <v>2.3907079024011949E-6</v>
      </c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4:45" x14ac:dyDescent="0.2">
      <c r="N63" s="5">
        <f>-3.17209366564724*10^(-1)</f>
        <v>-0.31720936656472398</v>
      </c>
      <c r="O63" s="5">
        <f>-3.1845301552243*10^(-1)</f>
        <v>-0.31845301552243005</v>
      </c>
      <c r="P63" s="5">
        <f t="shared" si="0"/>
        <v>1.5466627300033873E-6</v>
      </c>
      <c r="Q63" s="5"/>
      <c r="R63" s="5">
        <f>-1.32732588929842*10^(-1)</f>
        <v>-0.13273258892984202</v>
      </c>
      <c r="S63" s="5">
        <f>-1.32546469654671*10^(-1)</f>
        <v>-0.13254646965467101</v>
      </c>
      <c r="T63" s="5">
        <f t="shared" si="1"/>
        <v>3.464038459018194E-8</v>
      </c>
      <c r="U63" s="5"/>
      <c r="V63" s="5">
        <f>-6.33045319881671*10^(-2)</f>
        <v>-6.3304531988167101E-2</v>
      </c>
      <c r="W63" s="5">
        <f>-6.45877059850874*10^(-2)</f>
        <v>-6.4587705985087396E-2</v>
      </c>
      <c r="X63" s="5">
        <f t="shared" si="2"/>
        <v>1.6465355063724049E-6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4:45" x14ac:dyDescent="0.2">
      <c r="N64" s="5">
        <f>-3.22357542099832*10^(-1)</f>
        <v>-0.32235754209983203</v>
      </c>
      <c r="O64" s="5">
        <f>-3.23812650942133*10^(-1)</f>
        <v>-0.32381265094213302</v>
      </c>
      <c r="P64" s="5">
        <f t="shared" si="0"/>
        <v>2.1173417429425258E-6</v>
      </c>
      <c r="Q64" s="5"/>
      <c r="R64" s="5">
        <f>-1.35372928129462*10^(-1)</f>
        <v>-0.135372928129462</v>
      </c>
      <c r="S64" s="5">
        <f>-1.34699819939996*10^(-1)</f>
        <v>-0.134699819939996</v>
      </c>
      <c r="T64" s="5">
        <f t="shared" si="1"/>
        <v>4.53074634726202E-7</v>
      </c>
      <c r="U64" s="5"/>
      <c r="V64" s="5">
        <f>-6.48843111476855*10^(-2)</f>
        <v>-6.4884311147685503E-2</v>
      </c>
      <c r="W64" s="5">
        <f>-6.56993211785544*10^(-2)</f>
        <v>-6.5699321178554398E-2</v>
      </c>
      <c r="X64" s="5">
        <f t="shared" si="2"/>
        <v>6.642413504169183E-7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4:45" x14ac:dyDescent="0.2">
      <c r="N65" s="5">
        <f>-3.27656883805227*10^(-1)</f>
        <v>-0.32765688380522701</v>
      </c>
      <c r="O65" s="5">
        <f>-3.29172286361836*10^(-1)</f>
        <v>-0.32917228636183604</v>
      </c>
      <c r="P65" s="5">
        <f t="shared" si="0"/>
        <v>2.2964449085772017E-6</v>
      </c>
      <c r="Q65" s="5"/>
      <c r="R65" s="5">
        <f>-1.37684292117026*10^(-1)</f>
        <v>-0.13768429211702601</v>
      </c>
      <c r="S65" s="5">
        <f>-1.36851019026234*10^(-1)</f>
        <v>-0.13685101902623401</v>
      </c>
      <c r="T65" s="5">
        <f t="shared" si="1"/>
        <v>6.9434404383806653E-7</v>
      </c>
      <c r="U65" s="5"/>
      <c r="V65" s="5">
        <f>-6.63308679173472*10^(-2)</f>
        <v>-6.63308679173472E-2</v>
      </c>
      <c r="W65" s="5">
        <f>-6.6812047987215*10^(-2)</f>
        <v>-6.6812047987215004E-2</v>
      </c>
      <c r="X65" s="5">
        <f t="shared" si="2"/>
        <v>2.3153425963798445E-7</v>
      </c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4:45" x14ac:dyDescent="0.2">
      <c r="N66" s="5">
        <f>-3.32900996210328*10^(-1)</f>
        <v>-0.33290099621032798</v>
      </c>
      <c r="O66" s="5">
        <f>-3.34531921781539*10^(-1)</f>
        <v>-0.33453192178153901</v>
      </c>
      <c r="P66" s="5">
        <f t="shared" si="0"/>
        <v>2.6599182188300185E-6</v>
      </c>
      <c r="Q66" s="5"/>
      <c r="R66" s="5">
        <f>-1.40075833184394*10^(-1)</f>
        <v>-0.14007583318439401</v>
      </c>
      <c r="S66" s="5">
        <f>-1.39002218112472*10^(-1)</f>
        <v>-0.13900221811247201</v>
      </c>
      <c r="T66" s="5">
        <f t="shared" si="1"/>
        <v>1.152649322658073E-6</v>
      </c>
      <c r="U66" s="5"/>
      <c r="V66" s="5">
        <f>-6.74171603725971*10^(-2)</f>
        <v>-6.741716037259711E-2</v>
      </c>
      <c r="W66" s="5">
        <f>-6.79225515654886*10^(-2)</f>
        <v>-6.7922551565488598E-2</v>
      </c>
      <c r="X66" s="5">
        <f t="shared" si="2"/>
        <v>2.5542025785228161E-7</v>
      </c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4:45" x14ac:dyDescent="0.2">
      <c r="N67" s="5">
        <f>-3.38424485021026*10^(-1)</f>
        <v>-0.33842448502102601</v>
      </c>
      <c r="O67" s="5">
        <f>-3.39891557201242*10^(-1)</f>
        <v>-0.33989155720124198</v>
      </c>
      <c r="P67" s="5">
        <f t="shared" ref="P67:P130" si="3">(N67-O67)^2</f>
        <v>2.1523007819636307E-6</v>
      </c>
      <c r="Q67" s="5"/>
      <c r="R67" s="5">
        <f>-1.42023180539849*10^(-1)</f>
        <v>-0.142023180539849</v>
      </c>
      <c r="S67" s="5">
        <f>-1.41151265999625*10^(-1)</f>
        <v>-0.14115126599962499</v>
      </c>
      <c r="T67" s="5">
        <f t="shared" ref="T67:T130" si="4">(R67 - S67)^2</f>
        <v>7.6023496545403945E-7</v>
      </c>
      <c r="U67" s="5"/>
      <c r="V67" s="5">
        <f>-6.86179806997345*10^(-2)</f>
        <v>-6.8617980699734502E-2</v>
      </c>
      <c r="W67" s="5">
        <f>-6.90341667589556*10^(-2)</f>
        <v>-6.9034166758955601E-2</v>
      </c>
      <c r="X67" s="5">
        <f t="shared" ref="X67:X130" si="5">(V67-W67)^2</f>
        <v>1.7321083588998828E-7</v>
      </c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4:45" x14ac:dyDescent="0.2">
      <c r="N68" s="5">
        <f>-3.43219446889403*10^(-1)</f>
        <v>-0.34321944688940298</v>
      </c>
      <c r="O68" s="5">
        <f>-3.45256552256364*10^(-1)</f>
        <v>-0.34525655225636398</v>
      </c>
      <c r="P68" s="5">
        <f t="shared" si="3"/>
        <v>4.1497982761013133E-6</v>
      </c>
      <c r="Q68" s="5"/>
      <c r="R68" s="5">
        <f>-1.44349984862164*10^(-1)</f>
        <v>-0.14434998486216399</v>
      </c>
      <c r="S68" s="5">
        <f>-1.43302465085863*10^(-1)</f>
        <v>-0.143302465085863</v>
      </c>
      <c r="T68" s="5">
        <f t="shared" si="4"/>
        <v>1.0972976817416813E-6</v>
      </c>
      <c r="U68" s="5"/>
      <c r="V68" s="5">
        <f>-6.97067618262094*10^(-2)</f>
        <v>-6.9706761826209399E-2</v>
      </c>
      <c r="W68" s="5">
        <f>-7.01457819524227*10^(-2)</f>
        <v>-7.0145781952422701E-2</v>
      </c>
      <c r="X68" s="5">
        <f t="shared" si="5"/>
        <v>1.9273867122034362E-7</v>
      </c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4:45" x14ac:dyDescent="0.2">
      <c r="N69" s="5">
        <f>-3.48715592293749*10^(-1)</f>
        <v>-0.34871559229374904</v>
      </c>
      <c r="O69" s="5">
        <f>-3.50610828040648*10^(-1)</f>
        <v>-0.35061082804064803</v>
      </c>
      <c r="P69" s="5">
        <f t="shared" si="3"/>
        <v>3.591918536323743E-6</v>
      </c>
      <c r="Q69" s="5"/>
      <c r="R69" s="5">
        <f>-1.46870536203207*10^(-1)</f>
        <v>-0.146870536203207</v>
      </c>
      <c r="S69" s="5">
        <f>-1.45453664172102*10^(-1)</f>
        <v>-0.14545366417210201</v>
      </c>
      <c r="T69" s="5">
        <f t="shared" si="4"/>
        <v>2.0075263525275886E-6</v>
      </c>
      <c r="U69" s="5"/>
      <c r="V69" s="5">
        <f>-7.10239559393935*10^(-2)</f>
        <v>-7.1023955939393493E-2</v>
      </c>
      <c r="W69" s="5">
        <f>-7.12573971458898*10^(-2)</f>
        <v>-7.12573971458898E-2</v>
      </c>
      <c r="X69" s="5">
        <f t="shared" si="5"/>
        <v>5.4494796890451473E-8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4:45" x14ac:dyDescent="0.2">
      <c r="N70" s="5">
        <f>-3.53901135430575*10^(-1)</f>
        <v>-0.353901135430575</v>
      </c>
      <c r="O70" s="5">
        <f>-3.55970463460351*10^(-1)</f>
        <v>-0.35597046346035105</v>
      </c>
      <c r="P70" s="5">
        <f t="shared" si="3"/>
        <v>4.2821184948168367E-6</v>
      </c>
      <c r="Q70" s="5"/>
      <c r="R70" s="5">
        <f>-1.4886891554216*10^(-1)</f>
        <v>-0.14886891554216</v>
      </c>
      <c r="S70" s="5">
        <f>-1.4760486325834*10^(-1)</f>
        <v>-0.14760486325833999</v>
      </c>
      <c r="T70" s="5">
        <f t="shared" si="4"/>
        <v>1.5978281762305851E-6</v>
      </c>
      <c r="U70" s="5"/>
      <c r="V70" s="5">
        <f>-7.21836136292972*10^(-2)</f>
        <v>-7.2183613629297205E-2</v>
      </c>
      <c r="W70" s="5">
        <f>-7.23690123393568*10^(-2)</f>
        <v>-7.2369012339356803E-2</v>
      </c>
      <c r="X70" s="5">
        <f t="shared" si="5"/>
        <v>3.4372681691762789E-8</v>
      </c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4:45" x14ac:dyDescent="0.2">
      <c r="N71" s="5">
        <f>-3.58942373090462*10^(-1)</f>
        <v>-0.35894237309046201</v>
      </c>
      <c r="O71" s="5">
        <f>-3.61330098880054*10^(-1)</f>
        <v>-0.36133009888005402</v>
      </c>
      <c r="P71" s="5">
        <f t="shared" si="3"/>
        <v>5.7012344462827883E-6</v>
      </c>
      <c r="Q71" s="5"/>
      <c r="R71" s="5">
        <f>-1.51060407388783*10^(-1)</f>
        <v>-0.15106040738878301</v>
      </c>
      <c r="S71" s="5">
        <f>-1.49756062344579*10^(-1)</f>
        <v>-0.14975606234457903</v>
      </c>
      <c r="T71" s="5">
        <f t="shared" si="4"/>
        <v>1.7013159943394986E-6</v>
      </c>
      <c r="U71" s="5"/>
      <c r="V71" s="5">
        <f>-7.32307341438226*10^(-2)</f>
        <v>-7.3230734143822598E-2</v>
      </c>
      <c r="W71" s="5">
        <f>-7.34806275328239*10^(-2)</f>
        <v>-7.3480627532823903E-2</v>
      </c>
      <c r="X71" s="5">
        <f t="shared" si="5"/>
        <v>6.244670586655726E-8</v>
      </c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4:45" x14ac:dyDescent="0.2">
      <c r="N72" s="5">
        <f>-3.64310533541321*10^(-1)</f>
        <v>-0.36431053354132104</v>
      </c>
      <c r="O72" s="5">
        <f>-3.66689734299756*10^(-1)</f>
        <v>-0.36668973429975604</v>
      </c>
      <c r="P72" s="5">
        <f t="shared" si="3"/>
        <v>5.6605962489377133E-6</v>
      </c>
      <c r="Q72" s="5"/>
      <c r="R72" s="5">
        <f>-1.53294622083192*10^(-1)</f>
        <v>-0.153294622083192</v>
      </c>
      <c r="S72" s="5">
        <f>-1.51907261430817*10^(-1)</f>
        <v>-0.15190726143081701</v>
      </c>
      <c r="T72" s="5">
        <f t="shared" si="4"/>
        <v>1.9247695797583622E-6</v>
      </c>
      <c r="U72" s="5"/>
      <c r="V72" s="5">
        <f>-7.41649622773489*10^(-2)</f>
        <v>-7.4164962277348909E-2</v>
      </c>
      <c r="W72" s="5">
        <f>-7.4592242726291*10^(-2)</f>
        <v>-7.4592242726291003E-2</v>
      </c>
      <c r="X72" s="5">
        <f t="shared" si="5"/>
        <v>1.8256858204815733E-7</v>
      </c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4:45" x14ac:dyDescent="0.2">
      <c r="N73" s="5">
        <f>-3.69534506565518*10^(-1)</f>
        <v>-0.36953450656551801</v>
      </c>
      <c r="O73" s="5">
        <f>-3.72054729354879*10^(-1)</f>
        <v>-0.37205472935487904</v>
      </c>
      <c r="P73" s="5">
        <f t="shared" si="3"/>
        <v>6.351522908014728E-6</v>
      </c>
      <c r="Q73" s="5"/>
      <c r="R73" s="5">
        <f>-1.55723834543239*10^(-1)</f>
        <v>-0.15572383454323901</v>
      </c>
      <c r="S73" s="5">
        <f>-1.54058460517056*10^(-1)</f>
        <v>-0.15405846051705602</v>
      </c>
      <c r="T73" s="5">
        <f t="shared" si="4"/>
        <v>2.7734706470849673E-6</v>
      </c>
      <c r="U73" s="5"/>
      <c r="V73" s="5">
        <f>-7.55565286982557*10^(-2)</f>
        <v>-7.5556528698255701E-2</v>
      </c>
      <c r="W73" s="5">
        <f>-7.57049695349515*10^(-2)</f>
        <v>-7.5704969534951497E-2</v>
      </c>
      <c r="X73" s="5">
        <f t="shared" si="5"/>
        <v>2.2034681998947876E-8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4:45" x14ac:dyDescent="0.2">
      <c r="N74" s="5">
        <f>-3.74785912857238*10^(-1)</f>
        <v>-0.374785912857238</v>
      </c>
      <c r="O74" s="5">
        <f>-3.77409005139162*10^(-1)</f>
        <v>-0.37740900513916203</v>
      </c>
      <c r="P74" s="5">
        <f t="shared" si="3"/>
        <v>6.8806131194894314E-6</v>
      </c>
      <c r="Q74" s="5"/>
      <c r="R74" s="5">
        <f>-1.58044683265081*10^(-1)</f>
        <v>-0.15804468326508103</v>
      </c>
      <c r="S74" s="5">
        <f>-1.56209659603294*10^(-1)</f>
        <v>-0.15620965960329403</v>
      </c>
      <c r="T74" s="5">
        <f t="shared" si="4"/>
        <v>3.3673118393181894E-6</v>
      </c>
      <c r="U74" s="5"/>
      <c r="V74" s="5">
        <f>-7.66300415864318*10^(-2)</f>
        <v>-7.6630041586431802E-2</v>
      </c>
      <c r="W74" s="5">
        <f>-7.68165847284186*10^(-2)</f>
        <v>-7.681658472841861E-2</v>
      </c>
      <c r="X74" s="5">
        <f t="shared" si="5"/>
        <v>3.4798343822310615E-8</v>
      </c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4:45" x14ac:dyDescent="0.2">
      <c r="N75" s="5">
        <f>-3.80196284273025*10^(-1)</f>
        <v>-0.38019628427302504</v>
      </c>
      <c r="O75" s="5">
        <f>-3.82768640558865*10^(-1)</f>
        <v>-0.38276864055886506</v>
      </c>
      <c r="P75" s="5">
        <f t="shared" si="3"/>
        <v>6.6170168613006429E-6</v>
      </c>
      <c r="Q75" s="5"/>
      <c r="R75" s="5">
        <f>-1.60370930858106*10^(-1)</f>
        <v>-0.16037093085810603</v>
      </c>
      <c r="S75" s="5">
        <f>-1.58365161087705*10^(-1)</f>
        <v>-0.15836516108770501</v>
      </c>
      <c r="T75" s="5">
        <f t="shared" si="4"/>
        <v>4.0231123718545255E-6</v>
      </c>
      <c r="U75" s="5"/>
      <c r="V75" s="5">
        <f>-7.76818308682579*10^(-2)</f>
        <v>-7.7681830868257903E-2</v>
      </c>
      <c r="W75" s="5">
        <f>-7.79270883066922*10^(-2)</f>
        <v>-7.7927088306692205E-2</v>
      </c>
      <c r="X75" s="5">
        <f t="shared" si="5"/>
        <v>6.0151211107355184E-8</v>
      </c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4:45" x14ac:dyDescent="0.2">
      <c r="N76" s="5">
        <f>-3.85284237702715*10^(-1)</f>
        <v>-0.38528423770271503</v>
      </c>
      <c r="O76" s="5">
        <f>-3.88128275978568*10^(-1)</f>
        <v>-0.38812827597856803</v>
      </c>
      <c r="P76" s="5">
        <f t="shared" si="3"/>
        <v>8.0885537145169065E-6</v>
      </c>
      <c r="Q76" s="5"/>
      <c r="R76" s="5">
        <f>-1.62702602499125*10^(-1)</f>
        <v>-0.16270260249912502</v>
      </c>
      <c r="S76" s="5">
        <f>-1.60512057775771*10^(-1)</f>
        <v>-0.16051205777577102</v>
      </c>
      <c r="T76" s="5">
        <f t="shared" si="4"/>
        <v>4.798486185014071E-6</v>
      </c>
      <c r="U76" s="5"/>
      <c r="V76" s="5">
        <f>-7.88034332748228*10^(-2)</f>
        <v>-7.8803433274822809E-2</v>
      </c>
      <c r="W76" s="5">
        <f>-7.90387035001592*10^(-2)</f>
        <v>-7.9038703500159194E-2</v>
      </c>
      <c r="X76" s="5">
        <f t="shared" si="5"/>
        <v>5.5352078929832995E-8</v>
      </c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4:45" x14ac:dyDescent="0.2">
      <c r="N77" s="5">
        <f>-3.90707650982872*10^(-1)</f>
        <v>-0.39070765098287202</v>
      </c>
      <c r="O77" s="5">
        <f>-3.93487911398271*10^(-1)</f>
        <v>-0.393487911398271</v>
      </c>
      <c r="P77" s="5">
        <f t="shared" si="3"/>
        <v>7.7298479774344626E-6</v>
      </c>
      <c r="Q77" s="5"/>
      <c r="R77" s="5">
        <f>-1.64886302246298*10^(-1)</f>
        <v>-0.16488630224629802</v>
      </c>
      <c r="S77" s="5">
        <f>-1.62663256862009*10^(-1)</f>
        <v>-0.162663256862009</v>
      </c>
      <c r="T77" s="5">
        <f t="shared" si="4"/>
        <v>4.941930780608735E-6</v>
      </c>
      <c r="U77" s="5"/>
      <c r="V77" s="5">
        <f>-8.0040943745339*10^(-2)</f>
        <v>-8.0040943745338988E-2</v>
      </c>
      <c r="W77" s="5">
        <f>-8.01503186936263*10^(-2)</f>
        <v>-8.0150318693626307E-2</v>
      </c>
      <c r="X77" s="5">
        <f t="shared" si="5"/>
        <v>1.1962879312853724E-8</v>
      </c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4:45" x14ac:dyDescent="0.2">
      <c r="N78" s="5">
        <f>-3.96027284061373*10^(-1)</f>
        <v>-0.396027284061373</v>
      </c>
      <c r="O78" s="5">
        <f>-3.98852906453394*10^(-1)</f>
        <v>-0.39885290645339405</v>
      </c>
      <c r="P78" s="5">
        <f t="shared" si="3"/>
        <v>7.9841419022907857E-6</v>
      </c>
      <c r="Q78" s="5"/>
      <c r="R78" s="5">
        <f>-1.67190096845336*10^(-1)</f>
        <v>-0.16719009684533601</v>
      </c>
      <c r="S78" s="5">
        <f>-1.64814455948248*10^(-1)</f>
        <v>-0.16481445594824801</v>
      </c>
      <c r="T78" s="5">
        <f t="shared" si="4"/>
        <v>5.6436696719170746E-6</v>
      </c>
      <c r="U78" s="5"/>
      <c r="V78" s="5">
        <f>-8.1027465190418*10^(-2)</f>
        <v>-8.1027465190417994E-2</v>
      </c>
      <c r="W78" s="5">
        <f>-8.12619338870934*10^(-2)</f>
        <v>-8.1261933887093393E-2</v>
      </c>
      <c r="X78" s="5">
        <f t="shared" si="5"/>
        <v>5.4975569720660489E-8</v>
      </c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4:45" x14ac:dyDescent="0.2">
      <c r="N79" s="5">
        <f>-4.00928599402894*10^(-1)</f>
        <v>-0.40092859940289405</v>
      </c>
      <c r="O79" s="5">
        <f>-4.04207182237677*10^(-1)</f>
        <v>-0.40420718223767704</v>
      </c>
      <c r="P79" s="5">
        <f t="shared" si="3"/>
        <v>1.0749105404533698E-5</v>
      </c>
      <c r="Q79" s="5"/>
      <c r="R79" s="5">
        <f>-1.69846038667182*10^(-1)</f>
        <v>-0.16984603866718201</v>
      </c>
      <c r="S79" s="5">
        <f>-1.66965655034486*10^(-1)</f>
        <v>-0.16696565503448602</v>
      </c>
      <c r="T79" s="5">
        <f t="shared" si="4"/>
        <v>8.2966098715029659E-6</v>
      </c>
      <c r="U79" s="5"/>
      <c r="V79" s="5">
        <f>-8.2359665584979*10^(-2)</f>
        <v>-8.2359665584978994E-2</v>
      </c>
      <c r="W79" s="5">
        <f>-8.23735490805604*10^(-2)</f>
        <v>-8.237354908056041E-2</v>
      </c>
      <c r="X79" s="5">
        <f t="shared" si="5"/>
        <v>1.9275144955918201E-10</v>
      </c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4:45" x14ac:dyDescent="0.2">
      <c r="N80" s="5">
        <f>-4.06437761658341*10^(-1)</f>
        <v>-0.406437761658341</v>
      </c>
      <c r="O80" s="5">
        <f>-4.0956681765738*10^(-1)</f>
        <v>-0.40956681765738001</v>
      </c>
      <c r="P80" s="5">
        <f t="shared" si="3"/>
        <v>9.7909914451220161E-6</v>
      </c>
      <c r="Q80" s="5"/>
      <c r="R80" s="5">
        <f>-1.71659205840237*10^(-1)</f>
        <v>-0.171659205840237</v>
      </c>
      <c r="S80" s="5">
        <f>-1.69116854120725*10^(-1)</f>
        <v>-0.169116854120725</v>
      </c>
      <c r="T80" s="5">
        <f t="shared" si="4"/>
        <v>6.4635522657056422E-6</v>
      </c>
      <c r="U80" s="5"/>
      <c r="V80" s="5">
        <f>-8.34865299170845*10^(-2)</f>
        <v>-8.3486529917084495E-2</v>
      </c>
      <c r="W80" s="5">
        <f>-8.34851642740275*10^(-2)</f>
        <v>-8.3485164274027496E-2</v>
      </c>
      <c r="X80" s="5">
        <f t="shared" si="5"/>
        <v>1.8649809591315139E-12</v>
      </c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4:45" x14ac:dyDescent="0.2">
      <c r="N81" s="5">
        <f>-4.11661351686869*10^(-1)</f>
        <v>-0.41166135168686901</v>
      </c>
      <c r="O81" s="5">
        <f>-4.14926453077083*10^(-1)</f>
        <v>-0.41492645307708298</v>
      </c>
      <c r="P81" s="5">
        <f t="shared" si="3"/>
        <v>1.0660887088377166E-5</v>
      </c>
      <c r="Q81" s="5"/>
      <c r="R81" s="5">
        <f>-1.73475666561146*10^(-1)</f>
        <v>-0.17347566656114599</v>
      </c>
      <c r="S81" s="5">
        <f>-1.71268053206963*10^(-1)</f>
        <v>-0.17126805320696301</v>
      </c>
      <c r="T81" s="5">
        <f t="shared" si="4"/>
        <v>4.8735567215670524E-6</v>
      </c>
      <c r="U81" s="5"/>
      <c r="V81" s="5">
        <f>-8.46607389000069*10^(-2)</f>
        <v>-8.4660738900006902E-2</v>
      </c>
      <c r="W81" s="5">
        <f>-8.45967794674945*10^(-2)</f>
        <v>-8.4596779467494498E-2</v>
      </c>
      <c r="X81" s="5">
        <f t="shared" si="5"/>
        <v>4.0908090073086614E-9</v>
      </c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4:45" x14ac:dyDescent="0.2">
      <c r="N82" s="5">
        <f>-4.16730841564387*10^(-1)</f>
        <v>-0.416730841564387</v>
      </c>
      <c r="O82" s="5">
        <f>-4.20286088496786*10^(-1)</f>
        <v>-0.42028608849678606</v>
      </c>
      <c r="P82" s="5">
        <f t="shared" si="3"/>
        <v>1.2639780750332917E-5</v>
      </c>
      <c r="Q82" s="5"/>
      <c r="R82" s="5">
        <f>-1.75915684038511*10^(-1)</f>
        <v>-0.17591568403851102</v>
      </c>
      <c r="S82" s="5">
        <f>-1.73419252293202*10^(-1)</f>
        <v>-0.17341925229320201</v>
      </c>
      <c r="T82" s="5">
        <f t="shared" si="4"/>
        <v>6.2321714589865518E-6</v>
      </c>
      <c r="U82" s="5"/>
      <c r="V82" s="5">
        <f>-8.57210132876839*10^(-2)</f>
        <v>-8.5721013287683903E-2</v>
      </c>
      <c r="W82" s="5">
        <f>-8.57083946609616*10^(-2)</f>
        <v>-8.5708394660961598E-2</v>
      </c>
      <c r="X82" s="5">
        <f t="shared" si="5"/>
        <v>1.5922974035686881E-10</v>
      </c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4:45" x14ac:dyDescent="0.2">
      <c r="N83" s="5">
        <f>-4.22099859830792*10^(-1)</f>
        <v>-0.42209985983079207</v>
      </c>
      <c r="O83" s="5">
        <f>-4.25645723916489*10^(-1)</f>
        <v>-0.42564572391648903</v>
      </c>
      <c r="P83" s="5">
        <f t="shared" si="3"/>
        <v>1.2573152114235533E-5</v>
      </c>
      <c r="Q83" s="5"/>
      <c r="R83" s="5">
        <f>-1.78089597938131*10^(-1)</f>
        <v>-0.17808959793813101</v>
      </c>
      <c r="S83" s="5">
        <f>-1.7557045137944*10^(-1)</f>
        <v>-0.17557045137944002</v>
      </c>
      <c r="T83" s="5">
        <f t="shared" si="4"/>
        <v>6.3460993841646187E-6</v>
      </c>
      <c r="U83" s="5"/>
      <c r="V83" s="5">
        <f>-8.68516739215485*10^(-2)</f>
        <v>-8.6851673921548508E-2</v>
      </c>
      <c r="W83" s="5">
        <f>-8.68200098544287*10^(-2)</f>
        <v>-8.6820009854428712E-2</v>
      </c>
      <c r="X83" s="5">
        <f t="shared" si="5"/>
        <v>1.0026131465669793E-9</v>
      </c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4:45" x14ac:dyDescent="0.2">
      <c r="N84" s="5">
        <f>-4.27589603248729*10^(-1)</f>
        <v>-0.42758960324872897</v>
      </c>
      <c r="O84" s="5">
        <f>-4.31010718971612*10^(-1)</f>
        <v>-0.43101071897161197</v>
      </c>
      <c r="P84" s="5">
        <f t="shared" si="3"/>
        <v>1.1704032789357311E-5</v>
      </c>
      <c r="Q84" s="5"/>
      <c r="R84" s="5">
        <f>-1.79878855096021*10^(-1)</f>
        <v>-0.179878855096021</v>
      </c>
      <c r="S84" s="5">
        <f>-1.77721650465679*10^(-1)</f>
        <v>-0.177721650465679</v>
      </c>
      <c r="T84" s="5">
        <f t="shared" si="4"/>
        <v>4.653531817168951E-6</v>
      </c>
      <c r="U84" s="5"/>
      <c r="V84" s="5">
        <f>-8.79836143960839*10^(-2)</f>
        <v>-8.7983614396083903E-2</v>
      </c>
      <c r="W84" s="5">
        <f>-8.79316250478957*10^(-2)</f>
        <v>-8.7931625047895715E-2</v>
      </c>
      <c r="X84" s="5">
        <f t="shared" si="5"/>
        <v>2.7028923250327405E-9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4:45" x14ac:dyDescent="0.2">
      <c r="N85" s="5">
        <f>-4.32556272460508*10^(-1)</f>
        <v>-0.43255627246050798</v>
      </c>
      <c r="O85" s="5">
        <f>-4.36364994755895*10^(-1)</f>
        <v>-0.43636499475589502</v>
      </c>
      <c r="P85" s="5">
        <f t="shared" si="3"/>
        <v>1.4506365523378283E-5</v>
      </c>
      <c r="Q85" s="5"/>
      <c r="R85" s="5">
        <f>-1.81437337449961*10^(-1)</f>
        <v>-0.18143733744996102</v>
      </c>
      <c r="S85" s="5">
        <f>-1.79872849551917*10^(-1)</f>
        <v>-0.17987284955191701</v>
      </c>
      <c r="T85" s="5">
        <f t="shared" si="4"/>
        <v>2.4476223831261444E-6</v>
      </c>
      <c r="U85" s="5"/>
      <c r="V85" s="5">
        <f>-8.91631189097171*10^(-2)</f>
        <v>-8.9163118909717093E-2</v>
      </c>
      <c r="W85" s="5">
        <f>-8.90443518565563*10^(-2)</f>
        <v>-8.9044351856556306E-2</v>
      </c>
      <c r="X85" s="5">
        <f t="shared" si="5"/>
        <v>1.410561291649722E-8</v>
      </c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4:45" x14ac:dyDescent="0.2">
      <c r="N86" s="5">
        <f>-4.37964814478769*10^(-1)</f>
        <v>-0.437964814478769</v>
      </c>
      <c r="O86" s="5">
        <f>-4.41724630175598*10^(-1)</f>
        <v>-0.44172463017559799</v>
      </c>
      <c r="P86" s="5">
        <f t="shared" si="3"/>
        <v>1.4136214074121612E-5</v>
      </c>
      <c r="Q86" s="5"/>
      <c r="R86" s="5">
        <f>-1.83467002471481*10^(-1)</f>
        <v>-0.18346700247148101</v>
      </c>
      <c r="S86" s="5">
        <f>-1.82026199837242*10^(-1)</f>
        <v>-0.182026199837242</v>
      </c>
      <c r="T86" s="5">
        <f t="shared" si="4"/>
        <v>2.0759122308300804E-6</v>
      </c>
      <c r="U86" s="5"/>
      <c r="V86" s="5">
        <f>-9.01355212830613*10^(-2)</f>
        <v>-9.0135521283061307E-2</v>
      </c>
      <c r="W86" s="5">
        <f>-9.01559670500233*10^(-2)</f>
        <v>-9.0155967050023308E-2</v>
      </c>
      <c r="X86" s="5">
        <f t="shared" si="5"/>
        <v>4.1802938666448152E-10</v>
      </c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4:45" x14ac:dyDescent="0.2">
      <c r="N87" s="5">
        <f>-4.43076587308684*10^(-1)</f>
        <v>-0.44307658730868404</v>
      </c>
      <c r="O87" s="5">
        <f>-4.47089625230721*10^(-1)</f>
        <v>-0.44708962523072104</v>
      </c>
      <c r="P87" s="5">
        <f t="shared" si="3"/>
        <v>1.6104473363707038E-5</v>
      </c>
      <c r="Q87" s="5"/>
      <c r="R87" s="5">
        <f>-1.85422496074404*10^(-1)</f>
        <v>-0.185422496074404</v>
      </c>
      <c r="S87" s="5">
        <f>-1.84175247724394*10^(-1)</f>
        <v>-0.184175247724394</v>
      </c>
      <c r="T87" s="5">
        <f t="shared" si="4"/>
        <v>1.5556284466026663E-6</v>
      </c>
      <c r="U87" s="5"/>
      <c r="V87" s="5">
        <f>-9.12943773901307*10^(-2)</f>
        <v>-9.1294377390130702E-2</v>
      </c>
      <c r="W87" s="5">
        <f>-9.12664706282969*10^(-2)</f>
        <v>-9.1266470628296903E-2</v>
      </c>
      <c r="X87" s="5">
        <f t="shared" si="5"/>
        <v>7.787873560483575E-10</v>
      </c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4:45" x14ac:dyDescent="0.2">
      <c r="N88" s="5">
        <f>-4.48683030698794*10^(-1)</f>
        <v>-0.44868303069879406</v>
      </c>
      <c r="O88" s="5">
        <f>-4.52443901015004*10^(-1)</f>
        <v>-0.45244390101500404</v>
      </c>
      <c r="P88" s="5">
        <f t="shared" si="3"/>
        <v>1.4144145535349313E-5</v>
      </c>
      <c r="Q88" s="5"/>
      <c r="R88" s="5">
        <f>-1.87538733098861*10^(-1)</f>
        <v>-0.18753873309886102</v>
      </c>
      <c r="S88" s="5">
        <f>-1.86326446810633*10^(-1)</f>
        <v>-0.18632644681063301</v>
      </c>
      <c r="T88" s="5">
        <f t="shared" si="4"/>
        <v>1.4696380446256308E-6</v>
      </c>
      <c r="U88" s="5"/>
      <c r="V88" s="5">
        <f>-9.24777957505634*10^(-2)</f>
        <v>-9.2477795750563405E-2</v>
      </c>
      <c r="W88" s="5">
        <f>-9.2378085821764*10^(-2)</f>
        <v>-9.2378085821764003E-2</v>
      </c>
      <c r="X88" s="5">
        <f t="shared" si="5"/>
        <v>9.9420699011817927E-9</v>
      </c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4:45" x14ac:dyDescent="0.2">
      <c r="N89" s="5">
        <f>-4.53661670450353*10^(-1)</f>
        <v>-0.45366167045035299</v>
      </c>
      <c r="O89" s="5">
        <f>-4.57803536434707*10^(-1)</f>
        <v>-0.457803536434707</v>
      </c>
      <c r="P89" s="5">
        <f t="shared" si="3"/>
        <v>1.7155053832348807E-5</v>
      </c>
      <c r="Q89" s="5"/>
      <c r="R89" s="5">
        <f>-1.89462905611409*10^(-1)</f>
        <v>-0.18946290561140899</v>
      </c>
      <c r="S89" s="5">
        <f>-1.88477645896871*10^(-1)</f>
        <v>-0.18847764589687099</v>
      </c>
      <c r="T89" s="5">
        <f t="shared" si="4"/>
        <v>9.7073670509150214E-7</v>
      </c>
      <c r="U89" s="5"/>
      <c r="V89" s="5">
        <f>-9.35231527189797*10^(-2)</f>
        <v>-9.3523152718979707E-2</v>
      </c>
      <c r="W89" s="5">
        <f>-9.34897010152311*10^(-2)</f>
        <v>-9.3489701015231103E-2</v>
      </c>
      <c r="X89" s="5">
        <f t="shared" si="5"/>
        <v>1.1190164836844233E-9</v>
      </c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4:45" x14ac:dyDescent="0.2">
      <c r="N90" s="5">
        <f>-4.58665221129937*10^(-1)</f>
        <v>-0.45866522112993702</v>
      </c>
      <c r="O90" s="5">
        <f>-4.6316317185441*10^(-1)</f>
        <v>-0.46316317185441003</v>
      </c>
      <c r="P90" s="5">
        <f t="shared" si="3"/>
        <v>2.0231560719787276E-5</v>
      </c>
      <c r="Q90" s="5"/>
      <c r="R90" s="5">
        <f>-1.91548330042661*10^(-1)</f>
        <v>-0.19154833004266103</v>
      </c>
      <c r="S90" s="5">
        <f>-1.9062884498311*10^(-1)</f>
        <v>-0.19062884498311</v>
      </c>
      <c r="T90" s="5">
        <f t="shared" si="4"/>
        <v>8.4545277473755827E-7</v>
      </c>
      <c r="U90" s="5"/>
      <c r="V90" s="5">
        <f>-9.45230714135686*10^(-2)</f>
        <v>-9.4523071413568596E-2</v>
      </c>
      <c r="W90" s="5">
        <f>-9.46013162086981*10^(-2)</f>
        <v>-9.4601316208698091E-2</v>
      </c>
      <c r="X90" s="5">
        <f t="shared" si="5"/>
        <v>6.1222479648566624E-9</v>
      </c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4:45" x14ac:dyDescent="0.2">
      <c r="N91" s="5">
        <f>-4.64169648048768*10^(-1)</f>
        <v>-0.46416964804876804</v>
      </c>
      <c r="O91" s="5">
        <f>-4.68522807274113*10^(-1)</f>
        <v>-0.468522807274113</v>
      </c>
      <c r="P91" s="5">
        <f t="shared" si="3"/>
        <v>1.8949995241205933E-5</v>
      </c>
      <c r="Q91" s="5"/>
      <c r="R91" s="5">
        <f>-1.93085669959531*10^(-1)</f>
        <v>-0.19308566995953103</v>
      </c>
      <c r="S91" s="5">
        <f>-1.92782195268434*10^(-1)</f>
        <v>-0.19278219526843401</v>
      </c>
      <c r="T91" s="5">
        <f t="shared" si="4"/>
        <v>9.2096888136426235E-8</v>
      </c>
      <c r="U91" s="5"/>
      <c r="V91" s="5">
        <f>-9.58034962238751*10^(-2)</f>
        <v>-9.5803496223875101E-2</v>
      </c>
      <c r="W91" s="5">
        <f>-9.57129314021652*10^(-2)</f>
        <v>-9.5712931402165205E-2</v>
      </c>
      <c r="X91" s="5">
        <f t="shared" si="5"/>
        <v>8.2019869313452288E-9</v>
      </c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4:45" x14ac:dyDescent="0.2">
      <c r="N92" s="5">
        <f>-4.6903490925561*10^(-1)</f>
        <v>-0.46903490925561003</v>
      </c>
      <c r="O92" s="5">
        <f>-4.73882442693816*10^(-1)</f>
        <v>-0.47388244269381596</v>
      </c>
      <c r="P92" s="5">
        <f t="shared" si="3"/>
        <v>2.3498580434524613E-5</v>
      </c>
      <c r="Q92" s="5"/>
      <c r="R92" s="5">
        <f>-1.9498103084283*10^(-1)</f>
        <v>-0.19498103084283003</v>
      </c>
      <c r="S92" s="5">
        <f>-1.94933394354673*10^(-1)</f>
        <v>-0.19493339435467302</v>
      </c>
      <c r="T92" s="5">
        <f t="shared" si="4"/>
        <v>2.2692350039324402E-9</v>
      </c>
      <c r="U92" s="5"/>
      <c r="V92" s="5">
        <f>-9.68523373506861*10^(-2)</f>
        <v>-9.6852337350686102E-2</v>
      </c>
      <c r="W92" s="5">
        <f>-9.68245465956323*10^(-2)</f>
        <v>-9.6824546595632305E-2</v>
      </c>
      <c r="X92" s="5">
        <f t="shared" si="5"/>
        <v>7.7232606646014481E-10</v>
      </c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4:45" x14ac:dyDescent="0.2">
      <c r="N93" s="5">
        <f>-4.74693039910537*10^(-1)</f>
        <v>-0.47469303991053702</v>
      </c>
      <c r="O93" s="5">
        <f>-4.79242078113519*10^(-1)</f>
        <v>-0.47924207811351904</v>
      </c>
      <c r="P93" s="5">
        <f t="shared" si="3"/>
        <v>2.0693748572189935E-5</v>
      </c>
      <c r="Q93" s="5"/>
      <c r="R93" s="5">
        <f>-1.97474156256166*10^(-1)</f>
        <v>-0.19747415625616602</v>
      </c>
      <c r="S93" s="5">
        <f>-1.97082442241825*10^(-1)</f>
        <v>-0.19708244224182503</v>
      </c>
      <c r="T93" s="5">
        <f t="shared" si="4"/>
        <v>1.534398690311318E-7</v>
      </c>
      <c r="U93" s="5"/>
      <c r="V93" s="5">
        <f>-9.79489694005755*10^(-2)</f>
        <v>-9.79489694005755E-2</v>
      </c>
      <c r="W93" s="5">
        <f>-9.79361617890993*10^(-2)</f>
        <v>-9.7936161789099307E-2</v>
      </c>
      <c r="X93" s="5">
        <f t="shared" si="5"/>
        <v>1.6403491172510278E-10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4:45" x14ac:dyDescent="0.2">
      <c r="N94" s="5">
        <f>-4.79706548290738*10^(-1)</f>
        <v>-0.479706548290738</v>
      </c>
      <c r="O94" s="5">
        <f>-4.84601713533222*10^(-1)</f>
        <v>-0.48460171353322201</v>
      </c>
      <c r="P94" s="5">
        <f t="shared" si="3"/>
        <v>2.3962642751223555E-5</v>
      </c>
      <c r="Q94" s="5"/>
      <c r="R94" s="5">
        <f>-1.99258773334678*10^(-1)</f>
        <v>-0.19925877333467801</v>
      </c>
      <c r="S94" s="5">
        <f>-1.99233641328064*10^(-1)</f>
        <v>-0.19923364132806401</v>
      </c>
      <c r="T94" s="5">
        <f t="shared" si="4"/>
        <v>6.3161775644604775E-10</v>
      </c>
      <c r="U94" s="5"/>
      <c r="V94" s="5">
        <f>-9.89533255876337*10^(-2)</f>
        <v>-9.89533255876337E-2</v>
      </c>
      <c r="W94" s="5">
        <f>-9.90477769825664*10^(-2)</f>
        <v>-9.9047776982566393E-2</v>
      </c>
      <c r="X94" s="5">
        <f t="shared" si="5"/>
        <v>8.9210660047315546E-9</v>
      </c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4:45" x14ac:dyDescent="0.2">
      <c r="N95" s="5">
        <f>-4.846967478374*10^(-1)</f>
        <v>-0.48469674783740002</v>
      </c>
      <c r="O95" s="5">
        <f>-4.89966708588344*10^(-1)</f>
        <v>-0.48996670858834401</v>
      </c>
      <c r="P95" s="5">
        <f t="shared" si="3"/>
        <v>2.7772486316490161E-5</v>
      </c>
      <c r="Q95" s="5"/>
      <c r="R95" s="5">
        <f>-2.01165881862957*10^(-1)</f>
        <v>-0.20116588186295703</v>
      </c>
      <c r="S95" s="5">
        <f>-2.01386991613388*10^(-1)</f>
        <v>-0.20138699161338802</v>
      </c>
      <c r="T95" s="5">
        <f t="shared" si="4"/>
        <v>4.8889521735655671E-8</v>
      </c>
      <c r="U95" s="5"/>
      <c r="V95" s="5">
        <f>-1.00169244925581*10^(-1)</f>
        <v>-0.10016924492558099</v>
      </c>
      <c r="W95" s="5">
        <f>-1.00159392176033*10^(-1)</f>
        <v>-0.10015939217603301</v>
      </c>
      <c r="X95" s="5">
        <f t="shared" si="5"/>
        <v>9.7076673655296437E-11</v>
      </c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4:45" x14ac:dyDescent="0.2">
      <c r="N96" s="5">
        <f>-4.89272746475706*10^(-1)</f>
        <v>-0.48927274647570607</v>
      </c>
      <c r="O96" s="5">
        <f>-4.95326344008047*10^(-1)</f>
        <v>-0.49532634400804698</v>
      </c>
      <c r="P96" s="5">
        <f t="shared" si="3"/>
        <v>3.6646043083564021E-5</v>
      </c>
      <c r="Q96" s="5"/>
      <c r="R96" s="5">
        <f>-2.03355591108554*10^(-1)</f>
        <v>-0.20335559110855403</v>
      </c>
      <c r="S96" s="5">
        <f>-2.03538190699627*10^(-1)</f>
        <v>-0.20353819069962703</v>
      </c>
      <c r="T96" s="5">
        <f t="shared" si="4"/>
        <v>3.3342610660027406E-8</v>
      </c>
      <c r="U96" s="5"/>
      <c r="V96" s="5">
        <f>-1.0126952244695*10^(-1)</f>
        <v>-0.10126952244695001</v>
      </c>
      <c r="W96" s="5">
        <f>-1.012710073695*10^(-1)</f>
        <v>-0.10127100736950001</v>
      </c>
      <c r="X96" s="5">
        <f t="shared" si="5"/>
        <v>2.2049949795123198E-12</v>
      </c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4:45" x14ac:dyDescent="0.2">
      <c r="N97" s="5">
        <f>-4.94850606127764*10^(-1)</f>
        <v>-0.49485060612776399</v>
      </c>
      <c r="O97" s="5">
        <f>-5.0068061979233*10^(-1)</f>
        <v>-0.50068061979233003</v>
      </c>
      <c r="P97" s="5">
        <f t="shared" si="3"/>
        <v>3.39890593290267E-5</v>
      </c>
      <c r="Q97" s="5"/>
      <c r="R97" s="5">
        <f>-2.0551016242443*10^(-1)</f>
        <v>-0.20551016242442999</v>
      </c>
      <c r="S97" s="5">
        <f>-2.05689389785865*10^(-1)</f>
        <v>-0.20568938978586504</v>
      </c>
      <c r="T97" s="5">
        <f t="shared" si="4"/>
        <v>3.2122447086970976E-8</v>
      </c>
      <c r="U97" s="5"/>
      <c r="V97" s="5">
        <f>-1.02441360961098*10^(-1)</f>
        <v>-0.102441360961098</v>
      </c>
      <c r="W97" s="5">
        <f>-1.02382622562967*10^(-1)</f>
        <v>-0.102382622562967</v>
      </c>
      <c r="X97" s="5">
        <f t="shared" si="5"/>
        <v>3.450199414996218E-9</v>
      </c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4:45" x14ac:dyDescent="0.2">
      <c r="N98" s="5">
        <f>-4.99719907242202*10^(-1)</f>
        <v>-0.499719907242202</v>
      </c>
      <c r="O98" s="5">
        <f>-5.06045614847453*10^(-1)</f>
        <v>-0.50604561484745303</v>
      </c>
      <c r="P98" s="5">
        <f t="shared" si="3"/>
        <v>4.001457670713072E-5</v>
      </c>
      <c r="Q98" s="5"/>
      <c r="R98" s="5">
        <f>-2.07389223447088*10^(-1)</f>
        <v>-0.20738922344708799</v>
      </c>
      <c r="S98" s="5">
        <f>-2.07838437673018*10^(-1)</f>
        <v>-0.20783843767301802</v>
      </c>
      <c r="T98" s="5">
        <f t="shared" si="4"/>
        <v>2.0179342077791427E-7</v>
      </c>
      <c r="U98" s="5"/>
      <c r="V98" s="5">
        <f>-1.03544142663445*10^(-1)</f>
        <v>-0.10354414266344501</v>
      </c>
      <c r="W98" s="5">
        <f>-1.03494237756434*10^(-1)</f>
        <v>-0.10349423775643402</v>
      </c>
      <c r="X98" s="5">
        <f t="shared" si="5"/>
        <v>2.4904997437763054E-9</v>
      </c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4:45" x14ac:dyDescent="0.2">
      <c r="N99" s="5">
        <f>-5.05207771112811*10^(-1)</f>
        <v>-0.50520777111281101</v>
      </c>
      <c r="O99" s="5">
        <f>-5.11399890631736*10^(-1)</f>
        <v>-0.51139989063173608</v>
      </c>
      <c r="P99" s="5">
        <f t="shared" si="3"/>
        <v>3.8342344136652782E-5</v>
      </c>
      <c r="Q99" s="5"/>
      <c r="R99" s="5">
        <f>-2.09793167070419*10^(-1)</f>
        <v>-0.20979316707041901</v>
      </c>
      <c r="S99" s="5">
        <f>-2.09989636759256*10^(-1)</f>
        <v>-0.20998963675925603</v>
      </c>
      <c r="T99" s="5">
        <f t="shared" si="4"/>
        <v>3.8600338631715409E-8</v>
      </c>
      <c r="U99" s="5"/>
      <c r="V99" s="5">
        <f>-1.04671644427164*10^(-1)</f>
        <v>-0.10467164442716399</v>
      </c>
      <c r="W99" s="5">
        <f>-1.04605852949901*10^(-1)</f>
        <v>-0.10460585294990099</v>
      </c>
      <c r="X99" s="5">
        <f t="shared" si="5"/>
        <v>4.328518480448174E-9</v>
      </c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4:45" x14ac:dyDescent="0.2">
      <c r="N100" s="5">
        <f>-5.10476696713127*10^(-1)</f>
        <v>-0.51047669671312701</v>
      </c>
      <c r="O100" s="5">
        <f>-5.16759526051439*10^(-1)</f>
        <v>-0.51675952605143904</v>
      </c>
      <c r="P100" s="5">
        <f t="shared" si="3"/>
        <v>3.9473944494354444E-5</v>
      </c>
      <c r="Q100" s="5"/>
      <c r="R100" s="5">
        <f>-2.12001870255336*10^(-1)</f>
        <v>-0.21200187025533601</v>
      </c>
      <c r="S100" s="5">
        <f>-2.12140835845495*10^(-1)</f>
        <v>-0.21214083584549501</v>
      </c>
      <c r="T100" s="5">
        <f t="shared" si="4"/>
        <v>1.9311435248238017E-8</v>
      </c>
      <c r="U100" s="5"/>
      <c r="V100" s="5">
        <f>-1.05847478817042*10^(-1)</f>
        <v>-0.105847478817042</v>
      </c>
      <c r="W100" s="5">
        <f>-1.05717468143368*10^(-1)</f>
        <v>-0.10571746814336801</v>
      </c>
      <c r="X100" s="5">
        <f t="shared" si="5"/>
        <v>1.6902775269165091E-8</v>
      </c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4:45" x14ac:dyDescent="0.2">
      <c r="N101" s="5">
        <f>-5.15773531004147*10^(-1)</f>
        <v>-0.51577353100414702</v>
      </c>
      <c r="O101" s="5">
        <f>-5.22119161471142*10^(-1)</f>
        <v>-0.52211916147114201</v>
      </c>
      <c r="P101" s="5">
        <f t="shared" si="3"/>
        <v>4.0267026023655045E-5</v>
      </c>
      <c r="Q101" s="5"/>
      <c r="R101" s="5">
        <f>-2.1453784826736*10^(-1)</f>
        <v>-0.21453784826736003</v>
      </c>
      <c r="S101" s="5">
        <f>-2.14292034931733*10^(-1)</f>
        <v>-0.21429203493173299</v>
      </c>
      <c r="T101" s="5">
        <f t="shared" si="4"/>
        <v>6.0424195972090604E-8</v>
      </c>
      <c r="U101" s="5"/>
      <c r="V101" s="5">
        <f>-1.06930468917006*10^(-1)</f>
        <v>-0.106930468917006</v>
      </c>
      <c r="W101" s="5">
        <f>-1.06830194952029*10^(-1)</f>
        <v>-0.106830194952029</v>
      </c>
      <c r="X101" s="5">
        <f t="shared" si="5"/>
        <v>1.0054868052208428E-8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4:45" x14ac:dyDescent="0.2">
      <c r="N102" s="5">
        <f>-5.20897110627111*10^(-1)</f>
        <v>-0.52089711062711108</v>
      </c>
      <c r="O102" s="5">
        <f>-5.27484156526265*10^(-1)</f>
        <v>-0.52748415652626501</v>
      </c>
      <c r="P102" s="5">
        <f t="shared" si="3"/>
        <v>4.3389173677560629E-5</v>
      </c>
      <c r="Q102" s="5"/>
      <c r="R102" s="5">
        <f>-2.16959059248003*10^(-1)</f>
        <v>-0.21695905924800299</v>
      </c>
      <c r="S102" s="5">
        <f>-2.16443234017971*10^(-1)</f>
        <v>-0.216443234017971</v>
      </c>
      <c r="T102" s="5">
        <f t="shared" si="4"/>
        <v>2.6607566793755643E-7</v>
      </c>
      <c r="U102" s="5"/>
      <c r="V102" s="5">
        <f>-1.08179717762459*10^(-1)</f>
        <v>-0.10817971776245901</v>
      </c>
      <c r="W102" s="5">
        <f>-1.07940698530302*10^(-1)</f>
        <v>-0.107940698530302</v>
      </c>
      <c r="X102" s="5">
        <f t="shared" si="5"/>
        <v>5.713019334092613E-8</v>
      </c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4:45" x14ac:dyDescent="0.2">
      <c r="N103" s="5">
        <f>-5.26148321886143*10^(-1)</f>
        <v>-0.52614832188614302</v>
      </c>
      <c r="O103" s="5">
        <f>-5.32838432310548*10^(-1)</f>
        <v>-0.53283843231054806</v>
      </c>
      <c r="P103" s="5">
        <f t="shared" si="3"/>
        <v>4.475757749073296E-5</v>
      </c>
      <c r="Q103" s="5"/>
      <c r="R103" s="5">
        <f>-2.19426648129797*10^(-1)</f>
        <v>-0.21942664812979704</v>
      </c>
      <c r="S103" s="5">
        <f>-2.1859443310421*10^(-1)</f>
        <v>-0.21859443310421001</v>
      </c>
      <c r="T103" s="5">
        <f t="shared" si="4"/>
        <v>6.925818488128206E-7</v>
      </c>
      <c r="U103" s="5"/>
      <c r="V103" s="5">
        <f>-1.09123581538612*10^(-1)</f>
        <v>-0.109123581538612</v>
      </c>
      <c r="W103" s="5">
        <f>-1.0905231372377*10^(-1)</f>
        <v>-0.10905231372377</v>
      </c>
      <c r="X103" s="5">
        <f t="shared" si="5"/>
        <v>5.0791014323534942E-9</v>
      </c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4:45" x14ac:dyDescent="0.2">
      <c r="N104" s="5">
        <f>-5.31427253996948*10^(-1)</f>
        <v>-0.53142725399694801</v>
      </c>
      <c r="O104" s="5">
        <f>-5.38198067730251*10^(-1)</f>
        <v>-0.53819806773025103</v>
      </c>
      <c r="P104" s="5">
        <f t="shared" si="3"/>
        <v>4.5843918611084723E-5</v>
      </c>
      <c r="Q104" s="5"/>
      <c r="R104" s="5">
        <f>-2.21656755490959*10^(-1)</f>
        <v>-0.22165675549095898</v>
      </c>
      <c r="S104" s="5">
        <f>-2.20745632190448*10^(-1)</f>
        <v>-0.22074563219044802</v>
      </c>
      <c r="T104" s="5">
        <f t="shared" si="4"/>
        <v>8.3014566873399086E-7</v>
      </c>
      <c r="U104" s="5"/>
      <c r="V104" s="5">
        <f>-1.10281030084606*10^(-1)</f>
        <v>-0.11028103008460599</v>
      </c>
      <c r="W104" s="5">
        <f>-1.10163928917237*10^(-1)</f>
        <v>-0.11016392891723702</v>
      </c>
      <c r="X104" s="5">
        <f t="shared" si="5"/>
        <v>1.3712683399176519E-8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4:45" x14ac:dyDescent="0.2">
      <c r="N105" s="5">
        <f>-5.36631878461122*10^(-1)</f>
        <v>-0.53663187846112204</v>
      </c>
      <c r="O105" s="5">
        <f>-5.43557703149954*10^(-1)</f>
        <v>-0.543557703149954</v>
      </c>
      <c r="P105" s="5">
        <f t="shared" si="3"/>
        <v>4.7967047620434326E-5</v>
      </c>
      <c r="Q105" s="5"/>
      <c r="R105" s="5">
        <f>-2.24013905245277*10^(-1)</f>
        <v>-0.22401390524527698</v>
      </c>
      <c r="S105" s="5">
        <f>-2.22896831276687*10^(-1)</f>
        <v>-0.222896831276687</v>
      </c>
      <c r="T105" s="5">
        <f t="shared" si="4"/>
        <v>1.2478542513013725E-6</v>
      </c>
      <c r="U105" s="5"/>
      <c r="V105" s="5">
        <f>-1.11463482628672*10^(-1)</f>
        <v>-0.11146348262867201</v>
      </c>
      <c r="W105" s="5">
        <f>-1.11275544110704*10^(-1)</f>
        <v>-0.11127554411070401</v>
      </c>
      <c r="X105" s="5">
        <f t="shared" si="5"/>
        <v>3.5320886536008417E-8</v>
      </c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4:45" x14ac:dyDescent="0.2">
      <c r="N106" s="5">
        <f>-5.42018026033129*10^(-1)</f>
        <v>-0.54201802603312899</v>
      </c>
      <c r="O106" s="5">
        <f>-5.48917338569657*10^(-1)</f>
        <v>-0.54891733856965697</v>
      </c>
      <c r="P106" s="5">
        <f t="shared" si="3"/>
        <v>4.760051347669214E-5</v>
      </c>
      <c r="Q106" s="5"/>
      <c r="R106" s="5">
        <f>-2.2645819700691*10^(-1)</f>
        <v>-0.22645819700691</v>
      </c>
      <c r="S106" s="5">
        <f>-2.25048030362925*10^(-1)</f>
        <v>-0.22504803036292498</v>
      </c>
      <c r="T106" s="5">
        <f t="shared" si="4"/>
        <v>1.9885699638079812E-6</v>
      </c>
      <c r="U106" s="5"/>
      <c r="V106" s="5">
        <f>-1.12434138134042*10^(-1)</f>
        <v>-0.112434138134042</v>
      </c>
      <c r="W106" s="5">
        <f>-1.12387159304171*10^(-1)</f>
        <v>-0.11238715930417101</v>
      </c>
      <c r="X106" s="5">
        <f t="shared" si="5"/>
        <v>2.2070104560478396E-9</v>
      </c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4:45" x14ac:dyDescent="0.2">
      <c r="N107" s="5">
        <f>-5.47485057030825*10^(-1)</f>
        <v>-0.54748505703082506</v>
      </c>
      <c r="O107" s="5">
        <f>-5.5427697398936*10^(-1)</f>
        <v>-0.55427697398935993</v>
      </c>
      <c r="P107" s="5">
        <f t="shared" si="3"/>
        <v>4.6130135971633577E-5</v>
      </c>
      <c r="Q107" s="5"/>
      <c r="R107" s="5">
        <f>-2.2854055286216*10^(-1)</f>
        <v>-0.22854055286216002</v>
      </c>
      <c r="S107" s="5">
        <f>-2.27199229449164*10^(-1)</f>
        <v>-0.22719922944916401</v>
      </c>
      <c r="T107" s="5">
        <f t="shared" si="4"/>
        <v>1.7991484982512484E-6</v>
      </c>
      <c r="U107" s="5"/>
      <c r="V107" s="5">
        <f>-1.1345315593654*10^(-1)</f>
        <v>-0.11345315593654</v>
      </c>
      <c r="W107" s="5">
        <f>-1.13498774497638*10^(-1)</f>
        <v>-0.11349877449763801</v>
      </c>
      <c r="X107" s="5">
        <f t="shared" si="5"/>
        <v>2.0810531166531034E-9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4:45" x14ac:dyDescent="0.2">
      <c r="N108" s="5">
        <f>-5.52358310492934*10^(-1)</f>
        <v>-0.55235831049293405</v>
      </c>
      <c r="O108" s="5">
        <f>-5.59636609409063*10^(-1)</f>
        <v>-0.55963660940906301</v>
      </c>
      <c r="P108" s="5">
        <f t="shared" si="3"/>
        <v>5.2973635112524091E-5</v>
      </c>
      <c r="Q108" s="5"/>
      <c r="R108" s="5">
        <f>-2.30668213239277*10^(-1)</f>
        <v>-0.230668213239277</v>
      </c>
      <c r="S108" s="5">
        <f>-2.29350428535402*10^(-1)</f>
        <v>-0.229350428535402</v>
      </c>
      <c r="T108" s="5">
        <f t="shared" si="4"/>
        <v>1.7365565257669275E-6</v>
      </c>
      <c r="U108" s="5"/>
      <c r="V108" s="5">
        <f>-1.14473213195635*10^(-1)</f>
        <v>-0.114473213195635</v>
      </c>
      <c r="W108" s="5">
        <f>-1.14610389691105*10^(-1)</f>
        <v>-0.114610389691105</v>
      </c>
      <c r="X108" s="5">
        <f t="shared" si="5"/>
        <v>1.8817390909431232E-8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4:45" x14ac:dyDescent="0.2">
      <c r="N109" s="5">
        <f>-5.57673314407199*10^(-1)</f>
        <v>-0.55767331440719903</v>
      </c>
      <c r="O109" s="5">
        <f>-5.64996244828766*10^(-1)</f>
        <v>-0.56499624482876598</v>
      </c>
      <c r="P109" s="5">
        <f t="shared" si="3"/>
        <v>5.3625309959110755E-5</v>
      </c>
      <c r="Q109" s="5"/>
      <c r="R109" s="5">
        <f>-2.32964613821966*10^(-1)</f>
        <v>-0.23296461382196601</v>
      </c>
      <c r="S109" s="5">
        <f>-2.31501627621641*10^(-1)</f>
        <v>-0.23150162762164103</v>
      </c>
      <c r="T109" s="5">
        <f t="shared" si="4"/>
        <v>2.1403286223413174E-6</v>
      </c>
      <c r="U109" s="5"/>
      <c r="V109" s="5">
        <f>-1.15636873870541*10^(-1)</f>
        <v>-0.115636873870541</v>
      </c>
      <c r="W109" s="5">
        <f>-1.15722004884572*10^(-1)</f>
        <v>-0.11572200488457202</v>
      </c>
      <c r="X109" s="5">
        <f t="shared" si="5"/>
        <v>7.2472895499488115E-9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4:45" x14ac:dyDescent="0.2">
      <c r="N110" s="5">
        <f>-5.63121777173143*10^(-1)</f>
        <v>-0.56312177717314305</v>
      </c>
      <c r="O110" s="5">
        <f>-5.70361239883889*10^(-1)</f>
        <v>-0.57036123988388898</v>
      </c>
      <c r="P110" s="5">
        <f t="shared" si="3"/>
        <v>5.24098203402809E-5</v>
      </c>
      <c r="Q110" s="5"/>
      <c r="R110" s="5">
        <f>-2.35142860989466*10^(-1)</f>
        <v>-0.23514286098946602</v>
      </c>
      <c r="S110" s="5">
        <f>-2.33652826707879*10^(-1)</f>
        <v>-0.23365282670787901</v>
      </c>
      <c r="T110" s="5">
        <f t="shared" si="4"/>
        <v>2.2202021603045017E-6</v>
      </c>
      <c r="U110" s="5"/>
      <c r="V110" s="5">
        <f>-1.16825680211362*10^(-1)</f>
        <v>-0.116825680211362</v>
      </c>
      <c r="W110" s="5">
        <f>-1.16833620078039*10^(-1)</f>
        <v>-0.11683362007803899</v>
      </c>
      <c r="X110" s="5">
        <f t="shared" si="5"/>
        <v>6.3041482848416483E-11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4:45" x14ac:dyDescent="0.2">
      <c r="N111" s="5">
        <f>-5.68388828220324*10^(-1)</f>
        <v>-0.56838882822032399</v>
      </c>
      <c r="O111" s="5">
        <f>-5.75715515668172*10^(-1)</f>
        <v>-0.57571551566817203</v>
      </c>
      <c r="P111" s="5">
        <f t="shared" si="3"/>
        <v>5.3680348958453951E-5</v>
      </c>
      <c r="Q111" s="5"/>
      <c r="R111" s="5">
        <f>-2.37284630414804*10^(-1)</f>
        <v>-0.23728463041480402</v>
      </c>
      <c r="S111" s="5">
        <f>-2.35806176993204*10^(-1)</f>
        <v>-0.23580617699320403</v>
      </c>
      <c r="T111" s="5">
        <f t="shared" si="4"/>
        <v>2.1858245198407344E-6</v>
      </c>
      <c r="U111" s="5"/>
      <c r="V111" s="5">
        <f>-1.17920631643031*10^(-1)</f>
        <v>-0.117920631643031</v>
      </c>
      <c r="W111" s="5">
        <f>-1.17945235271506*10^(-1)</f>
        <v>-0.11794523527150601</v>
      </c>
      <c r="X111" s="5">
        <f t="shared" si="5"/>
        <v>6.0533853413613536E-10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4:45" x14ac:dyDescent="0.2">
      <c r="N112" s="5">
        <f>-5.73683768050699*10^(-1)</f>
        <v>-0.57368376805069898</v>
      </c>
      <c r="O112" s="5">
        <f>-5.81075151087875*10^(-1)</f>
        <v>-0.581075151087875</v>
      </c>
      <c r="P112" s="5">
        <f t="shared" si="3"/>
        <v>5.4632543202253314E-5</v>
      </c>
      <c r="Q112" s="5"/>
      <c r="R112" s="5">
        <f>-2.39472318324244*10^(-1)</f>
        <v>-0.23947231832424398</v>
      </c>
      <c r="S112" s="5">
        <f>-2.37957376079443*10^(-1)</f>
        <v>-0.23795737607944301</v>
      </c>
      <c r="T112" s="5">
        <f t="shared" si="4"/>
        <v>2.2950500050826214E-6</v>
      </c>
      <c r="U112" s="5"/>
      <c r="V112" s="5">
        <f>-1.19040626040987*10^(-1)</f>
        <v>-0.119040626040987</v>
      </c>
      <c r="W112" s="5">
        <f>-1.19056850464973*10^(-1)</f>
        <v>-0.11905685046497301</v>
      </c>
      <c r="X112" s="5">
        <f t="shared" si="5"/>
        <v>2.6323193367775843E-10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4:45" x14ac:dyDescent="0.2">
      <c r="N113" s="5">
        <f>-5.78686705730375*10^(-1)</f>
        <v>-0.57868670573037506</v>
      </c>
      <c r="O113" s="5">
        <f>-5.86434786507578*10^(-1)</f>
        <v>-0.58643478650757808</v>
      </c>
      <c r="P113" s="5">
        <f t="shared" si="3"/>
        <v>6.003275573006287E-5</v>
      </c>
      <c r="Q113" s="5"/>
      <c r="R113" s="5">
        <f>-2.41706216576689*10^(-1)</f>
        <v>-0.241706216576689</v>
      </c>
      <c r="S113" s="5">
        <f>-2.40106423966595*10^(-1)</f>
        <v>-0.24010642396659501</v>
      </c>
      <c r="T113" s="5">
        <f t="shared" si="4"/>
        <v>2.5593363953113471E-6</v>
      </c>
      <c r="U113" s="5"/>
      <c r="V113" s="5">
        <f>-1.20257359857639*10^(-1)</f>
        <v>-0.120257359857639</v>
      </c>
      <c r="W113" s="5">
        <f>-1.2016846565844*10^(-1)</f>
        <v>-0.12016846565844</v>
      </c>
      <c r="X113" s="5">
        <f t="shared" si="5"/>
        <v>7.9021786512308978E-9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4:45" x14ac:dyDescent="0.2">
      <c r="N114" s="5">
        <f>-5.8419754068234*10^(-1)</f>
        <v>-0.58419754068234009</v>
      </c>
      <c r="O114" s="5">
        <f>-5.91794421927281*10^(-1)</f>
        <v>-0.59179442192728104</v>
      </c>
      <c r="P114" s="5">
        <f t="shared" si="3"/>
        <v>5.7712604649735655E-5</v>
      </c>
      <c r="Q114" s="5"/>
      <c r="R114" s="5">
        <f>-2.44069646722126*10^(-1)</f>
        <v>-0.244069646722126</v>
      </c>
      <c r="S114" s="5">
        <f>-2.42257623052833*10^(-1)</f>
        <v>-0.24225762305283302</v>
      </c>
      <c r="T114" s="5">
        <f t="shared" si="4"/>
        <v>3.283429778077988E-6</v>
      </c>
      <c r="U114" s="5"/>
      <c r="V114" s="5">
        <f>-1.21260488748272*10^(-1)</f>
        <v>-0.121260488748272</v>
      </c>
      <c r="W114" s="5">
        <f>-1.21280080851907*10^(-1)</f>
        <v>-0.121280080851907</v>
      </c>
      <c r="X114" s="5">
        <f t="shared" si="5"/>
        <v>3.8385052484466601E-10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4:45" x14ac:dyDescent="0.2">
      <c r="N115" s="5">
        <f>-5.89738913301932*10^(-1)</f>
        <v>-0.58973891330193207</v>
      </c>
      <c r="O115" s="5">
        <f>-5.97154057346984*10^(-1)</f>
        <v>-0.59715405734698401</v>
      </c>
      <c r="P115" s="5">
        <f t="shared" si="3"/>
        <v>5.4984361208869348E-5</v>
      </c>
      <c r="Q115" s="5"/>
      <c r="R115" s="5">
        <f>-2.46105841819878*10^(-1)</f>
        <v>-0.24610584181987802</v>
      </c>
      <c r="S115" s="5">
        <f>-2.44408822139072*10^(-1)</f>
        <v>-0.244408822139072</v>
      </c>
      <c r="T115" s="5">
        <f t="shared" si="4"/>
        <v>2.8798757970429551E-6</v>
      </c>
      <c r="U115" s="5"/>
      <c r="V115" s="5">
        <f>-1.22240705191589*10^(-1)</f>
        <v>-0.12224070519158901</v>
      </c>
      <c r="W115" s="5">
        <f>-1.22391696045374*10^(-1)</f>
        <v>-0.12239169604537402</v>
      </c>
      <c r="X115" s="5">
        <f t="shared" si="5"/>
        <v>2.2798237926724655E-8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4:45" x14ac:dyDescent="0.2">
      <c r="N116" s="5">
        <f>-5.94768805731338*10^(-1)</f>
        <v>-0.59476880573133806</v>
      </c>
      <c r="O116" s="5">
        <f>-6.02519052402106*10^(-1)</f>
        <v>-0.60251905240210601</v>
      </c>
      <c r="P116" s="5">
        <f t="shared" si="3"/>
        <v>6.0066323457749806E-5</v>
      </c>
      <c r="Q116" s="5"/>
      <c r="R116" s="5">
        <f>-2.48271246180622*10^(-1)</f>
        <v>-0.24827124618062202</v>
      </c>
      <c r="S116" s="5">
        <f>-2.4656002122531*10^(-1)</f>
        <v>-0.24656002122531004</v>
      </c>
      <c r="T116" s="5">
        <f t="shared" si="4"/>
        <v>2.9282908476824866E-6</v>
      </c>
      <c r="U116" s="5"/>
      <c r="V116" s="5">
        <f>-1.2355714047547*10^(-1)</f>
        <v>-0.12355714047547001</v>
      </c>
      <c r="W116" s="5">
        <f>-1.23504422854035*10^(-1)</f>
        <v>-0.12350442285403501</v>
      </c>
      <c r="X116" s="5">
        <f t="shared" si="5"/>
        <v>2.7791476097633893E-9</v>
      </c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4:45" x14ac:dyDescent="0.2">
      <c r="N117" s="5">
        <f>-5.99824125931428*10^(-1)</f>
        <v>-0.59982412593142809</v>
      </c>
      <c r="O117" s="5">
        <f>-6.0787332818639*10^(-1)</f>
        <v>-0.60787332818639006</v>
      </c>
      <c r="P117" s="5">
        <f t="shared" si="3"/>
        <v>6.4789656941284919E-5</v>
      </c>
      <c r="Q117" s="5"/>
      <c r="R117" s="5">
        <f>-2.50190712657707*10^(-1)</f>
        <v>-0.25019071265770698</v>
      </c>
      <c r="S117" s="5">
        <f>-2.48711220311549*10^(-1)</f>
        <v>-0.24871122031154902</v>
      </c>
      <c r="T117" s="5">
        <f t="shared" si="4"/>
        <v>2.1888976023399917E-6</v>
      </c>
      <c r="U117" s="5"/>
      <c r="V117" s="5">
        <f>-1.24587561961066*10^(-1)</f>
        <v>-0.124587561961066</v>
      </c>
      <c r="W117" s="5">
        <f>-1.24614926432308*10^(-1)</f>
        <v>-0.12461492643230801</v>
      </c>
      <c r="X117" s="5">
        <f t="shared" si="5"/>
        <v>7.4881428635455673E-10</v>
      </c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4:45" x14ac:dyDescent="0.2">
      <c r="N118" s="5">
        <f>-6.05617441582553*10^(-1)</f>
        <v>-0.60561744158255304</v>
      </c>
      <c r="O118" s="5">
        <f>-6.13232963606093*10^(-1)</f>
        <v>-0.61323296360609303</v>
      </c>
      <c r="P118" s="5">
        <f t="shared" si="3"/>
        <v>5.7996175691022608E-5</v>
      </c>
      <c r="Q118" s="5"/>
      <c r="R118" s="5">
        <f>-2.52155719456764*10^(-1)</f>
        <v>-0.25215571945676402</v>
      </c>
      <c r="S118" s="5">
        <f>-2.50862419397787*10^(-1)</f>
        <v>-0.25086241939778703</v>
      </c>
      <c r="T118" s="5">
        <f t="shared" si="4"/>
        <v>1.6726250425498786E-6</v>
      </c>
      <c r="U118" s="5"/>
      <c r="V118" s="5">
        <f>-1.25739055431229*10^(-1)</f>
        <v>-0.12573905543122901</v>
      </c>
      <c r="W118" s="5">
        <f>-1.25726541625776*10^(-1)</f>
        <v>-0.12572654162577598</v>
      </c>
      <c r="X118" s="5">
        <f t="shared" si="5"/>
        <v>1.5659532691626787E-10</v>
      </c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4:45" x14ac:dyDescent="0.2">
      <c r="N119" s="5">
        <f>-6.11389384056174*10^(-1)</f>
        <v>-0.61138938405617405</v>
      </c>
      <c r="O119" s="5">
        <f>-6.18592599025795*10^(-1)</f>
        <v>-0.61859259902579511</v>
      </c>
      <c r="P119" s="5">
        <f t="shared" si="3"/>
        <v>5.1886305898572976E-5</v>
      </c>
      <c r="Q119" s="5"/>
      <c r="R119" s="5">
        <f>-2.54250399736697*10^(-1)</f>
        <v>-0.254250399736697</v>
      </c>
      <c r="S119" s="5">
        <f>-2.53013618484026*10^(-1)</f>
        <v>-0.25301361848402604</v>
      </c>
      <c r="T119" s="5">
        <f t="shared" si="4"/>
        <v>1.5296278669583485E-6</v>
      </c>
      <c r="U119" s="5"/>
      <c r="V119" s="5">
        <f>-1.26651595718367*10^(-1)</f>
        <v>-0.12665159571836701</v>
      </c>
      <c r="W119" s="5">
        <f>-1.26838156819243*10^(-1)</f>
        <v>-0.12683815681924301</v>
      </c>
      <c r="X119" s="5">
        <f t="shared" si="5"/>
        <v>3.4805044360066447E-8</v>
      </c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4:45" x14ac:dyDescent="0.2">
      <c r="N120" s="5">
        <f>-6.16363418849895*10^(-1)</f>
        <v>-0.61636341884989498</v>
      </c>
      <c r="O120" s="5">
        <f>-6.23952234445498*10^(-1)</f>
        <v>-0.62395223444549808</v>
      </c>
      <c r="P120" s="5">
        <f t="shared" si="3"/>
        <v>5.7590122144068733E-5</v>
      </c>
      <c r="Q120" s="5"/>
      <c r="R120" s="5">
        <f>-2.56013328332975*10^(-1)</f>
        <v>-0.25601332833297502</v>
      </c>
      <c r="S120" s="5">
        <f>-2.55164817570264*10^(-1)</f>
        <v>-0.25516481757026405</v>
      </c>
      <c r="T120" s="5">
        <f t="shared" si="4"/>
        <v>7.1997051443635968E-7</v>
      </c>
      <c r="U120" s="5"/>
      <c r="V120" s="5">
        <f>-1.2773331359166*10^(-1)</f>
        <v>-0.12773331359166001</v>
      </c>
      <c r="W120" s="5">
        <f>-1.2794977201271*10^(-1)</f>
        <v>-0.12794977201271002</v>
      </c>
      <c r="X120" s="5">
        <f t="shared" si="5"/>
        <v>4.6854248043460437E-8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4:45" x14ac:dyDescent="0.2">
      <c r="N121" s="5">
        <f>-6.22253633701477*10^(-1)</f>
        <v>-0.62225363370147702</v>
      </c>
      <c r="O121" s="5">
        <f>-6.29311869865201*10^(-1)</f>
        <v>-0.62931186986520105</v>
      </c>
      <c r="P121" s="5">
        <f t="shared" si="3"/>
        <v>4.9818697742901708E-5</v>
      </c>
      <c r="Q121" s="5"/>
      <c r="R121" s="5">
        <f>-2.58074014134837*10^(-1)</f>
        <v>-0.25807401413483699</v>
      </c>
      <c r="S121" s="5">
        <f>-2.57316016656503*10^(-1)</f>
        <v>-0.257316016656503</v>
      </c>
      <c r="T121" s="5">
        <f t="shared" si="4"/>
        <v>5.7456017716069341E-7</v>
      </c>
      <c r="U121" s="5"/>
      <c r="V121" s="5">
        <f>-1.28719898523997*10^(-1)</f>
        <v>-0.12871989852399698</v>
      </c>
      <c r="W121" s="5">
        <f>-1.29061387206177*10^(-1)</f>
        <v>-0.12906138720617699</v>
      </c>
      <c r="X121" s="5">
        <f t="shared" si="5"/>
        <v>1.166145200570384E-7</v>
      </c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4:45" x14ac:dyDescent="0.2">
      <c r="N122" s="5">
        <f>-6.27674306954047*10^(-1)</f>
        <v>-0.62767430695404702</v>
      </c>
      <c r="O122" s="5">
        <f>-6.34671505284904*10^(-1)</f>
        <v>-0.63467150528490412</v>
      </c>
      <c r="P122" s="5">
        <f t="shared" si="3"/>
        <v>4.8960784481349413E-5</v>
      </c>
      <c r="Q122" s="5"/>
      <c r="R122" s="5">
        <f>-2.59843702373209*10^(-1)</f>
        <v>-0.25984370237320903</v>
      </c>
      <c r="S122" s="5">
        <f>-2.59467215742741*10^(-1)</f>
        <v>-0.25946721574274101</v>
      </c>
      <c r="T122" s="5">
        <f t="shared" si="4"/>
        <v>1.4174218292116371E-7</v>
      </c>
      <c r="U122" s="5"/>
      <c r="V122" s="5">
        <f>-1.29659261512323*10^(-1)</f>
        <v>-0.12965926151232302</v>
      </c>
      <c r="W122" s="5">
        <f>-1.30173002399644*10^(-1)</f>
        <v>-0.13017300239964399</v>
      </c>
      <c r="X122" s="5">
        <f t="shared" si="5"/>
        <v>2.6392969930534709E-7</v>
      </c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4:45" x14ac:dyDescent="0.2">
      <c r="N123" s="5">
        <f>-6.33237212879579*10^(-1)</f>
        <v>-0.63323721287957913</v>
      </c>
      <c r="O123" s="5">
        <f>-6.40031140704607*10^(-1)</f>
        <v>-0.64003114070460709</v>
      </c>
      <c r="P123" s="5">
        <f t="shared" si="3"/>
        <v>4.615745529168925E-5</v>
      </c>
      <c r="Q123" s="5"/>
      <c r="R123" s="5">
        <f>-2.61996828402922*10^(-1)</f>
        <v>-0.26199682840292204</v>
      </c>
      <c r="S123" s="5">
        <f>-2.6161841482898*10^(-1)</f>
        <v>-0.26161841482898002</v>
      </c>
      <c r="T123" s="5">
        <f t="shared" si="4"/>
        <v>1.4319683294357788E-7</v>
      </c>
      <c r="U123" s="5"/>
      <c r="V123" s="5">
        <f>-1.3079248807394*10^(-1)</f>
        <v>-0.13079248807394001</v>
      </c>
      <c r="W123" s="5">
        <f>-1.31284617593111*10^(-1)</f>
        <v>-0.13128461759311102</v>
      </c>
      <c r="X123" s="5">
        <f t="shared" si="5"/>
        <v>2.421914636394989E-7</v>
      </c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4:45" x14ac:dyDescent="0.2">
      <c r="N124" s="5">
        <f>-6.39171277595432*10^(-1)</f>
        <v>-0.63917127759543213</v>
      </c>
      <c r="O124" s="5">
        <f>-6.4539077612431*10^(-1)</f>
        <v>-0.64539077612431006</v>
      </c>
      <c r="P124" s="5">
        <f t="shared" si="3"/>
        <v>3.8682161950714754E-5</v>
      </c>
      <c r="Q124" s="5"/>
      <c r="R124" s="5">
        <f>-2.63604137775263*10^(-1)</f>
        <v>-0.26360413777526304</v>
      </c>
      <c r="S124" s="5">
        <f>-2.63769613915218*10^(-1)</f>
        <v>-0.26376961391521803</v>
      </c>
      <c r="T124" s="5">
        <f t="shared" si="4"/>
        <v>2.7382352894403364E-8</v>
      </c>
      <c r="U124" s="5"/>
      <c r="V124" s="5">
        <f>-1.32023613985314*10^(-1)</f>
        <v>-0.13202361398531401</v>
      </c>
      <c r="W124" s="5">
        <f>-1.32396232786578*10^(-1)</f>
        <v>-0.132396232786578</v>
      </c>
      <c r="X124" s="5">
        <f t="shared" si="5"/>
        <v>1.3884477105541349E-7</v>
      </c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4:45" x14ac:dyDescent="0.2">
      <c r="N125" s="5">
        <f>-6.44855694902817*10^(-1)</f>
        <v>-0.64485569490281702</v>
      </c>
      <c r="O125" s="5">
        <f>-6.50755771179433*10^(-1)</f>
        <v>-0.65075577117943306</v>
      </c>
      <c r="P125" s="5">
        <f t="shared" si="3"/>
        <v>3.481090006988739E-5</v>
      </c>
      <c r="Q125" s="5"/>
      <c r="R125" s="5">
        <f>-2.65892662252634*10^(-1)</f>
        <v>-0.26589266225263403</v>
      </c>
      <c r="S125" s="5">
        <f>-2.65920813001456*10^(-1)</f>
        <v>-0.26592081300145604</v>
      </c>
      <c r="T125" s="5">
        <f t="shared" si="4"/>
        <v>7.9246465923983906E-10</v>
      </c>
      <c r="U125" s="5"/>
      <c r="V125" s="5">
        <f>-1.32990264616409*10^(-1)</f>
        <v>-0.132990264616409</v>
      </c>
      <c r="W125" s="5">
        <f>-1.33507847980045*10^(-1)</f>
        <v>-0.133507847980045</v>
      </c>
      <c r="X125" s="5">
        <f t="shared" si="5"/>
        <v>2.678925383127541E-7</v>
      </c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4:45" x14ac:dyDescent="0.2">
      <c r="N126" s="5">
        <f>-6.49942146789307*10^(-1)</f>
        <v>-0.64994214678930706</v>
      </c>
      <c r="O126" s="5">
        <f>-6.56110046963716*10^(-1)</f>
        <v>-0.656110046963716</v>
      </c>
      <c r="P126" s="5">
        <f t="shared" si="3"/>
        <v>3.804299256147378E-5</v>
      </c>
      <c r="Q126" s="5"/>
      <c r="R126" s="5">
        <f>-2.67931312353479*10^(-1)</f>
        <v>-0.267931312353479</v>
      </c>
      <c r="S126" s="5">
        <f>-2.68074163286781*10^(-1)</f>
        <v>-0.26807416328678102</v>
      </c>
      <c r="T126" s="5">
        <f t="shared" si="4"/>
        <v>2.0406389145257858E-8</v>
      </c>
      <c r="U126" s="5"/>
      <c r="V126" s="5">
        <f>-1.3415148015235*10^(-1)</f>
        <v>-0.13415148015234998</v>
      </c>
      <c r="W126" s="5">
        <f>-1.34619463173512*10^(-1)</f>
        <v>-0.13461946317351201</v>
      </c>
      <c r="X126" s="5">
        <f t="shared" si="5"/>
        <v>2.1900810809593328E-7</v>
      </c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4:45" x14ac:dyDescent="0.2">
      <c r="N127" s="5">
        <f>-6.55803558812472*10^(-1)</f>
        <v>-0.65580355881247199</v>
      </c>
      <c r="O127" s="5">
        <f>-6.61475042018839*10^(-1)</f>
        <v>-0.661475042018839</v>
      </c>
      <c r="P127" s="5">
        <f t="shared" si="3"/>
        <v>3.216572176010304E-5</v>
      </c>
      <c r="Q127" s="5"/>
      <c r="R127" s="5">
        <f>-2.69718546871765*10^(-1)</f>
        <v>-0.26971854687176505</v>
      </c>
      <c r="S127" s="5">
        <f>-2.7022536237302*10^(-1)</f>
        <v>-0.27022536237302003</v>
      </c>
      <c r="T127" s="5">
        <f t="shared" si="4"/>
        <v>2.5686195231233236E-7</v>
      </c>
      <c r="U127" s="5"/>
      <c r="V127" s="5">
        <f>-1.35410987173477*10^(-1)</f>
        <v>-0.13541098717347699</v>
      </c>
      <c r="W127" s="5">
        <f>-1.35732189982173*10^(-1)</f>
        <v>-0.13573218998217301</v>
      </c>
      <c r="X127" s="5">
        <f t="shared" si="5"/>
        <v>1.0317124431421168E-7</v>
      </c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4:45" x14ac:dyDescent="0.2">
      <c r="N128" s="5">
        <f>-6.61177896345891*10^(-1)</f>
        <v>-0.66117789634589108</v>
      </c>
      <c r="O128" s="5">
        <f>-6.66829317803122*10^(-1)</f>
        <v>-0.66682931780312205</v>
      </c>
      <c r="P128" s="5">
        <f t="shared" si="3"/>
        <v>3.1938564487250567E-5</v>
      </c>
      <c r="Q128" s="5"/>
      <c r="R128" s="5">
        <f>-2.72021123362399*10^(-1)</f>
        <v>-0.27202112336239898</v>
      </c>
      <c r="S128" s="5">
        <f>-2.72374410260172*10^(-1)</f>
        <v>-0.27237441026017201</v>
      </c>
      <c r="T128" s="5">
        <f t="shared" si="4"/>
        <v>1.2481163213809192E-7</v>
      </c>
      <c r="U128" s="5"/>
      <c r="V128" s="5">
        <f>-1.36380919354269*10^(-1)</f>
        <v>-0.13638091935426899</v>
      </c>
      <c r="W128" s="5">
        <f>-1.36842693560446*10^(-1)</f>
        <v>-0.13684269356044601</v>
      </c>
      <c r="X128" s="5">
        <f t="shared" si="5"/>
        <v>2.1323541749041516E-7</v>
      </c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4:45" x14ac:dyDescent="0.2">
      <c r="N129" s="5">
        <f>-6.66697796477505*10^(-1)</f>
        <v>-0.66669779647750504</v>
      </c>
      <c r="O129" s="5">
        <f>-6.72188953222825*10^(-1)</f>
        <v>-0.67218895322282501</v>
      </c>
      <c r="P129" s="5">
        <f t="shared" si="3"/>
        <v>3.0152802401673001E-5</v>
      </c>
      <c r="Q129" s="5"/>
      <c r="R129" s="5">
        <f>-2.73901224757984*10^(-1)</f>
        <v>-0.27390122475798401</v>
      </c>
      <c r="S129" s="5">
        <f>-2.7452560934641*10^(-1)</f>
        <v>-0.27452560934641002</v>
      </c>
      <c r="T129" s="5">
        <f t="shared" si="4"/>
        <v>3.8985611426391536E-7</v>
      </c>
      <c r="U129" s="5"/>
      <c r="V129" s="5">
        <f>-1.37424646769189*10^(-1)</f>
        <v>-0.137424646769189</v>
      </c>
      <c r="W129" s="5">
        <f>-1.37954308753913*10^(-1)</f>
        <v>-0.13795430875391299</v>
      </c>
      <c r="X129" s="5">
        <f t="shared" si="5"/>
        <v>2.8054181806174947E-7</v>
      </c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4:45" x14ac:dyDescent="0.2">
      <c r="N130" s="5">
        <f>-6.72482719262957*10^(-1)</f>
        <v>-0.67248271926295711</v>
      </c>
      <c r="O130" s="5">
        <f>-6.77548588642528*10^(-1)</f>
        <v>-0.67754858864252798</v>
      </c>
      <c r="P130" s="5">
        <f t="shared" si="3"/>
        <v>2.5663032570873805E-5</v>
      </c>
      <c r="Q130" s="5"/>
      <c r="R130" s="5">
        <f>-2.76042003105969*10^(-1)</f>
        <v>-0.27604200310596899</v>
      </c>
      <c r="S130" s="5">
        <f>-2.76676808432649*10^(-1)</f>
        <v>-0.27667680843264902</v>
      </c>
      <c r="T130" s="5">
        <f t="shared" si="4"/>
        <v>4.0297780278134268E-7</v>
      </c>
      <c r="U130" s="5"/>
      <c r="V130" s="5">
        <f>-1.38518087449638*10^(-1)</f>
        <v>-0.13851808744963801</v>
      </c>
      <c r="W130" s="5">
        <f>-1.3906592394738*10^(-1)</f>
        <v>-0.13906592394738002</v>
      </c>
      <c r="X130" s="5">
        <f t="shared" si="5"/>
        <v>3.0012482825823161E-7</v>
      </c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4:45" x14ac:dyDescent="0.2">
      <c r="N131" s="5">
        <f>-6.78360248819663*10^(-1)</f>
        <v>-0.67836024881966306</v>
      </c>
      <c r="O131" s="5">
        <f>-6.82913583697651*10^(-1)</f>
        <v>-0.68291358369765109</v>
      </c>
      <c r="P131" s="5">
        <f t="shared" ref="P131:P194" si="6">(N131-O131)^2</f>
        <v>2.0732858511102317E-5</v>
      </c>
      <c r="Q131" s="5"/>
      <c r="R131" s="5">
        <f>-2.78531061124357*10^(-1)</f>
        <v>-0.27853106112435699</v>
      </c>
      <c r="S131" s="5">
        <f>-2.78828007518887*10^(-1)</f>
        <v>-0.27882800751888703</v>
      </c>
      <c r="T131" s="5">
        <f t="shared" ref="T131:T194" si="7">(R131 - S131)^2</f>
        <v>8.8177161224390116E-8</v>
      </c>
      <c r="U131" s="5"/>
      <c r="V131" s="5">
        <f>-1.39637063946263*10^(-1)</f>
        <v>-0.13963706394626302</v>
      </c>
      <c r="W131" s="5">
        <f>-1.40177539140847*10^(-1)</f>
        <v>-0.14017753914084702</v>
      </c>
      <c r="X131" s="5">
        <f t="shared" ref="X131:X194" si="8">(V131-W131)^2</f>
        <v>2.9211343596061298E-7</v>
      </c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4:45" x14ac:dyDescent="0.2">
      <c r="N132" s="5">
        <f>-6.83561206169915*10^(-1)</f>
        <v>-0.683561206169915</v>
      </c>
      <c r="O132" s="5">
        <f>-6.88273219117354*10^(-1)</f>
        <v>-0.68827321911735406</v>
      </c>
      <c r="P132" s="5">
        <f t="shared" si="6"/>
        <v>2.2203066016833331E-5</v>
      </c>
      <c r="Q132" s="5"/>
      <c r="R132" s="5">
        <f>-2.80552610663319*10^(-1)</f>
        <v>-0.28055261066331899</v>
      </c>
      <c r="S132" s="5">
        <f>-2.80979206605126*10^(-1)</f>
        <v>-0.28097920660512599</v>
      </c>
      <c r="T132" s="5">
        <f t="shared" si="7"/>
        <v>1.8198409756619735E-7</v>
      </c>
      <c r="U132" s="5"/>
      <c r="V132" s="5">
        <f>-1.40757293954068*10^(-1)</f>
        <v>-0.140757293954068</v>
      </c>
      <c r="W132" s="5">
        <f>-1.41289154334314*10^(-1)</f>
        <v>-0.14128915433431399</v>
      </c>
      <c r="X132" s="5">
        <f t="shared" si="8"/>
        <v>2.8287546407541596E-7</v>
      </c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4:45" x14ac:dyDescent="0.2">
      <c r="N133" s="5">
        <f>-6.88491567519136*10^(-1)</f>
        <v>-0.68849156751913609</v>
      </c>
      <c r="O133" s="5">
        <f>-6.93627494901637*10^(-1)</f>
        <v>-0.69362749490163711</v>
      </c>
      <c r="P133" s="5">
        <f t="shared" si="6"/>
        <v>2.6377750078323731E-5</v>
      </c>
      <c r="Q133" s="5"/>
      <c r="R133" s="5">
        <f>-2.82707691019836*10^(-1)</f>
        <v>-0.282707691019836</v>
      </c>
      <c r="S133" s="5">
        <f>-2.83130405691364*10^(-1)</f>
        <v>-0.283130405691364</v>
      </c>
      <c r="T133" s="5">
        <f t="shared" si="7"/>
        <v>1.7868769352501698E-7</v>
      </c>
      <c r="U133" s="5"/>
      <c r="V133" s="5">
        <f>-1.4180560152109*10^(-1)</f>
        <v>-0.14180560152109001</v>
      </c>
      <c r="W133" s="5">
        <f>-1.42400769527781*10^(-1)</f>
        <v>-0.142400769527781</v>
      </c>
      <c r="X133" s="5">
        <f t="shared" si="8"/>
        <v>3.5422495618852411E-7</v>
      </c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4:45" x14ac:dyDescent="0.2">
      <c r="N134" s="5">
        <f>-6.94344427036389*10^(-1)</f>
        <v>-0.69434442703638899</v>
      </c>
      <c r="O134" s="5">
        <f>-6.9898713032134*10^(-1)</f>
        <v>-0.69898713032134008</v>
      </c>
      <c r="P134" s="5">
        <f t="shared" si="6"/>
        <v>2.1554693792095627E-5</v>
      </c>
      <c r="Q134" s="5"/>
      <c r="R134" s="5">
        <f>-2.84953912266656*10^(-1)</f>
        <v>-0.28495391226665601</v>
      </c>
      <c r="S134" s="5">
        <f>-2.85281604777603*10^(-1)</f>
        <v>-0.285281604777603</v>
      </c>
      <c r="T134" s="5">
        <f t="shared" si="7"/>
        <v>1.0738238173074806E-7</v>
      </c>
      <c r="U134" s="5"/>
      <c r="V134" s="5">
        <f>-1.429038456613*10^(-1)</f>
        <v>-0.14290384566130002</v>
      </c>
      <c r="W134" s="5">
        <f>-1.43512384721249*10^(-1)</f>
        <v>-0.14351238472124903</v>
      </c>
      <c r="X134" s="5">
        <f t="shared" si="8"/>
        <v>3.7031978748362386E-7</v>
      </c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4:45" x14ac:dyDescent="0.2">
      <c r="N135" s="5">
        <f>-7.00231744293425*10^(-1)</f>
        <v>-0.70023174429342505</v>
      </c>
      <c r="O135" s="5">
        <f>-7.04352125376463*10^(-1)</f>
        <v>-0.70435212537646308</v>
      </c>
      <c r="P135" s="5">
        <f t="shared" si="6"/>
        <v>1.6977540269457627E-5</v>
      </c>
      <c r="Q135" s="5"/>
      <c r="R135" s="5">
        <f>-2.87378575733719*10^(-1)</f>
        <v>-0.287378575733719</v>
      </c>
      <c r="S135" s="5">
        <f>-2.87432803863841*10^(-1)</f>
        <v>-0.28743280386384101</v>
      </c>
      <c r="T135" s="5">
        <f t="shared" si="7"/>
        <v>2.9406900965300577E-9</v>
      </c>
      <c r="U135" s="5"/>
      <c r="V135" s="5">
        <f>-1.43978851872816*10^(-1)</f>
        <v>-0.143978851872816</v>
      </c>
      <c r="W135" s="5">
        <f>-1.44623999914716*10^(-1)</f>
        <v>-0.144623999914716</v>
      </c>
      <c r="X135" s="5">
        <f t="shared" si="8"/>
        <v>4.1621599596739838E-7</v>
      </c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4:45" x14ac:dyDescent="0.2">
      <c r="N136" s="5">
        <f>-7.05548013686275*10^(-1)</f>
        <v>-0.70554801368627507</v>
      </c>
      <c r="O136" s="5">
        <f>-7.09706401160746*10^(-1)</f>
        <v>-0.70970640116074613</v>
      </c>
      <c r="P136" s="5">
        <f t="shared" si="6"/>
        <v>1.7292186387837794E-5</v>
      </c>
      <c r="Q136" s="5"/>
      <c r="R136" s="5">
        <f>-2.89722225085618*10^(-1)</f>
        <v>-0.28972222508561801</v>
      </c>
      <c r="S136" s="5">
        <f>-2.8958400295008*10^(-1)</f>
        <v>-0.28958400295008002</v>
      </c>
      <c r="T136" s="5">
        <f t="shared" si="7"/>
        <v>1.9105358752682728E-8</v>
      </c>
      <c r="U136" s="5"/>
      <c r="V136" s="5">
        <f>-1.45275281979912*10^(-1)</f>
        <v>-0.14527528197991199</v>
      </c>
      <c r="W136" s="5">
        <f>-1.45735615108183*10^(-1)</f>
        <v>-0.145735615108183</v>
      </c>
      <c r="X136" s="5">
        <f t="shared" si="8"/>
        <v>2.1190658898377613E-7</v>
      </c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4:45" x14ac:dyDescent="0.2">
      <c r="N137" s="5">
        <f>-7.10953596407725*10^(-1)</f>
        <v>-0.71095359640772504</v>
      </c>
      <c r="O137" s="5">
        <f>-7.15066036580449*10^(-1)</f>
        <v>-0.71506603658044909</v>
      </c>
      <c r="P137" s="5">
        <f t="shared" si="6"/>
        <v>1.6912164174234632E-5</v>
      </c>
      <c r="Q137" s="5"/>
      <c r="R137" s="5">
        <f>-2.9207138003552*10^(-1)</f>
        <v>-0.29207138003552002</v>
      </c>
      <c r="S137" s="5">
        <f>-2.91735202036318*10^(-1)</f>
        <v>-0.29173520203631803</v>
      </c>
      <c r="T137" s="5">
        <f t="shared" si="7"/>
        <v>1.1301564714745453E-7</v>
      </c>
      <c r="U137" s="5"/>
      <c r="V137" s="5">
        <f>-1.46426354195957*10^(-1)</f>
        <v>-0.14642635419595701</v>
      </c>
      <c r="W137" s="5">
        <f>-1.4684723030165*10^(-1)</f>
        <v>-0.14684723030165001</v>
      </c>
      <c r="X137" s="5">
        <f t="shared" si="8"/>
        <v>1.7713669634330244E-7</v>
      </c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4:45" x14ac:dyDescent="0.2">
      <c r="N138" s="5">
        <f>-7.16756025269512*10^(-1)</f>
        <v>-0.71675602526951199</v>
      </c>
      <c r="O138" s="5">
        <f>-7.20431031635571*10^(-1)</f>
        <v>-0.7204310316355711</v>
      </c>
      <c r="P138" s="5">
        <f t="shared" si="6"/>
        <v>1.3505671790574972E-5</v>
      </c>
      <c r="Q138" s="5"/>
      <c r="R138" s="5">
        <f>-2.94819053875325*10^(-1)</f>
        <v>-0.29481905387532498</v>
      </c>
      <c r="S138" s="5">
        <f>-2.93886401122557*10^(-1)</f>
        <v>-0.29388640112255698</v>
      </c>
      <c r="T138" s="5">
        <f t="shared" si="7"/>
        <v>8.6984115724571486E-7</v>
      </c>
      <c r="U138" s="5"/>
      <c r="V138" s="5">
        <f>-1.4735797798542*10^(-1)</f>
        <v>-0.14735797798542002</v>
      </c>
      <c r="W138" s="5">
        <f>-1.47958845495117*10^(-1)</f>
        <v>-0.14795884549511701</v>
      </c>
      <c r="X138" s="5">
        <f t="shared" si="8"/>
        <v>3.6104176420945516E-7</v>
      </c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4:45" x14ac:dyDescent="0.2">
      <c r="N139" s="5">
        <f>-7.22407493103299*10^(-1)</f>
        <v>-0.7224074931032991</v>
      </c>
      <c r="O139" s="5">
        <f>-7.25785307419855*10^(-1)</f>
        <v>-0.72578530741985503</v>
      </c>
      <c r="P139" s="5">
        <f t="shared" si="6"/>
        <v>1.1409629557130184E-5</v>
      </c>
      <c r="Q139" s="5"/>
      <c r="R139" s="5">
        <f>-2.97136450684269*10^(-1)</f>
        <v>-0.29713645068426903</v>
      </c>
      <c r="S139" s="5">
        <f>-2.96037600208795*10^(-1)</f>
        <v>-0.29603760020879499</v>
      </c>
      <c r="T139" s="5">
        <f t="shared" si="7"/>
        <v>1.2074723674495097E-6</v>
      </c>
      <c r="U139" s="5"/>
      <c r="V139" s="5">
        <f>-1.48462340328473*10^(-1)</f>
        <v>-0.14846234032847302</v>
      </c>
      <c r="W139" s="5">
        <f>-1.49070460688584*10^(-1)</f>
        <v>-0.14907046068858401</v>
      </c>
      <c r="X139" s="5">
        <f t="shared" si="8"/>
        <v>3.6981037238151574E-7</v>
      </c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4:45" x14ac:dyDescent="0.2">
      <c r="N140" s="5">
        <f>-7.28091081640864*10^(-1)</f>
        <v>-0.728091081640864</v>
      </c>
      <c r="O140" s="5">
        <f>-7.31150302474977*10^(-1)</f>
        <v>-0.73115030247497703</v>
      </c>
      <c r="P140" s="5">
        <f t="shared" si="6"/>
        <v>9.3588321118712227E-6</v>
      </c>
      <c r="Q140" s="5"/>
      <c r="R140" s="5">
        <f>-2.99459230297691*10^(-1)</f>
        <v>-0.299459230297691</v>
      </c>
      <c r="S140" s="5">
        <f>-2.98188799295034*10^(-1)</f>
        <v>-0.298188799295034</v>
      </c>
      <c r="T140" s="5">
        <f t="shared" si="7"/>
        <v>1.6139949325120754E-6</v>
      </c>
      <c r="U140" s="5"/>
      <c r="V140" s="5">
        <f>-1.49592506042596*10^(-1)</f>
        <v>-0.149592506042596</v>
      </c>
      <c r="W140" s="5">
        <f>-1.50182075882051*10^(-1)</f>
        <v>-0.15018207588205101</v>
      </c>
      <c r="X140" s="5">
        <f t="shared" si="8"/>
        <v>3.4759259559501512E-7</v>
      </c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4:45" x14ac:dyDescent="0.2">
      <c r="N141" s="5">
        <f>-7.33744850855982*10^(-1)</f>
        <v>-0.73374485085598207</v>
      </c>
      <c r="O141" s="5">
        <f>-7.36504578259261*10^(-1)</f>
        <v>-0.73650457825926097</v>
      </c>
      <c r="P141" s="5">
        <f t="shared" si="6"/>
        <v>7.6160953404084997E-6</v>
      </c>
      <c r="Q141" s="5"/>
      <c r="R141" s="5">
        <f>-3.01699463164495*10^(-1)</f>
        <v>-0.30169946316449503</v>
      </c>
      <c r="S141" s="5">
        <f>-3.00339998381272*10^(-1)</f>
        <v>-0.30033999838127201</v>
      </c>
      <c r="T141" s="5">
        <f t="shared" si="7"/>
        <v>1.8481444968236097E-6</v>
      </c>
      <c r="U141" s="5"/>
      <c r="V141" s="5">
        <f>-1.50453271192947*10^(-1)</f>
        <v>-0.15045327119294702</v>
      </c>
      <c r="W141" s="5">
        <f>-1.51293691075518*10^(-1)</f>
        <v>-0.15129369107551802</v>
      </c>
      <c r="X141" s="5">
        <f t="shared" si="8"/>
        <v>7.0630557902064911E-7</v>
      </c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4:45" x14ac:dyDescent="0.2">
      <c r="N142" s="5">
        <f>-7.38741738205086*10^(-1)</f>
        <v>-0.73874173820508604</v>
      </c>
      <c r="O142" s="5">
        <f>-7.41869573314383*10^(-1)</f>
        <v>-0.74186957331438297</v>
      </c>
      <c r="P142" s="5">
        <f t="shared" si="6"/>
        <v>9.7833524709505259E-6</v>
      </c>
      <c r="Q142" s="5"/>
      <c r="R142" s="5">
        <f>-3.04165121335103*10^(-1)</f>
        <v>-0.30416512133510304</v>
      </c>
      <c r="S142" s="5">
        <f>-3.02491197467511*10^(-1)</f>
        <v>-0.30249119746751102</v>
      </c>
      <c r="T142" s="5">
        <f t="shared" si="7"/>
        <v>2.8020211144942261E-6</v>
      </c>
      <c r="U142" s="5"/>
      <c r="V142" s="5">
        <f>-1.51487168338439*10^(-1)</f>
        <v>-0.151487168338439</v>
      </c>
      <c r="W142" s="5">
        <f>-1.52405306268985*10^(-1)</f>
        <v>-0.15240530626898502</v>
      </c>
      <c r="X142" s="5">
        <f t="shared" si="8"/>
        <v>8.4297725950731842E-7</v>
      </c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4:45" x14ac:dyDescent="0.2">
      <c r="N143" s="5">
        <f>-7.44582179336632*10^(-1)</f>
        <v>-0.74458217933663207</v>
      </c>
      <c r="O143" s="5">
        <f>-7.47223849098666*10^(-1)</f>
        <v>-0.74722384909866602</v>
      </c>
      <c r="P143" s="5">
        <f t="shared" si="6"/>
        <v>6.9784191316445015E-6</v>
      </c>
      <c r="Q143" s="5"/>
      <c r="R143" s="5">
        <f>-3.06283392206608*10^(-1)</f>
        <v>-0.306283392206608</v>
      </c>
      <c r="S143" s="5">
        <f>-3.04644547752835*10^(-1)</f>
        <v>-0.304644547752835</v>
      </c>
      <c r="T143" s="5">
        <f t="shared" si="7"/>
        <v>2.6858111436624959E-6</v>
      </c>
      <c r="U143" s="5"/>
      <c r="V143" s="5">
        <f>-1.52793375471699*10^(-1)</f>
        <v>-0.15279337547169902</v>
      </c>
      <c r="W143" s="5">
        <f>-1.53516921462452*10^(-1)</f>
        <v>-0.15351692146245199</v>
      </c>
      <c r="X143" s="5">
        <f t="shared" si="8"/>
        <v>5.235188007346995E-7</v>
      </c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4:45" x14ac:dyDescent="0.2">
      <c r="N144" s="5">
        <f>-7.49950217740881*10^(-1)</f>
        <v>-0.749950217740881</v>
      </c>
      <c r="O144" s="5">
        <f>-7.52588844153789*10^(-1)</f>
        <v>-0.75258884415378902</v>
      </c>
      <c r="P144" s="5">
        <f t="shared" si="6"/>
        <v>6.9623493468958359E-6</v>
      </c>
      <c r="Q144" s="5"/>
      <c r="R144" s="5">
        <f>-3.0845043195079*10^(-1)</f>
        <v>-0.30845043195079003</v>
      </c>
      <c r="S144" s="5">
        <f>-3.06793595639988*10^(-1)</f>
        <v>-0.30679359563998804</v>
      </c>
      <c r="T144" s="5">
        <f t="shared" si="7"/>
        <v>2.745106560791949E-6</v>
      </c>
      <c r="U144" s="5"/>
      <c r="V144" s="5">
        <f>-1.54101291013814*10^(-1)</f>
        <v>-0.15410129101381401</v>
      </c>
      <c r="W144" s="5">
        <f>-1.54628536655919*10^(-1)</f>
        <v>-0.15462853665591902</v>
      </c>
      <c r="X144" s="5">
        <f t="shared" si="8"/>
        <v>2.7798796711873226E-7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4:45" x14ac:dyDescent="0.2">
      <c r="N145" s="5">
        <f>-7.55665607655943*10^(-1)</f>
        <v>-0.75566560765594304</v>
      </c>
      <c r="O145" s="5">
        <f>-7.57943119938072*10^(-1)</f>
        <v>-0.75794311993807206</v>
      </c>
      <c r="P145" s="5">
        <f t="shared" si="6"/>
        <v>5.1870621952485542E-6</v>
      </c>
      <c r="Q145" s="5"/>
      <c r="R145" s="5">
        <f>-3.10444715666998*10^(-1)</f>
        <v>-0.31044471566699805</v>
      </c>
      <c r="S145" s="5">
        <f>-3.08944794726226*10^(-1)</f>
        <v>-0.30894479472622605</v>
      </c>
      <c r="T145" s="5">
        <f t="shared" si="7"/>
        <v>2.2497628285663727E-6</v>
      </c>
      <c r="U145" s="5"/>
      <c r="V145" s="5">
        <f>-1.552131297388*10^(-1)</f>
        <v>-0.1552131297388</v>
      </c>
      <c r="W145" s="5">
        <f>-1.55740151849386*10^(-1)</f>
        <v>-0.15574015184938603</v>
      </c>
      <c r="X145" s="5">
        <f t="shared" si="8"/>
        <v>2.7775230504655198E-7</v>
      </c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4:45" x14ac:dyDescent="0.2">
      <c r="N146" s="5">
        <f>-7.60837537583135*10^(-1)</f>
        <v>-0.76083753758313499</v>
      </c>
      <c r="O146" s="5">
        <f>-7.63302755357775*10^(-1)</f>
        <v>-0.76330275535777503</v>
      </c>
      <c r="P146" s="5">
        <f t="shared" si="6"/>
        <v>6.0772986764011829E-6</v>
      </c>
      <c r="Q146" s="5"/>
      <c r="R146" s="5">
        <f>-3.12843117882654*10^(-1)</f>
        <v>-0.31284311788265406</v>
      </c>
      <c r="S146" s="5">
        <f>-3.11095993812464*10^(-1)</f>
        <v>-0.311095993812464</v>
      </c>
      <c r="T146" s="5">
        <f t="shared" si="7"/>
        <v>3.0524425166374984E-6</v>
      </c>
      <c r="U146" s="5"/>
      <c r="V146" s="5">
        <f>-1.56350955131171*10^(-1)</f>
        <v>-0.15635095513117103</v>
      </c>
      <c r="W146" s="5">
        <f>-1.56851767042853*10^(-1)</f>
        <v>-0.156851767042853</v>
      </c>
      <c r="X146" s="5">
        <f t="shared" si="8"/>
        <v>2.5081257088254916E-7</v>
      </c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4:45" x14ac:dyDescent="0.2">
      <c r="N147" s="5">
        <f>-7.65907663644956*10^(-1)</f>
        <v>-0.7659076636449561</v>
      </c>
      <c r="O147" s="5">
        <f>-7.68667750412898*10^(-1)</f>
        <v>-0.76866775041289803</v>
      </c>
      <c r="P147" s="5">
        <f t="shared" si="6"/>
        <v>7.6180789665681136E-6</v>
      </c>
      <c r="Q147" s="5"/>
      <c r="R147" s="5">
        <f>-3.15336440634706*10^(-1)</f>
        <v>-0.31533644063470601</v>
      </c>
      <c r="S147" s="5">
        <f>-3.13247192898703*10^(-1)</f>
        <v>-0.31324719289870306</v>
      </c>
      <c r="T147" s="5">
        <f t="shared" si="7"/>
        <v>4.3649561023934171E-6</v>
      </c>
      <c r="U147" s="5"/>
      <c r="V147" s="5">
        <f>-1.57341421969603*10^(-1)</f>
        <v>-0.15734142196960299</v>
      </c>
      <c r="W147" s="5">
        <f>-1.5796338223632*10^(-1)</f>
        <v>-0.15796338223632</v>
      </c>
      <c r="X147" s="5">
        <f t="shared" si="8"/>
        <v>3.8683457337469958E-7</v>
      </c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4:45" x14ac:dyDescent="0.2">
      <c r="N148" s="5">
        <f>-7.7126234241781*10^(-1)</f>
        <v>-0.77126234241781011</v>
      </c>
      <c r="O148" s="5">
        <f>-7.74022026197181*10^(-1)</f>
        <v>-0.77402202619718108</v>
      </c>
      <c r="P148" s="5">
        <f t="shared" si="6"/>
        <v>7.6158545621232377E-6</v>
      </c>
      <c r="Q148" s="5"/>
      <c r="R148" s="5">
        <f>-3.17076541464191*10^(-1)</f>
        <v>-0.31707654146419101</v>
      </c>
      <c r="S148" s="5">
        <f>-3.15398391984941*10^(-1)</f>
        <v>-0.31539839198494102</v>
      </c>
      <c r="T148" s="5">
        <f t="shared" si="7"/>
        <v>2.8161856747070147E-6</v>
      </c>
      <c r="U148" s="5"/>
      <c r="V148" s="5">
        <f>-1.58531278583546*10^(-1)</f>
        <v>-0.15853127858354601</v>
      </c>
      <c r="W148" s="5">
        <f>-1.59074997429787*10^(-1)</f>
        <v>-0.15907499742978701</v>
      </c>
      <c r="X148" s="5">
        <f t="shared" si="8"/>
        <v>2.9563018375763607E-7</v>
      </c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4:45" x14ac:dyDescent="0.2">
      <c r="N149" s="5">
        <f>-7.76710886739425*10^(-1)</f>
        <v>-0.77671088673942501</v>
      </c>
      <c r="O149" s="5">
        <f>-7.79381661616884*10^(-1)</f>
        <v>-0.77938166161688405</v>
      </c>
      <c r="P149" s="5">
        <f t="shared" si="6"/>
        <v>7.1330384460663329E-6</v>
      </c>
      <c r="Q149" s="5"/>
      <c r="R149" s="5">
        <f>-3.19132867624636*10^(-1)</f>
        <v>-0.31913286762463605</v>
      </c>
      <c r="S149" s="5">
        <f>-3.1754959107118*10^(-1)</f>
        <v>-0.31754959107118003</v>
      </c>
      <c r="T149" s="5">
        <f t="shared" si="7"/>
        <v>2.506764644723591E-6</v>
      </c>
      <c r="U149" s="5"/>
      <c r="V149" s="5">
        <f>-1.5969771995322*10^(-1)</f>
        <v>-0.15969771995322002</v>
      </c>
      <c r="W149" s="5">
        <f>-1.60186612623255*10^(-1)</f>
        <v>-0.16018661262325501</v>
      </c>
      <c r="X149" s="5">
        <f t="shared" si="8"/>
        <v>2.3901604281394209E-7</v>
      </c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4:45" x14ac:dyDescent="0.2">
      <c r="N150" s="5">
        <f>-7.81993105809973*10^(-1)</f>
        <v>-0.78199310580997305</v>
      </c>
      <c r="O150" s="5">
        <f>-7.84741297036587*10^(-1)</f>
        <v>-0.78474129703658702</v>
      </c>
      <c r="P150" s="5">
        <f t="shared" si="6"/>
        <v>7.5525550180379458E-6</v>
      </c>
      <c r="Q150" s="5"/>
      <c r="R150" s="5">
        <f>-3.21148590943715*10^(-1)</f>
        <v>-0.32114859094371506</v>
      </c>
      <c r="S150" s="5">
        <f>-3.19700790157418*10^(-1)</f>
        <v>-0.31970079015741804</v>
      </c>
      <c r="T150" s="5">
        <f t="shared" si="7"/>
        <v>2.0961271168022883E-6</v>
      </c>
      <c r="U150" s="5"/>
      <c r="V150" s="5">
        <f>-1.61387749185378*10^(-1)</f>
        <v>-0.16138774918537802</v>
      </c>
      <c r="W150" s="5">
        <f>-1.61317125275011*10^(-1)</f>
        <v>-0.16131712527501102</v>
      </c>
      <c r="X150" s="5">
        <f t="shared" si="8"/>
        <v>4.9877367155254697E-9</v>
      </c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4:45" x14ac:dyDescent="0.2">
      <c r="N151" s="5">
        <f>-7.87040476494029*10^(-1)</f>
        <v>-0.78704047649402908</v>
      </c>
      <c r="O151" s="5">
        <f>-7.9010093245629*10^(-1)</f>
        <v>-0.79010093245629009</v>
      </c>
      <c r="P151" s="5">
        <f t="shared" si="6"/>
        <v>9.3663906969389681E-6</v>
      </c>
      <c r="Q151" s="5"/>
      <c r="R151" s="5">
        <f>-3.23078530278412*10^(-1)</f>
        <v>-0.32307853027841205</v>
      </c>
      <c r="S151" s="5">
        <f>-3.21851989243657*10^(-1)</f>
        <v>-0.32185198924365704</v>
      </c>
      <c r="T151" s="5">
        <f t="shared" si="7"/>
        <v>1.5044029099378713E-6</v>
      </c>
      <c r="U151" s="5"/>
      <c r="V151" s="5">
        <f>-1.61984912676625*10^(-1)</f>
        <v>-0.16198491267662501</v>
      </c>
      <c r="W151" s="5">
        <f>-1.62409843010189*10^(-1)</f>
        <v>-0.16240984301018901</v>
      </c>
      <c r="X151" s="5">
        <f t="shared" si="8"/>
        <v>1.8056578838281212E-7</v>
      </c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4:45" x14ac:dyDescent="0.2">
      <c r="N152" s="5">
        <f>-7.92377688122484*10^(-1)</f>
        <v>-0.79237768812248399</v>
      </c>
      <c r="O152" s="5">
        <f>-7.95460567875993*10^(-1)</f>
        <v>-0.79546056787599306</v>
      </c>
      <c r="P152" s="5">
        <f t="shared" si="6"/>
        <v>9.5041475745961513E-6</v>
      </c>
      <c r="Q152" s="5"/>
      <c r="R152" s="5">
        <f>-3.24607170086917*10^(-1)</f>
        <v>-0.32460717008691703</v>
      </c>
      <c r="S152" s="5">
        <f>-3.24003188329895*10^(-1)</f>
        <v>-0.32400318832989505</v>
      </c>
      <c r="T152" s="5">
        <f t="shared" si="7"/>
        <v>3.6479396281535365E-7</v>
      </c>
      <c r="U152" s="5"/>
      <c r="V152" s="5">
        <f>-1.62856415825621*10^(-1)</f>
        <v>-0.16285641582562102</v>
      </c>
      <c r="W152" s="5">
        <f>-1.63521458203656*10^(-1)</f>
        <v>-0.16352145820365602</v>
      </c>
      <c r="X152" s="5">
        <f t="shared" si="8"/>
        <v>4.4228136458244356E-7</v>
      </c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4:45" x14ac:dyDescent="0.2">
      <c r="N153" s="5">
        <f>-7.97477881327324*10^(-1)</f>
        <v>-0.797477881327324</v>
      </c>
      <c r="O153" s="5">
        <f>-8.00825562931116*10^(-1)</f>
        <v>-0.80082556293111606</v>
      </c>
      <c r="P153" s="5">
        <f t="shared" si="6"/>
        <v>1.12069721203678E-5</v>
      </c>
      <c r="Q153" s="5"/>
      <c r="R153" s="5">
        <f>-3.2631841971644*10^(-1)</f>
        <v>-0.32631841971643999</v>
      </c>
      <c r="S153" s="5">
        <f>-3.26154387416134*10^(-1)</f>
        <v>-0.32615438741613401</v>
      </c>
      <c r="T153" s="5">
        <f t="shared" si="7"/>
        <v>2.6906595543672168E-8</v>
      </c>
      <c r="U153" s="5"/>
      <c r="V153" s="5">
        <f>-1.64077797634298*10^(-1)</f>
        <v>-0.164077797634298</v>
      </c>
      <c r="W153" s="5">
        <f>-1.64633073397123*10^(-1)</f>
        <v>-0.16463307339712302</v>
      </c>
      <c r="X153" s="5">
        <f t="shared" si="8"/>
        <v>3.0833117278090712E-7</v>
      </c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4:45" x14ac:dyDescent="0.2">
      <c r="N154" s="5">
        <f>-8.03338703964307*10^(-1)</f>
        <v>-0.80333870396430707</v>
      </c>
      <c r="O154" s="5">
        <f>-8.06179838715399*10^(-1)</f>
        <v>-0.80617983871539911</v>
      </c>
      <c r="P154" s="5">
        <f t="shared" si="6"/>
        <v>8.0720466738628557E-6</v>
      </c>
      <c r="Q154" s="5"/>
      <c r="R154" s="5">
        <f>-3.28439024206394*10^(-1)</f>
        <v>-0.32843902420639404</v>
      </c>
      <c r="S154" s="5">
        <f>-3.28305586502372*10^(-1)</f>
        <v>-0.32830558650237202</v>
      </c>
      <c r="T154" s="5">
        <f t="shared" si="7"/>
        <v>1.7805620854668581E-8</v>
      </c>
      <c r="U154" s="5"/>
      <c r="V154" s="5">
        <f>-1.65375591567075*10^(-1)</f>
        <v>-0.16537559156707501</v>
      </c>
      <c r="W154" s="5">
        <f>-1.6574468859059*10^(-1)</f>
        <v>-0.16574468859058999</v>
      </c>
      <c r="X154" s="5">
        <f t="shared" si="8"/>
        <v>1.3623261276761802E-7</v>
      </c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4:45" x14ac:dyDescent="0.2">
      <c r="N155" s="5">
        <f>-8.09234078444985*10^(-1)</f>
        <v>-0.80923407844498496</v>
      </c>
      <c r="O155" s="5">
        <f>-8.11539474135102*10^(-1)</f>
        <v>-0.81153947413510208</v>
      </c>
      <c r="P155" s="5">
        <f t="shared" si="6"/>
        <v>5.3148492880105824E-6</v>
      </c>
      <c r="Q155" s="5"/>
      <c r="R155" s="5">
        <f>-3.30609399447944*10^(-1)</f>
        <v>-0.33060939944794399</v>
      </c>
      <c r="S155" s="5">
        <f>-3.30456785588611*10^(-1)</f>
        <v>-0.33045678558861102</v>
      </c>
      <c r="T155" s="5">
        <f t="shared" si="7"/>
        <v>2.3290990060501049E-8</v>
      </c>
      <c r="U155" s="5"/>
      <c r="V155" s="5">
        <f>-1.66650066018944*10^(-1)</f>
        <v>-0.16665006601894403</v>
      </c>
      <c r="W155" s="5">
        <f>-1.66856303784057*10^(-1)</f>
        <v>-0.16685630378405703</v>
      </c>
      <c r="X155" s="5">
        <f t="shared" si="8"/>
        <v>4.2534015758804437E-8</v>
      </c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4:45" x14ac:dyDescent="0.2">
      <c r="N156" s="5">
        <f>-8.14894089512296*10^(-1)</f>
        <v>-0.81489408951229603</v>
      </c>
      <c r="O156" s="5">
        <f>-8.16899109554805*10^(-1)</f>
        <v>-0.81689910955480505</v>
      </c>
      <c r="P156" s="5">
        <f t="shared" si="6"/>
        <v>4.0201053708628738E-6</v>
      </c>
      <c r="Q156" s="5"/>
      <c r="R156" s="5">
        <f>-3.32330960150398*10^(-1)</f>
        <v>-0.33233096015039804</v>
      </c>
      <c r="S156" s="5">
        <f>-3.32607984674849*10^(-1)</f>
        <v>-0.33260798467484903</v>
      </c>
      <c r="T156" s="5">
        <f t="shared" si="7"/>
        <v>7.6742587147301159E-8</v>
      </c>
      <c r="U156" s="5"/>
      <c r="V156" s="5">
        <f>-1.67826021618274*10^(-1)</f>
        <v>-0.16782602161827401</v>
      </c>
      <c r="W156" s="5">
        <f>-1.67967918977524*10^(-1)</f>
        <v>-0.167967918977524</v>
      </c>
      <c r="X156" s="5">
        <f t="shared" si="8"/>
        <v>2.013486056212152E-8</v>
      </c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4:45" x14ac:dyDescent="0.2">
      <c r="N157" s="5">
        <f>-8.19160220919056*10^(-1)</f>
        <v>-0.81916022091905605</v>
      </c>
      <c r="O157" s="5">
        <f>-8.22258744974508*10^(-1)</f>
        <v>-0.82225874497450802</v>
      </c>
      <c r="P157" s="5">
        <f t="shared" si="6"/>
        <v>9.6008513222145086E-6</v>
      </c>
      <c r="Q157" s="5"/>
      <c r="R157" s="5">
        <f>-3.34737044616141*10^(-1)</f>
        <v>-0.33473704461614107</v>
      </c>
      <c r="S157" s="5">
        <f>-3.34759183761088*10^(-1)</f>
        <v>-0.33475918376108804</v>
      </c>
      <c r="T157" s="5">
        <f t="shared" si="7"/>
        <v>4.9014173898318825E-10</v>
      </c>
      <c r="U157" s="5"/>
      <c r="V157" s="5">
        <f>-1.68602409450454*10^(-1)</f>
        <v>-0.16860240945045402</v>
      </c>
      <c r="W157" s="5">
        <f>-1.69081757401378*10^(-1)</f>
        <v>-0.16908175740137801</v>
      </c>
      <c r="X157" s="5">
        <f t="shared" si="8"/>
        <v>2.297744580550349E-7</v>
      </c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4:45" x14ac:dyDescent="0.2">
      <c r="N158" s="5">
        <f>-8.24740364694235*10^(-1)</f>
        <v>-0.82474036469423506</v>
      </c>
      <c r="O158" s="5">
        <f>-8.27623740029631*10^(-1)</f>
        <v>-0.82762374002963102</v>
      </c>
      <c r="P158" s="5">
        <f t="shared" si="6"/>
        <v>8.3138533247697334E-6</v>
      </c>
      <c r="Q158" s="5"/>
      <c r="R158" s="5">
        <f>-3.36147065090366*10^(-1)</f>
        <v>-0.33614706509036602</v>
      </c>
      <c r="S158" s="5">
        <f>-3.36912534046412*10^(-1)</f>
        <v>-0.33691253404641203</v>
      </c>
      <c r="T158" s="5">
        <f t="shared" si="7"/>
        <v>5.8594272267017071E-7</v>
      </c>
      <c r="U158" s="5"/>
      <c r="V158" s="5">
        <f>-1.70357763730359*10^(-1)</f>
        <v>-0.17035776373035902</v>
      </c>
      <c r="W158" s="5">
        <f>-1.70191149364458*10^(-1)</f>
        <v>-0.17019114936445801</v>
      </c>
      <c r="X158" s="5">
        <f t="shared" si="8"/>
        <v>2.7760346924596746E-8</v>
      </c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4:45" x14ac:dyDescent="0.2">
      <c r="N159" s="5">
        <f>-8.30351821285689*10^(-1)</f>
        <v>-0.83035182128568907</v>
      </c>
      <c r="O159" s="5">
        <f>-8.32978015813914*10^(-1)</f>
        <v>-0.83297801581391406</v>
      </c>
      <c r="P159" s="5">
        <f t="shared" si="6"/>
        <v>6.8968977000788771E-6</v>
      </c>
      <c r="Q159" s="5"/>
      <c r="R159" s="5">
        <f>-3.3847111088567*10^(-1)</f>
        <v>-0.33847111088567</v>
      </c>
      <c r="S159" s="5">
        <f>-3.39061581933565*10^(-1)</f>
        <v>-0.339061581933565</v>
      </c>
      <c r="T159" s="5">
        <f t="shared" si="7"/>
        <v>3.4865605840222243E-7</v>
      </c>
      <c r="U159" s="5"/>
      <c r="V159" s="5">
        <f>-1.7143758252619*10^(-1)</f>
        <v>-0.17143758252619001</v>
      </c>
      <c r="W159" s="5">
        <f>-1.71302764557925*10^(-1)</f>
        <v>-0.17130276455792501</v>
      </c>
      <c r="X159" s="5">
        <f t="shared" si="8"/>
        <v>1.8175884567103963E-8</v>
      </c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4:45" x14ac:dyDescent="0.2">
      <c r="N160" s="5">
        <f>-8.3537401890095*10^(-1)</f>
        <v>-0.83537401890094998</v>
      </c>
      <c r="O160" s="5">
        <f>-8.38343010869036*10^(-1)</f>
        <v>-0.83834301086903606</v>
      </c>
      <c r="P160" s="5">
        <f t="shared" si="6"/>
        <v>8.8149133065597006E-6</v>
      </c>
      <c r="Q160" s="5"/>
      <c r="R160" s="5">
        <f>-3.40617671505292*10^(-1)</f>
        <v>-0.34061767150529199</v>
      </c>
      <c r="S160" s="5">
        <f>-3.41212781019803*10^(-1)</f>
        <v>-0.34121278101980301</v>
      </c>
      <c r="T160" s="5">
        <f t="shared" si="7"/>
        <v>3.5415533426155081E-7</v>
      </c>
      <c r="U160" s="5"/>
      <c r="V160" s="5">
        <f>-1.72644340516563*10^(-1)</f>
        <v>-0.17264434051656302</v>
      </c>
      <c r="W160" s="5">
        <f>-1.72414379751392*10^(-1)</f>
        <v>-0.17241437975139201</v>
      </c>
      <c r="X160" s="5">
        <f t="shared" si="8"/>
        <v>5.2881953518036938E-8</v>
      </c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4:45" x14ac:dyDescent="0.2">
      <c r="N161" s="5">
        <f>-8.41184369341641*10^(-1)</f>
        <v>-0.84118436934164098</v>
      </c>
      <c r="O161" s="5">
        <f>-8.43702646288739*10^(-1)</f>
        <v>-0.84370264628873903</v>
      </c>
      <c r="P161" s="5">
        <f t="shared" si="6"/>
        <v>6.3417187822854877E-6</v>
      </c>
      <c r="Q161" s="5"/>
      <c r="R161" s="5">
        <f>-3.42768849761219*10^(-1)</f>
        <v>-0.34276884976121902</v>
      </c>
      <c r="S161" s="5">
        <f>-3.43363980106042*10^(-1)</f>
        <v>-0.34336398010604202</v>
      </c>
      <c r="T161" s="5">
        <f t="shared" si="7"/>
        <v>3.5418012732914615E-7</v>
      </c>
      <c r="U161" s="5"/>
      <c r="V161" s="5">
        <f>-1.73625904806031*10^(-1)</f>
        <v>-0.17362590480603102</v>
      </c>
      <c r="W161" s="5">
        <f>-1.73525994944859*10^(-1)</f>
        <v>-0.17352599494485901</v>
      </c>
      <c r="X161" s="5">
        <f t="shared" si="8"/>
        <v>9.9819803594091042E-9</v>
      </c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4:45" x14ac:dyDescent="0.2">
      <c r="N162" s="5">
        <f>-8.46470602699105*10^(-1)</f>
        <v>-0.84647060269910512</v>
      </c>
      <c r="O162" s="5">
        <f>-8.49056922073023*10^(-1)</f>
        <v>-0.84905692207302297</v>
      </c>
      <c r="P162" s="5">
        <f t="shared" si="6"/>
        <v>6.6890479039027919E-6</v>
      </c>
      <c r="Q162" s="5"/>
      <c r="R162" s="5">
        <f>-3.44970584516072*10^(-1)</f>
        <v>-0.34497058451607199</v>
      </c>
      <c r="S162" s="5">
        <f>-3.4551517919228*10^(-1)</f>
        <v>-0.34551517919228003</v>
      </c>
      <c r="T162" s="5">
        <f t="shared" si="7"/>
        <v>2.9658336135414356E-7</v>
      </c>
      <c r="U162" s="5"/>
      <c r="V162" s="5">
        <f>-1.74936157721073*10^(-1)</f>
        <v>-0.17493615772107302</v>
      </c>
      <c r="W162" s="5">
        <f>-1.74637610138326*10^(-1)</f>
        <v>-0.17463761013832602</v>
      </c>
      <c r="X162" s="5">
        <f t="shared" si="8"/>
        <v>8.9130659164076608E-8</v>
      </c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4:45" x14ac:dyDescent="0.2">
      <c r="N163" s="5">
        <f>-8.52205686260183*10^(-1)</f>
        <v>-0.852205686260183</v>
      </c>
      <c r="O163" s="5">
        <f>-8.54416557492726*10^(-1)</f>
        <v>-0.85441655749272594</v>
      </c>
      <c r="P163" s="5">
        <f t="shared" si="6"/>
        <v>4.8879516068859054E-6</v>
      </c>
      <c r="Q163" s="5"/>
      <c r="R163" s="5">
        <f>-3.46809073796157*10^(-1)</f>
        <v>-0.34680907379615705</v>
      </c>
      <c r="S163" s="5">
        <f>-3.47666378278519*10^(-1)</f>
        <v>-0.34766637827851898</v>
      </c>
      <c r="T163" s="5">
        <f t="shared" si="7"/>
        <v>7.3497097547785905E-7</v>
      </c>
      <c r="U163" s="5"/>
      <c r="V163" s="5">
        <f>-1.76147147600882*10^(-1)</f>
        <v>-0.17614714760088201</v>
      </c>
      <c r="W163" s="5">
        <f>-1.75749225331793*10^(-1)</f>
        <v>-0.17574922533179302</v>
      </c>
      <c r="X163" s="5">
        <f t="shared" si="8"/>
        <v>1.583421322369354E-7</v>
      </c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4:45" x14ac:dyDescent="0.2">
      <c r="N164" s="5">
        <f>-8.58185513428781*10^(-1)</f>
        <v>-0.85818551342878102</v>
      </c>
      <c r="O164" s="5">
        <f>-8.59776192912429*10^(-1)</f>
        <v>-0.85977619291242913</v>
      </c>
      <c r="P164" s="5">
        <f t="shared" si="6"/>
        <v>2.5302612196990027E-6</v>
      </c>
      <c r="Q164" s="5"/>
      <c r="R164" s="5">
        <f>-3.49065839290521*10^(-1)</f>
        <v>-0.34906583929052104</v>
      </c>
      <c r="S164" s="5">
        <f>-3.49817577364757*10^(-1)</f>
        <v>-0.34981757736475699</v>
      </c>
      <c r="T164" s="5">
        <f t="shared" si="7"/>
        <v>5.6511013225597845E-7</v>
      </c>
      <c r="U164" s="5"/>
      <c r="V164" s="5">
        <f>-1.77334331210682*10^(-1)</f>
        <v>-0.17733433121068201</v>
      </c>
      <c r="W164" s="5">
        <f>-1.76861952140454*10^(-1)</f>
        <v>-0.176861952140454</v>
      </c>
      <c r="X164" s="5">
        <f t="shared" si="8"/>
        <v>2.2314198598948189E-7</v>
      </c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4:45" x14ac:dyDescent="0.2">
      <c r="N165" s="5">
        <f>-8.63207983576914*10^(-1)</f>
        <v>-0.86320798357691408</v>
      </c>
      <c r="O165" s="5">
        <f>-8.65135828332131*10^(-1)</f>
        <v>-0.86513582833213098</v>
      </c>
      <c r="P165" s="5">
        <f t="shared" si="6"/>
        <v>3.7165854002173128E-6</v>
      </c>
      <c r="Q165" s="5"/>
      <c r="R165" s="5">
        <f>-3.5192865696354*10^(-1)</f>
        <v>-0.35192865696354003</v>
      </c>
      <c r="S165" s="5">
        <f>-3.51970927650082*10^(-1)</f>
        <v>-0.35197092765008203</v>
      </c>
      <c r="T165" s="5">
        <f t="shared" si="7"/>
        <v>1.7868109407320904E-9</v>
      </c>
      <c r="U165" s="5"/>
      <c r="V165" s="5">
        <f>-1.78497621936915*10^(-1)</f>
        <v>-0.17849762193691501</v>
      </c>
      <c r="W165" s="5">
        <f>-1.77973567333921*10^(-1)</f>
        <v>-0.177973567333921</v>
      </c>
      <c r="X165" s="5">
        <f t="shared" si="8"/>
        <v>2.746332269192114E-7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4:45" x14ac:dyDescent="0.2">
      <c r="N166" s="5">
        <f>-8.69325515815255*10^(-1)</f>
        <v>-0.86932551581525497</v>
      </c>
      <c r="O166" s="5">
        <f>-8.70495463751834*10^(-1)</f>
        <v>-0.87049546375183395</v>
      </c>
      <c r="P166" s="5">
        <f t="shared" si="6"/>
        <v>1.3687781743054261E-6</v>
      </c>
      <c r="Q166" s="5"/>
      <c r="R166" s="5">
        <f>-3.53918983710052*10^(-1)</f>
        <v>-0.35391898371005204</v>
      </c>
      <c r="S166" s="5">
        <f>-3.5412212673632*10^(-1)</f>
        <v>-0.35412212673632004</v>
      </c>
      <c r="T166" s="5">
        <f t="shared" si="7"/>
        <v>4.126708912132317E-8</v>
      </c>
      <c r="U166" s="5"/>
      <c r="V166" s="5">
        <f>-1.79611602506822*10^(-1)</f>
        <v>-0.17961160250682201</v>
      </c>
      <c r="W166" s="5">
        <f>-1.79085182527388*10^(-1)</f>
        <v>-0.17908518252738803</v>
      </c>
      <c r="X166" s="5">
        <f t="shared" si="8"/>
        <v>2.7711799474727042E-7</v>
      </c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4:45" x14ac:dyDescent="0.2">
      <c r="N167" s="5">
        <f>-8.74906526294634*10^(-1)</f>
        <v>-0.87490652629463406</v>
      </c>
      <c r="O167" s="5">
        <f>-8.75855099171537*10^(-1)</f>
        <v>-0.87585509917153714</v>
      </c>
      <c r="P167" s="5">
        <f t="shared" si="6"/>
        <v>8.9979050279619817E-7</v>
      </c>
      <c r="Q167" s="5"/>
      <c r="R167" s="5">
        <f>-3.56052565224429*10^(-1)</f>
        <v>-0.35605256522442902</v>
      </c>
      <c r="S167" s="5">
        <f>-3.56271174623473*10^(-1)</f>
        <v>-0.35627117462347302</v>
      </c>
      <c r="T167" s="5">
        <f t="shared" si="7"/>
        <v>4.7790069350379174E-8</v>
      </c>
      <c r="U167" s="5"/>
      <c r="V167" s="5">
        <f>-1.80650747966628*10^(-1)</f>
        <v>-0.180650747966628</v>
      </c>
      <c r="W167" s="5">
        <f>-1.80195686105662*10^(-1)</f>
        <v>-0.180195686105662</v>
      </c>
      <c r="X167" s="5">
        <f t="shared" si="8"/>
        <v>2.0708129730583871E-7</v>
      </c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4:45" x14ac:dyDescent="0.2">
      <c r="N168" s="5">
        <f>-8.80807522117065*10^(-1)</f>
        <v>-0.88080752211706503</v>
      </c>
      <c r="O168" s="5">
        <f>-8.8121473459124*10^(-1)</f>
        <v>-0.88121473459124011</v>
      </c>
      <c r="P168" s="5">
        <f t="shared" si="6"/>
        <v>1.6582199912378874E-7</v>
      </c>
      <c r="Q168" s="5"/>
      <c r="R168" s="5">
        <f>-3.58563026793973*10^(-1)</f>
        <v>-0.35856302679397301</v>
      </c>
      <c r="S168" s="5">
        <f>-3.58422373709711*10^(-1)</f>
        <v>-0.35842237370971103</v>
      </c>
      <c r="T168" s="5">
        <f t="shared" si="7"/>
        <v>1.9783290112406764E-8</v>
      </c>
      <c r="U168" s="5"/>
      <c r="V168" s="5">
        <f>-1.81894071606578*10^(-1)</f>
        <v>-0.181894071606578</v>
      </c>
      <c r="W168" s="5">
        <f>-1.81307301299129*10^(-1)</f>
        <v>-0.181307301299129</v>
      </c>
      <c r="X168" s="5">
        <f t="shared" si="8"/>
        <v>3.4429939370379068E-7</v>
      </c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4:45" x14ac:dyDescent="0.2">
      <c r="N169" s="5">
        <f>-8.85727581242515*10^(-1)</f>
        <v>-0.88572758124251516</v>
      </c>
      <c r="O169" s="5">
        <f>-8.86574370010943*10^(-1)</f>
        <v>-0.88657437001094308</v>
      </c>
      <c r="P169" s="5">
        <f t="shared" si="6"/>
        <v>7.1705121833567286E-7</v>
      </c>
      <c r="Q169" s="5"/>
      <c r="R169" s="5">
        <f>-3.60706550447887*10^(-1)</f>
        <v>-0.36070655044788702</v>
      </c>
      <c r="S169" s="5">
        <f>-3.60575723995036*10^(-1)</f>
        <v>-0.36057572399503601</v>
      </c>
      <c r="T169" s="5">
        <f t="shared" si="7"/>
        <v>1.7115560765576821E-8</v>
      </c>
      <c r="U169" s="5"/>
      <c r="V169" s="5">
        <f>-1.83189787035377*10^(-1)</f>
        <v>-0.18318978703537703</v>
      </c>
      <c r="W169" s="5">
        <f>-1.82418916492596*10^(-1)</f>
        <v>-0.18241891649259601</v>
      </c>
      <c r="X169" s="5">
        <f t="shared" si="8"/>
        <v>5.9424139372750652E-7</v>
      </c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4:45" x14ac:dyDescent="0.2">
      <c r="N170" s="5">
        <f>-8.91911892851299*10^(-1)</f>
        <v>-0.89191189285129902</v>
      </c>
      <c r="O170" s="5">
        <f>-8.91939365066066*10^(-1)</f>
        <v>-0.89193936506606608</v>
      </c>
      <c r="P170" s="5">
        <f t="shared" si="6"/>
        <v>7.5472258420779092E-10</v>
      </c>
      <c r="Q170" s="5"/>
      <c r="R170" s="5">
        <f>-3.63135209808013*10^(-1)</f>
        <v>-0.363135209808013</v>
      </c>
      <c r="S170" s="5">
        <f>-3.62726923081274*10^(-1)</f>
        <v>-0.36272692308127402</v>
      </c>
      <c r="T170" s="5">
        <f t="shared" si="7"/>
        <v>1.6669805123123237E-7</v>
      </c>
      <c r="U170" s="5"/>
      <c r="V170" s="5">
        <f>-1.84258108854438*10^(-1)</f>
        <v>-0.18425810885443802</v>
      </c>
      <c r="W170" s="5">
        <f>-1.83530531686063*10^(-1)</f>
        <v>-0.18353053168606301</v>
      </c>
      <c r="X170" s="5">
        <f t="shared" si="8"/>
        <v>5.2936853594060549E-7</v>
      </c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4:45" x14ac:dyDescent="0.2">
      <c r="N171" s="5">
        <f>-8.97327200633287*10^(-1)</f>
        <v>-0.89732720063328708</v>
      </c>
      <c r="O171" s="5">
        <f>-8.97293640850349*10^(-1)</f>
        <v>-0.89729364085034902</v>
      </c>
      <c r="P171" s="5">
        <f t="shared" si="6"/>
        <v>1.126259030849975E-9</v>
      </c>
      <c r="Q171" s="5"/>
      <c r="R171" s="5">
        <f>-3.65335430717616*10^(-1)</f>
        <v>-0.36533543071761598</v>
      </c>
      <c r="S171" s="5">
        <f>-3.64875970968426*10^(-1)</f>
        <v>-0.364875970968426</v>
      </c>
      <c r="T171" s="5">
        <f t="shared" si="7"/>
        <v>2.111032611257223E-7</v>
      </c>
      <c r="U171" s="5"/>
      <c r="V171" s="5">
        <f>-1.85353050588165*10^(-1)</f>
        <v>-0.18535305058816501</v>
      </c>
      <c r="W171" s="5">
        <f>-1.84643258494723*10^(-1)</f>
        <v>-0.18464325849472302</v>
      </c>
      <c r="X171" s="5">
        <f t="shared" si="8"/>
        <v>5.0380481591276413E-7</v>
      </c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4:45" x14ac:dyDescent="0.2">
      <c r="N172" s="5">
        <f>-9.03214765476481*10^(-1)</f>
        <v>-0.90321476547648105</v>
      </c>
      <c r="O172" s="5">
        <f>-9.02653276270052*10^(-1)</f>
        <v>-0.90265327627005199</v>
      </c>
      <c r="P172" s="5">
        <f t="shared" si="6"/>
        <v>3.1527012893634302E-7</v>
      </c>
      <c r="Q172" s="5"/>
      <c r="R172" s="5">
        <f>-3.67540503275929*10^(-1)</f>
        <v>-0.36754050327592902</v>
      </c>
      <c r="S172" s="5">
        <f>-3.67027170054665*10^(-1)</f>
        <v>-0.36702717005466501</v>
      </c>
      <c r="T172" s="5">
        <f t="shared" si="7"/>
        <v>2.6351099605328692E-7</v>
      </c>
      <c r="U172" s="5"/>
      <c r="V172" s="5">
        <f>-1.86551220336238*10^(-1)</f>
        <v>-0.18655122033623803</v>
      </c>
      <c r="W172" s="5">
        <f>-1.85754873688191*10^(-1)</f>
        <v>-0.18575487368819099</v>
      </c>
      <c r="X172" s="5">
        <f t="shared" si="8"/>
        <v>6.3416798385574988E-7</v>
      </c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4:45" x14ac:dyDescent="0.2">
      <c r="N173" s="5">
        <f>-9.09062951815329*10^(-1)</f>
        <v>-0.90906295181532915</v>
      </c>
      <c r="O173" s="5">
        <f>-9.08018271325175*10^(-1)</f>
        <v>-0.90801827132517499</v>
      </c>
      <c r="P173" s="5">
        <f t="shared" si="6"/>
        <v>1.091357326508735E-6</v>
      </c>
      <c r="Q173" s="5"/>
      <c r="R173" s="5">
        <f>-3.69750448926732*10^(-1)</f>
        <v>-0.36975044892673203</v>
      </c>
      <c r="S173" s="5">
        <f>-3.69178369140903*10^(-1)</f>
        <v>-0.36917836914090302</v>
      </c>
      <c r="T173" s="5">
        <f t="shared" si="7"/>
        <v>3.2727528135417289E-7</v>
      </c>
      <c r="U173" s="5"/>
      <c r="V173" s="5">
        <f>-1.87572071304102*10^(-1)</f>
        <v>-0.18757207130410203</v>
      </c>
      <c r="W173" s="5">
        <f>-1.86866488881658*10^(-1)</f>
        <v>-0.18686648888165802</v>
      </c>
      <c r="X173" s="5">
        <f t="shared" si="8"/>
        <v>4.9784655486195261E-7</v>
      </c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4:45" x14ac:dyDescent="0.2">
      <c r="N174" s="5">
        <f>-9.14796186684887*10^(-1)</f>
        <v>-0.91479618668488705</v>
      </c>
      <c r="O174" s="5">
        <f>-9.13372547109458*10^(-1)</f>
        <v>-0.91337254710945803</v>
      </c>
      <c r="P174" s="5">
        <f t="shared" si="6"/>
        <v>2.0267496407277043E-6</v>
      </c>
      <c r="Q174" s="5"/>
      <c r="R174" s="5">
        <f>-3.72437165444732*10^(-1)</f>
        <v>-0.37243716544473204</v>
      </c>
      <c r="S174" s="5">
        <f>-3.71329568227142*10^(-1)</f>
        <v>-0.37132956822714203</v>
      </c>
      <c r="T174" s="5">
        <f t="shared" si="7"/>
        <v>1.2267715964131481E-6</v>
      </c>
      <c r="U174" s="5"/>
      <c r="V174" s="5">
        <f>-1.88798469679538*10^(-1)</f>
        <v>-0.18879846967953801</v>
      </c>
      <c r="W174" s="5">
        <f>-1.87978104075125*10^(-1)</f>
        <v>-0.18797810407512502</v>
      </c>
      <c r="X174" s="5">
        <f t="shared" si="8"/>
        <v>6.7299972490387638E-7</v>
      </c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4:45" x14ac:dyDescent="0.2">
      <c r="N175" s="5">
        <f>-9.20337196743576*10^(-1)</f>
        <v>-0.92033719674357606</v>
      </c>
      <c r="O175" s="5">
        <f>-9.18737542164581*10^(-1)</f>
        <v>-0.91873754216458092</v>
      </c>
      <c r="P175" s="5">
        <f t="shared" si="6"/>
        <v>2.5588947721001043E-6</v>
      </c>
      <c r="Q175" s="5"/>
      <c r="R175" s="5">
        <f>-3.74468774184897*10^(-1)</f>
        <v>-0.37446877418489705</v>
      </c>
      <c r="S175" s="5">
        <f>-3.7348076731338*10^(-1)</f>
        <v>-0.37348076731337998</v>
      </c>
      <c r="T175" s="5">
        <f t="shared" si="7"/>
        <v>9.7615757816494096E-7</v>
      </c>
      <c r="U175" s="5"/>
      <c r="V175" s="5">
        <f>-1.89847210647139*10^(-1)</f>
        <v>-0.18984721064713903</v>
      </c>
      <c r="W175" s="5">
        <f>-1.89089719268592*10^(-1)</f>
        <v>-0.189089719268592</v>
      </c>
      <c r="X175" s="5">
        <f t="shared" si="8"/>
        <v>5.7379318857307399E-7</v>
      </c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4:45" x14ac:dyDescent="0.2">
      <c r="N176" s="5">
        <f>-9.26060103929352*10^(-1)</f>
        <v>-0.92606010392935212</v>
      </c>
      <c r="O176" s="5">
        <f>-9.24091817948864*10^(-1)</f>
        <v>-0.92409181794886397</v>
      </c>
      <c r="P176" s="5">
        <f t="shared" si="6"/>
        <v>3.8741497009861947E-6</v>
      </c>
      <c r="Q176" s="5"/>
      <c r="R176" s="5">
        <f>-3.76788905910583*10^(-1)</f>
        <v>-0.37678890591058301</v>
      </c>
      <c r="S176" s="5">
        <f>-3.75631966399619*10^(-1)</f>
        <v>-0.37563196639961904</v>
      </c>
      <c r="T176" s="5">
        <f t="shared" si="7"/>
        <v>1.33850903202953E-6</v>
      </c>
      <c r="U176" s="5"/>
      <c r="V176" s="5">
        <f>-1.90845815244328*10^(-1)</f>
        <v>-0.190845815244328</v>
      </c>
      <c r="W176" s="5">
        <f>-1.90201334462059*10^(-1)</f>
        <v>-0.190201334462059</v>
      </c>
      <c r="X176" s="5">
        <f t="shared" si="8"/>
        <v>4.1535547871406528E-7</v>
      </c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4:45" x14ac:dyDescent="0.2">
      <c r="N177" s="5">
        <f>-9.32347765264003*10^(-1)</f>
        <v>-0.93234776526400298</v>
      </c>
      <c r="O177" s="5">
        <f>-9.29456813003987*10^(-1)</f>
        <v>-0.92945681300398708</v>
      </c>
      <c r="P177" s="5">
        <f t="shared" si="6"/>
        <v>8.3576049696910399E-6</v>
      </c>
      <c r="Q177" s="5"/>
      <c r="R177" s="5">
        <f>-3.78686889872994*10^(-1)</f>
        <v>-0.37868688987299404</v>
      </c>
      <c r="S177" s="5">
        <f>-3.77785316684944*10^(-1)</f>
        <v>-0.37778531668494403</v>
      </c>
      <c r="T177" s="5">
        <f t="shared" si="7"/>
        <v>8.128342134106566E-7</v>
      </c>
      <c r="U177" s="5"/>
      <c r="V177" s="5">
        <f>-1.91999291822076*10^(-1)</f>
        <v>-0.19199929182207601</v>
      </c>
      <c r="W177" s="5">
        <f>-1.91311838040332*10^(-1)</f>
        <v>-0.19131183804033203</v>
      </c>
      <c r="X177" s="5">
        <f t="shared" si="8"/>
        <v>4.725927020340992E-7</v>
      </c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4:45" x14ac:dyDescent="0.2">
      <c r="N178" s="5">
        <f>-9.38140022903268*10^(-1)</f>
        <v>-0.93814002290326803</v>
      </c>
      <c r="O178" s="5">
        <f>-9.3481108878827*10^(-1)</f>
        <v>-0.93481108878827013</v>
      </c>
      <c r="P178" s="5">
        <f t="shared" si="6"/>
        <v>1.1081802341996889E-5</v>
      </c>
      <c r="Q178" s="5"/>
      <c r="R178" s="5">
        <f>-3.80778841379973*10^(-1)</f>
        <v>-0.38077884137997303</v>
      </c>
      <c r="S178" s="5">
        <f>-3.79934364572096*10^(-1)</f>
        <v>-0.37993436457209606</v>
      </c>
      <c r="T178" s="5">
        <f t="shared" si="7"/>
        <v>7.1314107904207767E-7</v>
      </c>
      <c r="U178" s="5"/>
      <c r="V178" s="5">
        <f>-1.93025722499825*10^(-1)</f>
        <v>-0.193025722499825</v>
      </c>
      <c r="W178" s="5">
        <f>-1.92423453233799*10^(-1)</f>
        <v>-0.192423453233799</v>
      </c>
      <c r="X178" s="5">
        <f t="shared" si="8"/>
        <v>3.6272826879949119E-7</v>
      </c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4:45" x14ac:dyDescent="0.2">
      <c r="N179" s="5">
        <f>-9.43889147626552*10^(-1)</f>
        <v>-0.94388914762655196</v>
      </c>
      <c r="O179" s="5">
        <f>-9.40170724207973*10^(-1)</f>
        <v>-0.9401707242079731</v>
      </c>
      <c r="P179" s="5">
        <f t="shared" si="6"/>
        <v>1.382667271983573E-5</v>
      </c>
      <c r="Q179" s="5"/>
      <c r="R179" s="5">
        <f>-3.82732106573057*10^(-1)</f>
        <v>-0.38273210657305701</v>
      </c>
      <c r="S179" s="5">
        <f>-3.82085563658334*10^(-1)</f>
        <v>-0.38208556365833402</v>
      </c>
      <c r="T179" s="5">
        <f t="shared" si="7"/>
        <v>4.1801774057850179E-7</v>
      </c>
      <c r="U179" s="5"/>
      <c r="V179" s="5">
        <f>-1.94258831632082*10^(-1)</f>
        <v>-0.19425883163208202</v>
      </c>
      <c r="W179" s="5">
        <f>-1.93535068427267*10^(-1)</f>
        <v>-0.193535068427267</v>
      </c>
      <c r="X179" s="5">
        <f t="shared" si="8"/>
        <v>5.2383317664410051E-7</v>
      </c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4:45" x14ac:dyDescent="0.2">
      <c r="N180" s="5">
        <f>-9.496715159989*10^(-1)</f>
        <v>-0.94967151599889998</v>
      </c>
      <c r="O180" s="5">
        <f>-9.45530359627676*10^(-1)</f>
        <v>-0.94553035962767606</v>
      </c>
      <c r="P180" s="5">
        <f t="shared" si="6"/>
        <v>1.7149176090928461E-5</v>
      </c>
      <c r="Q180" s="5"/>
      <c r="R180" s="5">
        <f>-3.84641415028977*10^(-1)</f>
        <v>-0.38464141502897703</v>
      </c>
      <c r="S180" s="5">
        <f>-3.84236762744573*10^(-1)</f>
        <v>-0.38423676274457302</v>
      </c>
      <c r="T180" s="5">
        <f t="shared" si="7"/>
        <v>1.6374347127338031E-7</v>
      </c>
      <c r="U180" s="5"/>
      <c r="V180" s="5">
        <f>-1.95261853641204*10^(-1)</f>
        <v>-0.19526185364120402</v>
      </c>
      <c r="W180" s="5">
        <f>-1.94646683620734*10^(-1)</f>
        <v>-0.19464668362073401</v>
      </c>
      <c r="X180" s="5">
        <f t="shared" si="8"/>
        <v>3.7843415408507595E-7</v>
      </c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4:45" x14ac:dyDescent="0.2">
      <c r="N181" s="5">
        <f>-9.55876453304012*10^(-1)</f>
        <v>-0.95587645330401205</v>
      </c>
      <c r="O181" s="5">
        <f>-9.50889995047379*10^(-1)</f>
        <v>-0.95088999504737903</v>
      </c>
      <c r="P181" s="5">
        <f t="shared" si="6"/>
        <v>2.4864765945143612E-5</v>
      </c>
      <c r="Q181" s="5"/>
      <c r="R181" s="5">
        <f>-3.86171490874966*10^(-1)</f>
        <v>-0.38617149087496605</v>
      </c>
      <c r="S181" s="5">
        <f>-3.86387961830811*10^(-1)</f>
        <v>-0.38638796183081103</v>
      </c>
      <c r="T181" s="5">
        <f t="shared" si="7"/>
        <v>4.6859674724440531E-8</v>
      </c>
      <c r="U181" s="5"/>
      <c r="V181" s="5">
        <f>-1.96240125781832*10^(-1)</f>
        <v>-0.19624012578183203</v>
      </c>
      <c r="W181" s="5">
        <f>-1.95758298814201*10^(-1)</f>
        <v>-0.19575829881420101</v>
      </c>
      <c r="X181" s="5">
        <f t="shared" si="8"/>
        <v>2.3215722673650556E-7</v>
      </c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4:45" x14ac:dyDescent="0.2">
      <c r="N182" s="5">
        <f>-9.61728758251855*10^(-1)</f>
        <v>-0.961728758251855</v>
      </c>
      <c r="O182" s="5">
        <f>-9.56249630467082*10^(-1)</f>
        <v>-0.956249630467082</v>
      </c>
      <c r="P182" s="5">
        <f t="shared" si="6"/>
        <v>3.0020841281871448E-5</v>
      </c>
      <c r="Q182" s="5"/>
      <c r="R182" s="5">
        <f>-3.87943564424736*10^(-1)</f>
        <v>-0.38794356442473599</v>
      </c>
      <c r="S182" s="5">
        <f>-3.8853916091705*10^(-1)</f>
        <v>-0.38853916091705004</v>
      </c>
      <c r="T182" s="5">
        <f t="shared" si="7"/>
        <v>3.547351816568055E-7</v>
      </c>
      <c r="U182" s="5"/>
      <c r="V182" s="5">
        <f>-1.97451419307769*10^(-1)</f>
        <v>-0.19745141930776899</v>
      </c>
      <c r="W182" s="5">
        <f>-1.96869914007668*10^(-1)</f>
        <v>-0.19686991400766801</v>
      </c>
      <c r="X182" s="5">
        <f t="shared" si="8"/>
        <v>3.381484140455329E-7</v>
      </c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4:45" x14ac:dyDescent="0.2">
      <c r="N183" s="5">
        <f>-9.67536795927227*10^(-1)</f>
        <v>-0.96753679592722708</v>
      </c>
      <c r="O183" s="5">
        <f>-9.61609265886785*10^(-1)</f>
        <v>-0.96160926588678497</v>
      </c>
      <c r="P183" s="5">
        <f t="shared" si="6"/>
        <v>3.513561238034362E-5</v>
      </c>
      <c r="Q183" s="5"/>
      <c r="R183" s="5">
        <f>-3.90006954393609*10^(-1)</f>
        <v>-0.39000695439360905</v>
      </c>
      <c r="S183" s="5">
        <f>-3.90690360003288*10^(-1)</f>
        <v>-0.39069036000328805</v>
      </c>
      <c r="T183" s="5">
        <f t="shared" si="7"/>
        <v>4.6704322734072539E-7</v>
      </c>
      <c r="U183" s="5"/>
      <c r="V183" s="5">
        <f>-1.98560910732717*10^(-1)</f>
        <v>-0.19856091073271701</v>
      </c>
      <c r="W183" s="5">
        <f>-1.97981529201135*10^(-1)</f>
        <v>-0.19798152920113501</v>
      </c>
      <c r="X183" s="5">
        <f t="shared" si="8"/>
        <v>3.3568295913829315E-7</v>
      </c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4:45" x14ac:dyDescent="0.2">
      <c r="N184" s="5">
        <f>-9.73616321975463*10^(-1)</f>
        <v>-0.97361632197546299</v>
      </c>
      <c r="O184" s="5">
        <f>-9.66968901306488*10^(-1)</f>
        <v>-0.96696890130648816</v>
      </c>
      <c r="P184" s="5">
        <f t="shared" si="6"/>
        <v>4.4188201550313844E-5</v>
      </c>
      <c r="Q184" s="5"/>
      <c r="R184" s="5">
        <f>-3.91641491558641*10^(-1)</f>
        <v>-0.39164149155864103</v>
      </c>
      <c r="S184" s="5">
        <f>-3.92843710288613*10^(-1)</f>
        <v>-0.39284371028861303</v>
      </c>
      <c r="T184" s="5">
        <f t="shared" si="7"/>
        <v>1.4453298746954993E-6</v>
      </c>
      <c r="U184" s="5"/>
      <c r="V184" s="5">
        <f>-1.99542417165474*10^(-1)</f>
        <v>-0.19954241716547402</v>
      </c>
      <c r="W184" s="5">
        <f>-1.99093144394602*10^(-1)</f>
        <v>-0.19909314439460202</v>
      </c>
      <c r="X184" s="5">
        <f t="shared" si="8"/>
        <v>2.0184602264700971E-7</v>
      </c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4:45" x14ac:dyDescent="0.2">
      <c r="N185" s="5">
        <f>-9.79972107254444*10^(-1)</f>
        <v>-0.97997210725444406</v>
      </c>
      <c r="O185" s="5">
        <f>-9.7233389636161*10^(-1)</f>
        <v>-0.97233389636161016</v>
      </c>
      <c r="P185" s="5">
        <f t="shared" si="6"/>
        <v>5.8342265643406392E-5</v>
      </c>
      <c r="Q185" s="5"/>
      <c r="R185" s="5">
        <f>-3.93905407171182*10^(-1)</f>
        <v>-0.39390540717118205</v>
      </c>
      <c r="S185" s="5">
        <f>-3.94992758175765*10^(-1)</f>
        <v>-0.39499275817576501</v>
      </c>
      <c r="T185" s="5">
        <f t="shared" si="7"/>
        <v>1.1823322071675708E-6</v>
      </c>
      <c r="U185" s="5"/>
      <c r="V185" s="5">
        <f>-2.00938848734522*10^(-1)</f>
        <v>-0.20093884873452203</v>
      </c>
      <c r="W185" s="5">
        <f>-2.00205871203262*10^(-1)</f>
        <v>-0.200205871203262</v>
      </c>
      <c r="X185" s="5">
        <f t="shared" si="8"/>
        <v>5.3725606133205077E-7</v>
      </c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4:45" x14ac:dyDescent="0.2">
      <c r="N186" s="5">
        <f>-9.85967568676531*10^(-1)</f>
        <v>-0.98596756867653113</v>
      </c>
      <c r="O186" s="5">
        <f>-9.77688172145894*10^(-1)</f>
        <v>-0.9776881721458941</v>
      </c>
      <c r="P186" s="5">
        <f t="shared" si="6"/>
        <v>6.8548406911524463E-5</v>
      </c>
      <c r="Q186" s="5"/>
      <c r="R186" s="5">
        <f>-3.95546334180311*10^(-1)</f>
        <v>-0.39554633418031104</v>
      </c>
      <c r="S186" s="5">
        <f>-3.97143957262004*10^(-1)</f>
        <v>-0.39714395726200402</v>
      </c>
      <c r="T186" s="5">
        <f t="shared" si="7"/>
        <v>2.5523995111581685E-6</v>
      </c>
      <c r="U186" s="5"/>
      <c r="V186" s="5">
        <f>-2.01948596771693*10^(-1)</f>
        <v>-0.20194859677169302</v>
      </c>
      <c r="W186" s="5">
        <f>-2.01316374781536*10^(-1)</f>
        <v>-0.20131637478153599</v>
      </c>
      <c r="X186" s="5">
        <f t="shared" si="8"/>
        <v>3.9970464483811329E-7</v>
      </c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4:45" x14ac:dyDescent="0.2">
      <c r="N187" s="5">
        <f>-9.91837876234302*10^(-1)</f>
        <v>-0.99183787623430197</v>
      </c>
      <c r="O187" s="5">
        <f>-9.83047807565597*10^(-1)</f>
        <v>-0.98304780756559706</v>
      </c>
      <c r="P187" s="5">
        <f t="shared" si="6"/>
        <v>7.7265307200547687E-5</v>
      </c>
      <c r="Q187" s="5"/>
      <c r="R187" s="5">
        <f>-3.97335113694722*10^(-1)</f>
        <v>-0.39733511369472202</v>
      </c>
      <c r="S187" s="5">
        <f>-3.99295156348242*10^(-1)</f>
        <v>-0.39929515634824203</v>
      </c>
      <c r="T187" s="5">
        <f t="shared" si="7"/>
        <v>3.8417672036177665E-6</v>
      </c>
      <c r="U187" s="5"/>
      <c r="V187" s="5">
        <f>-2.02881577713261*10^(-1)</f>
        <v>-0.20288157771326101</v>
      </c>
      <c r="W187" s="5">
        <f>-2.02429101590197*10^(-1)</f>
        <v>-0.202429101590197</v>
      </c>
      <c r="X187" s="5">
        <f t="shared" si="8"/>
        <v>2.0473464194303771E-7</v>
      </c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4:45" x14ac:dyDescent="0.2">
      <c r="N188" s="5">
        <f>-9.97661721862624*10^(-1)</f>
        <v>-0.99766172186262403</v>
      </c>
      <c r="O188" s="5">
        <f>-9.88407442985299*10^(-1)</f>
        <v>-0.98840744298529915</v>
      </c>
      <c r="P188" s="5">
        <f t="shared" si="6"/>
        <v>8.5641677539301521E-5</v>
      </c>
      <c r="Q188" s="5"/>
      <c r="R188" s="5">
        <f>-3.99514977468756*10^(-1)</f>
        <v>-0.39951497746875603</v>
      </c>
      <c r="S188" s="5">
        <f>-4.01446355434481*10^(-1)</f>
        <v>-0.40144635543448104</v>
      </c>
      <c r="T188" s="5">
        <f t="shared" si="7"/>
        <v>3.7302208464880853E-6</v>
      </c>
      <c r="U188" s="5"/>
      <c r="V188" s="5">
        <f>-2.03971156776616*10^(-1)</f>
        <v>-0.20397115677661601</v>
      </c>
      <c r="W188" s="5">
        <f>-2.0353960516847*10^(-1)</f>
        <v>-0.20353960516847003</v>
      </c>
      <c r="X188" s="5">
        <f t="shared" si="8"/>
        <v>1.8623679049338169E-7</v>
      </c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4:45" x14ac:dyDescent="0.2">
      <c r="N189" s="5">
        <f>-1.00409104207662*10^(0)</f>
        <v>-1.00409104207662</v>
      </c>
      <c r="O189" s="5">
        <f>-9.93772438040422*10^(-1)</f>
        <v>-0.99377243804042203</v>
      </c>
      <c r="P189" s="5">
        <f t="shared" si="6"/>
        <v>1.0647358925584161E-4</v>
      </c>
      <c r="Q189" s="5"/>
      <c r="R189" s="5">
        <f>-4.01651004301591*10^(-1)</f>
        <v>-0.40165100430159106</v>
      </c>
      <c r="S189" s="5">
        <f>-4.03597554520719*10^(-1)</f>
        <v>-0.40359755452071905</v>
      </c>
      <c r="T189" s="5">
        <f t="shared" si="7"/>
        <v>3.789057755587206E-6</v>
      </c>
      <c r="U189" s="5"/>
      <c r="V189" s="5">
        <f>-2.05165869019077*10^(-1)</f>
        <v>-0.20516586901907702</v>
      </c>
      <c r="W189" s="5">
        <f>-2.04651220361937*10^(-1)</f>
        <v>-0.20465122036193703</v>
      </c>
      <c r="X189" s="5">
        <f t="shared" si="8"/>
        <v>2.6486324029599265E-7</v>
      </c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4:45" x14ac:dyDescent="0.2">
      <c r="N190" s="5">
        <f>-1.00990477390713*10^(0)</f>
        <v>-1.0099047739071301</v>
      </c>
      <c r="O190" s="5">
        <f>-9.99126713824705*10^(-1)</f>
        <v>-0.99912671382470508</v>
      </c>
      <c r="P190" s="5">
        <f t="shared" si="6"/>
        <v>1.1616657914036297E-4</v>
      </c>
      <c r="Q190" s="5"/>
      <c r="R190" s="5">
        <f>-4.03304701176511*10^(-1)</f>
        <v>-0.40330470117651096</v>
      </c>
      <c r="S190" s="5">
        <f>-4.05750904806044*10^(-1)</f>
        <v>-0.40575090480604398</v>
      </c>
      <c r="T190" s="5">
        <f t="shared" si="7"/>
        <v>5.9839121971405055E-6</v>
      </c>
      <c r="U190" s="5"/>
      <c r="V190" s="5">
        <f>-2.06309974401561*10^(-1)</f>
        <v>-0.20630997440156099</v>
      </c>
      <c r="W190" s="5">
        <f>-2.05762835555404*10^(-1)</f>
        <v>-0.20576283555540398</v>
      </c>
      <c r="X190" s="5">
        <f t="shared" si="8"/>
        <v>2.9936091697402223E-7</v>
      </c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4:45" x14ac:dyDescent="0.2">
      <c r="N191" s="5">
        <f>-1.01649621245429*10^(0)</f>
        <v>-1.01649621245429</v>
      </c>
      <c r="O191" s="5">
        <f>-1.0044863492444*10^(0)</f>
        <v>-1.0044863492444001</v>
      </c>
      <c r="P191" s="5">
        <f t="shared" si="6"/>
        <v>1.442368143202681E-4</v>
      </c>
      <c r="Q191" s="5"/>
      <c r="R191" s="5">
        <f>-4.05497631077514*10^(-1)</f>
        <v>-0.40549763107751402</v>
      </c>
      <c r="S191" s="5">
        <f>-4.07899952693196*10^(-1)</f>
        <v>-0.40789995269319601</v>
      </c>
      <c r="T191" s="5">
        <f t="shared" si="7"/>
        <v>5.771149145172929E-6</v>
      </c>
      <c r="U191" s="5"/>
      <c r="V191" s="5">
        <f>-2.07455390260638*10^(-1)</f>
        <v>-0.20745539026063803</v>
      </c>
      <c r="W191" s="5">
        <f>-2.06874450748871*10^(-1)</f>
        <v>-0.20687445074887101</v>
      </c>
      <c r="X191" s="5">
        <f t="shared" si="8"/>
        <v>3.3749071633210377E-7</v>
      </c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4:45" x14ac:dyDescent="0.2">
      <c r="N192" s="5">
        <f>-1.02271539581503*10^(0)</f>
        <v>-1.0227153958150299</v>
      </c>
      <c r="O192" s="5">
        <f>-1.00985134429953*10^(0)</f>
        <v>-1.0098513442995301</v>
      </c>
      <c r="P192" s="5">
        <f t="shared" si="6"/>
        <v>1.6548382139343405E-4</v>
      </c>
      <c r="Q192" s="5"/>
      <c r="R192" s="5">
        <f>-4.0745094745207*10^(-1)</f>
        <v>-0.40745094745207</v>
      </c>
      <c r="S192" s="5">
        <f>-4.10051151779434*10^(-1)</f>
        <v>-0.41005115177943402</v>
      </c>
      <c r="T192" s="5">
        <f t="shared" si="7"/>
        <v>6.7610625440425736E-6</v>
      </c>
      <c r="U192" s="5"/>
      <c r="V192" s="5">
        <f>-2.08758593718725*10^(-1)</f>
        <v>-0.20875859371872499</v>
      </c>
      <c r="W192" s="5">
        <f>-2.07986065942338*10^(-1)</f>
        <v>-0.20798606594233801</v>
      </c>
      <c r="X192" s="5">
        <f t="shared" si="8"/>
        <v>5.9679916528940796E-7</v>
      </c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4:45" x14ac:dyDescent="0.2">
      <c r="N193" s="5">
        <f>-1.02830409952171*10^(0)</f>
        <v>-1.0283040995217101</v>
      </c>
      <c r="O193" s="5">
        <f>-1.01520562008381*10^(0)</f>
        <v>-1.01520562008381</v>
      </c>
      <c r="P193" s="5">
        <f t="shared" si="6"/>
        <v>1.7157016358509175E-4</v>
      </c>
      <c r="Q193" s="5"/>
      <c r="R193" s="5">
        <f>-4.09604011505579*10^(-1)</f>
        <v>-0.40960401150557901</v>
      </c>
      <c r="S193" s="5">
        <f>-4.12202350865673*10^(-1)</f>
        <v>-0.41220235086567297</v>
      </c>
      <c r="T193" s="5">
        <f t="shared" si="7"/>
        <v>6.751367430213488E-6</v>
      </c>
      <c r="U193" s="5"/>
      <c r="V193" s="5">
        <f>-2.0975016544102*10^(-1)</f>
        <v>-0.20975016544102001</v>
      </c>
      <c r="W193" s="5">
        <f>-2.09097681135805*10^(-1)</f>
        <v>-0.20909768113580501</v>
      </c>
      <c r="X193" s="5">
        <f t="shared" si="8"/>
        <v>4.2573576855190242E-7</v>
      </c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4:45" x14ac:dyDescent="0.2">
      <c r="N194" s="5">
        <f>-1.03493414353049*10^(0)</f>
        <v>-1.03493414353049</v>
      </c>
      <c r="O194" s="5">
        <f>-1.02056525550351*10^(0)</f>
        <v>-1.0205652555035101</v>
      </c>
      <c r="P194" s="5">
        <f t="shared" si="6"/>
        <v>2.0646494313188594E-4</v>
      </c>
      <c r="Q194" s="5"/>
      <c r="R194" s="5">
        <f>-4.11761721248171*10^(-1)</f>
        <v>-0.41176172124817101</v>
      </c>
      <c r="S194" s="5">
        <f>-4.14353549951911*10^(-1)</f>
        <v>-0.41435354995191098</v>
      </c>
      <c r="T194" s="5">
        <f t="shared" si="7"/>
        <v>6.7175760295304307E-6</v>
      </c>
      <c r="U194" s="5"/>
      <c r="V194" s="5">
        <f>-2.11108648329286*10^(-1)</f>
        <v>-0.21110864832928602</v>
      </c>
      <c r="W194" s="5">
        <f>-2.10210407944466*10^(-1)</f>
        <v>-0.21021040794446599</v>
      </c>
      <c r="X194" s="5">
        <f t="shared" si="8"/>
        <v>8.068357889216384E-7</v>
      </c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4:45" x14ac:dyDescent="0.2">
      <c r="N195" s="5">
        <f>-1.04059174781286*10^(0)</f>
        <v>-1.0405917478128599</v>
      </c>
      <c r="O195" s="5">
        <f>-1.02592489092322*10^(0)</f>
        <v>-1.0259248909232199</v>
      </c>
      <c r="P195" s="5">
        <f t="shared" ref="P195:P199" si="9">(N195-O195)^2</f>
        <v>2.1511669102117971E-4</v>
      </c>
      <c r="Q195" s="5"/>
      <c r="R195" s="5">
        <f>-4.14268542586009*10^(-1)</f>
        <v>-0.41426854258600898</v>
      </c>
      <c r="S195" s="5">
        <f>-4.1650474903815*10^(-1)</f>
        <v>-0.41650474903815005</v>
      </c>
      <c r="T195" s="5">
        <f t="shared" ref="T195:T249" si="10">(R195 - S195)^2</f>
        <v>5.0006192965973299E-6</v>
      </c>
      <c r="U195" s="5"/>
      <c r="V195" s="5">
        <f>-2.1215489240882*10^(-1)</f>
        <v>-0.21215489240882002</v>
      </c>
      <c r="W195" s="5">
        <f>-2.11322023137933*10^(-1)</f>
        <v>-0.21132202313793302</v>
      </c>
      <c r="X195" s="5">
        <f t="shared" ref="X195" si="11">(V195-W195)^2</f>
        <v>6.9367122238783196E-7</v>
      </c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4:45" x14ac:dyDescent="0.2">
      <c r="N196" s="5">
        <f>-1.04696308992833*10^(0)</f>
        <v>-1.04696308992833</v>
      </c>
      <c r="O196" s="5">
        <f>-1.03128452634292*10^(0)</f>
        <v>-1.03128452634292</v>
      </c>
      <c r="P196" s="5">
        <f t="shared" si="9"/>
        <v>2.4581735610174375E-4</v>
      </c>
      <c r="Q196" s="5"/>
      <c r="R196" s="5">
        <f>-4.17127095542871*10^(-1)</f>
        <v>-0.41712709554287103</v>
      </c>
      <c r="S196" s="5">
        <f>-4.18658099323475*10^(-1)</f>
        <v>-0.41865809932347497</v>
      </c>
      <c r="T196" s="5">
        <f t="shared" si="10"/>
        <v>2.3439725762235743E-6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4:45" x14ac:dyDescent="0.2">
      <c r="N197" s="5">
        <f>-1.0529465251657*10^(0)</f>
        <v>-1.0529465251657</v>
      </c>
      <c r="O197" s="5">
        <f>-1.03664952139804*10^(0)</f>
        <v>-1.03664952139804</v>
      </c>
      <c r="P197" s="5">
        <f t="shared" si="9"/>
        <v>2.6559233180312316E-4</v>
      </c>
      <c r="Q197" s="5"/>
      <c r="R197" s="5">
        <f>-4.20092843354561*10^(-1)</f>
        <v>-0.42009284335456104</v>
      </c>
      <c r="S197" s="5">
        <f>-4.20813600807886*10^(-1)</f>
        <v>-0.42081360080788599</v>
      </c>
      <c r="T197" s="5">
        <f t="shared" si="10"/>
        <v>5.1949130652346665E-7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4:45" x14ac:dyDescent="0.2">
      <c r="N198" s="5">
        <f>-1.05905223274374*10^(0)</f>
        <v>-1.0590522327437399</v>
      </c>
      <c r="O198" s="5">
        <f>-1.04200379718232*10^(0)</f>
        <v>-1.0420037971823199</v>
      </c>
      <c r="P198" s="5">
        <f t="shared" si="9"/>
        <v>2.9064915509188988E-4</v>
      </c>
      <c r="Q198" s="5"/>
      <c r="R198" s="5">
        <f>-4.21876523161554*10^(-1)</f>
        <v>-0.42187652316155405</v>
      </c>
      <c r="S198" s="5">
        <f>-4.22960497495952*10^(-1)</f>
        <v>-0.42296049749595205</v>
      </c>
      <c r="T198" s="5">
        <f t="shared" si="10"/>
        <v>1.1750003576335803E-6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4:45" x14ac:dyDescent="0.2">
      <c r="N199" s="5">
        <f>-1.06554267134752*10^(0)</f>
        <v>-1.06554267134752</v>
      </c>
      <c r="O199" s="5">
        <f>-1.04736343260203*10^(0)</f>
        <v>-1.04736343260203</v>
      </c>
      <c r="P199" s="5">
        <f t="shared" si="9"/>
        <v>3.3048472136552447E-4</v>
      </c>
      <c r="Q199" s="5"/>
      <c r="R199" s="5">
        <f>-4.23862128182258*10^(-1)</f>
        <v>-0.42386212818225799</v>
      </c>
      <c r="S199" s="5">
        <f>-4.25109545383104*10^(-1)</f>
        <v>-0.42510954538310397</v>
      </c>
      <c r="T199" s="5">
        <f t="shared" si="10"/>
        <v>1.5560496729664184E-6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4:45" x14ac:dyDescent="0.2">
      <c r="N200" s="5">
        <f>-1.07085280352051*10^(0)</f>
        <v>-1.07085280352051</v>
      </c>
      <c r="O200" s="5">
        <f>-1.05272306802173*10^(0)</f>
        <v>-1.0527230680217301</v>
      </c>
      <c r="P200" s="5">
        <f>(N200-O200)^2</f>
        <v>3.286873092557216E-4</v>
      </c>
      <c r="Q200" s="5"/>
      <c r="R200" s="5">
        <f>-4.26250070215444*10^(-1)</f>
        <v>-0.42625007021544398</v>
      </c>
      <c r="S200" s="5">
        <f>-4.27260744469342*10^(-1)</f>
        <v>-0.42726074446934198</v>
      </c>
      <c r="T200" s="5">
        <f t="shared" si="10"/>
        <v>1.0214624474922849E-6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4:45" x14ac:dyDescent="0.2">
      <c r="N201" s="5"/>
      <c r="O201" s="5"/>
      <c r="P201" s="5"/>
      <c r="Q201" s="5"/>
      <c r="R201" s="5">
        <f>-4.29143128897306*10^(-1)</f>
        <v>-0.42914312889730599</v>
      </c>
      <c r="S201" s="5">
        <f>-4.29411943555581*10^(-1)</f>
        <v>-0.42941194355558104</v>
      </c>
      <c r="T201" s="5">
        <f t="shared" si="10"/>
        <v>7.2261320503532815E-8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4:45" ht="18" x14ac:dyDescent="0.2">
      <c r="N202" s="4"/>
      <c r="O202" s="4"/>
      <c r="P202" s="5"/>
      <c r="Q202" s="4"/>
      <c r="R202" s="4">
        <f>-4.30943039387733*10^(-1)</f>
        <v>-0.43094303938773298</v>
      </c>
      <c r="S202" s="5">
        <f>-4.31563142641819*10^(-1)</f>
        <v>-0.43156314264181905</v>
      </c>
      <c r="T202" s="5">
        <f t="shared" si="10"/>
        <v>3.8452804572813119E-7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4:45" ht="18" x14ac:dyDescent="0.2">
      <c r="N203" s="4"/>
      <c r="O203" s="4"/>
      <c r="P203" s="4"/>
      <c r="Q203" s="4"/>
      <c r="R203" s="4">
        <f>-4.33398134941621*10^(-1)</f>
        <v>-0.43339813494162105</v>
      </c>
      <c r="S203" s="5">
        <f>-4.33716492927144*10^(-1)</f>
        <v>-0.43371649292714398</v>
      </c>
      <c r="T203" s="5">
        <f t="shared" si="10"/>
        <v>1.0135180694621962E-7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4:45" ht="18" x14ac:dyDescent="0.2">
      <c r="N204" s="4"/>
      <c r="O204" s="4"/>
      <c r="P204" s="4"/>
      <c r="Q204" s="4"/>
      <c r="R204" s="4">
        <f>-4.35557583363961*10^(-1)</f>
        <v>-0.435557583363961</v>
      </c>
      <c r="S204" s="5">
        <f>-4.35867692013382*10^(-1)</f>
        <v>-0.43586769201338199</v>
      </c>
      <c r="T204" s="5">
        <f t="shared" si="10"/>
        <v>9.6167374445712082E-8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4:45" ht="18" x14ac:dyDescent="0.2">
      <c r="N205" s="4"/>
      <c r="O205" s="4"/>
      <c r="P205" s="4"/>
      <c r="Q205" s="4"/>
      <c r="R205" s="4">
        <f>-4.37822475994835*10^(-1)</f>
        <v>-0.43782247599483504</v>
      </c>
      <c r="S205" s="5">
        <f>-4.38016739900535*10^(-1)</f>
        <v>-0.43801673990053502</v>
      </c>
      <c r="T205" s="5">
        <f t="shared" si="10"/>
        <v>3.7738465057813562E-8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4:45" ht="18" x14ac:dyDescent="0.2">
      <c r="N206" s="4"/>
      <c r="O206" s="4"/>
      <c r="P206" s="4"/>
      <c r="Q206" s="4"/>
      <c r="R206" s="4">
        <f>-4.40193520112324*10^(-1)</f>
        <v>-0.44019352011232399</v>
      </c>
      <c r="S206" s="5">
        <f>-4.40167938986773*10^(-1)</f>
        <v>-0.44016793898677298</v>
      </c>
      <c r="T206" s="5">
        <f t="shared" si="10"/>
        <v>6.5439398445657627E-10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4:45" ht="18" x14ac:dyDescent="0.2">
      <c r="N207" s="4"/>
      <c r="O207" s="4"/>
      <c r="P207" s="4"/>
      <c r="Q207" s="4"/>
      <c r="R207" s="4">
        <f>-4.42266478864603*10^(-1)</f>
        <v>-0.44226647886460307</v>
      </c>
      <c r="S207" s="5">
        <f>-4.42319138073012*10^(-1)</f>
        <v>-0.44231913807301204</v>
      </c>
      <c r="T207" s="5">
        <f t="shared" si="10"/>
        <v>2.7729922302590425E-9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4:45" ht="18" x14ac:dyDescent="0.2">
      <c r="N208" s="4"/>
      <c r="O208" s="4"/>
      <c r="P208" s="4"/>
      <c r="Q208" s="4"/>
      <c r="R208" s="4">
        <f>-4.44648095942093*10^(-1)</f>
        <v>-0.44464809594209298</v>
      </c>
      <c r="S208" s="5">
        <f>-4.4447033715925*10^(-1)</f>
        <v>-0.44447033715925005</v>
      </c>
      <c r="T208" s="5">
        <f t="shared" si="10"/>
        <v>3.1598184877799753E-8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4:45" ht="18" x14ac:dyDescent="0.2">
      <c r="N209" s="4"/>
      <c r="O209" s="4"/>
      <c r="P209" s="4"/>
      <c r="Q209" s="4"/>
      <c r="R209" s="4">
        <f>-4.46628646572994*10^(-1)</f>
        <v>-0.44662864657299406</v>
      </c>
      <c r="S209" s="5">
        <f>-4.46621536245489*10^(-1)</f>
        <v>-0.44662153624548906</v>
      </c>
      <c r="T209" s="5">
        <f t="shared" si="10"/>
        <v>5.0556757228358931E-11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4:45" ht="18" x14ac:dyDescent="0.2">
      <c r="N210" s="4"/>
      <c r="O210" s="4"/>
      <c r="P210" s="4"/>
      <c r="Q210" s="4"/>
      <c r="R210" s="4">
        <f>-4.48867833259228*10^(-1)</f>
        <v>-0.44886783325922802</v>
      </c>
      <c r="S210" s="5">
        <f>-4.48774886530813*10^(-1)</f>
        <v>-0.44877488653081299</v>
      </c>
      <c r="T210" s="5">
        <f t="shared" si="10"/>
        <v>8.6390943230579316E-9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4:45" ht="18" x14ac:dyDescent="0.2">
      <c r="N211" s="4"/>
      <c r="O211" s="4"/>
      <c r="P211" s="4"/>
      <c r="Q211" s="4"/>
      <c r="R211" s="4">
        <f>-4.51316314384521*10^(-1)</f>
        <v>-0.45131631438452102</v>
      </c>
      <c r="S211" s="5">
        <f>-4.50923934417966*10^(-1)</f>
        <v>-0.45092393441796602</v>
      </c>
      <c r="T211" s="5">
        <f t="shared" si="10"/>
        <v>1.5396203815370368E-7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4:45" ht="18" x14ac:dyDescent="0.2">
      <c r="N212" s="4"/>
      <c r="O212" s="4"/>
      <c r="P212" s="4"/>
      <c r="Q212" s="4"/>
      <c r="R212" s="4">
        <f>-4.53156617531446*10^(-1)</f>
        <v>-0.45315661753144598</v>
      </c>
      <c r="S212" s="5">
        <f>-4.53075133504204*10^(-1)</f>
        <v>-0.45307513350420403</v>
      </c>
      <c r="T212" s="5">
        <f t="shared" si="10"/>
        <v>6.6396466955670896E-9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4:45" ht="18" x14ac:dyDescent="0.2">
      <c r="N213" s="4"/>
      <c r="O213" s="4"/>
      <c r="P213" s="4"/>
      <c r="Q213" s="4"/>
      <c r="R213" s="4">
        <f>-4.55256651596444*10^(-1)</f>
        <v>-0.45525665159644402</v>
      </c>
      <c r="S213" s="5">
        <f>-4.55226332590443*10^(-1)</f>
        <v>-0.45522633259044298</v>
      </c>
      <c r="T213" s="5">
        <f t="shared" si="10"/>
        <v>9.1924212489072828E-10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4:45" ht="18" x14ac:dyDescent="0.2">
      <c r="N214" s="4"/>
      <c r="O214" s="4"/>
      <c r="P214" s="4"/>
      <c r="Q214" s="4"/>
      <c r="R214" s="4">
        <f>-4.56898772353401*10^(-1)</f>
        <v>-0.45689877235340104</v>
      </c>
      <c r="S214" s="5">
        <f>-4.57377531676681*10^(-1)</f>
        <v>-0.45737753167668099</v>
      </c>
      <c r="T214" s="5">
        <f t="shared" si="10"/>
        <v>2.2921048962747915E-7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4:45" ht="18" x14ac:dyDescent="0.2">
      <c r="N215" s="4"/>
      <c r="O215" s="4"/>
      <c r="P215" s="4"/>
      <c r="Q215" s="4"/>
      <c r="R215" s="4">
        <f>-4.59212576506746*10^(-1)</f>
        <v>-0.45921257650674607</v>
      </c>
      <c r="S215" s="5">
        <f>-4.59530881962006*10^(-1)</f>
        <v>-0.45953088196200603</v>
      </c>
      <c r="T215" s="5">
        <f t="shared" si="10"/>
        <v>1.0131836284825012E-7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4:45" ht="18" x14ac:dyDescent="0.2">
      <c r="N216" s="4"/>
      <c r="O216" s="4"/>
      <c r="P216" s="4"/>
      <c r="Q216" s="4"/>
      <c r="R216" s="4">
        <f>-4.61273795416469*10^(-1)</f>
        <v>-0.46127379541646896</v>
      </c>
      <c r="S216" s="5">
        <f>-4.61679929849158*10^(-1)</f>
        <v>-0.46167992984915807</v>
      </c>
      <c r="T216" s="5">
        <f t="shared" si="10"/>
        <v>1.6494517741570459E-7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4:45" ht="18" x14ac:dyDescent="0.2">
      <c r="N217" s="4"/>
      <c r="O217" s="4"/>
      <c r="P217" s="4"/>
      <c r="Q217" s="4"/>
      <c r="R217" s="4">
        <f>-4.62615869638454*10^(-1)</f>
        <v>-0.46261586963845397</v>
      </c>
      <c r="S217" s="5">
        <f>-4.63831128935396*10^(-1)</f>
        <v>-0.46383112893539602</v>
      </c>
      <c r="T217" s="5">
        <f t="shared" si="10"/>
        <v>1.4768551588040871E-6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4:45" ht="18" x14ac:dyDescent="0.2">
      <c r="N218" s="4"/>
      <c r="O218" s="4"/>
      <c r="P218" s="4"/>
      <c r="Q218" s="4"/>
      <c r="R218" s="4">
        <f>-4.63959747444471*10^(-1)</f>
        <v>-0.46395974744447105</v>
      </c>
      <c r="S218" s="5">
        <f>-4.65982328021635*10^(-1)</f>
        <v>-0.46598232802163503</v>
      </c>
      <c r="T218" s="5">
        <f t="shared" si="10"/>
        <v>4.0908321911209761E-6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4:45" ht="18" x14ac:dyDescent="0.2">
      <c r="N219" s="4"/>
      <c r="O219" s="4"/>
      <c r="P219" s="4"/>
      <c r="Q219" s="4"/>
      <c r="R219" s="4">
        <f>-4.66601072749417*10^(-1)</f>
        <v>-0.46660107274941698</v>
      </c>
      <c r="S219" s="5">
        <f>-4.68133527107873*10^(-1)</f>
        <v>-0.46813352710787304</v>
      </c>
      <c r="T219" s="5">
        <f t="shared" si="10"/>
        <v>2.3484163607509717E-6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4:45" ht="18" x14ac:dyDescent="0.2">
      <c r="N220" s="4"/>
      <c r="O220" s="4"/>
      <c r="P220" s="4"/>
      <c r="Q220" s="4"/>
      <c r="R220" s="4">
        <f>-4.68469747053898*10^(-1)</f>
        <v>-0.46846974705389804</v>
      </c>
      <c r="S220" s="5">
        <f>-4.70284726194112*10^(-1)</f>
        <v>-0.47028472619411199</v>
      </c>
      <c r="T220" s="5">
        <f t="shared" si="10"/>
        <v>3.2941492794117542E-6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4:45" ht="18" x14ac:dyDescent="0.2">
      <c r="N221" s="4"/>
      <c r="O221" s="4"/>
      <c r="P221" s="4"/>
      <c r="Q221" s="4"/>
      <c r="R221" s="4">
        <f>-4.70862590476106*10^(-1)</f>
        <v>-0.47086259047610607</v>
      </c>
      <c r="S221" s="5">
        <f>-4.7243592528035*10^(-1)</f>
        <v>-0.47243592528035</v>
      </c>
      <c r="T221" s="5">
        <f t="shared" si="10"/>
        <v>2.4753824062452889E-6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4:45" ht="18" x14ac:dyDescent="0.2">
      <c r="N222" s="4"/>
      <c r="O222" s="4"/>
      <c r="P222" s="4"/>
      <c r="Q222" s="4"/>
      <c r="R222" s="4">
        <f>-4.72947988239323*10^(-1)</f>
        <v>-0.47294798823932305</v>
      </c>
      <c r="S222" s="5">
        <f>-4.74589275565675*10^(-1)</f>
        <v>-0.47458927556567504</v>
      </c>
      <c r="T222" s="5">
        <f t="shared" si="10"/>
        <v>2.6938240876436711E-6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4:45" ht="18" x14ac:dyDescent="0.2">
      <c r="N223" s="4"/>
      <c r="O223" s="4"/>
      <c r="P223" s="4"/>
      <c r="Q223" s="4"/>
      <c r="R223" s="4">
        <f>-4.7509004386363*10^(-1)</f>
        <v>-0.47509004386363007</v>
      </c>
      <c r="S223" s="5">
        <f>-4.76740474651914*10^(-1)</f>
        <v>-0.47674047465191399</v>
      </c>
      <c r="T223" s="5">
        <f t="shared" si="10"/>
        <v>2.7239217869154769E-6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4:45" ht="18" x14ac:dyDescent="0.2">
      <c r="N224" s="4"/>
      <c r="O224" s="4"/>
      <c r="P224" s="4"/>
      <c r="Q224" s="4"/>
      <c r="R224" s="4">
        <f>-4.76869869491823*10^(-1)</f>
        <v>-0.47686986949182303</v>
      </c>
      <c r="S224" s="5">
        <f>-4.78891673738152*10^(-1)</f>
        <v>-0.478891673738152</v>
      </c>
      <c r="T224" s="5">
        <f t="shared" si="10"/>
        <v>4.0876924104738676E-6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4:45" ht="18" x14ac:dyDescent="0.2">
      <c r="N225" s="4"/>
      <c r="O225" s="4"/>
      <c r="P225" s="4"/>
      <c r="Q225" s="4"/>
      <c r="R225" s="4">
        <f>-4.79387969657772*10^(-1)</f>
        <v>-0.47938796965777208</v>
      </c>
      <c r="S225" s="5">
        <f>-4.81040721625304*10^(-1)</f>
        <v>-0.48104072162530404</v>
      </c>
      <c r="T225" s="5">
        <f t="shared" si="10"/>
        <v>2.7315890661807363E-6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4:45" ht="18" x14ac:dyDescent="0.2">
      <c r="N226" s="4"/>
      <c r="O226" s="4"/>
      <c r="P226" s="4"/>
      <c r="Q226" s="4"/>
      <c r="R226" s="4">
        <f>-4.81438605284482*10^(-1)</f>
        <v>-0.48143860528448201</v>
      </c>
      <c r="S226" s="5">
        <f>-4.83191920711543*10^(-1)</f>
        <v>-0.48319192071154299</v>
      </c>
      <c r="T226" s="5">
        <f t="shared" si="10"/>
        <v>3.07411498677001E-6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4:45" ht="18" x14ac:dyDescent="0.2">
      <c r="N227" s="4"/>
      <c r="O227" s="4"/>
      <c r="P227" s="4"/>
      <c r="Q227" s="4"/>
      <c r="R227" s="4">
        <f>-4.83440713434819*10^(-1)</f>
        <v>-0.48344071343481904</v>
      </c>
      <c r="S227" s="5">
        <f>-4.85345270996867*10^(-1)</f>
        <v>-0.48534527099686708</v>
      </c>
      <c r="T227" s="5">
        <f t="shared" si="10"/>
        <v>3.6273395071544046E-6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4:45" ht="18" x14ac:dyDescent="0.2">
      <c r="N228" s="4"/>
      <c r="O228" s="4"/>
      <c r="P228" s="4"/>
      <c r="Q228" s="4"/>
      <c r="R228" s="4">
        <f>-4.85711101695906*10^(-1)</f>
        <v>-0.48571110169590598</v>
      </c>
      <c r="S228" s="5">
        <f>-4.8749431888402*10^(-1)</f>
        <v>-0.48749431888402006</v>
      </c>
      <c r="T228" s="5">
        <f t="shared" si="10"/>
        <v>3.1798635399854985E-6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4:45" ht="18" x14ac:dyDescent="0.2">
      <c r="N229" s="4"/>
      <c r="O229" s="4"/>
      <c r="P229" s="4"/>
      <c r="Q229" s="4"/>
      <c r="R229" s="4">
        <f>-4.87880701700288*10^(-1)</f>
        <v>-0.48788070170028802</v>
      </c>
      <c r="S229" s="5">
        <f>-4.89645517970258*10^(-1)</f>
        <v>-0.48964551797025807</v>
      </c>
      <c r="T229" s="5">
        <f t="shared" si="10"/>
        <v>3.1145764667509957E-6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4:45" ht="18" x14ac:dyDescent="0.2">
      <c r="N230" s="4"/>
      <c r="O230" s="4"/>
      <c r="P230" s="4"/>
      <c r="Q230" s="4"/>
      <c r="R230" s="4">
        <f>-4.90320503483381*10^(-1)</f>
        <v>-0.49032050348338108</v>
      </c>
      <c r="S230" s="5">
        <f>-4.91796717056497*10^(-1)</f>
        <v>-0.49179671705649702</v>
      </c>
      <c r="T230" s="5">
        <f t="shared" si="10"/>
        <v>2.1792065134517532E-6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4:45" ht="18" x14ac:dyDescent="0.2">
      <c r="N231" s="4"/>
      <c r="O231" s="4"/>
      <c r="P231" s="4"/>
      <c r="Q231" s="4"/>
      <c r="R231" s="4">
        <f>-4.93032477706768*10^(-1)</f>
        <v>-0.49303247770676806</v>
      </c>
      <c r="S231" s="5">
        <f>-4.93947916142735*10^(-1)</f>
        <v>-0.49394791614273503</v>
      </c>
      <c r="T231" s="5">
        <f t="shared" si="10"/>
        <v>8.3802753004566204E-7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4:45" ht="18" x14ac:dyDescent="0.2">
      <c r="N232" s="4"/>
      <c r="O232" s="4"/>
      <c r="P232" s="4"/>
      <c r="Q232" s="4"/>
      <c r="R232" s="4">
        <f>-4.95431519241235*10^(-1)</f>
        <v>-0.49543151924123507</v>
      </c>
      <c r="S232" s="5">
        <f>-4.9610126642806*10^(-1)</f>
        <v>-0.49610126642805996</v>
      </c>
      <c r="T232" s="5">
        <f t="shared" si="10"/>
        <v>4.4856129425985036E-7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4:45" ht="18" x14ac:dyDescent="0.2">
      <c r="N233" s="4"/>
      <c r="O233" s="4"/>
      <c r="P233" s="4"/>
      <c r="Q233" s="4"/>
      <c r="R233" s="4">
        <f>-4.97354904992062*10^(-1)</f>
        <v>-0.49735490499206203</v>
      </c>
      <c r="S233" s="5">
        <f>-4.98250314315212*10^(-1)</f>
        <v>-0.498250314315212</v>
      </c>
      <c r="T233" s="5">
        <f t="shared" si="10"/>
        <v>8.0175785598387832E-7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4:45" ht="18" x14ac:dyDescent="0.2">
      <c r="N234" s="4"/>
      <c r="O234" s="4"/>
      <c r="P234" s="4"/>
      <c r="Q234" s="4"/>
      <c r="R234" s="4">
        <f>-5.00193305612383*10^(-1)</f>
        <v>-0.50019330561238307</v>
      </c>
      <c r="S234" s="5">
        <f>-5.00401513401451*10^(-1)</f>
        <v>-0.500401513401451</v>
      </c>
      <c r="T234" s="5">
        <f t="shared" si="10"/>
        <v>4.3350483428558926E-8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4:45" ht="18" x14ac:dyDescent="0.2">
      <c r="N235" s="4"/>
      <c r="O235" s="4"/>
      <c r="P235" s="4"/>
      <c r="Q235" s="4"/>
      <c r="R235" s="4">
        <f>-5.02932224109852*10^(-1)</f>
        <v>-0.50293222410985206</v>
      </c>
      <c r="S235" s="5">
        <f>-5.02552712487689*10^(-1)</f>
        <v>-0.50255271248768896</v>
      </c>
      <c r="T235" s="5">
        <f t="shared" si="10"/>
        <v>1.4402907135686596E-7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4:45" ht="18" x14ac:dyDescent="0.2">
      <c r="N236" s="4"/>
      <c r="O236" s="4"/>
      <c r="P236" s="4"/>
      <c r="Q236" s="4"/>
      <c r="R236" s="4">
        <f>-5.05732592141639*10^(-1)</f>
        <v>-0.50573259214163901</v>
      </c>
      <c r="S236" s="5">
        <f>-5.04706062773014*10^(-1)</f>
        <v>-0.504706062773014</v>
      </c>
      <c r="T236" s="5">
        <f t="shared" si="10"/>
        <v>1.0537625446496773E-6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4:45" ht="18" x14ac:dyDescent="0.2">
      <c r="N237" s="4"/>
      <c r="O237" s="4"/>
      <c r="P237" s="4"/>
      <c r="Q237" s="4"/>
      <c r="R237" s="4">
        <f>-5.07405781035564*10^(-1)</f>
        <v>-0.507405781035564</v>
      </c>
      <c r="S237" s="5">
        <f>-5.06855110660166*10^(-1)</f>
        <v>-0.50685511066016609</v>
      </c>
      <c r="T237" s="5">
        <f t="shared" si="10"/>
        <v>3.0323786234087547E-7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4:45" ht="18" x14ac:dyDescent="0.2">
      <c r="N238" s="4"/>
      <c r="O238" s="4"/>
      <c r="P238" s="4"/>
      <c r="Q238" s="4"/>
      <c r="R238" s="4">
        <f>-5.09893748136449*10^(-1)</f>
        <v>-0.50989374813644905</v>
      </c>
      <c r="S238" s="5">
        <f>-5.09006309746404*10^(-1)</f>
        <v>-0.50900630974640404</v>
      </c>
      <c r="T238" s="5">
        <f t="shared" si="10"/>
        <v>7.8754689612568725E-7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4:45" ht="18" x14ac:dyDescent="0.2">
      <c r="N239" s="4"/>
      <c r="O239" s="4"/>
      <c r="P239" s="4"/>
      <c r="Q239" s="4"/>
      <c r="R239" s="4">
        <f>-5.12387920659724*10^(-1)</f>
        <v>-0.51238792065972405</v>
      </c>
      <c r="S239" s="5">
        <f>-5.11159660031729*10^(-1)</f>
        <v>-0.51115966003172897</v>
      </c>
      <c r="T239" s="5">
        <f t="shared" si="10"/>
        <v>1.5086241702828718E-6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4:45" ht="18" x14ac:dyDescent="0.2">
      <c r="N240" s="4"/>
      <c r="O240" s="4"/>
      <c r="P240" s="4"/>
      <c r="Q240" s="4"/>
      <c r="R240" s="4">
        <f>-5.14072291728169*10^(-1)</f>
        <v>-0.51407229172816904</v>
      </c>
      <c r="S240" s="5">
        <f>-5.13308707918881*10^(-1)</f>
        <v>-0.51330870791888106</v>
      </c>
      <c r="T240" s="5">
        <f t="shared" si="10"/>
        <v>5.8306023380674545E-7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4:45" ht="18" x14ac:dyDescent="0.2">
      <c r="N241" s="4"/>
      <c r="O241" s="4"/>
      <c r="P241" s="4"/>
      <c r="Q241" s="4"/>
      <c r="R241" s="4">
        <f>-5.1646789367964*10^(-1)</f>
        <v>-0.51646789367963997</v>
      </c>
      <c r="S241" s="5">
        <f>-5.1545990700512*10^(-1)</f>
        <v>-0.51545990700512001</v>
      </c>
      <c r="T241" s="5">
        <f t="shared" si="10"/>
        <v>1.0160371360098001E-6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4:45" ht="18" x14ac:dyDescent="0.2">
      <c r="N242" s="4"/>
      <c r="O242" s="4"/>
      <c r="P242" s="4"/>
      <c r="Q242" s="4"/>
      <c r="R242" s="4">
        <f>-5.19087839504456*10^(-1)</f>
        <v>-0.51908783950445603</v>
      </c>
      <c r="S242" s="5">
        <f>-5.17611106091358*10^(-1)</f>
        <v>-0.51761110609135796</v>
      </c>
      <c r="T242" s="5">
        <f t="shared" si="10"/>
        <v>2.1807415733602563E-6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4:45" ht="18" x14ac:dyDescent="0.2">
      <c r="N243" s="4"/>
      <c r="O243" s="4"/>
      <c r="P243" s="4"/>
      <c r="Q243" s="4"/>
      <c r="R243" s="4">
        <f>-5.21385936379285*10^(-1)</f>
        <v>-0.5213859363792851</v>
      </c>
      <c r="S243" s="5">
        <f>-5.19764456376683*10^(-1)</f>
        <v>-0.519764456376683</v>
      </c>
      <c r="T243" s="5">
        <f t="shared" si="10"/>
        <v>2.6291973988384858E-6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4:45" ht="18" x14ac:dyDescent="0.2">
      <c r="N244" s="4"/>
      <c r="O244" s="4"/>
      <c r="P244" s="4"/>
      <c r="Q244" s="4"/>
      <c r="R244" s="4">
        <f>-5.23414835164267*10^(-1)</f>
        <v>-0.52341483516426701</v>
      </c>
      <c r="S244" s="5">
        <f>-5.21913504263835*10^(-1)</f>
        <v>-0.52191350426383509</v>
      </c>
      <c r="T244" s="5">
        <f t="shared" si="10"/>
        <v>2.2539944725917154E-6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4:45" ht="18" x14ac:dyDescent="0.2">
      <c r="N245" s="4"/>
      <c r="O245" s="4"/>
      <c r="P245" s="4"/>
      <c r="Q245" s="4"/>
      <c r="R245" s="4">
        <f>-5.25777928067302*10^(-1)</f>
        <v>-0.52577792806730206</v>
      </c>
      <c r="S245" s="5">
        <f>-5.24064703350074*10^(-1)</f>
        <v>-0.52406470335007405</v>
      </c>
      <c r="T245" s="5">
        <f t="shared" si="10"/>
        <v>2.9351389317210029E-6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4:45" ht="18" x14ac:dyDescent="0.2">
      <c r="N246" s="4"/>
      <c r="O246" s="4"/>
      <c r="P246" s="4"/>
      <c r="Q246" s="4"/>
      <c r="R246" s="4">
        <f>-5.27209488712622*10^(-1)</f>
        <v>-0.52720948871262197</v>
      </c>
      <c r="S246" s="5">
        <f>-5.26218053635398*10^(-1)</f>
        <v>-0.52621805363539798</v>
      </c>
      <c r="T246" s="5">
        <f t="shared" si="10"/>
        <v>9.8294351235013888E-7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4:45" x14ac:dyDescent="0.2">
      <c r="N247" s="5"/>
      <c r="O247" s="5"/>
      <c r="P247" s="5"/>
      <c r="Q247" s="5"/>
      <c r="R247" s="5">
        <f>-5.29360679591563*10^(-1)</f>
        <v>-0.52936067959156297</v>
      </c>
      <c r="S247" s="5">
        <f>-5.28367101522551*10^(-1)</f>
        <v>-0.52836710152255095</v>
      </c>
      <c r="T247" s="5">
        <f t="shared" si="10"/>
        <v>9.8719737922164096E-7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4:45" x14ac:dyDescent="0.2">
      <c r="N248" s="5"/>
      <c r="O248" s="5"/>
      <c r="P248" s="5"/>
      <c r="Q248" s="5"/>
      <c r="R248" s="5">
        <f>-5.30797382054526*10^(-1)</f>
        <v>-0.53079738205452598</v>
      </c>
      <c r="S248" s="5">
        <f>-5.30520451807875*10^(-1)</f>
        <v>-0.5305204518078751</v>
      </c>
      <c r="T248" s="5">
        <f t="shared" si="10"/>
        <v>7.6690361510114442E-8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4:45" x14ac:dyDescent="0.2">
      <c r="N249" s="5"/>
      <c r="O249" s="5"/>
      <c r="P249" s="5"/>
      <c r="Q249" s="5"/>
      <c r="R249" s="5">
        <f>-5.33233436852408*10^(-1)</f>
        <v>-0.53323343685240798</v>
      </c>
      <c r="S249" s="5">
        <f>-5.32669499695028*10^(-1)</f>
        <v>-0.53266949969502808</v>
      </c>
      <c r="T249" s="5">
        <f t="shared" si="10"/>
        <v>3.1802511747372352E-7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4:45" x14ac:dyDescent="0.2">
      <c r="N250" s="5"/>
      <c r="O250" s="5"/>
      <c r="P250" s="5"/>
      <c r="Q250" s="5"/>
      <c r="R250" s="5">
        <f>-5.35175454386046*10^(-1)</f>
        <v>-0.53517545438604608</v>
      </c>
      <c r="S250" s="5">
        <f>-5.34820698781266*10^(-1)</f>
        <v>-0.53482069878126604</v>
      </c>
      <c r="T250" s="5">
        <f>(R250 - S250)^2</f>
        <v>1.2585153912285461E-7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4:45" x14ac:dyDescent="0.2"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4:45" x14ac:dyDescent="0.2"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4:45" x14ac:dyDescent="0.2"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4:45" x14ac:dyDescent="0.2"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4:45" x14ac:dyDescent="0.2"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4:45" x14ac:dyDescent="0.2"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4:45" x14ac:dyDescent="0.2"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4:45" x14ac:dyDescent="0.2"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4:45" x14ac:dyDescent="0.2"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4:45" x14ac:dyDescent="0.2"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4:45" x14ac:dyDescent="0.2"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4:45" x14ac:dyDescent="0.2"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4:45" x14ac:dyDescent="0.2"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4:45" x14ac:dyDescent="0.2"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4:45" x14ac:dyDescent="0.2"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4:45" x14ac:dyDescent="0.2"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4:45" x14ac:dyDescent="0.2"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4:45" x14ac:dyDescent="0.2"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4:45" x14ac:dyDescent="0.2"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4:45" x14ac:dyDescent="0.2"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4:45" x14ac:dyDescent="0.2"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4:45" x14ac:dyDescent="0.2"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4:45" x14ac:dyDescent="0.2"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4:45" x14ac:dyDescent="0.2"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4:45" x14ac:dyDescent="0.2"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4:45" x14ac:dyDescent="0.2"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4:45" x14ac:dyDescent="0.2"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4:45" x14ac:dyDescent="0.2"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4:45" x14ac:dyDescent="0.2"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4:45" x14ac:dyDescent="0.2"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4:45" x14ac:dyDescent="0.2"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4:45" x14ac:dyDescent="0.2"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4:45" x14ac:dyDescent="0.2"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4:45" x14ac:dyDescent="0.2"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4:45" x14ac:dyDescent="0.2"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4:45" x14ac:dyDescent="0.2"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4:45" x14ac:dyDescent="0.2"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4:45" x14ac:dyDescent="0.2"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4:45" x14ac:dyDescent="0.2"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4:45" x14ac:dyDescent="0.2"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4:45" x14ac:dyDescent="0.2"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4:45" x14ac:dyDescent="0.2"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4:45" x14ac:dyDescent="0.2"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4:45" x14ac:dyDescent="0.2"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4:45" x14ac:dyDescent="0.2"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4:45" x14ac:dyDescent="0.2"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4:45" x14ac:dyDescent="0.2"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4:45" x14ac:dyDescent="0.2"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4:45" x14ac:dyDescent="0.2"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4:45" x14ac:dyDescent="0.2"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4:45" x14ac:dyDescent="0.2"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4:45" x14ac:dyDescent="0.2"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4:45" x14ac:dyDescent="0.2"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4:45" x14ac:dyDescent="0.2"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4:45" x14ac:dyDescent="0.2"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4:45" x14ac:dyDescent="0.2"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4:45" x14ac:dyDescent="0.2"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4:45" x14ac:dyDescent="0.2"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4:45" x14ac:dyDescent="0.2"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4:45" x14ac:dyDescent="0.2"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4:45" x14ac:dyDescent="0.2"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4:45" x14ac:dyDescent="0.2"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4:45" x14ac:dyDescent="0.2"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4:45" x14ac:dyDescent="0.2"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4:45" x14ac:dyDescent="0.2"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4:45" x14ac:dyDescent="0.2"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4:45" x14ac:dyDescent="0.2"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4:45" x14ac:dyDescent="0.2"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4:45" x14ac:dyDescent="0.2"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4:45" x14ac:dyDescent="0.2"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4:45" x14ac:dyDescent="0.2"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4:45" x14ac:dyDescent="0.2"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4:45" x14ac:dyDescent="0.2"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4:45" x14ac:dyDescent="0.2"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4:45" x14ac:dyDescent="0.2"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4:45" x14ac:dyDescent="0.2"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4:45" x14ac:dyDescent="0.2"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4:45" x14ac:dyDescent="0.2"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4:45" x14ac:dyDescent="0.2"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4:45" x14ac:dyDescent="0.2"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4:45" x14ac:dyDescent="0.2"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4:45" x14ac:dyDescent="0.2"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4:45" x14ac:dyDescent="0.2"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4:45" x14ac:dyDescent="0.2"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4:45" x14ac:dyDescent="0.2"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4:45" x14ac:dyDescent="0.2"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4:45" x14ac:dyDescent="0.2"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4:45" x14ac:dyDescent="0.2"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4:45" x14ac:dyDescent="0.2"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4:45" x14ac:dyDescent="0.2"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4:45" x14ac:dyDescent="0.2"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4:45" x14ac:dyDescent="0.2"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4:45" x14ac:dyDescent="0.2"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4:45" x14ac:dyDescent="0.2"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4:45" x14ac:dyDescent="0.2"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4:45" x14ac:dyDescent="0.2"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4:45" x14ac:dyDescent="0.2"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4:45" x14ac:dyDescent="0.2"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4:45" x14ac:dyDescent="0.2"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4:45" x14ac:dyDescent="0.2"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4:45" x14ac:dyDescent="0.2"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4:45" x14ac:dyDescent="0.2"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4:45" x14ac:dyDescent="0.2"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4:45" x14ac:dyDescent="0.2"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4:45" x14ac:dyDescent="0.2"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4:45" x14ac:dyDescent="0.2"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4:45" x14ac:dyDescent="0.2"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4:45" x14ac:dyDescent="0.2"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4:45" x14ac:dyDescent="0.2"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4:45" x14ac:dyDescent="0.2"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4:45" x14ac:dyDescent="0.2"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4:45" x14ac:dyDescent="0.2"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4:45" x14ac:dyDescent="0.2"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4:45" x14ac:dyDescent="0.2"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4:45" x14ac:dyDescent="0.2"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4:45" x14ac:dyDescent="0.2"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4:45" x14ac:dyDescent="0.2"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4:45" x14ac:dyDescent="0.2"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4:45" x14ac:dyDescent="0.2"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4:45" x14ac:dyDescent="0.2"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4:45" x14ac:dyDescent="0.2"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4:45" x14ac:dyDescent="0.2"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4:45" x14ac:dyDescent="0.2"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4:45" x14ac:dyDescent="0.2"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4:45" x14ac:dyDescent="0.2"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4:45" x14ac:dyDescent="0.2"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4:45" x14ac:dyDescent="0.2"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4:45" x14ac:dyDescent="0.2"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4:45" x14ac:dyDescent="0.2"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4:45" x14ac:dyDescent="0.2"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4:45" x14ac:dyDescent="0.2"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4:45" x14ac:dyDescent="0.2"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4:45" x14ac:dyDescent="0.2"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4:45" x14ac:dyDescent="0.2"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4:45" x14ac:dyDescent="0.2"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4:45" x14ac:dyDescent="0.2"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4:45" x14ac:dyDescent="0.2"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4:45" x14ac:dyDescent="0.2"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4:45" x14ac:dyDescent="0.2"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4:45" x14ac:dyDescent="0.2"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4:45" x14ac:dyDescent="0.2"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4:45" x14ac:dyDescent="0.2"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4:45" x14ac:dyDescent="0.2"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4:45" x14ac:dyDescent="0.2"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4:45" x14ac:dyDescent="0.2"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4:45" x14ac:dyDescent="0.2"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4:45" x14ac:dyDescent="0.2"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4:45" x14ac:dyDescent="0.2"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4:45" x14ac:dyDescent="0.2"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4:45" x14ac:dyDescent="0.2"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4:45" x14ac:dyDescent="0.2"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4:45" ht="18" x14ac:dyDescent="0.2">
      <c r="N402" s="4"/>
      <c r="O402" s="4"/>
      <c r="P402" s="5">
        <f t="shared" ref="P402" si="12">(N402-O402)^2</f>
        <v>0</v>
      </c>
      <c r="Q402" s="4"/>
      <c r="R402" s="4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4:45" ht="18" x14ac:dyDescent="0.2">
      <c r="N403" s="4"/>
      <c r="O403" s="4"/>
      <c r="P403" s="4"/>
      <c r="Q403" s="4"/>
      <c r="R403" s="4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4:45" ht="18" x14ac:dyDescent="0.2">
      <c r="N404" s="4"/>
      <c r="O404" s="4"/>
      <c r="P404" s="4"/>
      <c r="Q404" s="4"/>
      <c r="R404" s="4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4:45" ht="18" x14ac:dyDescent="0.2">
      <c r="N405" s="4"/>
      <c r="O405" s="4"/>
      <c r="P405" s="4"/>
      <c r="Q405" s="4"/>
      <c r="R405" s="4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4:45" ht="18" x14ac:dyDescent="0.2">
      <c r="N406" s="4"/>
      <c r="O406" s="4"/>
      <c r="P406" s="4"/>
      <c r="Q406" s="4"/>
      <c r="R406" s="4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4:45" ht="18" x14ac:dyDescent="0.2">
      <c r="N407" s="4"/>
      <c r="O407" s="4"/>
      <c r="P407" s="4"/>
      <c r="Q407" s="4"/>
      <c r="R407" s="4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4:45" ht="18" x14ac:dyDescent="0.2">
      <c r="N408" s="4"/>
      <c r="O408" s="4"/>
      <c r="P408" s="4"/>
      <c r="Q408" s="4"/>
      <c r="R408" s="4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4:45" ht="18" x14ac:dyDescent="0.2">
      <c r="N409" s="4"/>
      <c r="O409" s="4"/>
      <c r="P409" s="4"/>
      <c r="Q409" s="4"/>
      <c r="R409" s="4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4:45" ht="18" x14ac:dyDescent="0.2">
      <c r="N410" s="4"/>
      <c r="O410" s="4"/>
      <c r="P410" s="4"/>
      <c r="Q410" s="4"/>
      <c r="R410" s="4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4:45" ht="18" x14ac:dyDescent="0.2">
      <c r="N411" s="4"/>
      <c r="O411" s="4"/>
      <c r="P411" s="4"/>
      <c r="Q411" s="4"/>
      <c r="R411" s="4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4:45" ht="18" x14ac:dyDescent="0.2">
      <c r="N412" s="4"/>
      <c r="O412" s="4"/>
      <c r="P412" s="4"/>
      <c r="Q412" s="4"/>
      <c r="R412" s="4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4:45" ht="18" x14ac:dyDescent="0.2">
      <c r="N413" s="4"/>
      <c r="O413" s="4"/>
      <c r="P413" s="4"/>
      <c r="Q413" s="4"/>
      <c r="R413" s="4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4:45" ht="18" x14ac:dyDescent="0.2">
      <c r="N414" s="4"/>
      <c r="O414" s="4"/>
      <c r="P414" s="4"/>
      <c r="Q414" s="4"/>
      <c r="R414" s="4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4:45" ht="18" x14ac:dyDescent="0.2">
      <c r="N415" s="4"/>
      <c r="O415" s="4"/>
      <c r="P415" s="4"/>
      <c r="Q415" s="4"/>
      <c r="R415" s="4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4:45" ht="18" x14ac:dyDescent="0.2">
      <c r="N416" s="4"/>
      <c r="O416" s="4"/>
      <c r="P416" s="4"/>
      <c r="Q416" s="4"/>
      <c r="R416" s="4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4:45" ht="18" x14ac:dyDescent="0.2">
      <c r="N417" s="4"/>
      <c r="O417" s="4"/>
      <c r="P417" s="4"/>
      <c r="Q417" s="4"/>
      <c r="R417" s="4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4:45" ht="18" x14ac:dyDescent="0.2">
      <c r="N418" s="4"/>
      <c r="O418" s="4"/>
      <c r="P418" s="4"/>
      <c r="Q418" s="4"/>
      <c r="R418" s="4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4:45" ht="18" x14ac:dyDescent="0.2">
      <c r="N419" s="4"/>
      <c r="O419" s="4"/>
      <c r="P419" s="4"/>
      <c r="Q419" s="4"/>
      <c r="R419" s="4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4:45" ht="18" x14ac:dyDescent="0.2">
      <c r="N420" s="4"/>
      <c r="O420" s="4"/>
      <c r="P420" s="4"/>
      <c r="Q420" s="4"/>
      <c r="R420" s="4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4:45" ht="18" x14ac:dyDescent="0.2">
      <c r="N421" s="4"/>
      <c r="O421" s="4"/>
      <c r="P421" s="4"/>
      <c r="Q421" s="4"/>
      <c r="R421" s="4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4:45" ht="18" x14ac:dyDescent="0.2">
      <c r="N422" s="4"/>
      <c r="O422" s="4"/>
      <c r="P422" s="4"/>
      <c r="Q422" s="4"/>
      <c r="R422" s="4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4:45" ht="18" x14ac:dyDescent="0.2">
      <c r="N423" s="4"/>
      <c r="O423" s="4"/>
      <c r="P423" s="4"/>
      <c r="Q423" s="4"/>
      <c r="R423" s="4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4:45" ht="18" x14ac:dyDescent="0.2">
      <c r="N424" s="4"/>
      <c r="O424" s="4"/>
      <c r="P424" s="4"/>
      <c r="Q424" s="4"/>
      <c r="R424" s="4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4:45" ht="18" x14ac:dyDescent="0.2">
      <c r="N425" s="4"/>
      <c r="O425" s="4"/>
      <c r="P425" s="4"/>
      <c r="Q425" s="4"/>
      <c r="R425" s="4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4:45" ht="18" x14ac:dyDescent="0.2">
      <c r="N426" s="4"/>
      <c r="O426" s="4"/>
      <c r="P426" s="4"/>
      <c r="Q426" s="4"/>
      <c r="R426" s="4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4:45" ht="18" x14ac:dyDescent="0.2">
      <c r="N427" s="4"/>
      <c r="O427" s="4"/>
      <c r="P427" s="4"/>
      <c r="Q427" s="4"/>
      <c r="R427" s="4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4:45" ht="18" x14ac:dyDescent="0.2">
      <c r="N428" s="4"/>
      <c r="O428" s="4"/>
      <c r="P428" s="4"/>
      <c r="Q428" s="4"/>
      <c r="R428" s="4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4:45" ht="18" x14ac:dyDescent="0.2">
      <c r="N429" s="4"/>
      <c r="O429" s="4"/>
      <c r="P429" s="4"/>
      <c r="Q429" s="4"/>
      <c r="R429" s="4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4:45" ht="18" x14ac:dyDescent="0.2">
      <c r="N430" s="4"/>
      <c r="O430" s="4"/>
      <c r="P430" s="4"/>
      <c r="Q430" s="4"/>
      <c r="R430" s="4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4:45" ht="18" x14ac:dyDescent="0.2">
      <c r="N431" s="4"/>
      <c r="O431" s="4"/>
      <c r="P431" s="4"/>
      <c r="Q431" s="4"/>
      <c r="R431" s="4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4:45" ht="18" x14ac:dyDescent="0.2">
      <c r="N432" s="4"/>
      <c r="O432" s="4"/>
      <c r="P432" s="4"/>
      <c r="Q432" s="4"/>
      <c r="R432" s="4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4:45" ht="18" x14ac:dyDescent="0.2">
      <c r="N433" s="4"/>
      <c r="O433" s="4"/>
      <c r="P433" s="4"/>
      <c r="Q433" s="4"/>
      <c r="R433" s="4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4:45" ht="18" x14ac:dyDescent="0.2">
      <c r="N434" s="4"/>
      <c r="O434" s="4"/>
      <c r="P434" s="4"/>
      <c r="Q434" s="4"/>
      <c r="R434" s="4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4:45" ht="18" x14ac:dyDescent="0.2">
      <c r="N435" s="4"/>
      <c r="O435" s="4"/>
      <c r="P435" s="4"/>
      <c r="Q435" s="4"/>
      <c r="R435" s="4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4:45" ht="18" x14ac:dyDescent="0.2">
      <c r="N436" s="4"/>
      <c r="O436" s="4"/>
      <c r="P436" s="4"/>
      <c r="Q436" s="4"/>
      <c r="R436" s="4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4:45" ht="18" x14ac:dyDescent="0.2">
      <c r="N437" s="4"/>
      <c r="O437" s="4"/>
      <c r="P437" s="4"/>
      <c r="Q437" s="4"/>
      <c r="R437" s="4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4:45" ht="18" x14ac:dyDescent="0.2">
      <c r="N438" s="4"/>
      <c r="O438" s="4"/>
      <c r="P438" s="4"/>
      <c r="Q438" s="4"/>
      <c r="R438" s="4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4:45" ht="18" x14ac:dyDescent="0.2">
      <c r="N439" s="4"/>
      <c r="O439" s="4"/>
      <c r="P439" s="4"/>
      <c r="Q439" s="4"/>
      <c r="R439" s="4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4:45" ht="18" x14ac:dyDescent="0.2">
      <c r="N440" s="4"/>
      <c r="O440" s="4"/>
      <c r="P440" s="4"/>
      <c r="Q440" s="4"/>
      <c r="R440" s="4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4:45" ht="18" x14ac:dyDescent="0.2">
      <c r="N441" s="4"/>
      <c r="O441" s="4"/>
      <c r="P441" s="4"/>
      <c r="Q441" s="4"/>
      <c r="R441" s="4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4:45" ht="18" x14ac:dyDescent="0.2">
      <c r="N442" s="4"/>
      <c r="O442" s="4"/>
      <c r="P442" s="4"/>
      <c r="Q442" s="4"/>
      <c r="R442" s="4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4:45" ht="18" x14ac:dyDescent="0.2">
      <c r="N443" s="4"/>
      <c r="O443" s="4"/>
      <c r="P443" s="4"/>
      <c r="Q443" s="4"/>
      <c r="R443" s="4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4:45" ht="18" x14ac:dyDescent="0.2">
      <c r="N444" s="4"/>
      <c r="O444" s="4"/>
      <c r="P444" s="4"/>
      <c r="Q444" s="4"/>
      <c r="R444" s="4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4:45" ht="18" x14ac:dyDescent="0.2">
      <c r="N445" s="4"/>
      <c r="O445" s="4"/>
      <c r="P445" s="4"/>
      <c r="Q445" s="4"/>
      <c r="R445" s="4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4:45" ht="18" x14ac:dyDescent="0.2">
      <c r="N446" s="4"/>
      <c r="O446" s="4"/>
      <c r="P446" s="4"/>
      <c r="Q446" s="4"/>
      <c r="R446" s="4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4:45" x14ac:dyDescent="0.2"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4:45" x14ac:dyDescent="0.2"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4:45" x14ac:dyDescent="0.2"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4:45" x14ac:dyDescent="0.2"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4:45" x14ac:dyDescent="0.2"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4:45" x14ac:dyDescent="0.2"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4:45" x14ac:dyDescent="0.2"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4:45" x14ac:dyDescent="0.2"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4:45" x14ac:dyDescent="0.2"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4:45" x14ac:dyDescent="0.2"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4:45" x14ac:dyDescent="0.2"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4:45" x14ac:dyDescent="0.2"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4:45" x14ac:dyDescent="0.2"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4:45" x14ac:dyDescent="0.2"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4:45" x14ac:dyDescent="0.2"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4:45" x14ac:dyDescent="0.2"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4:45" x14ac:dyDescent="0.2"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4:45" x14ac:dyDescent="0.2"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4:45" x14ac:dyDescent="0.2"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4:45" x14ac:dyDescent="0.2"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4:45" x14ac:dyDescent="0.2"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4:45" x14ac:dyDescent="0.2"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4:45" x14ac:dyDescent="0.2"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4:45" x14ac:dyDescent="0.2"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4:45" x14ac:dyDescent="0.2"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4:45" x14ac:dyDescent="0.2"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4:45" x14ac:dyDescent="0.2"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4:45" x14ac:dyDescent="0.2"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4:45" x14ac:dyDescent="0.2"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4:45" x14ac:dyDescent="0.2"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4:45" x14ac:dyDescent="0.2"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4:45" x14ac:dyDescent="0.2"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4:45" x14ac:dyDescent="0.2"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4:45" x14ac:dyDescent="0.2"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4:45" x14ac:dyDescent="0.2"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4:45" x14ac:dyDescent="0.2"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4:45" x14ac:dyDescent="0.2"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4:45" x14ac:dyDescent="0.2"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4:45" x14ac:dyDescent="0.2"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4:45" x14ac:dyDescent="0.2"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4:45" x14ac:dyDescent="0.2"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4:45" x14ac:dyDescent="0.2"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4:45" x14ac:dyDescent="0.2"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4:45" x14ac:dyDescent="0.2"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4:45" x14ac:dyDescent="0.2"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4:45" x14ac:dyDescent="0.2"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4:45" x14ac:dyDescent="0.2"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4:45" x14ac:dyDescent="0.2"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4:45" x14ac:dyDescent="0.2"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4:45" x14ac:dyDescent="0.2"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4:45" x14ac:dyDescent="0.2"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4:45" x14ac:dyDescent="0.2"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4:45" x14ac:dyDescent="0.2"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4:45" x14ac:dyDescent="0.2"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4:45" x14ac:dyDescent="0.2"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4:45" x14ac:dyDescent="0.2"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4:45" x14ac:dyDescent="0.2"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4:45" x14ac:dyDescent="0.2"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4:45" x14ac:dyDescent="0.2"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4:45" x14ac:dyDescent="0.2"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4:45" x14ac:dyDescent="0.2"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4:45" x14ac:dyDescent="0.2"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4:45" x14ac:dyDescent="0.2"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4:45" x14ac:dyDescent="0.2"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4:45" x14ac:dyDescent="0.2"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4:45" x14ac:dyDescent="0.2"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4:45" x14ac:dyDescent="0.2"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4:45" x14ac:dyDescent="0.2"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4:45" x14ac:dyDescent="0.2"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</sheetData>
  <mergeCells count="2">
    <mergeCell ref="A1:C1"/>
    <mergeCell ref="D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2022-02-04T06:31:29Z</dcterms:created>
  <dcterms:modified xsi:type="dcterms:W3CDTF">2022-02-10T23:20:18Z</dcterms:modified>
</cp:coreProperties>
</file>