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Физика/lab133/"/>
    </mc:Choice>
  </mc:AlternateContent>
  <xr:revisionPtr revIDLastSave="0" documentId="13_ncr:1_{7FE103F4-8014-E542-A14D-8C0B884518D1}" xr6:coauthVersionLast="47" xr6:coauthVersionMax="47" xr10:uidLastSave="{00000000-0000-0000-0000-000000000000}"/>
  <bookViews>
    <workbookView xWindow="0" yWindow="0" windowWidth="28800" windowHeight="18000" xr2:uid="{3BE83D24-8624-AC4B-946E-2EB17173B4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M41" i="1"/>
  <c r="M42" i="1" s="1"/>
  <c r="M43" i="1" s="1"/>
  <c r="O20" i="1"/>
  <c r="O21" i="1"/>
  <c r="O22" i="1"/>
  <c r="O23" i="1"/>
  <c r="O19" i="1"/>
  <c r="M20" i="1"/>
  <c r="M21" i="1"/>
  <c r="M22" i="1"/>
  <c r="M23" i="1"/>
  <c r="M19" i="1"/>
  <c r="R17" i="1"/>
  <c r="S17" i="1" s="1"/>
  <c r="R16" i="1"/>
  <c r="S16" i="1" s="1"/>
  <c r="R15" i="1"/>
  <c r="R14" i="1"/>
  <c r="S14" i="1" s="1"/>
  <c r="I41" i="1"/>
  <c r="I42" i="1"/>
  <c r="I43" i="1"/>
  <c r="I40" i="1"/>
  <c r="N41" i="1"/>
  <c r="N42" i="1" s="1"/>
  <c r="N43" i="1" s="1"/>
  <c r="J43" i="1"/>
  <c r="J40" i="1"/>
  <c r="J37" i="1"/>
  <c r="J42" i="1" s="1"/>
  <c r="J36" i="1"/>
  <c r="J41" i="1" s="1"/>
  <c r="J38" i="1"/>
  <c r="L36" i="1"/>
  <c r="L41" i="1" s="1"/>
  <c r="L37" i="1"/>
  <c r="L42" i="1" s="1"/>
  <c r="L38" i="1"/>
  <c r="L43" i="1" s="1"/>
  <c r="L30" i="1"/>
  <c r="L35" i="1" s="1"/>
  <c r="L40" i="1" s="1"/>
  <c r="M36" i="1"/>
  <c r="M37" i="1"/>
  <c r="M38" i="1"/>
  <c r="M35" i="1"/>
  <c r="I36" i="1"/>
  <c r="I37" i="1"/>
  <c r="I38" i="1"/>
  <c r="I35" i="1"/>
  <c r="S12" i="1"/>
  <c r="T12" i="1" s="1"/>
  <c r="S11" i="1"/>
  <c r="T11" i="1" s="1"/>
  <c r="R12" i="1"/>
  <c r="R11" i="1"/>
  <c r="R10" i="1"/>
  <c r="S10" i="1" s="1"/>
  <c r="R9" i="1"/>
  <c r="S9" i="1" s="1"/>
  <c r="J21" i="1"/>
  <c r="J20" i="1"/>
  <c r="J22" i="1"/>
  <c r="J23" i="1"/>
  <c r="J24" i="1"/>
  <c r="J25" i="1"/>
  <c r="J26" i="1"/>
  <c r="J19" i="1"/>
  <c r="I19" i="1"/>
  <c r="P20" i="1"/>
  <c r="P21" i="1"/>
  <c r="P22" i="1"/>
  <c r="P23" i="1"/>
  <c r="P19" i="1"/>
  <c r="N20" i="1"/>
  <c r="N21" i="1"/>
  <c r="N22" i="1"/>
  <c r="N23" i="1"/>
  <c r="N19" i="1"/>
  <c r="L20" i="1"/>
  <c r="L21" i="1"/>
  <c r="L22" i="1"/>
  <c r="L23" i="1"/>
  <c r="L24" i="1"/>
  <c r="L25" i="1"/>
  <c r="L26" i="1"/>
  <c r="L19" i="1"/>
  <c r="I20" i="1"/>
  <c r="I21" i="1"/>
  <c r="I22" i="1"/>
  <c r="I23" i="1"/>
  <c r="I24" i="1"/>
  <c r="I25" i="1"/>
  <c r="I26" i="1"/>
  <c r="E4" i="1"/>
  <c r="E2" i="1"/>
  <c r="T9" i="1" l="1"/>
  <c r="S15" i="1"/>
  <c r="T10" i="1" s="1"/>
  <c r="E5" i="1"/>
  <c r="E6" i="1" s="1"/>
  <c r="E7" i="1" s="1"/>
  <c r="G7" i="1" s="1"/>
</calcChain>
</file>

<file path=xl/sharedStrings.xml><?xml version="1.0" encoding="utf-8"?>
<sst xmlns="http://schemas.openxmlformats.org/spreadsheetml/2006/main" count="91" uniqueCount="58">
  <si>
    <t>Данные</t>
  </si>
  <si>
    <t>t</t>
  </si>
  <si>
    <t>d1</t>
  </si>
  <si>
    <t>d2</t>
  </si>
  <si>
    <t>d3</t>
  </si>
  <si>
    <t>*C</t>
  </si>
  <si>
    <t>мм</t>
  </si>
  <si>
    <t>Предв расчеты</t>
  </si>
  <si>
    <t>n</t>
  </si>
  <si>
    <t>Re crit</t>
  </si>
  <si>
    <t>Па*с</t>
  </si>
  <si>
    <t>-</t>
  </si>
  <si>
    <t>rho</t>
  </si>
  <si>
    <t>кг/м3</t>
  </si>
  <si>
    <t>v</t>
  </si>
  <si>
    <t>Q</t>
  </si>
  <si>
    <t>м/c</t>
  </si>
  <si>
    <t>deltaP</t>
  </si>
  <si>
    <t>м3/c</t>
  </si>
  <si>
    <t xml:space="preserve">Па </t>
  </si>
  <si>
    <t>lуст</t>
  </si>
  <si>
    <t>м</t>
  </si>
  <si>
    <t>делений</t>
  </si>
  <si>
    <t>deltaP эксп</t>
  </si>
  <si>
    <t>Q эксп</t>
  </si>
  <si>
    <t>Расчеты</t>
  </si>
  <si>
    <t>H</t>
  </si>
  <si>
    <t>см</t>
  </si>
  <si>
    <t>±0,05 мм</t>
  </si>
  <si>
    <t>ламин</t>
  </si>
  <si>
    <t>турбрул</t>
  </si>
  <si>
    <t>50 см; 4,1±0,05мм</t>
  </si>
  <si>
    <t>Зависимость P(x)</t>
  </si>
  <si>
    <t>H, дел</t>
  </si>
  <si>
    <t>номер</t>
  </si>
  <si>
    <t>4 и 3</t>
  </si>
  <si>
    <t>4 и 2</t>
  </si>
  <si>
    <t>4 и 1</t>
  </si>
  <si>
    <t>4 и 0</t>
  </si>
  <si>
    <t>±0,05</t>
  </si>
  <si>
    <t>70 см; 5,2 ± 0,05 мм</t>
  </si>
  <si>
    <t>0 и 2</t>
  </si>
  <si>
    <t>0 и 4</t>
  </si>
  <si>
    <t xml:space="preserve">n1 </t>
  </si>
  <si>
    <t>n2</t>
  </si>
  <si>
    <t>n3</t>
  </si>
  <si>
    <t>2.21e-9</t>
  </si>
  <si>
    <t>4.1e-9</t>
  </si>
  <si>
    <t>n4</t>
  </si>
  <si>
    <t>0 и3</t>
  </si>
  <si>
    <t>0 и 1</t>
  </si>
  <si>
    <t>eta</t>
  </si>
  <si>
    <t>sigma</t>
  </si>
  <si>
    <t>Q, м^3/с</t>
  </si>
  <si>
    <t>P, Па</t>
  </si>
  <si>
    <t>Ламинарный поток</t>
  </si>
  <si>
    <t>Турбул. Поток</t>
  </si>
  <si>
    <t>x,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</si>
</sst>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C42F-A945-E946-BF05-857DC9E0A978}">
  <dimension ref="A1:T54"/>
  <sheetViews>
    <sheetView tabSelected="1" zoomScale="110" zoomScaleNormal="110" workbookViewId="0">
      <selection activeCell="E8" sqref="E8"/>
    </sheetView>
  </sheetViews>
  <sheetFormatPr baseColWidth="10" defaultRowHeight="18" x14ac:dyDescent="0.2"/>
  <cols>
    <col min="1" max="3" width="10.83203125" style="1"/>
    <col min="4" max="4" width="11.6640625" style="1" customWidth="1"/>
    <col min="5" max="5" width="13.1640625" style="1" customWidth="1"/>
    <col min="6" max="6" width="10.83203125" style="1"/>
    <col min="7" max="7" width="11" style="1" bestFit="1" customWidth="1"/>
    <col min="8" max="8" width="10.83203125" style="1"/>
    <col min="9" max="9" width="8.33203125" style="1" bestFit="1" customWidth="1"/>
    <col min="10" max="10" width="14.33203125" style="1" bestFit="1" customWidth="1"/>
    <col min="11" max="11" width="6.33203125" style="1" bestFit="1" customWidth="1"/>
    <col min="12" max="12" width="14.33203125" style="1" bestFit="1" customWidth="1"/>
    <col min="13" max="13" width="8.33203125" style="1" bestFit="1" customWidth="1"/>
    <col min="14" max="14" width="14.5" style="1" bestFit="1" customWidth="1"/>
    <col min="15" max="15" width="8.33203125" style="1" bestFit="1" customWidth="1"/>
    <col min="16" max="17" width="10.83203125" style="1"/>
    <col min="18" max="18" width="16.83203125" style="1" customWidth="1"/>
    <col min="19" max="19" width="24" style="1" customWidth="1"/>
    <col min="20" max="20" width="15" style="1" bestFit="1" customWidth="1"/>
    <col min="21" max="16384" width="10.83203125" style="1"/>
  </cols>
  <sheetData>
    <row r="1" spans="1:20" s="2" customFormat="1" ht="23" x14ac:dyDescent="0.25">
      <c r="A1" s="11" t="s">
        <v>0</v>
      </c>
      <c r="B1" s="11"/>
      <c r="C1" s="11"/>
      <c r="D1" s="11" t="s">
        <v>7</v>
      </c>
      <c r="E1" s="11"/>
      <c r="F1" s="11"/>
      <c r="G1" s="11"/>
      <c r="H1" s="11"/>
      <c r="I1" s="11" t="s">
        <v>25</v>
      </c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 x14ac:dyDescent="0.2">
      <c r="A2" s="1" t="s">
        <v>1</v>
      </c>
      <c r="B2" s="1">
        <v>22.8</v>
      </c>
      <c r="C2" s="1" t="s">
        <v>5</v>
      </c>
      <c r="D2" s="1" t="s">
        <v>8</v>
      </c>
      <c r="E2" s="1">
        <f>2*10^-5</f>
        <v>2.0000000000000002E-5</v>
      </c>
      <c r="F2" s="1" t="s">
        <v>10</v>
      </c>
      <c r="I2" s="10" t="s">
        <v>31</v>
      </c>
      <c r="J2" s="10"/>
      <c r="K2" s="10"/>
      <c r="L2" s="10"/>
      <c r="M2" s="10" t="s">
        <v>40</v>
      </c>
      <c r="N2" s="10"/>
      <c r="O2" s="10"/>
      <c r="P2" s="10"/>
    </row>
    <row r="3" spans="1:20" x14ac:dyDescent="0.2">
      <c r="A3" s="1" t="s">
        <v>2</v>
      </c>
      <c r="B3" s="1">
        <v>5.2</v>
      </c>
      <c r="C3" s="1" t="s">
        <v>6</v>
      </c>
      <c r="D3" s="1" t="s">
        <v>9</v>
      </c>
      <c r="E3" s="1">
        <v>1000</v>
      </c>
      <c r="F3" s="1" t="s">
        <v>11</v>
      </c>
      <c r="I3" s="10" t="s">
        <v>29</v>
      </c>
      <c r="J3" s="10"/>
      <c r="K3" s="10" t="s">
        <v>30</v>
      </c>
      <c r="L3" s="10"/>
      <c r="M3" s="10" t="s">
        <v>29</v>
      </c>
      <c r="N3" s="10"/>
      <c r="O3" s="10" t="s">
        <v>30</v>
      </c>
      <c r="P3" s="10"/>
    </row>
    <row r="4" spans="1:20" x14ac:dyDescent="0.2">
      <c r="A4" s="1" t="s">
        <v>3</v>
      </c>
      <c r="B4" s="1">
        <v>3</v>
      </c>
      <c r="C4" s="1" t="s">
        <v>6</v>
      </c>
      <c r="D4" s="1" t="s">
        <v>12</v>
      </c>
      <c r="E4" s="1">
        <f>99600 *0.029/(8.31*(22.8+273))</f>
        <v>1.1750548594889219</v>
      </c>
      <c r="F4" s="1" t="s">
        <v>13</v>
      </c>
      <c r="I4" s="1" t="s">
        <v>26</v>
      </c>
      <c r="J4" s="1" t="s">
        <v>1</v>
      </c>
      <c r="K4" s="1" t="s">
        <v>26</v>
      </c>
      <c r="L4" s="1" t="s">
        <v>1</v>
      </c>
      <c r="M4" s="1" t="s">
        <v>26</v>
      </c>
      <c r="N4" s="1" t="s">
        <v>1</v>
      </c>
      <c r="O4" s="1" t="s">
        <v>26</v>
      </c>
      <c r="P4" s="1" t="s">
        <v>1</v>
      </c>
      <c r="R4" s="1" t="s">
        <v>43</v>
      </c>
      <c r="S4" s="6" t="s">
        <v>46</v>
      </c>
    </row>
    <row r="5" spans="1:20" x14ac:dyDescent="0.2">
      <c r="A5" s="1" t="s">
        <v>4</v>
      </c>
      <c r="B5" s="1">
        <v>4.0999999999999996</v>
      </c>
      <c r="C5" s="1" t="s">
        <v>6</v>
      </c>
      <c r="D5" s="1" t="s">
        <v>14</v>
      </c>
      <c r="E5" s="1">
        <f>E2*E3/(E4*0.002)</f>
        <v>8.5102409638554217</v>
      </c>
      <c r="F5" s="1" t="s">
        <v>16</v>
      </c>
      <c r="I5" s="1">
        <v>10</v>
      </c>
      <c r="J5" s="1">
        <v>137.85</v>
      </c>
      <c r="K5" s="1">
        <v>70</v>
      </c>
      <c r="L5" s="1">
        <v>21.72</v>
      </c>
      <c r="M5" s="1">
        <v>4</v>
      </c>
      <c r="N5" s="1">
        <v>115</v>
      </c>
      <c r="O5" s="1">
        <v>110</v>
      </c>
      <c r="P5" s="1">
        <v>8.94</v>
      </c>
      <c r="R5" s="1" t="s">
        <v>44</v>
      </c>
      <c r="S5" s="6" t="s">
        <v>46</v>
      </c>
    </row>
    <row r="6" spans="1:20" x14ac:dyDescent="0.2">
      <c r="D6" s="1" t="s">
        <v>15</v>
      </c>
      <c r="E6" s="1">
        <f>E5*3.1415*0.002*0.002</f>
        <v>1.0693968795180724E-4</v>
      </c>
      <c r="F6" s="1" t="s">
        <v>18</v>
      </c>
      <c r="I6" s="1">
        <v>20</v>
      </c>
      <c r="J6" s="1">
        <v>66.5</v>
      </c>
      <c r="K6" s="1">
        <v>88</v>
      </c>
      <c r="L6" s="1">
        <v>19.739999999999998</v>
      </c>
      <c r="M6" s="1">
        <v>10</v>
      </c>
      <c r="N6" s="1">
        <v>45</v>
      </c>
      <c r="O6" s="1">
        <v>121</v>
      </c>
      <c r="P6" s="1">
        <v>8.3000000000000007</v>
      </c>
      <c r="R6" s="1" t="s">
        <v>45</v>
      </c>
      <c r="S6" s="1" t="s">
        <v>47</v>
      </c>
    </row>
    <row r="7" spans="1:20" x14ac:dyDescent="0.2">
      <c r="D7" s="1" t="s">
        <v>17</v>
      </c>
      <c r="E7" s="1">
        <f>8*E2*0.5*E6/(3.1415*(0.002)^4)</f>
        <v>170.20481927710847</v>
      </c>
      <c r="F7" s="1" t="s">
        <v>19</v>
      </c>
      <c r="G7" s="1">
        <f>E7/(9.8*0.2)</f>
        <v>86.839193508728798</v>
      </c>
      <c r="H7" s="1" t="s">
        <v>22</v>
      </c>
      <c r="I7" s="1">
        <v>25</v>
      </c>
      <c r="J7" s="1">
        <v>53.15</v>
      </c>
      <c r="K7" s="1">
        <v>112</v>
      </c>
      <c r="L7" s="1">
        <v>18</v>
      </c>
      <c r="M7" s="1">
        <v>15</v>
      </c>
      <c r="N7" s="1">
        <v>32</v>
      </c>
      <c r="O7" s="1">
        <v>132</v>
      </c>
      <c r="P7" s="1">
        <v>7.88</v>
      </c>
      <c r="R7" s="1" t="s">
        <v>48</v>
      </c>
      <c r="S7" s="1" t="s">
        <v>47</v>
      </c>
    </row>
    <row r="8" spans="1:20" x14ac:dyDescent="0.2">
      <c r="D8" s="1" t="s">
        <v>20</v>
      </c>
      <c r="E8" s="1">
        <f>0.2*0.0026*E3</f>
        <v>0.51999999999999991</v>
      </c>
      <c r="F8" s="1" t="s">
        <v>21</v>
      </c>
      <c r="I8" s="1">
        <v>30</v>
      </c>
      <c r="J8" s="1">
        <v>44.24</v>
      </c>
      <c r="K8" s="1">
        <v>129</v>
      </c>
      <c r="L8" s="1">
        <v>16.940000000000001</v>
      </c>
      <c r="M8" s="1">
        <v>20</v>
      </c>
      <c r="N8" s="1">
        <v>25</v>
      </c>
      <c r="O8" s="1">
        <v>141</v>
      </c>
      <c r="P8" s="1">
        <v>7.7</v>
      </c>
      <c r="S8" s="1" t="s">
        <v>51</v>
      </c>
      <c r="T8" s="1" t="s">
        <v>52</v>
      </c>
    </row>
    <row r="9" spans="1:20" x14ac:dyDescent="0.2">
      <c r="D9" s="1" t="s">
        <v>23</v>
      </c>
      <c r="E9" s="1">
        <v>65</v>
      </c>
      <c r="F9" s="1" t="s">
        <v>22</v>
      </c>
      <c r="I9" s="1">
        <v>40</v>
      </c>
      <c r="J9" s="1">
        <v>33.700000000000003</v>
      </c>
      <c r="K9" s="1">
        <v>152</v>
      </c>
      <c r="L9" s="1">
        <v>15.54</v>
      </c>
      <c r="M9" s="1">
        <v>25</v>
      </c>
      <c r="N9" s="1">
        <v>20.59</v>
      </c>
      <c r="O9" s="1">
        <v>150</v>
      </c>
      <c r="P9" s="1">
        <v>7.45</v>
      </c>
      <c r="R9" s="1">
        <f>6.99*10^-7</f>
        <v>6.99E-7</v>
      </c>
      <c r="S9" s="1">
        <f>(3.14*(2.05*10^-3)^4)/(8*0.5*R9)</f>
        <v>1.9833891139127315E-5</v>
      </c>
      <c r="T9" s="1">
        <f>S9*S14</f>
        <v>6.3559250574599704E-6</v>
      </c>
    </row>
    <row r="10" spans="1:20" x14ac:dyDescent="0.2">
      <c r="D10" s="1" t="s">
        <v>24</v>
      </c>
      <c r="E10" s="1">
        <v>9.0000000000000006E-5</v>
      </c>
      <c r="F10" s="1" t="s">
        <v>18</v>
      </c>
      <c r="I10" s="1">
        <v>50</v>
      </c>
      <c r="J10" s="1">
        <v>27.62</v>
      </c>
      <c r="K10" s="1">
        <v>171</v>
      </c>
      <c r="L10" s="1">
        <v>14.91</v>
      </c>
      <c r="P10"/>
      <c r="R10" s="1">
        <f>2.11*10^-7</f>
        <v>2.1099999999999997E-7</v>
      </c>
      <c r="S10" s="4">
        <f>(3.14*(2.05*10^-3)^4)/(8*0.5*R10)</f>
        <v>6.5705639366113718E-5</v>
      </c>
      <c r="T10" s="5">
        <f t="shared" ref="T10:T12" si="0">S10*S15</f>
        <v>2.1953779977777337E-5</v>
      </c>
    </row>
    <row r="11" spans="1:20" x14ac:dyDescent="0.2">
      <c r="I11" s="1">
        <v>55</v>
      </c>
      <c r="J11" s="1">
        <v>25.8</v>
      </c>
      <c r="K11" s="1">
        <v>194</v>
      </c>
      <c r="L11" s="1">
        <v>13.8</v>
      </c>
      <c r="R11" s="1">
        <f>1.918*10^-6</f>
        <v>1.9179999999999997E-6</v>
      </c>
      <c r="S11" s="4">
        <f>(3.14*(2.6*10^-3)^4)/(8*0.5*R11)</f>
        <v>1.8703136600625665E-5</v>
      </c>
      <c r="T11" s="5">
        <f t="shared" si="0"/>
        <v>7.4793043653179797E-6</v>
      </c>
    </row>
    <row r="12" spans="1:20" x14ac:dyDescent="0.2">
      <c r="I12" s="1">
        <v>60</v>
      </c>
      <c r="J12" s="1">
        <v>24.07</v>
      </c>
      <c r="K12" s="1">
        <v>227</v>
      </c>
      <c r="L12" s="1">
        <v>12.67</v>
      </c>
      <c r="R12" s="1">
        <f>5.56*10^-7</f>
        <v>5.5599999999999995E-7</v>
      </c>
      <c r="S12" s="4">
        <f>(3.14*(2.6*10^-3)^4)/(8*0.5*R12)</f>
        <v>6.4519093525179893E-5</v>
      </c>
      <c r="T12" s="5">
        <f t="shared" si="0"/>
        <v>2.866225917395582E-5</v>
      </c>
    </row>
    <row r="14" spans="1:20" x14ac:dyDescent="0.2">
      <c r="I14" s="1">
        <v>50</v>
      </c>
      <c r="J14" s="1" t="s">
        <v>27</v>
      </c>
      <c r="M14" s="1">
        <v>70</v>
      </c>
      <c r="N14" s="1" t="s">
        <v>27</v>
      </c>
      <c r="R14" s="1">
        <f>2.24*10^-7</f>
        <v>2.2400000000000002E-7</v>
      </c>
      <c r="S14" s="1">
        <f>R14/R9</f>
        <v>0.32045779685264669</v>
      </c>
    </row>
    <row r="15" spans="1:20" x14ac:dyDescent="0.2">
      <c r="I15" s="1">
        <v>4.0999999999999996</v>
      </c>
      <c r="J15" s="1" t="s">
        <v>28</v>
      </c>
      <c r="M15" s="1">
        <v>5.2</v>
      </c>
      <c r="N15" s="1" t="s">
        <v>39</v>
      </c>
      <c r="R15" s="1">
        <f>7.05*10^-8</f>
        <v>7.0500000000000003E-8</v>
      </c>
      <c r="S15" s="5">
        <f t="shared" ref="S15:S17" si="1">R15/R10</f>
        <v>0.33412322274881523</v>
      </c>
    </row>
    <row r="16" spans="1:20" x14ac:dyDescent="0.2">
      <c r="I16" s="10" t="s">
        <v>31</v>
      </c>
      <c r="J16" s="10"/>
      <c r="K16" s="10"/>
      <c r="L16" s="10"/>
      <c r="M16" s="10" t="s">
        <v>40</v>
      </c>
      <c r="N16" s="10"/>
      <c r="O16" s="10"/>
      <c r="P16" s="10"/>
      <c r="R16" s="1">
        <f>7.67*10^-7</f>
        <v>7.6699999999999992E-7</v>
      </c>
      <c r="S16" s="5">
        <f t="shared" si="1"/>
        <v>0.39989572471324297</v>
      </c>
    </row>
    <row r="17" spans="9:19" x14ac:dyDescent="0.2">
      <c r="I17" s="10" t="s">
        <v>55</v>
      </c>
      <c r="J17" s="10"/>
      <c r="K17" s="10" t="s">
        <v>56</v>
      </c>
      <c r="L17" s="10"/>
      <c r="M17" s="10" t="s">
        <v>55</v>
      </c>
      <c r="N17" s="10"/>
      <c r="O17" s="10" t="s">
        <v>56</v>
      </c>
      <c r="P17" s="10"/>
      <c r="R17" s="1">
        <f>2.47*10^-7</f>
        <v>2.4700000000000003E-7</v>
      </c>
      <c r="S17" s="5">
        <f t="shared" si="1"/>
        <v>0.44424460431654683</v>
      </c>
    </row>
    <row r="18" spans="9:19" x14ac:dyDescent="0.2">
      <c r="I18" s="5" t="s">
        <v>54</v>
      </c>
      <c r="J18" s="5" t="s">
        <v>53</v>
      </c>
      <c r="K18" s="5" t="s">
        <v>54</v>
      </c>
      <c r="L18" s="5" t="s">
        <v>53</v>
      </c>
      <c r="M18" s="5" t="s">
        <v>54</v>
      </c>
      <c r="N18" s="5" t="s">
        <v>53</v>
      </c>
      <c r="O18" s="5" t="s">
        <v>54</v>
      </c>
      <c r="P18" s="5" t="s">
        <v>53</v>
      </c>
    </row>
    <row r="19" spans="9:19" x14ac:dyDescent="0.2">
      <c r="I19" s="1">
        <f>I5*0.2*9.8</f>
        <v>19.600000000000001</v>
      </c>
      <c r="J19" s="1">
        <f>1/J5</f>
        <v>7.2542618788538271E-3</v>
      </c>
      <c r="K19" s="1">
        <v>70</v>
      </c>
      <c r="L19" s="1">
        <f>2*0.001/L5</f>
        <v>9.2081031307550656E-5</v>
      </c>
      <c r="M19" s="1">
        <f>M5*9.8*0.2</f>
        <v>7.8400000000000007</v>
      </c>
      <c r="N19" s="7">
        <f>2*0.001/N5</f>
        <v>1.7391304347826089E-5</v>
      </c>
      <c r="O19" s="1">
        <f>O5*0.2*9.8</f>
        <v>215.60000000000002</v>
      </c>
      <c r="P19" s="1">
        <f>2*0.001/P5</f>
        <v>2.2371364653243848E-4</v>
      </c>
    </row>
    <row r="20" spans="9:19" x14ac:dyDescent="0.2">
      <c r="I20" s="1">
        <f t="shared" ref="I20:I26" si="2">I6*0.2*9.8</f>
        <v>39.200000000000003</v>
      </c>
      <c r="J20" s="4">
        <f t="shared" ref="J20:J26" si="3">1/J6</f>
        <v>1.5037593984962405E-2</v>
      </c>
      <c r="K20" s="1">
        <v>88</v>
      </c>
      <c r="L20" s="4">
        <f t="shared" ref="L20:L26" si="4">2*0.001/L6</f>
        <v>1.0131712259371835E-4</v>
      </c>
      <c r="M20" s="5">
        <f t="shared" ref="M20:M23" si="5">M6*9.8*0.2</f>
        <v>19.600000000000001</v>
      </c>
      <c r="N20" s="7">
        <f t="shared" ref="N20:N23" si="6">2*0.001/N6</f>
        <v>4.4444444444444447E-5</v>
      </c>
      <c r="O20" s="5">
        <f t="shared" ref="O20:O23" si="7">O6*0.2*9.8</f>
        <v>237.16000000000005</v>
      </c>
      <c r="P20" s="4">
        <f t="shared" ref="P20:P23" si="8">2*0.001/P6</f>
        <v>2.4096385542168674E-4</v>
      </c>
    </row>
    <row r="21" spans="9:19" x14ac:dyDescent="0.2">
      <c r="I21" s="1">
        <f t="shared" si="2"/>
        <v>49</v>
      </c>
      <c r="J21" s="4">
        <f t="shared" si="3"/>
        <v>1.8814675446848544E-2</v>
      </c>
      <c r="K21" s="1">
        <v>112</v>
      </c>
      <c r="L21" s="4">
        <f t="shared" si="4"/>
        <v>1.1111111111111112E-4</v>
      </c>
      <c r="M21" s="5">
        <f t="shared" si="5"/>
        <v>29.400000000000002</v>
      </c>
      <c r="N21" s="7">
        <f t="shared" si="6"/>
        <v>6.2500000000000001E-5</v>
      </c>
      <c r="O21" s="5">
        <f t="shared" si="7"/>
        <v>258.72000000000003</v>
      </c>
      <c r="P21" s="4">
        <f t="shared" si="8"/>
        <v>2.5380710659898478E-4</v>
      </c>
    </row>
    <row r="22" spans="9:19" x14ac:dyDescent="0.2">
      <c r="I22" s="1">
        <f t="shared" si="2"/>
        <v>58.800000000000004</v>
      </c>
      <c r="J22" s="4">
        <f t="shared" si="3"/>
        <v>2.2603978300180832E-2</v>
      </c>
      <c r="K22" s="1">
        <v>129</v>
      </c>
      <c r="L22" s="4">
        <f t="shared" si="4"/>
        <v>1.1806375442739078E-4</v>
      </c>
      <c r="M22" s="5">
        <f t="shared" si="5"/>
        <v>39.200000000000003</v>
      </c>
      <c r="N22" s="7">
        <f t="shared" si="6"/>
        <v>8.0000000000000007E-5</v>
      </c>
      <c r="O22" s="5">
        <f t="shared" si="7"/>
        <v>276.36000000000007</v>
      </c>
      <c r="P22" s="4">
        <f t="shared" si="8"/>
        <v>2.5974025974025974E-4</v>
      </c>
    </row>
    <row r="23" spans="9:19" x14ac:dyDescent="0.2">
      <c r="I23" s="1">
        <f t="shared" si="2"/>
        <v>78.400000000000006</v>
      </c>
      <c r="J23" s="4">
        <f t="shared" si="3"/>
        <v>2.9673590504451036E-2</v>
      </c>
      <c r="K23" s="1">
        <v>152</v>
      </c>
      <c r="L23" s="4">
        <f t="shared" si="4"/>
        <v>1.2870012870012872E-4</v>
      </c>
      <c r="M23" s="5">
        <f t="shared" si="5"/>
        <v>49.000000000000007</v>
      </c>
      <c r="N23" s="7">
        <f t="shared" si="6"/>
        <v>9.713453132588636E-5</v>
      </c>
      <c r="O23" s="5">
        <f t="shared" si="7"/>
        <v>294</v>
      </c>
      <c r="P23" s="4">
        <f t="shared" si="8"/>
        <v>2.6845637583892615E-4</v>
      </c>
    </row>
    <row r="24" spans="9:19" x14ac:dyDescent="0.2">
      <c r="I24" s="1">
        <f t="shared" si="2"/>
        <v>98</v>
      </c>
      <c r="J24" s="4">
        <f t="shared" si="3"/>
        <v>3.6205648081100647E-2</v>
      </c>
      <c r="K24" s="1">
        <v>171</v>
      </c>
      <c r="L24" s="4">
        <f t="shared" si="4"/>
        <v>1.3413816230717639E-4</v>
      </c>
      <c r="N24" s="4"/>
    </row>
    <row r="25" spans="9:19" x14ac:dyDescent="0.2">
      <c r="I25" s="1">
        <f t="shared" si="2"/>
        <v>107.80000000000001</v>
      </c>
      <c r="J25" s="4">
        <f t="shared" si="3"/>
        <v>3.875968992248062E-2</v>
      </c>
      <c r="K25" s="1">
        <v>194</v>
      </c>
      <c r="L25" s="4">
        <f t="shared" si="4"/>
        <v>1.4492753623188405E-4</v>
      </c>
      <c r="N25" s="4"/>
    </row>
    <row r="26" spans="9:19" x14ac:dyDescent="0.2">
      <c r="I26" s="1">
        <f t="shared" si="2"/>
        <v>117.60000000000001</v>
      </c>
      <c r="J26" s="4">
        <f t="shared" si="3"/>
        <v>4.1545492314083922E-2</v>
      </c>
      <c r="K26" s="1">
        <v>227</v>
      </c>
      <c r="L26" s="4">
        <f t="shared" si="4"/>
        <v>1.5785319652722969E-4</v>
      </c>
      <c r="N26" s="4"/>
    </row>
    <row r="28" spans="9:19" x14ac:dyDescent="0.2">
      <c r="I28" s="10" t="s">
        <v>32</v>
      </c>
      <c r="J28" s="10"/>
      <c r="K28" s="10"/>
      <c r="L28" s="10"/>
      <c r="M28" s="10" t="s">
        <v>32</v>
      </c>
      <c r="N28" s="10"/>
      <c r="O28" s="10"/>
      <c r="P28" s="10"/>
    </row>
    <row r="29" spans="9:19" x14ac:dyDescent="0.2">
      <c r="I29" s="1" t="s">
        <v>33</v>
      </c>
      <c r="J29" s="1" t="s">
        <v>34</v>
      </c>
      <c r="M29" s="1" t="s">
        <v>33</v>
      </c>
      <c r="N29" s="1" t="s">
        <v>34</v>
      </c>
    </row>
    <row r="30" spans="9:19" x14ac:dyDescent="0.2">
      <c r="I30" s="1">
        <v>59</v>
      </c>
      <c r="J30" s="3" t="s">
        <v>35</v>
      </c>
      <c r="L30" s="1">
        <f>M31-M30</f>
        <v>21</v>
      </c>
      <c r="M30" s="1">
        <v>30</v>
      </c>
      <c r="N30" s="1" t="s">
        <v>50</v>
      </c>
    </row>
    <row r="31" spans="9:19" x14ac:dyDescent="0.2">
      <c r="I31" s="1">
        <v>104</v>
      </c>
      <c r="J31" s="1" t="s">
        <v>36</v>
      </c>
      <c r="L31" s="4">
        <v>35</v>
      </c>
      <c r="M31" s="1">
        <v>51</v>
      </c>
      <c r="N31" s="1" t="s">
        <v>41</v>
      </c>
    </row>
    <row r="32" spans="9:19" x14ac:dyDescent="0.2">
      <c r="I32" s="1">
        <v>150</v>
      </c>
      <c r="J32" s="1" t="s">
        <v>37</v>
      </c>
      <c r="L32" s="4">
        <v>51</v>
      </c>
      <c r="M32" s="1">
        <v>35</v>
      </c>
      <c r="N32" s="1" t="s">
        <v>49</v>
      </c>
    </row>
    <row r="33" spans="9:14" x14ac:dyDescent="0.2">
      <c r="I33" s="1">
        <v>197</v>
      </c>
      <c r="J33" s="1" t="s">
        <v>38</v>
      </c>
      <c r="L33" s="4">
        <v>71</v>
      </c>
      <c r="M33" s="1">
        <v>71</v>
      </c>
      <c r="N33" s="1" t="s">
        <v>42</v>
      </c>
    </row>
    <row r="35" spans="9:14" x14ac:dyDescent="0.2">
      <c r="I35" s="1">
        <f>I30*0.2*9.8</f>
        <v>115.64000000000001</v>
      </c>
      <c r="J35" s="1">
        <v>50</v>
      </c>
      <c r="L35" s="1">
        <f>L30*0.2*9.8</f>
        <v>41.160000000000004</v>
      </c>
      <c r="M35" s="1">
        <f>M30*0.2*9.8</f>
        <v>58.800000000000004</v>
      </c>
    </row>
    <row r="36" spans="9:14" x14ac:dyDescent="0.2">
      <c r="I36" s="4">
        <f t="shared" ref="I36:I38" si="9">I31*0.2*9.8</f>
        <v>203.84000000000003</v>
      </c>
      <c r="J36" s="1">
        <f>50+40</f>
        <v>90</v>
      </c>
      <c r="L36" s="4">
        <f t="shared" ref="L36:L38" si="10">L31*0.2*9.8</f>
        <v>68.600000000000009</v>
      </c>
      <c r="M36" s="4">
        <f t="shared" ref="M36:M38" si="11">M31*0.2*9.8</f>
        <v>99.960000000000022</v>
      </c>
    </row>
    <row r="37" spans="9:14" x14ac:dyDescent="0.2">
      <c r="I37" s="4">
        <f t="shared" si="9"/>
        <v>294</v>
      </c>
      <c r="J37" s="1">
        <f>50+40+30</f>
        <v>120</v>
      </c>
      <c r="L37" s="4">
        <f t="shared" si="10"/>
        <v>99.960000000000022</v>
      </c>
      <c r="M37" s="4">
        <f t="shared" si="11"/>
        <v>68.600000000000009</v>
      </c>
    </row>
    <row r="38" spans="9:14" x14ac:dyDescent="0.2">
      <c r="I38" s="4">
        <f t="shared" si="9"/>
        <v>386.12000000000006</v>
      </c>
      <c r="J38" s="4">
        <f>50+40+30+10.5</f>
        <v>130.5</v>
      </c>
      <c r="L38" s="4">
        <f t="shared" si="10"/>
        <v>139.16000000000003</v>
      </c>
      <c r="M38" s="4">
        <f t="shared" si="11"/>
        <v>139.16000000000003</v>
      </c>
    </row>
    <row r="39" spans="9:14" x14ac:dyDescent="0.2">
      <c r="I39" s="1" t="s">
        <v>54</v>
      </c>
      <c r="J39" s="1" t="s">
        <v>57</v>
      </c>
      <c r="L39" s="5" t="s">
        <v>54</v>
      </c>
      <c r="M39" s="5" t="s">
        <v>57</v>
      </c>
      <c r="N39" s="5" t="s">
        <v>57</v>
      </c>
    </row>
    <row r="40" spans="9:14" x14ac:dyDescent="0.2">
      <c r="I40" s="4">
        <f>I30*0.2*9.8</f>
        <v>115.64000000000001</v>
      </c>
      <c r="J40" s="1">
        <f>J35/100</f>
        <v>0.5</v>
      </c>
      <c r="L40" s="4">
        <f>L35*0.2*9.8</f>
        <v>80.673600000000022</v>
      </c>
      <c r="M40" s="5">
        <v>0.105</v>
      </c>
      <c r="N40" s="1">
        <v>0.105</v>
      </c>
    </row>
    <row r="41" spans="9:14" x14ac:dyDescent="0.2">
      <c r="I41" s="4">
        <f>I31*0.2*9.8</f>
        <v>203.84000000000003</v>
      </c>
      <c r="J41" s="4">
        <f>J36/100</f>
        <v>0.9</v>
      </c>
      <c r="L41" s="4">
        <f>L36*0.2*9.8</f>
        <v>134.45600000000005</v>
      </c>
      <c r="M41" s="5">
        <f>0.105+0.3</f>
        <v>0.40499999999999997</v>
      </c>
      <c r="N41" s="1">
        <f>0.105+0.3</f>
        <v>0.40499999999999997</v>
      </c>
    </row>
    <row r="42" spans="9:14" x14ac:dyDescent="0.2">
      <c r="I42" s="4">
        <f t="shared" ref="I42:I43" si="12">I32*0.2*9.8</f>
        <v>294</v>
      </c>
      <c r="J42" s="4">
        <f t="shared" ref="J42:J43" si="13">J37/100</f>
        <v>1.2</v>
      </c>
      <c r="L42" s="4">
        <f t="shared" ref="L42:L43" si="14">L37*0.2*9.8</f>
        <v>195.92160000000007</v>
      </c>
      <c r="M42" s="5">
        <f>M41+0.4</f>
        <v>0.80499999999999994</v>
      </c>
      <c r="N42" s="1">
        <f>N41+0.4</f>
        <v>0.80499999999999994</v>
      </c>
    </row>
    <row r="43" spans="9:14" x14ac:dyDescent="0.2">
      <c r="I43" s="4">
        <f t="shared" si="12"/>
        <v>386.12000000000006</v>
      </c>
      <c r="J43" s="4">
        <f t="shared" si="13"/>
        <v>1.3049999999999999</v>
      </c>
      <c r="L43" s="4">
        <f t="shared" si="14"/>
        <v>272.75360000000012</v>
      </c>
      <c r="M43" s="5">
        <f>M42+0.5</f>
        <v>1.3049999999999999</v>
      </c>
      <c r="N43" s="1">
        <f>N42+0.5</f>
        <v>1.3049999999999999</v>
      </c>
    </row>
    <row r="45" spans="9:14" x14ac:dyDescent="0.2">
      <c r="I45" s="9"/>
      <c r="J45" s="9"/>
      <c r="K45" s="9"/>
      <c r="L45" s="9"/>
    </row>
    <row r="47" spans="9:14" x14ac:dyDescent="0.2">
      <c r="I47" s="8"/>
      <c r="J47" s="5"/>
    </row>
    <row r="48" spans="9:14" x14ac:dyDescent="0.2">
      <c r="I48" s="8"/>
      <c r="J48" s="5"/>
    </row>
    <row r="49" spans="9:10" x14ac:dyDescent="0.2">
      <c r="I49" s="8"/>
      <c r="J49" s="5"/>
    </row>
    <row r="50" spans="9:10" x14ac:dyDescent="0.2">
      <c r="I50" s="8"/>
      <c r="J50" s="5"/>
    </row>
    <row r="51" spans="9:10" x14ac:dyDescent="0.2">
      <c r="I51" s="8"/>
      <c r="J51" s="5"/>
    </row>
    <row r="52" spans="9:10" x14ac:dyDescent="0.2">
      <c r="I52" s="8"/>
      <c r="J52" s="5"/>
    </row>
    <row r="53" spans="9:10" x14ac:dyDescent="0.2">
      <c r="I53" s="8"/>
      <c r="J53" s="5"/>
    </row>
    <row r="54" spans="9:10" x14ac:dyDescent="0.2">
      <c r="I54" s="8"/>
      <c r="J54" s="5"/>
    </row>
  </sheetData>
  <mergeCells count="17">
    <mergeCell ref="I28:L28"/>
    <mergeCell ref="I1:S1"/>
    <mergeCell ref="M2:P2"/>
    <mergeCell ref="M3:N3"/>
    <mergeCell ref="O3:P3"/>
    <mergeCell ref="M28:P28"/>
    <mergeCell ref="O17:P17"/>
    <mergeCell ref="A1:C1"/>
    <mergeCell ref="D1:H1"/>
    <mergeCell ref="I3:J3"/>
    <mergeCell ref="K3:L3"/>
    <mergeCell ref="I2:L2"/>
    <mergeCell ref="I17:J17"/>
    <mergeCell ref="K17:L17"/>
    <mergeCell ref="I16:L16"/>
    <mergeCell ref="M17:N17"/>
    <mergeCell ref="M16:P16"/>
  </mergeCells>
  <pageMargins left="0.7" right="0.7" top="0.75" bottom="0.75" header="0.3" footer="0.3"/>
  <ignoredErrors>
    <ignoredError sqref="M19 M20:M23 O19:O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2022-04-01T06:08:15Z</dcterms:created>
  <dcterms:modified xsi:type="dcterms:W3CDTF">2022-04-22T07:06:35Z</dcterms:modified>
</cp:coreProperties>
</file>