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75" windowWidth="14400" windowHeight="7740"/>
  </bookViews>
  <sheets>
    <sheet name="Historic Spex" sheetId="1" r:id="rId1"/>
    <sheet name="1516 Spex" sheetId="2" r:id="rId2"/>
  </sheets>
  <calcPr calcId="145621"/>
</workbook>
</file>

<file path=xl/calcChain.xml><?xml version="1.0" encoding="utf-8"?>
<calcChain xmlns="http://schemas.openxmlformats.org/spreadsheetml/2006/main">
  <c r="E11" i="2" l="1"/>
  <c r="E10" i="2"/>
  <c r="C10" i="2" l="1"/>
  <c r="C11" i="2"/>
  <c r="G11" i="2" s="1"/>
  <c r="G10" i="2"/>
  <c r="H23" i="1"/>
  <c r="H24" i="1"/>
  <c r="H11" i="2" l="1"/>
  <c r="J11" i="2"/>
  <c r="H10" i="2"/>
  <c r="J10" i="2"/>
  <c r="L11" i="2" l="1"/>
  <c r="M11" i="2"/>
  <c r="L10" i="2"/>
  <c r="M10" i="2"/>
  <c r="H22" i="1"/>
  <c r="H30" i="1"/>
  <c r="H29" i="1"/>
  <c r="O10" i="2" l="1"/>
  <c r="N10" i="2"/>
  <c r="Q10" i="2" s="1"/>
  <c r="R10" i="2" s="1"/>
  <c r="N11" i="2"/>
  <c r="Q11" i="2" s="1"/>
  <c r="R11" i="2" s="1"/>
  <c r="O11" i="2"/>
  <c r="H27" i="1"/>
  <c r="U11" i="2" l="1"/>
  <c r="T11" i="2"/>
  <c r="S11" i="2"/>
  <c r="T10" i="2"/>
  <c r="S10" i="2"/>
  <c r="U10" i="2"/>
  <c r="H28" i="1"/>
  <c r="H20" i="1"/>
  <c r="H19" i="1"/>
  <c r="F30" i="1"/>
  <c r="J30" i="1" s="1"/>
  <c r="M30" i="1" s="1"/>
  <c r="F29" i="1"/>
  <c r="J29" i="1" s="1"/>
  <c r="M29" i="1" s="1"/>
  <c r="F28" i="1"/>
  <c r="J28" i="1" s="1"/>
  <c r="M28" i="1" s="1"/>
  <c r="F27" i="1"/>
  <c r="J27" i="1" s="1"/>
  <c r="M27" i="1" s="1"/>
  <c r="M26" i="1"/>
  <c r="F26" i="1"/>
  <c r="F25" i="1"/>
  <c r="J25" i="1" s="1"/>
  <c r="K25" i="1" s="1"/>
  <c r="F24" i="1"/>
  <c r="J24" i="1" s="1"/>
  <c r="F23" i="1"/>
  <c r="J23" i="1" s="1"/>
  <c r="M23" i="1" s="1"/>
  <c r="F22" i="1"/>
  <c r="J22" i="1" s="1"/>
  <c r="M22" i="1" s="1"/>
  <c r="F21" i="1"/>
  <c r="J21" i="1" s="1"/>
  <c r="M21" i="1" s="1"/>
  <c r="F20" i="1"/>
  <c r="F19" i="1"/>
  <c r="J19" i="1" s="1"/>
  <c r="M19" i="1" s="1"/>
  <c r="F18" i="1"/>
  <c r="J18" i="1" s="1"/>
  <c r="M18" i="1" s="1"/>
  <c r="H13" i="1"/>
  <c r="F13" i="1" s="1"/>
  <c r="J13" i="1" s="1"/>
  <c r="H12" i="1"/>
  <c r="F12" i="1" s="1"/>
  <c r="J12" i="1" s="1"/>
  <c r="H11" i="1"/>
  <c r="F11" i="1" s="1"/>
  <c r="J11" i="1" s="1"/>
  <c r="F17" i="1"/>
  <c r="J17" i="1" s="1"/>
  <c r="M17" i="1" s="1"/>
  <c r="F16" i="1"/>
  <c r="H16" i="1"/>
  <c r="H15" i="1"/>
  <c r="F15" i="1" s="1"/>
  <c r="H14" i="1"/>
  <c r="F14" i="1" s="1"/>
  <c r="J14" i="1" s="1"/>
  <c r="M14" i="1" s="1"/>
  <c r="J16" i="1" l="1"/>
  <c r="J20" i="1"/>
  <c r="K20" i="1" s="1"/>
  <c r="P20" i="1" s="1"/>
  <c r="M16" i="1"/>
  <c r="K16" i="1"/>
  <c r="M24" i="1"/>
  <c r="K24" i="1"/>
  <c r="O24" i="1" s="1"/>
  <c r="K14" i="1"/>
  <c r="P14" i="1" s="1"/>
  <c r="K17" i="1"/>
  <c r="K18" i="1"/>
  <c r="K29" i="1"/>
  <c r="P29" i="1" s="1"/>
  <c r="K27" i="1"/>
  <c r="K30" i="1"/>
  <c r="P30" i="1" s="1"/>
  <c r="K28" i="1"/>
  <c r="O28" i="1" s="1"/>
  <c r="K26" i="1"/>
  <c r="O26" i="1" s="1"/>
  <c r="M25" i="1"/>
  <c r="P24" i="1"/>
  <c r="K23" i="1"/>
  <c r="P23" i="1" s="1"/>
  <c r="K22" i="1"/>
  <c r="O22" i="1" s="1"/>
  <c r="K19" i="1"/>
  <c r="P19" i="1" s="1"/>
  <c r="K21" i="1"/>
  <c r="O21" i="1" s="1"/>
  <c r="O18" i="1"/>
  <c r="P18" i="1"/>
  <c r="O20" i="1"/>
  <c r="P21" i="1"/>
  <c r="O25" i="1"/>
  <c r="P25" i="1"/>
  <c r="O27" i="1"/>
  <c r="P27" i="1"/>
  <c r="K12" i="1"/>
  <c r="M12" i="1"/>
  <c r="M13" i="1"/>
  <c r="K13" i="1"/>
  <c r="M11" i="1"/>
  <c r="K11" i="1"/>
  <c r="O14" i="1"/>
  <c r="M20" i="1" l="1"/>
  <c r="Q25" i="1"/>
  <c r="T25" i="1" s="1"/>
  <c r="U25" i="1" s="1"/>
  <c r="R25" i="1"/>
  <c r="Q21" i="1"/>
  <c r="T21" i="1" s="1"/>
  <c r="U21" i="1" s="1"/>
  <c r="R21" i="1"/>
  <c r="Q20" i="1"/>
  <c r="R20" i="1"/>
  <c r="Q18" i="1"/>
  <c r="R18" i="1"/>
  <c r="Q23" i="1"/>
  <c r="T23" i="1" s="1"/>
  <c r="U23" i="1" s="1"/>
  <c r="R23" i="1"/>
  <c r="Q19" i="1"/>
  <c r="T19" i="1" s="1"/>
  <c r="U19" i="1" s="1"/>
  <c r="R19" i="1"/>
  <c r="Q24" i="1"/>
  <c r="R24" i="1"/>
  <c r="Q30" i="1"/>
  <c r="R30" i="1"/>
  <c r="O30" i="1"/>
  <c r="O29" i="1"/>
  <c r="Q29" i="1"/>
  <c r="T29" i="1" s="1"/>
  <c r="U29" i="1" s="1"/>
  <c r="R29" i="1"/>
  <c r="Q27" i="1"/>
  <c r="T27" i="1" s="1"/>
  <c r="U27" i="1" s="1"/>
  <c r="R27" i="1"/>
  <c r="P26" i="1"/>
  <c r="P28" i="1"/>
  <c r="O23" i="1"/>
  <c r="P22" i="1"/>
  <c r="O19" i="1"/>
  <c r="O12" i="1"/>
  <c r="P12" i="1"/>
  <c r="P11" i="1"/>
  <c r="O11" i="1"/>
  <c r="P13" i="1"/>
  <c r="O13" i="1"/>
  <c r="O17" i="1"/>
  <c r="P17" i="1"/>
  <c r="O16" i="1"/>
  <c r="P16" i="1"/>
  <c r="J15" i="1"/>
  <c r="E12" i="1"/>
  <c r="E13" i="1" s="1"/>
  <c r="E14" i="1" s="1"/>
  <c r="E15" i="1" s="1"/>
  <c r="E16" i="1" s="1"/>
  <c r="E17" i="1" s="1"/>
  <c r="E18" i="1" s="1"/>
  <c r="E19" i="1" s="1"/>
  <c r="E20" i="1" s="1"/>
  <c r="E21" i="1" s="1"/>
  <c r="E22" i="1" s="1"/>
  <c r="E23" i="1" s="1"/>
  <c r="E24" i="1" s="1"/>
  <c r="E25" i="1" s="1"/>
  <c r="E26" i="1" s="1"/>
  <c r="E27" i="1" s="1"/>
  <c r="E28" i="1" s="1"/>
  <c r="E29" i="1" s="1"/>
  <c r="E30" i="1" s="1"/>
  <c r="T24" i="1" l="1"/>
  <c r="U24" i="1" s="1"/>
  <c r="X19" i="1"/>
  <c r="W19" i="1"/>
  <c r="V19" i="1"/>
  <c r="T18" i="1"/>
  <c r="U18" i="1" s="1"/>
  <c r="U20" i="1"/>
  <c r="T20" i="1"/>
  <c r="W21" i="1"/>
  <c r="V21" i="1"/>
  <c r="X21" i="1"/>
  <c r="W25" i="1"/>
  <c r="V25" i="1"/>
  <c r="X25" i="1"/>
  <c r="W23" i="1"/>
  <c r="X23" i="1"/>
  <c r="V23" i="1"/>
  <c r="W27" i="1"/>
  <c r="V27" i="1"/>
  <c r="X27" i="1"/>
  <c r="X29" i="1"/>
  <c r="W29" i="1"/>
  <c r="V29" i="1"/>
  <c r="T30" i="1"/>
  <c r="U30" i="1" s="1"/>
  <c r="Q26" i="1"/>
  <c r="T26" i="1" s="1"/>
  <c r="U26" i="1" s="1"/>
  <c r="R26" i="1"/>
  <c r="M15" i="1"/>
  <c r="K15" i="1"/>
  <c r="Q28" i="1"/>
  <c r="R28" i="1"/>
  <c r="Q22" i="1"/>
  <c r="R22" i="1"/>
  <c r="A12" i="1"/>
  <c r="A13" i="1" s="1"/>
  <c r="A14" i="1" s="1"/>
  <c r="A15" i="1" s="1"/>
  <c r="A16" i="1" s="1"/>
  <c r="A17" i="1" s="1"/>
  <c r="A18" i="1" s="1"/>
  <c r="A19" i="1" s="1"/>
  <c r="A20" i="1" s="1"/>
  <c r="A21" i="1" s="1"/>
  <c r="A22" i="1" s="1"/>
  <c r="A23" i="1" s="1"/>
  <c r="A24" i="1" s="1"/>
  <c r="A25" i="1" s="1"/>
  <c r="A26" i="1" s="1"/>
  <c r="A27" i="1" s="1"/>
  <c r="A28" i="1" s="1"/>
  <c r="A29" i="1" s="1"/>
  <c r="A30" i="1" s="1"/>
  <c r="X18" i="1" l="1"/>
  <c r="W18" i="1"/>
  <c r="V18" i="1"/>
  <c r="X24" i="1"/>
  <c r="V24" i="1"/>
  <c r="W24" i="1"/>
  <c r="X20" i="1"/>
  <c r="V20" i="1"/>
  <c r="W20" i="1"/>
  <c r="T22" i="1"/>
  <c r="U22" i="1" s="1"/>
  <c r="W26" i="1"/>
  <c r="X26" i="1"/>
  <c r="V26" i="1"/>
  <c r="X30" i="1"/>
  <c r="W30" i="1"/>
  <c r="V30" i="1"/>
  <c r="T28" i="1"/>
  <c r="U28" i="1" s="1"/>
  <c r="O15" i="1"/>
  <c r="P15" i="1"/>
  <c r="X22" i="1" l="1"/>
  <c r="W22" i="1"/>
  <c r="V22" i="1"/>
  <c r="X28" i="1"/>
  <c r="W28" i="1"/>
  <c r="V28" i="1"/>
</calcChain>
</file>

<file path=xl/comments1.xml><?xml version="1.0" encoding="utf-8"?>
<comments xmlns="http://schemas.openxmlformats.org/spreadsheetml/2006/main">
  <authors>
    <author>Devo</author>
  </authors>
  <commentList>
    <comment ref="B27" authorId="0">
      <text>
        <r>
          <rPr>
            <b/>
            <sz val="8"/>
            <color indexed="81"/>
            <rFont val="Tahoma"/>
            <family val="2"/>
          </rPr>
          <t>Devo:</t>
        </r>
        <r>
          <rPr>
            <sz val="8"/>
            <color indexed="81"/>
            <rFont val="Tahoma"/>
            <family val="2"/>
          </rPr>
          <t xml:space="preserve">
ACL adjusted by the option 2 40-10 rule.  68% of coastwide OY/ACL projected from the base case in the 2007 assessment. 68% is the 2003-08 ave. proportion of the estimated swept-area biomass from the NWFSC shelf-slope survey.</t>
        </r>
      </text>
    </comment>
  </commentList>
</comments>
</file>

<file path=xl/sharedStrings.xml><?xml version="1.0" encoding="utf-8"?>
<sst xmlns="http://schemas.openxmlformats.org/spreadsheetml/2006/main" count="193" uniqueCount="63">
  <si>
    <t>HG</t>
  </si>
  <si>
    <t>Total Catch OY</t>
  </si>
  <si>
    <t>Annual catch limits (mt) for sablefish north of 36º N lat., 1995-2014.</t>
  </si>
  <si>
    <t>Year</t>
  </si>
  <si>
    <t>Type of limit</t>
  </si>
  <si>
    <t>Annual Limit (mt)</t>
  </si>
  <si>
    <t>Annual Catch Limit</t>
  </si>
  <si>
    <t>Sector allocations of sablefish north of 36º N lat., 1995-2014.</t>
  </si>
  <si>
    <t>Tier 1</t>
  </si>
  <si>
    <t>Tier 2</t>
  </si>
  <si>
    <t>Tier 3</t>
  </si>
  <si>
    <t>Non-Tribal Sector Allocations (mt)</t>
  </si>
  <si>
    <t>Tribal Allocation (mt)</t>
  </si>
  <si>
    <t>LE Total</t>
  </si>
  <si>
    <t>Landed Catch OY</t>
  </si>
  <si>
    <t>Commercial HG</t>
  </si>
  <si>
    <t>OA Total</t>
  </si>
  <si>
    <t>NA</t>
  </si>
  <si>
    <t>Comments</t>
  </si>
  <si>
    <t>Yield Set-asides (Research, Rec., EFPs, etc. in mt)</t>
  </si>
  <si>
    <t>10% set-aside for fishery discards; all fishery HGs and alocations are for landed catch</t>
  </si>
  <si>
    <t>Tribal Allocation Percentage</t>
  </si>
  <si>
    <t>10% of OY after deducting yield set-asides</t>
  </si>
  <si>
    <t>Yield Set-asides Percentage/Method</t>
  </si>
  <si>
    <t>10% of OY</t>
  </si>
  <si>
    <t>10% of OY + 29 mt for compensation fish</t>
  </si>
  <si>
    <t>10% of ACL</t>
  </si>
  <si>
    <t>Allocation</t>
  </si>
  <si>
    <t>Percent of Comm. HG</t>
  </si>
  <si>
    <t>48 mt for research + 19 mt for incidental bycatch in non-GF fisheries</t>
  </si>
  <si>
    <t>LE Trawl (58% of LE Total)</t>
  </si>
  <si>
    <t>LE Fixed Gear (42% of LE Total)</t>
  </si>
  <si>
    <t>11.1 mt for comp. fish + 53 mt for research + 18.5 mt for incidental bycatch in non-GF fisheries</t>
  </si>
  <si>
    <t>24 mt for comp. fish</t>
  </si>
  <si>
    <t>24.7 mt for comp. fish</t>
  </si>
  <si>
    <t>53 mt for research + 18.5 mt for incidental bycatch in non-GF fisheries</t>
  </si>
  <si>
    <t>16 mt for research + 6.1 mt for recreational fisheries</t>
  </si>
  <si>
    <t>LEFG Primary (85% of LEFG Total)</t>
  </si>
  <si>
    <t>26 mt for research + 6.1 mt for recreational fisheries + 4 mt for EFPs</t>
  </si>
  <si>
    <t>86 mt for research + 19 mt for incidental bycatch in non-GF fisheries</t>
  </si>
  <si>
    <t>Regulations incorrect - the northern OY was allocated to LE and OA instead of comm. HG; 15% of trawl allocation set-aside to account for bycatch in at-sea whiting fisheries</t>
  </si>
  <si>
    <t>50 mt set-aside from trawl allocation to account for bycatch in at-sea whiting fisheries</t>
  </si>
  <si>
    <t>LE Fixed Gear Shares</t>
  </si>
  <si>
    <t>LEFG Primary Season Landed Catch Share</t>
  </si>
  <si>
    <t>Assumed LEFG Primary Season Discard Mortality (20% of LEFG Discards)</t>
  </si>
  <si>
    <t>Observed LEFG Discard Rate</t>
  </si>
  <si>
    <t>LEFG Tier Limits in Regulations</t>
  </si>
  <si>
    <t>LEFG DTL (15% of LEFG Total) a/</t>
  </si>
  <si>
    <t>a/ The limited entry fixed gear (LEFG) daily trip limit fishery accommodates bycatch before and after the primary season for all LEFG vessels as well as bycatch during the primary season for vessels that either do not have a sablefish-endorsed permit or those vessels having landed their tier limit.</t>
  </si>
  <si>
    <t>b/ Ratio of limits between the tiers is approximately 1:1.75:3.85 for Tier 3:Tier 2:Tier 1, respectively.</t>
  </si>
  <si>
    <t>Calculated LEFG Tier Limits (landed catch in lbs) b/</t>
  </si>
  <si>
    <t>Annual Catch Limit (mt)</t>
  </si>
  <si>
    <t>Sector allocations for sablefish north of 36º N lat. under the preliminary proposed annual catch limits for 2015 and 2016.</t>
  </si>
  <si>
    <t>26 mt for research + 6.1 mt for rec. fisheries + 1 mt for EFPs</t>
  </si>
  <si>
    <t>10% set-aside for fishery discards; all fishery HGs and alocations are for landed catch; tier limits in regs. rounded to nearest 100 lbs</t>
  </si>
  <si>
    <t>all fishery HGs and alocations are for landed catch; tier limits in regs. rounded to nearest 100 lbs</t>
  </si>
  <si>
    <t>First year where discard projections are deducted from sector allocations rather than deducted as a yield set-aside; tier limits in regs. rounded to nearest 100 lbs</t>
  </si>
  <si>
    <t>tier limits in regs. rounded to nearest 100 lbs</t>
  </si>
  <si>
    <t>15% of trawl allocation set-aside to account for bycatch in at-sea whiting fisheries; tier limits in regs. rounded to nearest 100 lbs</t>
  </si>
  <si>
    <t>No yield set-aside likely an error in regulations; 15% of trawl allocation set-aside to account for bycatch in at-sea whiting fisheries; tier limits in regs. rounded to nearest 100 lbs</t>
  </si>
  <si>
    <t>No yield set-aside and the comm. HG in regulations are likely errors; 15% of trawl allocation set-aside to account for bycatch in at-sea whiting fisheries; tier limits in regs. rounded to nearest 100 lbs</t>
  </si>
  <si>
    <t>No yield set-aside and the comm. HG in regulations are likely errors; 15% of trawl allocation set-aside to account for bycatch in at-sea whiting fisheries</t>
  </si>
  <si>
    <t>No yield set-asides?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</si>
</sst>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9" x14ac:knownFonts="1">
    <font>
      <sz val="11"/>
      <color theme="1"/>
      <name val="Times New Roman"/>
      <family val="2"/>
    </font>
    <font>
      <b/>
      <sz val="11"/>
      <name val="Times New Roman"/>
      <family val="1"/>
    </font>
    <font>
      <sz val="11"/>
      <color theme="1"/>
      <name val="Times New Roman"/>
      <family val="1"/>
    </font>
    <font>
      <sz val="11"/>
      <name val="Times New Roman"/>
      <family val="1"/>
    </font>
    <font>
      <b/>
      <sz val="11"/>
      <color theme="1"/>
      <name val="Times New Roman"/>
      <family val="1"/>
    </font>
    <font>
      <b/>
      <sz val="8"/>
      <color indexed="81"/>
      <name val="Tahoma"/>
      <family val="2"/>
    </font>
    <font>
      <sz val="8"/>
      <color indexed="81"/>
      <name val="Tahoma"/>
      <family val="2"/>
    </font>
    <font>
      <b/>
      <sz val="11"/>
      <color theme="0"/>
      <name val="Times New Roman"/>
      <family val="1"/>
    </font>
    <font>
      <sz val="11"/>
      <color rgb="FF000000"/>
      <name val="Times New Roman"/>
      <family val="1"/>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8">
    <xf numFmtId="0" fontId="0" fillId="0" borderId="0" xfId="0"/>
    <xf numFmtId="0" fontId="2" fillId="0" borderId="0" xfId="0" applyFont="1" applyAlignment="1">
      <alignment horizontal="center" vertical="center"/>
    </xf>
    <xf numFmtId="0" fontId="2" fillId="0" borderId="9" xfId="0" applyFont="1" applyBorder="1" applyAlignment="1">
      <alignment horizontal="center" vertical="center"/>
    </xf>
    <xf numFmtId="3" fontId="3" fillId="0" borderId="9" xfId="0" applyNumberFormat="1" applyFont="1" applyBorder="1" applyAlignment="1">
      <alignment horizontal="center" vertical="center"/>
    </xf>
    <xf numFmtId="0" fontId="3" fillId="0" borderId="9" xfId="0" applyFont="1" applyBorder="1" applyAlignment="1">
      <alignment horizontal="center" vertical="center" wrapText="1"/>
    </xf>
    <xf numFmtId="3" fontId="3" fillId="0" borderId="9" xfId="0" applyNumberFormat="1" applyFont="1" applyFill="1" applyBorder="1" applyAlignment="1">
      <alignment horizontal="center" vertical="center" wrapText="1"/>
    </xf>
    <xf numFmtId="3" fontId="2" fillId="0" borderId="9" xfId="0" applyNumberFormat="1" applyFont="1" applyBorder="1" applyAlignment="1">
      <alignment horizontal="center" vertical="center"/>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3" fontId="2" fillId="2" borderId="9" xfId="0" applyNumberFormat="1" applyFont="1" applyFill="1" applyBorder="1" applyAlignment="1">
      <alignment horizontal="center" vertical="center"/>
    </xf>
    <xf numFmtId="164" fontId="2" fillId="0" borderId="9" xfId="0" applyNumberFormat="1" applyFont="1" applyFill="1" applyBorder="1" applyAlignment="1">
      <alignment horizontal="center" vertical="center"/>
    </xf>
    <xf numFmtId="0" fontId="3" fillId="0" borderId="9" xfId="0" applyFont="1" applyBorder="1" applyAlignment="1">
      <alignment horizontal="center" vertical="center"/>
    </xf>
    <xf numFmtId="165" fontId="2" fillId="0" borderId="9" xfId="0" applyNumberFormat="1" applyFont="1" applyBorder="1" applyAlignment="1">
      <alignment horizontal="center" vertical="center"/>
    </xf>
    <xf numFmtId="165" fontId="2" fillId="2" borderId="9" xfId="0" applyNumberFormat="1" applyFont="1" applyFill="1" applyBorder="1" applyAlignment="1">
      <alignment horizontal="center" vertical="center"/>
    </xf>
    <xf numFmtId="3" fontId="2" fillId="0" borderId="9" xfId="0" applyNumberFormat="1" applyFont="1" applyFill="1" applyBorder="1" applyAlignment="1">
      <alignment horizontal="center" vertical="center"/>
    </xf>
    <xf numFmtId="165" fontId="2" fillId="0" borderId="9" xfId="0" applyNumberFormat="1" applyFont="1" applyFill="1" applyBorder="1" applyAlignment="1">
      <alignment horizontal="center" vertical="center"/>
    </xf>
    <xf numFmtId="3" fontId="7" fillId="3" borderId="9" xfId="0" applyNumberFormat="1" applyFont="1" applyFill="1" applyBorder="1" applyAlignment="1">
      <alignment horizontal="center" vertical="center"/>
    </xf>
    <xf numFmtId="0" fontId="7" fillId="3" borderId="9" xfId="0" applyFont="1" applyFill="1" applyBorder="1" applyAlignment="1">
      <alignment horizontal="center" vertical="center"/>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3" fontId="8" fillId="0" borderId="9" xfId="0" applyNumberFormat="1" applyFont="1" applyBorder="1" applyAlignment="1">
      <alignment horizontal="center" vertical="center"/>
    </xf>
    <xf numFmtId="3" fontId="2" fillId="0" borderId="9" xfId="0" applyNumberFormat="1" applyFont="1" applyBorder="1" applyAlignment="1">
      <alignment horizontal="center" vertical="center" wrapText="1"/>
    </xf>
    <xf numFmtId="3" fontId="7" fillId="3" borderId="9" xfId="0" applyNumberFormat="1" applyFont="1" applyFill="1" applyBorder="1" applyAlignment="1">
      <alignment horizontal="center" vertical="center" wrapText="1"/>
    </xf>
    <xf numFmtId="10" fontId="2" fillId="0" borderId="9" xfId="0" applyNumberFormat="1" applyFont="1" applyFill="1" applyBorder="1" applyAlignment="1">
      <alignment horizontal="center" vertical="center"/>
    </xf>
    <xf numFmtId="10" fontId="7" fillId="3" borderId="9" xfId="0" applyNumberFormat="1" applyFont="1" applyFill="1" applyBorder="1" applyAlignment="1">
      <alignment horizontal="center" vertical="center"/>
    </xf>
    <xf numFmtId="0" fontId="4" fillId="0" borderId="10" xfId="0" applyFont="1" applyBorder="1" applyAlignment="1">
      <alignment horizontal="center"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0" xfId="0" applyFont="1"/>
    <xf numFmtId="0" fontId="2" fillId="0" borderId="2" xfId="0" applyFont="1" applyBorder="1" applyAlignment="1">
      <alignment vertical="center"/>
    </xf>
    <xf numFmtId="0" fontId="2" fillId="0" borderId="0" xfId="0" applyFont="1" applyBorder="1" applyAlignment="1">
      <alignment vertical="center"/>
    </xf>
    <xf numFmtId="165" fontId="3" fillId="0" borderId="9" xfId="0" applyNumberFormat="1" applyFont="1" applyFill="1" applyBorder="1" applyAlignment="1">
      <alignment horizontal="center" vertical="center"/>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4" xfId="0" applyFont="1" applyBorder="1" applyAlignment="1">
      <alignment horizontal="center" vertical="center" wrapText="1"/>
    </xf>
    <xf numFmtId="0" fontId="4" fillId="0" borderId="6" xfId="0" applyFont="1" applyBorder="1" applyAlignment="1">
      <alignment horizontal="center" vertical="center" wrapText="1"/>
    </xf>
    <xf numFmtId="0" fontId="4" fillId="0" borderId="5" xfId="0" applyFont="1" applyBorder="1" applyAlignment="1">
      <alignment horizontal="center" vertical="center" wrapText="1"/>
    </xf>
    <xf numFmtId="0" fontId="4" fillId="0" borderId="8" xfId="0" applyFont="1" applyBorder="1" applyAlignment="1">
      <alignment horizontal="center" vertical="center" wrapText="1"/>
    </xf>
    <xf numFmtId="0" fontId="1" fillId="0" borderId="0" xfId="0" applyFont="1" applyAlignment="1">
      <alignment horizontal="left" vertical="center" wrapText="1"/>
    </xf>
    <xf numFmtId="0" fontId="1" fillId="0" borderId="7" xfId="0" applyFont="1" applyBorder="1" applyAlignment="1">
      <alignment horizontal="left" vertical="center" wrapText="1"/>
    </xf>
    <xf numFmtId="0" fontId="4" fillId="0" borderId="9" xfId="0" applyFont="1" applyBorder="1" applyAlignment="1">
      <alignment horizontal="center" vertical="center"/>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4" fillId="0" borderId="0" xfId="0" applyFont="1" applyAlignment="1">
      <alignment horizontal="left" vertical="center" wrapText="1"/>
    </xf>
    <xf numFmtId="0" fontId="4" fillId="0" borderId="7" xfId="0" applyFont="1" applyBorder="1" applyAlignment="1">
      <alignment horizontal="left" vertical="center" wrapText="1"/>
    </xf>
    <xf numFmtId="0" fontId="4" fillId="0" borderId="15"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0" xfId="0" applyFont="1" applyBorder="1" applyAlignment="1">
      <alignment horizontal="center" vertical="center" wrapText="1"/>
    </xf>
    <xf numFmtId="0" fontId="4" fillId="0" borderId="7" xfId="0" applyFont="1" applyBorder="1" applyAlignment="1">
      <alignment horizontal="center" vertical="center" wrapText="1"/>
    </xf>
    <xf numFmtId="0" fontId="2" fillId="0" borderId="0" xfId="0" applyFont="1" applyBorder="1" applyAlignment="1">
      <alignment horizontal="left" vertical="center" wrapText="1"/>
    </xf>
    <xf numFmtId="0" fontId="2" fillId="0" borderId="2" xfId="0" applyFont="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32"/>
  <sheetViews>
    <sheetView tabSelected="1" zoomScale="80" zoomScaleNormal="80" workbookViewId="0">
      <pane xSplit="1" ySplit="10" topLeftCell="B11" activePane="bottomRight" state="frozen"/>
      <selection pane="topRight" activeCell="B1" sqref="B1"/>
      <selection pane="bottomLeft" activeCell="A6" sqref="A6"/>
      <selection pane="bottomRight" activeCell="N26" sqref="N26"/>
    </sheetView>
  </sheetViews>
  <sheetFormatPr defaultRowHeight="15" x14ac:dyDescent="0.25"/>
  <cols>
    <col min="1" max="1" width="5.42578125" style="1" bestFit="1" customWidth="1"/>
    <col min="2" max="2" width="17.85546875" style="1" bestFit="1" customWidth="1"/>
    <col min="3" max="3" width="32.42578125" style="1" bestFit="1" customWidth="1"/>
    <col min="4" max="4" width="3.5703125" style="1" customWidth="1"/>
    <col min="5" max="5" width="9.140625" style="1"/>
    <col min="6" max="6" width="11.5703125" style="1" customWidth="1"/>
    <col min="7" max="7" width="38.28515625" style="1" bestFit="1" customWidth="1"/>
    <col min="8" max="8" width="15" style="1" customWidth="1"/>
    <col min="9" max="9" width="82.85546875" style="1" bestFit="1" customWidth="1"/>
    <col min="10" max="10" width="17.5703125" style="1" customWidth="1"/>
    <col min="11" max="11" width="10.85546875" style="1" bestFit="1" customWidth="1"/>
    <col min="12" max="12" width="13.5703125" style="1" customWidth="1"/>
    <col min="13" max="13" width="10.85546875" style="1" bestFit="1" customWidth="1"/>
    <col min="14" max="14" width="13.5703125" style="1" customWidth="1"/>
    <col min="15" max="15" width="9.7109375" style="1" bestFit="1" customWidth="1"/>
    <col min="16" max="18" width="14.42578125" style="1" customWidth="1"/>
    <col min="19" max="19" width="9.85546875" style="1" customWidth="1"/>
    <col min="20" max="20" width="15.28515625" style="1" customWidth="1"/>
    <col min="21" max="21" width="15.140625" style="1" customWidth="1"/>
    <col min="22" max="27" width="9.140625" style="1"/>
    <col min="28" max="28" width="176.42578125" style="1" bestFit="1" customWidth="1"/>
    <col min="29" max="16384" width="9.140625" style="1"/>
  </cols>
  <sheetData>
    <row r="1" spans="1:28" ht="15" customHeight="1" x14ac:dyDescent="0.25">
      <c r="A1" s="41" t="s">
        <v>2</v>
      </c>
      <c r="B1" s="41"/>
      <c r="C1" s="41"/>
      <c r="E1" s="48" t="s">
        <v>7</v>
      </c>
      <c r="F1" s="48"/>
      <c r="G1" s="48"/>
      <c r="H1" s="48"/>
      <c r="I1" s="48"/>
      <c r="J1" s="48"/>
      <c r="K1" s="48"/>
      <c r="L1" s="48"/>
      <c r="M1" s="48"/>
      <c r="N1" s="48"/>
      <c r="O1" s="48"/>
      <c r="P1" s="48"/>
      <c r="Q1" s="48"/>
      <c r="R1" s="48"/>
      <c r="S1" s="48"/>
      <c r="T1" s="48"/>
      <c r="U1" s="48"/>
      <c r="V1" s="48"/>
      <c r="W1" s="48"/>
      <c r="X1" s="48"/>
      <c r="Y1" s="48"/>
      <c r="Z1" s="48"/>
      <c r="AA1" s="48"/>
      <c r="AB1" s="48"/>
    </row>
    <row r="2" spans="1:28" x14ac:dyDescent="0.25">
      <c r="A2" s="42"/>
      <c r="B2" s="42"/>
      <c r="C2" s="42"/>
      <c r="E2" s="49"/>
      <c r="F2" s="49"/>
      <c r="G2" s="49"/>
      <c r="H2" s="49"/>
      <c r="I2" s="49"/>
      <c r="J2" s="49"/>
      <c r="K2" s="49"/>
      <c r="L2" s="49"/>
      <c r="M2" s="49"/>
      <c r="N2" s="49"/>
      <c r="O2" s="49"/>
      <c r="P2" s="49"/>
      <c r="Q2" s="49"/>
      <c r="R2" s="49"/>
      <c r="S2" s="49"/>
      <c r="T2" s="49"/>
      <c r="U2" s="49"/>
      <c r="V2" s="49"/>
      <c r="W2" s="49"/>
      <c r="X2" s="49"/>
      <c r="Y2" s="49"/>
      <c r="Z2" s="49"/>
      <c r="AA2" s="49"/>
      <c r="AB2" s="49"/>
    </row>
    <row r="3" spans="1:28" ht="15" customHeight="1" x14ac:dyDescent="0.25">
      <c r="A3" s="43" t="s">
        <v>3</v>
      </c>
      <c r="B3" s="43" t="s">
        <v>5</v>
      </c>
      <c r="C3" s="43" t="s">
        <v>4</v>
      </c>
      <c r="E3" s="43" t="s">
        <v>3</v>
      </c>
      <c r="F3" s="34" t="s">
        <v>12</v>
      </c>
      <c r="G3" s="34" t="s">
        <v>21</v>
      </c>
      <c r="H3" s="33" t="s">
        <v>19</v>
      </c>
      <c r="I3" s="33" t="s">
        <v>23</v>
      </c>
      <c r="J3" s="33" t="s">
        <v>11</v>
      </c>
      <c r="K3" s="33"/>
      <c r="L3" s="33"/>
      <c r="M3" s="33"/>
      <c r="N3" s="33"/>
      <c r="O3" s="33"/>
      <c r="P3" s="33"/>
      <c r="Q3" s="33"/>
      <c r="R3" s="33"/>
      <c r="S3" s="33"/>
      <c r="T3" s="33"/>
      <c r="U3" s="33"/>
      <c r="V3" s="33"/>
      <c r="W3" s="33"/>
      <c r="X3" s="33"/>
      <c r="Y3" s="44" t="s">
        <v>46</v>
      </c>
      <c r="Z3" s="53"/>
      <c r="AA3" s="45"/>
      <c r="AB3" s="33" t="s">
        <v>18</v>
      </c>
    </row>
    <row r="4" spans="1:28" ht="15" customHeight="1" x14ac:dyDescent="0.25">
      <c r="A4" s="43"/>
      <c r="B4" s="43"/>
      <c r="C4" s="43"/>
      <c r="E4" s="43"/>
      <c r="F4" s="35"/>
      <c r="G4" s="35"/>
      <c r="H4" s="33"/>
      <c r="I4" s="33"/>
      <c r="J4" s="7"/>
      <c r="K4" s="18"/>
      <c r="L4" s="19"/>
      <c r="M4" s="18"/>
      <c r="N4" s="19"/>
      <c r="O4" s="8"/>
      <c r="P4" s="50" t="s">
        <v>42</v>
      </c>
      <c r="Q4" s="51"/>
      <c r="R4" s="51"/>
      <c r="S4" s="51"/>
      <c r="T4" s="51"/>
      <c r="U4" s="51"/>
      <c r="V4" s="51"/>
      <c r="W4" s="51"/>
      <c r="X4" s="52"/>
      <c r="Y4" s="37"/>
      <c r="Z4" s="54"/>
      <c r="AA4" s="39"/>
      <c r="AB4" s="33"/>
    </row>
    <row r="5" spans="1:28" ht="15" customHeight="1" x14ac:dyDescent="0.25">
      <c r="A5" s="43"/>
      <c r="B5" s="43"/>
      <c r="C5" s="43"/>
      <c r="E5" s="43"/>
      <c r="F5" s="35"/>
      <c r="G5" s="35"/>
      <c r="H5" s="33"/>
      <c r="I5" s="33"/>
      <c r="J5" s="33" t="s">
        <v>15</v>
      </c>
      <c r="K5" s="44" t="s">
        <v>13</v>
      </c>
      <c r="L5" s="45"/>
      <c r="M5" s="44" t="s">
        <v>16</v>
      </c>
      <c r="N5" s="45"/>
      <c r="O5" s="34" t="s">
        <v>30</v>
      </c>
      <c r="P5" s="34" t="s">
        <v>31</v>
      </c>
      <c r="Q5" s="34" t="s">
        <v>37</v>
      </c>
      <c r="R5" s="34" t="s">
        <v>47</v>
      </c>
      <c r="S5" s="34" t="s">
        <v>45</v>
      </c>
      <c r="T5" s="34" t="s">
        <v>44</v>
      </c>
      <c r="U5" s="34" t="s">
        <v>43</v>
      </c>
      <c r="V5" s="44" t="s">
        <v>50</v>
      </c>
      <c r="W5" s="53"/>
      <c r="X5" s="45"/>
      <c r="Y5" s="37"/>
      <c r="Z5" s="54"/>
      <c r="AA5" s="39"/>
      <c r="AB5" s="33"/>
    </row>
    <row r="6" spans="1:28" ht="15" customHeight="1" x14ac:dyDescent="0.25">
      <c r="A6" s="43"/>
      <c r="B6" s="43"/>
      <c r="C6" s="43"/>
      <c r="E6" s="43"/>
      <c r="F6" s="35"/>
      <c r="G6" s="35"/>
      <c r="H6" s="33"/>
      <c r="I6" s="33"/>
      <c r="J6" s="33"/>
      <c r="K6" s="37" t="s">
        <v>27</v>
      </c>
      <c r="L6" s="39" t="s">
        <v>28</v>
      </c>
      <c r="M6" s="37" t="s">
        <v>27</v>
      </c>
      <c r="N6" s="39" t="s">
        <v>28</v>
      </c>
      <c r="O6" s="35"/>
      <c r="P6" s="35"/>
      <c r="Q6" s="35"/>
      <c r="R6" s="35"/>
      <c r="S6" s="35"/>
      <c r="T6" s="35"/>
      <c r="U6" s="35"/>
      <c r="V6" s="38"/>
      <c r="W6" s="55"/>
      <c r="X6" s="40"/>
      <c r="Y6" s="38"/>
      <c r="Z6" s="55"/>
      <c r="AA6" s="40"/>
      <c r="AB6" s="33"/>
    </row>
    <row r="7" spans="1:28" ht="15" customHeight="1" x14ac:dyDescent="0.25">
      <c r="A7" s="43"/>
      <c r="B7" s="43"/>
      <c r="C7" s="43"/>
      <c r="E7" s="43"/>
      <c r="F7" s="35"/>
      <c r="G7" s="35"/>
      <c r="H7" s="33"/>
      <c r="I7" s="33"/>
      <c r="J7" s="33"/>
      <c r="K7" s="37"/>
      <c r="L7" s="39"/>
      <c r="M7" s="37"/>
      <c r="N7" s="39"/>
      <c r="O7" s="35"/>
      <c r="P7" s="35"/>
      <c r="Q7" s="35"/>
      <c r="R7" s="35"/>
      <c r="S7" s="35"/>
      <c r="T7" s="35"/>
      <c r="U7" s="35"/>
      <c r="V7" s="43" t="s">
        <v>8</v>
      </c>
      <c r="W7" s="43" t="s">
        <v>9</v>
      </c>
      <c r="X7" s="43" t="s">
        <v>10</v>
      </c>
      <c r="Y7" s="43" t="s">
        <v>8</v>
      </c>
      <c r="Z7" s="43" t="s">
        <v>9</v>
      </c>
      <c r="AA7" s="43" t="s">
        <v>10</v>
      </c>
      <c r="AB7" s="33"/>
    </row>
    <row r="8" spans="1:28" ht="15" customHeight="1" x14ac:dyDescent="0.25">
      <c r="A8" s="43"/>
      <c r="B8" s="43"/>
      <c r="C8" s="43"/>
      <c r="E8" s="43"/>
      <c r="F8" s="35"/>
      <c r="G8" s="35"/>
      <c r="H8" s="33"/>
      <c r="I8" s="33"/>
      <c r="J8" s="33"/>
      <c r="K8" s="37"/>
      <c r="L8" s="39"/>
      <c r="M8" s="37"/>
      <c r="N8" s="39"/>
      <c r="O8" s="35"/>
      <c r="P8" s="35"/>
      <c r="Q8" s="35"/>
      <c r="R8" s="35"/>
      <c r="S8" s="35"/>
      <c r="T8" s="35"/>
      <c r="U8" s="35"/>
      <c r="V8" s="43"/>
      <c r="W8" s="43"/>
      <c r="X8" s="43"/>
      <c r="Y8" s="43"/>
      <c r="Z8" s="43"/>
      <c r="AA8" s="43"/>
      <c r="AB8" s="33"/>
    </row>
    <row r="9" spans="1:28" ht="15" customHeight="1" x14ac:dyDescent="0.25">
      <c r="A9" s="43"/>
      <c r="B9" s="43"/>
      <c r="C9" s="43"/>
      <c r="E9" s="43"/>
      <c r="F9" s="35"/>
      <c r="G9" s="35"/>
      <c r="H9" s="33"/>
      <c r="I9" s="33"/>
      <c r="J9" s="33"/>
      <c r="K9" s="37"/>
      <c r="L9" s="39"/>
      <c r="M9" s="37"/>
      <c r="N9" s="39"/>
      <c r="O9" s="35"/>
      <c r="P9" s="35"/>
      <c r="Q9" s="35"/>
      <c r="R9" s="35"/>
      <c r="S9" s="35"/>
      <c r="T9" s="35"/>
      <c r="U9" s="35"/>
      <c r="V9" s="43"/>
      <c r="W9" s="43"/>
      <c r="X9" s="43"/>
      <c r="Y9" s="43"/>
      <c r="Z9" s="43"/>
      <c r="AA9" s="43"/>
      <c r="AB9" s="33"/>
    </row>
    <row r="10" spans="1:28" ht="15" customHeight="1" x14ac:dyDescent="0.25">
      <c r="A10" s="43"/>
      <c r="B10" s="43"/>
      <c r="C10" s="43"/>
      <c r="E10" s="43"/>
      <c r="F10" s="36"/>
      <c r="G10" s="36"/>
      <c r="H10" s="33"/>
      <c r="I10" s="33"/>
      <c r="J10" s="33"/>
      <c r="K10" s="38"/>
      <c r="L10" s="40"/>
      <c r="M10" s="38"/>
      <c r="N10" s="40"/>
      <c r="O10" s="36"/>
      <c r="P10" s="36"/>
      <c r="Q10" s="36"/>
      <c r="R10" s="36"/>
      <c r="S10" s="36"/>
      <c r="T10" s="36"/>
      <c r="U10" s="36"/>
      <c r="V10" s="43"/>
      <c r="W10" s="43"/>
      <c r="X10" s="43"/>
      <c r="Y10" s="43"/>
      <c r="Z10" s="43"/>
      <c r="AA10" s="43"/>
      <c r="AB10" s="33"/>
    </row>
    <row r="11" spans="1:28" x14ac:dyDescent="0.25">
      <c r="A11" s="2">
        <v>1995</v>
      </c>
      <c r="B11" s="3">
        <v>7800</v>
      </c>
      <c r="C11" s="2" t="s">
        <v>0</v>
      </c>
      <c r="E11" s="2">
        <v>1995</v>
      </c>
      <c r="F11" s="9">
        <f>0.1*(B11-H11)</f>
        <v>702</v>
      </c>
      <c r="G11" s="9"/>
      <c r="H11" s="9">
        <f>0.1*B11</f>
        <v>780</v>
      </c>
      <c r="I11" s="9"/>
      <c r="J11" s="9">
        <f t="shared" ref="J11:J17" si="0">B11-(F11+H11)</f>
        <v>6318</v>
      </c>
      <c r="K11" s="9">
        <f>J11*0.934</f>
        <v>5901.0120000000006</v>
      </c>
      <c r="L11" s="13"/>
      <c r="M11" s="9">
        <f>J11*0.066</f>
        <v>416.988</v>
      </c>
      <c r="N11" s="13"/>
      <c r="O11" s="9">
        <f t="shared" ref="O11:O17" si="1">0.58*K11</f>
        <v>3422.5869600000001</v>
      </c>
      <c r="P11" s="9">
        <f t="shared" ref="P11:P17" si="2">0.42*K11</f>
        <v>2478.4250400000001</v>
      </c>
      <c r="Q11" s="6" t="s">
        <v>17</v>
      </c>
      <c r="R11" s="6" t="s">
        <v>17</v>
      </c>
      <c r="S11" s="2" t="s">
        <v>17</v>
      </c>
      <c r="T11" s="2" t="s">
        <v>17</v>
      </c>
      <c r="U11" s="2"/>
      <c r="V11" s="2" t="s">
        <v>17</v>
      </c>
      <c r="W11" s="2" t="s">
        <v>17</v>
      </c>
      <c r="X11" s="2" t="s">
        <v>17</v>
      </c>
      <c r="Y11" s="2"/>
      <c r="Z11" s="2"/>
      <c r="AA11" s="2"/>
      <c r="AB11" s="2" t="s">
        <v>20</v>
      </c>
    </row>
    <row r="12" spans="1:28" x14ac:dyDescent="0.25">
      <c r="A12" s="2">
        <f>A11+1</f>
        <v>1996</v>
      </c>
      <c r="B12" s="3">
        <v>7800</v>
      </c>
      <c r="C12" s="2" t="s">
        <v>0</v>
      </c>
      <c r="E12" s="2">
        <f>E11+1</f>
        <v>1996</v>
      </c>
      <c r="F12" s="9">
        <f>0.1*(B12-H12)</f>
        <v>702</v>
      </c>
      <c r="G12" s="9"/>
      <c r="H12" s="9">
        <f>0.1*B12</f>
        <v>780</v>
      </c>
      <c r="I12" s="9"/>
      <c r="J12" s="9">
        <f t="shared" si="0"/>
        <v>6318</v>
      </c>
      <c r="K12" s="9">
        <f>J12*0.934</f>
        <v>5901.0120000000006</v>
      </c>
      <c r="L12" s="13"/>
      <c r="M12" s="9">
        <f>J12*0.066</f>
        <v>416.988</v>
      </c>
      <c r="N12" s="13"/>
      <c r="O12" s="9">
        <f t="shared" si="1"/>
        <v>3422.5869600000001</v>
      </c>
      <c r="P12" s="9">
        <f t="shared" si="2"/>
        <v>2478.4250400000001</v>
      </c>
      <c r="Q12" s="6" t="s">
        <v>17</v>
      </c>
      <c r="R12" s="6" t="s">
        <v>17</v>
      </c>
      <c r="S12" s="2" t="s">
        <v>17</v>
      </c>
      <c r="T12" s="2" t="s">
        <v>17</v>
      </c>
      <c r="U12" s="2"/>
      <c r="V12" s="2" t="s">
        <v>17</v>
      </c>
      <c r="W12" s="2" t="s">
        <v>17</v>
      </c>
      <c r="X12" s="2" t="s">
        <v>17</v>
      </c>
      <c r="Y12" s="2"/>
      <c r="Z12" s="2"/>
      <c r="AA12" s="2"/>
      <c r="AB12" s="2" t="s">
        <v>20</v>
      </c>
    </row>
    <row r="13" spans="1:28" x14ac:dyDescent="0.25">
      <c r="A13" s="2">
        <f t="shared" ref="A13:A30" si="3">A12+1</f>
        <v>1997</v>
      </c>
      <c r="B13" s="3">
        <v>7800</v>
      </c>
      <c r="C13" s="2" t="s">
        <v>0</v>
      </c>
      <c r="E13" s="2">
        <f t="shared" ref="E13:E30" si="4">E12+1</f>
        <v>1997</v>
      </c>
      <c r="F13" s="9">
        <f>0.1*(B13-H13)</f>
        <v>702</v>
      </c>
      <c r="G13" s="9"/>
      <c r="H13" s="9">
        <f>0.1*B13</f>
        <v>780</v>
      </c>
      <c r="I13" s="9"/>
      <c r="J13" s="9">
        <f t="shared" si="0"/>
        <v>6318</v>
      </c>
      <c r="K13" s="9">
        <f>J13*0.934</f>
        <v>5901.0120000000006</v>
      </c>
      <c r="L13" s="13"/>
      <c r="M13" s="9">
        <f>J13*0.066</f>
        <v>416.988</v>
      </c>
      <c r="N13" s="13"/>
      <c r="O13" s="9">
        <f t="shared" si="1"/>
        <v>3422.5869600000001</v>
      </c>
      <c r="P13" s="9">
        <f t="shared" si="2"/>
        <v>2478.4250400000001</v>
      </c>
      <c r="Q13" s="6" t="s">
        <v>17</v>
      </c>
      <c r="R13" s="6" t="s">
        <v>17</v>
      </c>
      <c r="S13" s="2" t="s">
        <v>17</v>
      </c>
      <c r="T13" s="2" t="s">
        <v>17</v>
      </c>
      <c r="U13" s="2"/>
      <c r="V13" s="2" t="s">
        <v>17</v>
      </c>
      <c r="W13" s="2" t="s">
        <v>17</v>
      </c>
      <c r="X13" s="2" t="s">
        <v>17</v>
      </c>
      <c r="Y13" s="20">
        <v>52000</v>
      </c>
      <c r="Z13" s="21">
        <v>23500</v>
      </c>
      <c r="AA13" s="21">
        <v>13500</v>
      </c>
      <c r="AB13" s="2" t="s">
        <v>54</v>
      </c>
    </row>
    <row r="14" spans="1:28" x14ac:dyDescent="0.25">
      <c r="A14" s="2">
        <f t="shared" si="3"/>
        <v>1998</v>
      </c>
      <c r="B14" s="3">
        <v>5200</v>
      </c>
      <c r="C14" s="4" t="s">
        <v>14</v>
      </c>
      <c r="E14" s="2">
        <f t="shared" si="4"/>
        <v>1998</v>
      </c>
      <c r="F14" s="6">
        <f>0.1*(B14-H14)</f>
        <v>468</v>
      </c>
      <c r="G14" s="6" t="s">
        <v>22</v>
      </c>
      <c r="H14" s="6">
        <f>0.1*B14</f>
        <v>520</v>
      </c>
      <c r="I14" s="6" t="s">
        <v>24</v>
      </c>
      <c r="J14" s="6">
        <f t="shared" si="0"/>
        <v>4212</v>
      </c>
      <c r="K14" s="6">
        <f>J14*L14</f>
        <v>3934.0080000000003</v>
      </c>
      <c r="L14" s="12">
        <v>0.93400000000000005</v>
      </c>
      <c r="M14" s="6">
        <f>J14*N14</f>
        <v>277.99200000000002</v>
      </c>
      <c r="N14" s="12">
        <v>6.6000000000000003E-2</v>
      </c>
      <c r="O14" s="6">
        <f t="shared" si="1"/>
        <v>2281.7246399999999</v>
      </c>
      <c r="P14" s="6">
        <f t="shared" si="2"/>
        <v>1652.2833600000001</v>
      </c>
      <c r="Q14" s="6" t="s">
        <v>17</v>
      </c>
      <c r="R14" s="6" t="s">
        <v>17</v>
      </c>
      <c r="S14" s="2" t="s">
        <v>17</v>
      </c>
      <c r="T14" s="2" t="s">
        <v>17</v>
      </c>
      <c r="U14" s="2"/>
      <c r="V14" s="2" t="s">
        <v>17</v>
      </c>
      <c r="W14" s="2" t="s">
        <v>17</v>
      </c>
      <c r="X14" s="2" t="s">
        <v>17</v>
      </c>
      <c r="Y14" s="20">
        <v>84800</v>
      </c>
      <c r="Z14" s="21">
        <v>38300</v>
      </c>
      <c r="AA14" s="21">
        <v>22000</v>
      </c>
      <c r="AB14" s="2" t="s">
        <v>55</v>
      </c>
    </row>
    <row r="15" spans="1:28" x14ac:dyDescent="0.25">
      <c r="A15" s="2">
        <f t="shared" si="3"/>
        <v>1999</v>
      </c>
      <c r="B15" s="3">
        <v>7919</v>
      </c>
      <c r="C15" s="4" t="s">
        <v>1</v>
      </c>
      <c r="E15" s="2">
        <f t="shared" si="4"/>
        <v>1999</v>
      </c>
      <c r="F15" s="6">
        <f>0.1*(B15-H15)</f>
        <v>712.71</v>
      </c>
      <c r="G15" s="6" t="s">
        <v>22</v>
      </c>
      <c r="H15" s="6">
        <f>0.1*B15</f>
        <v>791.90000000000009</v>
      </c>
      <c r="I15" s="6" t="s">
        <v>24</v>
      </c>
      <c r="J15" s="6">
        <f t="shared" si="0"/>
        <v>6414.3899999999994</v>
      </c>
      <c r="K15" s="6">
        <f t="shared" ref="K15:K30" si="5">J15*L15</f>
        <v>5991.0402599999998</v>
      </c>
      <c r="L15" s="12">
        <v>0.93400000000000005</v>
      </c>
      <c r="M15" s="6">
        <f t="shared" ref="M15:M30" si="6">J15*N15</f>
        <v>423.34974</v>
      </c>
      <c r="N15" s="12">
        <v>6.6000000000000003E-2</v>
      </c>
      <c r="O15" s="6">
        <f t="shared" si="1"/>
        <v>3474.8033507999994</v>
      </c>
      <c r="P15" s="6">
        <f t="shared" si="2"/>
        <v>2516.2369091999999</v>
      </c>
      <c r="Q15" s="6" t="s">
        <v>17</v>
      </c>
      <c r="R15" s="6" t="s">
        <v>17</v>
      </c>
      <c r="S15" s="2" t="s">
        <v>17</v>
      </c>
      <c r="T15" s="2" t="s">
        <v>17</v>
      </c>
      <c r="U15" s="2"/>
      <c r="V15" s="2" t="s">
        <v>17</v>
      </c>
      <c r="W15" s="2" t="s">
        <v>17</v>
      </c>
      <c r="X15" s="2" t="s">
        <v>17</v>
      </c>
      <c r="Y15" s="20">
        <v>81000</v>
      </c>
      <c r="Z15" s="21">
        <v>37000</v>
      </c>
      <c r="AA15" s="21">
        <v>21000</v>
      </c>
      <c r="AB15" s="2" t="s">
        <v>55</v>
      </c>
    </row>
    <row r="16" spans="1:28" x14ac:dyDescent="0.25">
      <c r="A16" s="2">
        <f t="shared" si="3"/>
        <v>2000</v>
      </c>
      <c r="B16" s="3">
        <v>7919</v>
      </c>
      <c r="C16" s="4" t="s">
        <v>1</v>
      </c>
      <c r="E16" s="2">
        <f t="shared" si="4"/>
        <v>2000</v>
      </c>
      <c r="F16" s="6">
        <f>0.1*(B16-(0.1*B16))</f>
        <v>712.71</v>
      </c>
      <c r="G16" s="6" t="s">
        <v>22</v>
      </c>
      <c r="H16" s="6">
        <f>0.1*B16+29</f>
        <v>820.90000000000009</v>
      </c>
      <c r="I16" s="6" t="s">
        <v>25</v>
      </c>
      <c r="J16" s="6">
        <f t="shared" si="0"/>
        <v>6385.3899999999994</v>
      </c>
      <c r="K16" s="6">
        <f t="shared" si="5"/>
        <v>5785.1633400000001</v>
      </c>
      <c r="L16" s="12">
        <v>0.90600000000000003</v>
      </c>
      <c r="M16" s="6">
        <f t="shared" si="6"/>
        <v>600.22665999999992</v>
      </c>
      <c r="N16" s="12">
        <v>9.4E-2</v>
      </c>
      <c r="O16" s="6">
        <f t="shared" si="1"/>
        <v>3355.3947371999998</v>
      </c>
      <c r="P16" s="6">
        <f t="shared" si="2"/>
        <v>2429.7686027999998</v>
      </c>
      <c r="Q16" s="6" t="s">
        <v>17</v>
      </c>
      <c r="R16" s="6" t="s">
        <v>17</v>
      </c>
      <c r="S16" s="2" t="s">
        <v>17</v>
      </c>
      <c r="T16" s="2" t="s">
        <v>17</v>
      </c>
      <c r="U16" s="2"/>
      <c r="V16" s="2" t="s">
        <v>17</v>
      </c>
      <c r="W16" s="2" t="s">
        <v>17</v>
      </c>
      <c r="X16" s="2" t="s">
        <v>17</v>
      </c>
      <c r="Y16" s="20">
        <v>57000</v>
      </c>
      <c r="Z16" s="21">
        <v>26000</v>
      </c>
      <c r="AA16" s="21">
        <v>15000</v>
      </c>
      <c r="AB16" s="2" t="s">
        <v>55</v>
      </c>
    </row>
    <row r="17" spans="1:28" x14ac:dyDescent="0.25">
      <c r="A17" s="2">
        <f t="shared" si="3"/>
        <v>2001</v>
      </c>
      <c r="B17" s="3">
        <v>6895</v>
      </c>
      <c r="C17" s="4" t="s">
        <v>1</v>
      </c>
      <c r="E17" s="2">
        <f t="shared" si="4"/>
        <v>2001</v>
      </c>
      <c r="F17" s="6">
        <f>0.1*(B17)</f>
        <v>689.5</v>
      </c>
      <c r="G17" s="6" t="s">
        <v>24</v>
      </c>
      <c r="H17" s="6">
        <v>24</v>
      </c>
      <c r="I17" s="6" t="s">
        <v>33</v>
      </c>
      <c r="J17" s="6">
        <f t="shared" si="0"/>
        <v>6181.5</v>
      </c>
      <c r="K17" s="6">
        <f t="shared" si="5"/>
        <v>5600.4390000000003</v>
      </c>
      <c r="L17" s="12">
        <v>0.90600000000000003</v>
      </c>
      <c r="M17" s="6">
        <f t="shared" si="6"/>
        <v>581.06100000000004</v>
      </c>
      <c r="N17" s="12">
        <v>9.4E-2</v>
      </c>
      <c r="O17" s="6">
        <f t="shared" si="1"/>
        <v>3248.2546200000002</v>
      </c>
      <c r="P17" s="6">
        <f t="shared" si="2"/>
        <v>2352.1843800000001</v>
      </c>
      <c r="Q17" s="6" t="s">
        <v>17</v>
      </c>
      <c r="R17" s="6" t="s">
        <v>17</v>
      </c>
      <c r="S17" s="2" t="s">
        <v>17</v>
      </c>
      <c r="T17" s="2" t="s">
        <v>17</v>
      </c>
      <c r="U17" s="2"/>
      <c r="V17" s="2" t="s">
        <v>17</v>
      </c>
      <c r="W17" s="2" t="s">
        <v>17</v>
      </c>
      <c r="X17" s="2" t="s">
        <v>17</v>
      </c>
      <c r="Y17" s="20">
        <v>36000</v>
      </c>
      <c r="Z17" s="21">
        <v>16500</v>
      </c>
      <c r="AA17" s="21">
        <v>9500</v>
      </c>
      <c r="AB17" s="2" t="s">
        <v>56</v>
      </c>
    </row>
    <row r="18" spans="1:28" x14ac:dyDescent="0.25">
      <c r="A18" s="2">
        <f t="shared" si="3"/>
        <v>2002</v>
      </c>
      <c r="B18" s="3">
        <v>4367</v>
      </c>
      <c r="C18" s="4" t="s">
        <v>1</v>
      </c>
      <c r="E18" s="2">
        <f t="shared" si="4"/>
        <v>2002</v>
      </c>
      <c r="F18" s="6">
        <f t="shared" ref="F18:F30" si="7">0.1*(B18)</f>
        <v>436.70000000000005</v>
      </c>
      <c r="G18" s="6" t="s">
        <v>24</v>
      </c>
      <c r="H18" s="10">
        <v>24.7</v>
      </c>
      <c r="I18" s="6" t="s">
        <v>34</v>
      </c>
      <c r="J18" s="6">
        <f t="shared" ref="J18:J30" si="8">B18-(F18+H18)</f>
        <v>3905.6</v>
      </c>
      <c r="K18" s="6">
        <f t="shared" si="5"/>
        <v>3538.4735999999998</v>
      </c>
      <c r="L18" s="12">
        <v>0.90600000000000003</v>
      </c>
      <c r="M18" s="6">
        <f t="shared" si="6"/>
        <v>367.12639999999999</v>
      </c>
      <c r="N18" s="12">
        <v>9.4E-2</v>
      </c>
      <c r="O18" s="6">
        <f t="shared" ref="O18:O30" si="9">0.58*K18</f>
        <v>2052.3146879999999</v>
      </c>
      <c r="P18" s="6">
        <f t="shared" ref="P18:P30" si="10">0.42*K18</f>
        <v>1486.1589119999999</v>
      </c>
      <c r="Q18" s="6">
        <f>0.85*P18</f>
        <v>1263.2350751999998</v>
      </c>
      <c r="R18" s="6">
        <f>0.15*P18</f>
        <v>222.92383679999998</v>
      </c>
      <c r="S18" s="23">
        <v>0.1575</v>
      </c>
      <c r="T18" s="14">
        <f t="shared" ref="T18:T24" si="11">0.2*Q18*S18</f>
        <v>39.791904868799996</v>
      </c>
      <c r="U18" s="14">
        <f t="shared" ref="U18:U24" si="12">Q18-T18</f>
        <v>1223.4431703311998</v>
      </c>
      <c r="V18" s="6">
        <f t="shared" ref="V18:V24" si="13">3.85*$U18/275.3*2204.6</f>
        <v>37719.690632952515</v>
      </c>
      <c r="W18" s="6">
        <f t="shared" ref="W18:W24" si="14">1.75*$U18/275.3*2204.6</f>
        <v>17145.313924069324</v>
      </c>
      <c r="X18" s="6">
        <f t="shared" ref="X18:X24" si="15">$U18/275.3*2204.6</f>
        <v>9797.3222423253283</v>
      </c>
      <c r="Y18" s="20">
        <v>53000</v>
      </c>
      <c r="Z18" s="21">
        <v>24000</v>
      </c>
      <c r="AA18" s="21">
        <v>14000</v>
      </c>
      <c r="AB18" s="11" t="s">
        <v>57</v>
      </c>
    </row>
    <row r="19" spans="1:28" x14ac:dyDescent="0.25">
      <c r="A19" s="2">
        <f t="shared" si="3"/>
        <v>2003</v>
      </c>
      <c r="B19" s="3">
        <v>6500</v>
      </c>
      <c r="C19" s="4" t="s">
        <v>1</v>
      </c>
      <c r="E19" s="2">
        <f t="shared" si="4"/>
        <v>2003</v>
      </c>
      <c r="F19" s="6">
        <f t="shared" si="7"/>
        <v>650</v>
      </c>
      <c r="G19" s="6" t="s">
        <v>24</v>
      </c>
      <c r="H19" s="10">
        <f>11.1+53+18.5</f>
        <v>82.6</v>
      </c>
      <c r="I19" s="14" t="s">
        <v>32</v>
      </c>
      <c r="J19" s="6">
        <f t="shared" si="8"/>
        <v>5767.4</v>
      </c>
      <c r="K19" s="6">
        <f t="shared" si="5"/>
        <v>5225.2644</v>
      </c>
      <c r="L19" s="12">
        <v>0.90600000000000003</v>
      </c>
      <c r="M19" s="6">
        <f t="shared" si="6"/>
        <v>542.13559999999995</v>
      </c>
      <c r="N19" s="12">
        <v>9.4E-2</v>
      </c>
      <c r="O19" s="6">
        <f t="shared" si="9"/>
        <v>3030.6533519999998</v>
      </c>
      <c r="P19" s="6">
        <f t="shared" si="10"/>
        <v>2194.6110479999998</v>
      </c>
      <c r="Q19" s="6">
        <f t="shared" ref="Q19:Q30" si="16">0.85*P19</f>
        <v>1865.4193907999997</v>
      </c>
      <c r="R19" s="6">
        <f t="shared" ref="R19:R30" si="17">0.15*P19</f>
        <v>329.19165719999995</v>
      </c>
      <c r="S19" s="23">
        <v>0.1575</v>
      </c>
      <c r="T19" s="14">
        <f t="shared" si="11"/>
        <v>58.760710810199996</v>
      </c>
      <c r="U19" s="14">
        <f t="shared" si="12"/>
        <v>1806.6586799897998</v>
      </c>
      <c r="V19" s="6">
        <f t="shared" si="13"/>
        <v>55700.67179344796</v>
      </c>
      <c r="W19" s="6">
        <f t="shared" si="14"/>
        <v>25318.487178839983</v>
      </c>
      <c r="X19" s="6">
        <f t="shared" si="15"/>
        <v>14467.706959337133</v>
      </c>
      <c r="Y19" s="20">
        <v>64300</v>
      </c>
      <c r="Z19" s="21">
        <v>29200</v>
      </c>
      <c r="AA19" s="21">
        <v>16700</v>
      </c>
      <c r="AB19" s="2" t="s">
        <v>57</v>
      </c>
    </row>
    <row r="20" spans="1:28" x14ac:dyDescent="0.25">
      <c r="A20" s="2">
        <f t="shared" si="3"/>
        <v>2004</v>
      </c>
      <c r="B20" s="3">
        <v>7510</v>
      </c>
      <c r="C20" s="4" t="s">
        <v>1</v>
      </c>
      <c r="E20" s="2">
        <f t="shared" si="4"/>
        <v>2004</v>
      </c>
      <c r="F20" s="6">
        <f t="shared" si="7"/>
        <v>751</v>
      </c>
      <c r="G20" s="6" t="s">
        <v>24</v>
      </c>
      <c r="H20" s="10">
        <f>53+18.5</f>
        <v>71.5</v>
      </c>
      <c r="I20" s="14" t="s">
        <v>35</v>
      </c>
      <c r="J20" s="6">
        <f t="shared" si="8"/>
        <v>6687.5</v>
      </c>
      <c r="K20" s="6">
        <f t="shared" si="5"/>
        <v>6058.875</v>
      </c>
      <c r="L20" s="12">
        <v>0.90600000000000003</v>
      </c>
      <c r="M20" s="6">
        <f t="shared" si="6"/>
        <v>628.625</v>
      </c>
      <c r="N20" s="12">
        <v>9.4E-2</v>
      </c>
      <c r="O20" s="6">
        <f t="shared" si="9"/>
        <v>3514.1474999999996</v>
      </c>
      <c r="P20" s="6">
        <f t="shared" si="10"/>
        <v>2544.7275</v>
      </c>
      <c r="Q20" s="6">
        <f t="shared" si="16"/>
        <v>2163.0183750000001</v>
      </c>
      <c r="R20" s="6">
        <f t="shared" si="17"/>
        <v>381.70912499999997</v>
      </c>
      <c r="S20" s="23">
        <v>0.1575</v>
      </c>
      <c r="T20" s="14">
        <f t="shared" si="11"/>
        <v>68.135078812500012</v>
      </c>
      <c r="U20" s="14">
        <f t="shared" si="12"/>
        <v>2094.8832961875</v>
      </c>
      <c r="V20" s="6">
        <f t="shared" si="13"/>
        <v>64586.857616722147</v>
      </c>
      <c r="W20" s="6">
        <f t="shared" si="14"/>
        <v>29357.662553055517</v>
      </c>
      <c r="X20" s="6">
        <f t="shared" si="15"/>
        <v>16775.80717317458</v>
      </c>
      <c r="Y20" s="20">
        <v>64000</v>
      </c>
      <c r="Z20" s="21">
        <v>29100</v>
      </c>
      <c r="AA20" s="21">
        <v>16600</v>
      </c>
      <c r="AB20" s="2" t="s">
        <v>58</v>
      </c>
    </row>
    <row r="21" spans="1:28" x14ac:dyDescent="0.25">
      <c r="A21" s="2">
        <f t="shared" si="3"/>
        <v>2005</v>
      </c>
      <c r="B21" s="3">
        <v>7485.8862060107886</v>
      </c>
      <c r="C21" s="4" t="s">
        <v>1</v>
      </c>
      <c r="E21" s="2">
        <f t="shared" si="4"/>
        <v>2005</v>
      </c>
      <c r="F21" s="6">
        <f t="shared" si="7"/>
        <v>748.5886206010789</v>
      </c>
      <c r="G21" s="6" t="s">
        <v>24</v>
      </c>
      <c r="H21" s="14">
        <v>67</v>
      </c>
      <c r="I21" s="14" t="s">
        <v>29</v>
      </c>
      <c r="J21" s="6">
        <f t="shared" si="8"/>
        <v>6670.2975854097094</v>
      </c>
      <c r="K21" s="6">
        <f t="shared" si="5"/>
        <v>6043.289612381197</v>
      </c>
      <c r="L21" s="12">
        <v>0.90600000000000003</v>
      </c>
      <c r="M21" s="6">
        <f t="shared" si="6"/>
        <v>627.00797302851265</v>
      </c>
      <c r="N21" s="12">
        <v>9.4E-2</v>
      </c>
      <c r="O21" s="6">
        <f t="shared" si="9"/>
        <v>3505.1079751810939</v>
      </c>
      <c r="P21" s="6">
        <f t="shared" si="10"/>
        <v>2538.1816372001026</v>
      </c>
      <c r="Q21" s="6">
        <f t="shared" si="16"/>
        <v>2157.4543916200873</v>
      </c>
      <c r="R21" s="6">
        <f t="shared" si="17"/>
        <v>380.72724558001539</v>
      </c>
      <c r="S21" s="23">
        <v>0.1575</v>
      </c>
      <c r="T21" s="14">
        <f t="shared" si="11"/>
        <v>67.959813336032752</v>
      </c>
      <c r="U21" s="14">
        <f t="shared" si="12"/>
        <v>2089.4945782840546</v>
      </c>
      <c r="V21" s="6">
        <f t="shared" si="13"/>
        <v>64420.719313648209</v>
      </c>
      <c r="W21" s="6">
        <f t="shared" si="14"/>
        <v>29282.145142567366</v>
      </c>
      <c r="X21" s="6">
        <f t="shared" si="15"/>
        <v>16732.654367181352</v>
      </c>
      <c r="Y21" s="20">
        <v>62700</v>
      </c>
      <c r="Z21" s="21">
        <v>26500</v>
      </c>
      <c r="AA21" s="21">
        <v>16300</v>
      </c>
      <c r="AB21" s="2" t="s">
        <v>58</v>
      </c>
    </row>
    <row r="22" spans="1:28" x14ac:dyDescent="0.25">
      <c r="A22" s="2">
        <f t="shared" si="3"/>
        <v>2006</v>
      </c>
      <c r="B22" s="3">
        <v>7363</v>
      </c>
      <c r="C22" s="4" t="s">
        <v>1</v>
      </c>
      <c r="E22" s="2">
        <f t="shared" si="4"/>
        <v>2006</v>
      </c>
      <c r="F22" s="6">
        <f t="shared" si="7"/>
        <v>736.30000000000007</v>
      </c>
      <c r="G22" s="6" t="s">
        <v>24</v>
      </c>
      <c r="H22" s="14">
        <f>86+19</f>
        <v>105</v>
      </c>
      <c r="I22" s="14" t="s">
        <v>39</v>
      </c>
      <c r="J22" s="6">
        <f t="shared" si="8"/>
        <v>6521.7</v>
      </c>
      <c r="K22" s="6">
        <f t="shared" si="5"/>
        <v>5908.6602000000003</v>
      </c>
      <c r="L22" s="12">
        <v>0.90600000000000003</v>
      </c>
      <c r="M22" s="6">
        <f t="shared" si="6"/>
        <v>613.03980000000001</v>
      </c>
      <c r="N22" s="12">
        <v>9.4E-2</v>
      </c>
      <c r="O22" s="6">
        <f t="shared" si="9"/>
        <v>3427.0229159999999</v>
      </c>
      <c r="P22" s="6">
        <f t="shared" si="10"/>
        <v>2481.6372839999999</v>
      </c>
      <c r="Q22" s="6">
        <f t="shared" si="16"/>
        <v>2109.3916913999997</v>
      </c>
      <c r="R22" s="6">
        <f t="shared" si="17"/>
        <v>372.24559259999995</v>
      </c>
      <c r="S22" s="23">
        <v>0.1575</v>
      </c>
      <c r="T22" s="14">
        <f t="shared" si="11"/>
        <v>66.445838279100002</v>
      </c>
      <c r="U22" s="14">
        <f t="shared" si="12"/>
        <v>2042.9458531208998</v>
      </c>
      <c r="V22" s="6">
        <f t="shared" si="13"/>
        <v>62985.586440220817</v>
      </c>
      <c r="W22" s="6">
        <f t="shared" si="14"/>
        <v>28629.812018282188</v>
      </c>
      <c r="X22" s="6">
        <f t="shared" si="15"/>
        <v>16359.892581875536</v>
      </c>
      <c r="Y22" s="20">
        <v>48500</v>
      </c>
      <c r="Z22" s="21">
        <v>22000</v>
      </c>
      <c r="AA22" s="21">
        <v>12500</v>
      </c>
      <c r="AB22" s="2" t="s">
        <v>58</v>
      </c>
    </row>
    <row r="23" spans="1:28" x14ac:dyDescent="0.25">
      <c r="A23" s="2">
        <f t="shared" si="3"/>
        <v>2007</v>
      </c>
      <c r="B23" s="3">
        <v>5723</v>
      </c>
      <c r="C23" s="4" t="s">
        <v>1</v>
      </c>
      <c r="E23" s="2">
        <f t="shared" si="4"/>
        <v>2007</v>
      </c>
      <c r="F23" s="6">
        <f t="shared" si="7"/>
        <v>572.30000000000007</v>
      </c>
      <c r="G23" s="6" t="s">
        <v>24</v>
      </c>
      <c r="H23" s="14">
        <f>86+19</f>
        <v>105</v>
      </c>
      <c r="I23" s="14" t="s">
        <v>39</v>
      </c>
      <c r="J23" s="6">
        <f t="shared" si="8"/>
        <v>5045.7</v>
      </c>
      <c r="K23" s="6">
        <f t="shared" si="5"/>
        <v>4571.4041999999999</v>
      </c>
      <c r="L23" s="12">
        <v>0.90600000000000003</v>
      </c>
      <c r="M23" s="6">
        <f t="shared" si="6"/>
        <v>474.29579999999999</v>
      </c>
      <c r="N23" s="12">
        <v>9.4E-2</v>
      </c>
      <c r="O23" s="6">
        <f t="shared" si="9"/>
        <v>2651.4144359999996</v>
      </c>
      <c r="P23" s="6">
        <f t="shared" si="10"/>
        <v>1919.9897639999999</v>
      </c>
      <c r="Q23" s="6">
        <f t="shared" si="16"/>
        <v>1631.9912993999999</v>
      </c>
      <c r="R23" s="6">
        <f t="shared" si="17"/>
        <v>287.99846459999998</v>
      </c>
      <c r="S23" s="23">
        <v>0.1575</v>
      </c>
      <c r="T23" s="14">
        <f t="shared" si="11"/>
        <v>51.407725931100003</v>
      </c>
      <c r="U23" s="14">
        <f t="shared" si="12"/>
        <v>1580.5835734688999</v>
      </c>
      <c r="V23" s="6">
        <f t="shared" si="13"/>
        <v>48730.602987169324</v>
      </c>
      <c r="W23" s="6">
        <f t="shared" si="14"/>
        <v>22150.274085076966</v>
      </c>
      <c r="X23" s="6">
        <f t="shared" si="15"/>
        <v>12657.299477186838</v>
      </c>
      <c r="Y23" s="20">
        <v>48500</v>
      </c>
      <c r="Z23" s="21">
        <v>22000</v>
      </c>
      <c r="AA23" s="21">
        <v>12500</v>
      </c>
      <c r="AB23" s="2" t="s">
        <v>60</v>
      </c>
    </row>
    <row r="24" spans="1:28" x14ac:dyDescent="0.25">
      <c r="A24" s="2">
        <f t="shared" si="3"/>
        <v>2008</v>
      </c>
      <c r="B24" s="3">
        <v>5723</v>
      </c>
      <c r="C24" s="4" t="s">
        <v>1</v>
      </c>
      <c r="E24" s="2">
        <f t="shared" si="4"/>
        <v>2008</v>
      </c>
      <c r="F24" s="6">
        <f t="shared" si="7"/>
        <v>572.30000000000007</v>
      </c>
      <c r="G24" s="6" t="s">
        <v>24</v>
      </c>
      <c r="H24" s="14">
        <f>86+19</f>
        <v>105</v>
      </c>
      <c r="I24" s="14" t="s">
        <v>39</v>
      </c>
      <c r="J24" s="6">
        <f>B24-(F24+H24)</f>
        <v>5045.7</v>
      </c>
      <c r="K24" s="6">
        <f t="shared" si="5"/>
        <v>4571.4041999999999</v>
      </c>
      <c r="L24" s="12">
        <v>0.90600000000000003</v>
      </c>
      <c r="M24" s="6">
        <f>J24*N24</f>
        <v>474.29579999999999</v>
      </c>
      <c r="N24" s="12">
        <v>9.4E-2</v>
      </c>
      <c r="O24" s="6">
        <f>0.58*K24</f>
        <v>2651.4144359999996</v>
      </c>
      <c r="P24" s="6">
        <f>0.42*K24</f>
        <v>1919.9897639999999</v>
      </c>
      <c r="Q24" s="6">
        <f t="shared" si="16"/>
        <v>1631.9912993999999</v>
      </c>
      <c r="R24" s="6">
        <f t="shared" si="17"/>
        <v>287.99846459999998</v>
      </c>
      <c r="S24" s="23">
        <v>0.15909999999999999</v>
      </c>
      <c r="T24" s="14">
        <f t="shared" si="11"/>
        <v>51.929963146908001</v>
      </c>
      <c r="U24" s="14">
        <f t="shared" si="12"/>
        <v>1580.0613362530919</v>
      </c>
      <c r="V24" s="6">
        <f t="shared" si="13"/>
        <v>48714.502013544239</v>
      </c>
      <c r="W24" s="6">
        <f t="shared" si="14"/>
        <v>22142.955460701931</v>
      </c>
      <c r="X24" s="6">
        <f t="shared" si="15"/>
        <v>12653.117406115387</v>
      </c>
      <c r="Y24" s="20">
        <v>48500</v>
      </c>
      <c r="Z24" s="21">
        <v>22000</v>
      </c>
      <c r="AA24" s="21">
        <v>12500</v>
      </c>
      <c r="AB24" s="2" t="s">
        <v>59</v>
      </c>
    </row>
    <row r="25" spans="1:28" x14ac:dyDescent="0.25">
      <c r="A25" s="2">
        <f t="shared" si="3"/>
        <v>2009</v>
      </c>
      <c r="B25" s="3">
        <v>7052</v>
      </c>
      <c r="C25" s="4" t="s">
        <v>1</v>
      </c>
      <c r="E25" s="2">
        <f t="shared" si="4"/>
        <v>2009</v>
      </c>
      <c r="F25" s="6">
        <f t="shared" si="7"/>
        <v>705.2</v>
      </c>
      <c r="G25" s="6" t="s">
        <v>24</v>
      </c>
      <c r="H25" s="14">
        <v>0</v>
      </c>
      <c r="I25" s="14" t="s">
        <v>62</v>
      </c>
      <c r="J25" s="6">
        <f t="shared" si="8"/>
        <v>6346.8</v>
      </c>
      <c r="K25" s="6">
        <f t="shared" si="5"/>
        <v>5750.2008000000005</v>
      </c>
      <c r="L25" s="12">
        <v>0.90600000000000003</v>
      </c>
      <c r="M25" s="6">
        <f t="shared" si="6"/>
        <v>596.5992</v>
      </c>
      <c r="N25" s="12">
        <v>9.4E-2</v>
      </c>
      <c r="O25" s="6">
        <f t="shared" si="9"/>
        <v>3335.1164640000002</v>
      </c>
      <c r="P25" s="6">
        <f t="shared" si="10"/>
        <v>2415.0843360000003</v>
      </c>
      <c r="Q25" s="6">
        <f t="shared" si="16"/>
        <v>2052.8216856000004</v>
      </c>
      <c r="R25" s="6">
        <f t="shared" si="17"/>
        <v>362.26265040000004</v>
      </c>
      <c r="S25" s="23">
        <v>0.1575</v>
      </c>
      <c r="T25" s="14">
        <f t="shared" ref="T25:T30" si="18">0.2*Q25*S25</f>
        <v>64.663883096400014</v>
      </c>
      <c r="U25" s="14">
        <f t="shared" ref="U25:U30" si="19">Q25-T25</f>
        <v>1988.1578025036004</v>
      </c>
      <c r="V25" s="6">
        <f t="shared" ref="V25:V30" si="20">3.85*$U25/275.3*2204.6</f>
        <v>61296.428848121439</v>
      </c>
      <c r="W25" s="6">
        <f t="shared" ref="W25:W30" si="21">1.75*$U25/275.3*2204.6</f>
        <v>27862.013112782472</v>
      </c>
      <c r="X25" s="6">
        <f t="shared" ref="X25:X30" si="22">$U25/275.3*2204.6</f>
        <v>15921.150350161412</v>
      </c>
      <c r="Y25" s="20">
        <v>61296</v>
      </c>
      <c r="Z25" s="21">
        <v>27862</v>
      </c>
      <c r="AA25" s="21">
        <v>15921</v>
      </c>
      <c r="AB25" s="2" t="s">
        <v>61</v>
      </c>
    </row>
    <row r="26" spans="1:28" x14ac:dyDescent="0.25">
      <c r="A26" s="2">
        <f t="shared" si="3"/>
        <v>2010</v>
      </c>
      <c r="B26" s="3">
        <v>6471</v>
      </c>
      <c r="C26" s="4" t="s">
        <v>1</v>
      </c>
      <c r="E26" s="2">
        <f t="shared" si="4"/>
        <v>2010</v>
      </c>
      <c r="F26" s="6">
        <f t="shared" si="7"/>
        <v>647.1</v>
      </c>
      <c r="G26" s="6" t="s">
        <v>24</v>
      </c>
      <c r="H26" s="14">
        <v>0</v>
      </c>
      <c r="I26" s="14" t="s">
        <v>62</v>
      </c>
      <c r="J26" s="16">
        <v>6471</v>
      </c>
      <c r="K26" s="16">
        <f t="shared" si="5"/>
        <v>5862.7260000000006</v>
      </c>
      <c r="L26" s="32">
        <v>0.90600000000000003</v>
      </c>
      <c r="M26" s="16">
        <f t="shared" si="6"/>
        <v>608.274</v>
      </c>
      <c r="N26" s="32">
        <v>9.4E-2</v>
      </c>
      <c r="O26" s="16">
        <f t="shared" si="9"/>
        <v>3400.3810800000001</v>
      </c>
      <c r="P26" s="16">
        <f t="shared" si="10"/>
        <v>2462.34492</v>
      </c>
      <c r="Q26" s="16">
        <f t="shared" si="16"/>
        <v>2092.9931820000002</v>
      </c>
      <c r="R26" s="16">
        <f t="shared" si="17"/>
        <v>369.35173800000001</v>
      </c>
      <c r="S26" s="24">
        <v>0.65449999999999997</v>
      </c>
      <c r="T26" s="16">
        <f t="shared" si="18"/>
        <v>273.97280752379999</v>
      </c>
      <c r="U26" s="16">
        <f t="shared" si="19"/>
        <v>1819.0203744762002</v>
      </c>
      <c r="V26" s="16">
        <f t="shared" si="20"/>
        <v>56081.792308918957</v>
      </c>
      <c r="W26" s="16">
        <f t="shared" si="21"/>
        <v>25491.723776781342</v>
      </c>
      <c r="X26" s="16">
        <f t="shared" si="22"/>
        <v>14566.69930101791</v>
      </c>
      <c r="Y26" s="16">
        <v>56081</v>
      </c>
      <c r="Z26" s="22">
        <v>25492</v>
      </c>
      <c r="AA26" s="22">
        <v>14567</v>
      </c>
      <c r="AB26" s="17" t="s">
        <v>40</v>
      </c>
    </row>
    <row r="27" spans="1:28" x14ac:dyDescent="0.25">
      <c r="A27" s="2">
        <f t="shared" si="3"/>
        <v>2011</v>
      </c>
      <c r="B27" s="5">
        <v>5515</v>
      </c>
      <c r="C27" s="2" t="s">
        <v>6</v>
      </c>
      <c r="E27" s="2">
        <f t="shared" si="4"/>
        <v>2011</v>
      </c>
      <c r="F27" s="6">
        <f t="shared" si="7"/>
        <v>551.5</v>
      </c>
      <c r="G27" s="6" t="s">
        <v>26</v>
      </c>
      <c r="H27" s="10">
        <f>16 + 6.1</f>
        <v>22.1</v>
      </c>
      <c r="I27" s="14" t="s">
        <v>36</v>
      </c>
      <c r="J27" s="14">
        <f t="shared" si="8"/>
        <v>4941.3999999999996</v>
      </c>
      <c r="K27" s="14">
        <f t="shared" si="5"/>
        <v>4476.9084000000003</v>
      </c>
      <c r="L27" s="15">
        <v>0.90600000000000003</v>
      </c>
      <c r="M27" s="14">
        <f t="shared" si="6"/>
        <v>464.49159999999995</v>
      </c>
      <c r="N27" s="15">
        <v>9.4E-2</v>
      </c>
      <c r="O27" s="14">
        <f t="shared" si="9"/>
        <v>2596.6068719999998</v>
      </c>
      <c r="P27" s="14">
        <f t="shared" si="10"/>
        <v>1880.301528</v>
      </c>
      <c r="Q27" s="14">
        <f t="shared" si="16"/>
        <v>1598.2562988</v>
      </c>
      <c r="R27" s="14">
        <f t="shared" si="17"/>
        <v>282.04522919999999</v>
      </c>
      <c r="S27" s="23">
        <v>0.16026414123599639</v>
      </c>
      <c r="T27" s="14">
        <f t="shared" si="18"/>
        <v>51.228634640440809</v>
      </c>
      <c r="U27" s="14">
        <f t="shared" si="19"/>
        <v>1547.0276641595592</v>
      </c>
      <c r="V27" s="6">
        <f t="shared" si="20"/>
        <v>47696.048584684824</v>
      </c>
      <c r="W27" s="6">
        <f t="shared" si="21"/>
        <v>21680.022083947646</v>
      </c>
      <c r="X27" s="6">
        <f t="shared" si="22"/>
        <v>12388.584047970084</v>
      </c>
      <c r="Y27" s="20">
        <v>47697</v>
      </c>
      <c r="Z27" s="21">
        <v>21680</v>
      </c>
      <c r="AA27" s="21">
        <v>12389</v>
      </c>
      <c r="AB27" s="2" t="s">
        <v>41</v>
      </c>
    </row>
    <row r="28" spans="1:28" x14ac:dyDescent="0.25">
      <c r="A28" s="2">
        <f t="shared" si="3"/>
        <v>2012</v>
      </c>
      <c r="B28" s="5">
        <v>5347</v>
      </c>
      <c r="C28" s="2" t="s">
        <v>6</v>
      </c>
      <c r="E28" s="2">
        <f t="shared" si="4"/>
        <v>2012</v>
      </c>
      <c r="F28" s="6">
        <f t="shared" si="7"/>
        <v>534.70000000000005</v>
      </c>
      <c r="G28" s="6" t="s">
        <v>26</v>
      </c>
      <c r="H28" s="10">
        <f>16 + 6.1</f>
        <v>22.1</v>
      </c>
      <c r="I28" s="14" t="s">
        <v>36</v>
      </c>
      <c r="J28" s="6">
        <f t="shared" si="8"/>
        <v>4790.2</v>
      </c>
      <c r="K28" s="6">
        <f t="shared" si="5"/>
        <v>4339.9211999999998</v>
      </c>
      <c r="L28" s="12">
        <v>0.90600000000000003</v>
      </c>
      <c r="M28" s="6">
        <f t="shared" si="6"/>
        <v>450.27879999999999</v>
      </c>
      <c r="N28" s="12">
        <v>9.4E-2</v>
      </c>
      <c r="O28" s="6">
        <f t="shared" si="9"/>
        <v>2517.1542959999997</v>
      </c>
      <c r="P28" s="6">
        <f t="shared" si="10"/>
        <v>1822.7669039999998</v>
      </c>
      <c r="Q28" s="6">
        <f t="shared" si="16"/>
        <v>1549.3518683999998</v>
      </c>
      <c r="R28" s="6">
        <f t="shared" si="17"/>
        <v>273.41503559999995</v>
      </c>
      <c r="S28" s="23">
        <v>0.16026414123599639</v>
      </c>
      <c r="T28" s="14">
        <f t="shared" si="18"/>
        <v>49.661109332302495</v>
      </c>
      <c r="U28" s="14">
        <f t="shared" si="19"/>
        <v>1499.6907590676974</v>
      </c>
      <c r="V28" s="6">
        <f t="shared" si="20"/>
        <v>46236.615519965439</v>
      </c>
      <c r="W28" s="6">
        <f t="shared" si="21"/>
        <v>21016.64341816611</v>
      </c>
      <c r="X28" s="6">
        <f t="shared" si="22"/>
        <v>12009.510524666348</v>
      </c>
      <c r="Y28" s="20">
        <v>46238</v>
      </c>
      <c r="Z28" s="21">
        <v>21017</v>
      </c>
      <c r="AA28" s="21">
        <v>12010</v>
      </c>
      <c r="AB28" s="2" t="s">
        <v>41</v>
      </c>
    </row>
    <row r="29" spans="1:28" x14ac:dyDescent="0.25">
      <c r="A29" s="2">
        <f t="shared" si="3"/>
        <v>2013</v>
      </c>
      <c r="B29" s="6">
        <v>4012</v>
      </c>
      <c r="C29" s="2" t="s">
        <v>6</v>
      </c>
      <c r="E29" s="2">
        <f t="shared" si="4"/>
        <v>2013</v>
      </c>
      <c r="F29" s="6">
        <f t="shared" si="7"/>
        <v>401.20000000000005</v>
      </c>
      <c r="G29" s="6" t="s">
        <v>26</v>
      </c>
      <c r="H29" s="10">
        <f>26+6.1+4</f>
        <v>36.1</v>
      </c>
      <c r="I29" s="14" t="s">
        <v>38</v>
      </c>
      <c r="J29" s="6">
        <f t="shared" si="8"/>
        <v>3574.7</v>
      </c>
      <c r="K29" s="6">
        <f t="shared" si="5"/>
        <v>3238.6781999999998</v>
      </c>
      <c r="L29" s="12">
        <v>0.90600000000000003</v>
      </c>
      <c r="M29" s="6">
        <f t="shared" si="6"/>
        <v>336.02179999999998</v>
      </c>
      <c r="N29" s="12">
        <v>9.4E-2</v>
      </c>
      <c r="O29" s="6">
        <f t="shared" si="9"/>
        <v>1878.4333559999998</v>
      </c>
      <c r="P29" s="6">
        <f t="shared" si="10"/>
        <v>1360.2448439999998</v>
      </c>
      <c r="Q29" s="6">
        <f t="shared" si="16"/>
        <v>1156.2081173999998</v>
      </c>
      <c r="R29" s="6">
        <f t="shared" si="17"/>
        <v>204.03672659999998</v>
      </c>
      <c r="S29" s="23">
        <v>0.159</v>
      </c>
      <c r="T29" s="14">
        <f t="shared" si="18"/>
        <v>36.767418133319993</v>
      </c>
      <c r="U29" s="14">
        <f t="shared" si="19"/>
        <v>1119.4406992666798</v>
      </c>
      <c r="V29" s="6">
        <f t="shared" si="20"/>
        <v>34513.214738731527</v>
      </c>
      <c r="W29" s="6">
        <f t="shared" si="21"/>
        <v>15687.824881241602</v>
      </c>
      <c r="X29" s="6">
        <f t="shared" si="22"/>
        <v>8964.4713607094873</v>
      </c>
      <c r="Y29" s="6">
        <v>34513</v>
      </c>
      <c r="Z29" s="6">
        <v>15688</v>
      </c>
      <c r="AA29" s="6">
        <v>8964</v>
      </c>
      <c r="AB29" s="2" t="s">
        <v>41</v>
      </c>
    </row>
    <row r="30" spans="1:28" x14ac:dyDescent="0.25">
      <c r="A30" s="2">
        <f t="shared" si="3"/>
        <v>2014</v>
      </c>
      <c r="B30" s="6">
        <v>4349</v>
      </c>
      <c r="C30" s="2" t="s">
        <v>6</v>
      </c>
      <c r="E30" s="2">
        <f t="shared" si="4"/>
        <v>2014</v>
      </c>
      <c r="F30" s="6">
        <f t="shared" si="7"/>
        <v>434.90000000000003</v>
      </c>
      <c r="G30" s="6" t="s">
        <v>26</v>
      </c>
      <c r="H30" s="10">
        <f>26+6.1+4</f>
        <v>36.1</v>
      </c>
      <c r="I30" s="14" t="s">
        <v>38</v>
      </c>
      <c r="J30" s="6">
        <f t="shared" si="8"/>
        <v>3878</v>
      </c>
      <c r="K30" s="6">
        <f t="shared" si="5"/>
        <v>3513.4680000000003</v>
      </c>
      <c r="L30" s="12">
        <v>0.90600000000000003</v>
      </c>
      <c r="M30" s="6">
        <f t="shared" si="6"/>
        <v>364.53199999999998</v>
      </c>
      <c r="N30" s="12">
        <v>9.4E-2</v>
      </c>
      <c r="O30" s="6">
        <f t="shared" si="9"/>
        <v>2037.8114399999999</v>
      </c>
      <c r="P30" s="6">
        <f t="shared" si="10"/>
        <v>1475.6565600000001</v>
      </c>
      <c r="Q30" s="6">
        <f t="shared" si="16"/>
        <v>1254.308076</v>
      </c>
      <c r="R30" s="6">
        <f t="shared" si="17"/>
        <v>221.34848400000001</v>
      </c>
      <c r="S30" s="23">
        <v>0.15909999999999999</v>
      </c>
      <c r="T30" s="14">
        <f t="shared" si="18"/>
        <v>39.912082978320001</v>
      </c>
      <c r="U30" s="14">
        <f t="shared" si="19"/>
        <v>1214.3959930216799</v>
      </c>
      <c r="V30" s="6">
        <f t="shared" si="20"/>
        <v>37440.759222412067</v>
      </c>
      <c r="W30" s="6">
        <f t="shared" si="21"/>
        <v>17018.526919278211</v>
      </c>
      <c r="X30" s="6">
        <f t="shared" si="22"/>
        <v>9724.8725253018365</v>
      </c>
      <c r="Y30" s="6">
        <v>37441</v>
      </c>
      <c r="Z30" s="6">
        <v>17019</v>
      </c>
      <c r="AA30" s="6">
        <v>9725</v>
      </c>
      <c r="AB30" s="2" t="s">
        <v>41</v>
      </c>
    </row>
    <row r="31" spans="1:28" x14ac:dyDescent="0.25">
      <c r="E31" s="46" t="s">
        <v>48</v>
      </c>
      <c r="F31" s="46"/>
      <c r="G31" s="46"/>
      <c r="H31" s="46"/>
      <c r="I31" s="46"/>
      <c r="J31" s="46"/>
      <c r="K31" s="46"/>
      <c r="L31" s="46"/>
      <c r="M31" s="46"/>
      <c r="N31" s="46"/>
      <c r="O31" s="46"/>
      <c r="P31" s="46"/>
      <c r="Q31" s="46"/>
      <c r="R31" s="46"/>
      <c r="S31" s="46"/>
      <c r="T31" s="46"/>
      <c r="U31" s="46"/>
      <c r="V31" s="46"/>
      <c r="W31" s="46"/>
      <c r="X31" s="46"/>
      <c r="Y31" s="46"/>
      <c r="Z31" s="46"/>
      <c r="AA31" s="46"/>
      <c r="AB31" s="46"/>
    </row>
    <row r="32" spans="1:28" x14ac:dyDescent="0.25">
      <c r="E32" s="47" t="s">
        <v>49</v>
      </c>
      <c r="F32" s="47"/>
      <c r="G32" s="47"/>
      <c r="H32" s="47"/>
      <c r="I32" s="47"/>
      <c r="J32" s="47"/>
      <c r="K32" s="47"/>
      <c r="L32" s="47"/>
      <c r="M32" s="47"/>
      <c r="N32" s="47"/>
      <c r="O32" s="47"/>
      <c r="P32" s="47"/>
      <c r="Q32" s="47"/>
      <c r="R32" s="47"/>
      <c r="S32" s="47"/>
      <c r="T32" s="47"/>
      <c r="U32" s="47"/>
      <c r="V32" s="47"/>
      <c r="W32" s="47"/>
      <c r="X32" s="47"/>
      <c r="Y32" s="47"/>
      <c r="Z32" s="47"/>
      <c r="AA32" s="47"/>
      <c r="AB32" s="47"/>
    </row>
  </sheetData>
  <mergeCells count="37">
    <mergeCell ref="E31:AB31"/>
    <mergeCell ref="E32:AB32"/>
    <mergeCell ref="E1:AB2"/>
    <mergeCell ref="P4:X4"/>
    <mergeCell ref="U5:U10"/>
    <mergeCell ref="Y7:Y10"/>
    <mergeCell ref="Z7:Z10"/>
    <mergeCell ref="AA7:AA10"/>
    <mergeCell ref="Y3:AA6"/>
    <mergeCell ref="V5:X6"/>
    <mergeCell ref="S5:S10"/>
    <mergeCell ref="T5:T10"/>
    <mergeCell ref="V7:V10"/>
    <mergeCell ref="W7:W10"/>
    <mergeCell ref="X7:X10"/>
    <mergeCell ref="M6:M10"/>
    <mergeCell ref="A1:C2"/>
    <mergeCell ref="E3:E10"/>
    <mergeCell ref="H3:H10"/>
    <mergeCell ref="J5:J10"/>
    <mergeCell ref="A3:A10"/>
    <mergeCell ref="B3:B10"/>
    <mergeCell ref="C3:C10"/>
    <mergeCell ref="J3:X3"/>
    <mergeCell ref="G3:G10"/>
    <mergeCell ref="I3:I10"/>
    <mergeCell ref="K5:L5"/>
    <mergeCell ref="M5:N5"/>
    <mergeCell ref="AB3:AB10"/>
    <mergeCell ref="F3:F10"/>
    <mergeCell ref="O5:O10"/>
    <mergeCell ref="P5:P10"/>
    <mergeCell ref="K6:K10"/>
    <mergeCell ref="L6:L10"/>
    <mergeCell ref="N6:N10"/>
    <mergeCell ref="Q5:Q10"/>
    <mergeCell ref="R5:R10"/>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
  <sheetViews>
    <sheetView zoomScale="140" zoomScaleNormal="140" workbookViewId="0">
      <selection activeCell="E10" sqref="E10:E11"/>
    </sheetView>
  </sheetViews>
  <sheetFormatPr defaultRowHeight="15" x14ac:dyDescent="0.25"/>
  <cols>
    <col min="3" max="3" width="10.42578125" customWidth="1"/>
    <col min="4" max="4" width="13" customWidth="1"/>
    <col min="5" max="5" width="12.7109375" customWidth="1"/>
    <col min="6" max="6" width="53.7109375" bestFit="1" customWidth="1"/>
    <col min="7" max="7" width="14.5703125" customWidth="1"/>
    <col min="8" max="8" width="10.7109375" bestFit="1" customWidth="1"/>
    <col min="10" max="10" width="10.7109375" bestFit="1" customWidth="1"/>
    <col min="16" max="16" width="10.5703125" customWidth="1"/>
  </cols>
  <sheetData>
    <row r="1" spans="1:24" x14ac:dyDescent="0.25">
      <c r="A1" s="29" t="s">
        <v>52</v>
      </c>
      <c r="B1" s="29"/>
    </row>
    <row r="2" spans="1:24" ht="15" customHeight="1" x14ac:dyDescent="0.25">
      <c r="A2" s="43" t="s">
        <v>3</v>
      </c>
      <c r="B2" s="34" t="s">
        <v>51</v>
      </c>
      <c r="C2" s="34" t="s">
        <v>12</v>
      </c>
      <c r="D2" s="34" t="s">
        <v>21</v>
      </c>
      <c r="E2" s="33" t="s">
        <v>19</v>
      </c>
      <c r="F2" s="33" t="s">
        <v>23</v>
      </c>
      <c r="G2" s="33" t="s">
        <v>11</v>
      </c>
      <c r="H2" s="33"/>
      <c r="I2" s="33"/>
      <c r="J2" s="33"/>
      <c r="K2" s="33"/>
      <c r="L2" s="33"/>
      <c r="M2" s="33"/>
      <c r="N2" s="33"/>
      <c r="O2" s="33"/>
      <c r="P2" s="33"/>
      <c r="Q2" s="33"/>
      <c r="R2" s="33"/>
      <c r="S2" s="33"/>
      <c r="T2" s="33"/>
      <c r="U2" s="33"/>
    </row>
    <row r="3" spans="1:24" x14ac:dyDescent="0.25">
      <c r="A3" s="43"/>
      <c r="B3" s="35"/>
      <c r="C3" s="35"/>
      <c r="D3" s="35"/>
      <c r="E3" s="33"/>
      <c r="F3" s="33"/>
      <c r="G3" s="28"/>
      <c r="H3" s="26"/>
      <c r="I3" s="27"/>
      <c r="J3" s="26"/>
      <c r="K3" s="27"/>
      <c r="L3" s="25"/>
      <c r="M3" s="50" t="s">
        <v>42</v>
      </c>
      <c r="N3" s="51"/>
      <c r="O3" s="51"/>
      <c r="P3" s="51"/>
      <c r="Q3" s="51"/>
      <c r="R3" s="51"/>
      <c r="S3" s="51"/>
      <c r="T3" s="51"/>
      <c r="U3" s="52"/>
    </row>
    <row r="4" spans="1:24" x14ac:dyDescent="0.25">
      <c r="A4" s="43"/>
      <c r="B4" s="35"/>
      <c r="C4" s="35"/>
      <c r="D4" s="35"/>
      <c r="E4" s="33"/>
      <c r="F4" s="33"/>
      <c r="G4" s="33" t="s">
        <v>15</v>
      </c>
      <c r="H4" s="44" t="s">
        <v>13</v>
      </c>
      <c r="I4" s="45"/>
      <c r="J4" s="44" t="s">
        <v>16</v>
      </c>
      <c r="K4" s="45"/>
      <c r="L4" s="34" t="s">
        <v>30</v>
      </c>
      <c r="M4" s="34" t="s">
        <v>31</v>
      </c>
      <c r="N4" s="34" t="s">
        <v>37</v>
      </c>
      <c r="O4" s="34" t="s">
        <v>47</v>
      </c>
      <c r="P4" s="34" t="s">
        <v>45</v>
      </c>
      <c r="Q4" s="34" t="s">
        <v>44</v>
      </c>
      <c r="R4" s="34" t="s">
        <v>43</v>
      </c>
      <c r="S4" s="44" t="s">
        <v>50</v>
      </c>
      <c r="T4" s="53"/>
      <c r="U4" s="45"/>
    </row>
    <row r="5" spans="1:24" x14ac:dyDescent="0.25">
      <c r="A5" s="43"/>
      <c r="B5" s="35"/>
      <c r="C5" s="35"/>
      <c r="D5" s="35"/>
      <c r="E5" s="33"/>
      <c r="F5" s="33"/>
      <c r="G5" s="33"/>
      <c r="H5" s="37" t="s">
        <v>27</v>
      </c>
      <c r="I5" s="39" t="s">
        <v>28</v>
      </c>
      <c r="J5" s="37" t="s">
        <v>27</v>
      </c>
      <c r="K5" s="39" t="s">
        <v>28</v>
      </c>
      <c r="L5" s="35"/>
      <c r="M5" s="35"/>
      <c r="N5" s="35"/>
      <c r="O5" s="35"/>
      <c r="P5" s="35"/>
      <c r="Q5" s="35"/>
      <c r="R5" s="35"/>
      <c r="S5" s="38"/>
      <c r="T5" s="55"/>
      <c r="U5" s="40"/>
    </row>
    <row r="6" spans="1:24" x14ac:dyDescent="0.25">
      <c r="A6" s="43"/>
      <c r="B6" s="35"/>
      <c r="C6" s="35"/>
      <c r="D6" s="35"/>
      <c r="E6" s="33"/>
      <c r="F6" s="33"/>
      <c r="G6" s="33"/>
      <c r="H6" s="37"/>
      <c r="I6" s="39"/>
      <c r="J6" s="37"/>
      <c r="K6" s="39"/>
      <c r="L6" s="35"/>
      <c r="M6" s="35"/>
      <c r="N6" s="35"/>
      <c r="O6" s="35"/>
      <c r="P6" s="35"/>
      <c r="Q6" s="35"/>
      <c r="R6" s="35"/>
      <c r="S6" s="43" t="s">
        <v>8</v>
      </c>
      <c r="T6" s="43" t="s">
        <v>9</v>
      </c>
      <c r="U6" s="43" t="s">
        <v>10</v>
      </c>
    </row>
    <row r="7" spans="1:24" x14ac:dyDescent="0.25">
      <c r="A7" s="43"/>
      <c r="B7" s="35"/>
      <c r="C7" s="35"/>
      <c r="D7" s="35"/>
      <c r="E7" s="33"/>
      <c r="F7" s="33"/>
      <c r="G7" s="33"/>
      <c r="H7" s="37"/>
      <c r="I7" s="39"/>
      <c r="J7" s="37"/>
      <c r="K7" s="39"/>
      <c r="L7" s="35"/>
      <c r="M7" s="35"/>
      <c r="N7" s="35"/>
      <c r="O7" s="35"/>
      <c r="P7" s="35"/>
      <c r="Q7" s="35"/>
      <c r="R7" s="35"/>
      <c r="S7" s="43"/>
      <c r="T7" s="43"/>
      <c r="U7" s="43"/>
    </row>
    <row r="8" spans="1:24" x14ac:dyDescent="0.25">
      <c r="A8" s="43"/>
      <c r="B8" s="35"/>
      <c r="C8" s="35"/>
      <c r="D8" s="35"/>
      <c r="E8" s="33"/>
      <c r="F8" s="33"/>
      <c r="G8" s="33"/>
      <c r="H8" s="37"/>
      <c r="I8" s="39"/>
      <c r="J8" s="37"/>
      <c r="K8" s="39"/>
      <c r="L8" s="35"/>
      <c r="M8" s="35"/>
      <c r="N8" s="35"/>
      <c r="O8" s="35"/>
      <c r="P8" s="35"/>
      <c r="Q8" s="35"/>
      <c r="R8" s="35"/>
      <c r="S8" s="43"/>
      <c r="T8" s="43"/>
      <c r="U8" s="43"/>
    </row>
    <row r="9" spans="1:24" x14ac:dyDescent="0.25">
      <c r="A9" s="43"/>
      <c r="B9" s="36"/>
      <c r="C9" s="36"/>
      <c r="D9" s="36"/>
      <c r="E9" s="33"/>
      <c r="F9" s="33"/>
      <c r="G9" s="33"/>
      <c r="H9" s="38"/>
      <c r="I9" s="40"/>
      <c r="J9" s="38"/>
      <c r="K9" s="40"/>
      <c r="L9" s="36"/>
      <c r="M9" s="36"/>
      <c r="N9" s="36"/>
      <c r="O9" s="36"/>
      <c r="P9" s="36"/>
      <c r="Q9" s="36"/>
      <c r="R9" s="36"/>
      <c r="S9" s="43"/>
      <c r="T9" s="43"/>
      <c r="U9" s="43"/>
    </row>
    <row r="10" spans="1:24" x14ac:dyDescent="0.25">
      <c r="A10" s="2">
        <v>2015</v>
      </c>
      <c r="B10" s="3">
        <v>4793</v>
      </c>
      <c r="C10" s="14">
        <f>0.1*B10</f>
        <v>479.3</v>
      </c>
      <c r="D10" s="14" t="s">
        <v>26</v>
      </c>
      <c r="E10" s="14">
        <f>26+6.1+1</f>
        <v>33.1</v>
      </c>
      <c r="F10" s="14" t="s">
        <v>53</v>
      </c>
      <c r="G10" s="14">
        <f>B10-(C10+E10)</f>
        <v>4280.6000000000004</v>
      </c>
      <c r="H10" s="14">
        <f>G10*0.906</f>
        <v>3878.2236000000003</v>
      </c>
      <c r="I10" s="15">
        <v>0.90600000000000003</v>
      </c>
      <c r="J10" s="14">
        <f>G10*0.094</f>
        <v>402.37640000000005</v>
      </c>
      <c r="K10" s="15">
        <v>9.4E-2</v>
      </c>
      <c r="L10" s="14">
        <f t="shared" ref="L10" si="0">0.58*H10</f>
        <v>2249.3696879999998</v>
      </c>
      <c r="M10" s="14">
        <f t="shared" ref="M10" si="1">0.42*H10</f>
        <v>1628.853912</v>
      </c>
      <c r="N10" s="6">
        <f t="shared" ref="N10:N11" si="2">0.85*M10</f>
        <v>1384.5258252000001</v>
      </c>
      <c r="O10" s="6">
        <f t="shared" ref="O10:O11" si="3">0.15*M10</f>
        <v>244.32808679999999</v>
      </c>
      <c r="P10" s="15">
        <v>0.16600000000000001</v>
      </c>
      <c r="Q10" s="14">
        <f t="shared" ref="Q10:Q11" si="4">0.2*N10*P10</f>
        <v>45.96625739664001</v>
      </c>
      <c r="R10" s="14">
        <f t="shared" ref="R10:R11" si="5">N10-Q10</f>
        <v>1338.5595678033601</v>
      </c>
      <c r="S10" s="6">
        <f t="shared" ref="S10:S11" si="6">3.85*$R10/275.3*2204.6</f>
        <v>41268.817396441176</v>
      </c>
      <c r="T10" s="6">
        <f t="shared" ref="T10:T11" si="7">1.75*$R10/275.3*2204.6</f>
        <v>18758.553362018716</v>
      </c>
      <c r="U10" s="6">
        <f t="shared" ref="U10:U11" si="8">$R10/275.3*2204.6</f>
        <v>10719.173349724981</v>
      </c>
    </row>
    <row r="11" spans="1:24" x14ac:dyDescent="0.25">
      <c r="A11" s="2">
        <v>2016</v>
      </c>
      <c r="B11" s="3">
        <v>5241</v>
      </c>
      <c r="C11" s="14">
        <f>0.1*(B11-E11)</f>
        <v>520.79</v>
      </c>
      <c r="D11" s="14" t="s">
        <v>26</v>
      </c>
      <c r="E11" s="14">
        <f>26+6.1+1</f>
        <v>33.1</v>
      </c>
      <c r="F11" s="14" t="s">
        <v>53</v>
      </c>
      <c r="G11" s="14">
        <f>B11-(C11+E11)</f>
        <v>4687.1099999999997</v>
      </c>
      <c r="H11" s="14">
        <f>G11*0.906</f>
        <v>4246.5216599999994</v>
      </c>
      <c r="I11" s="15">
        <v>0.90600000000000003</v>
      </c>
      <c r="J11" s="14">
        <f>G11*0.094</f>
        <v>440.58833999999996</v>
      </c>
      <c r="K11" s="15">
        <v>9.4E-2</v>
      </c>
      <c r="L11" s="14">
        <f t="shared" ref="L11" si="9">0.58*H11</f>
        <v>2462.9825627999994</v>
      </c>
      <c r="M11" s="14">
        <f t="shared" ref="M11" si="10">0.42*H11</f>
        <v>1783.5390971999998</v>
      </c>
      <c r="N11" s="6">
        <f t="shared" si="2"/>
        <v>1516.0082326199997</v>
      </c>
      <c r="O11" s="6">
        <f t="shared" si="3"/>
        <v>267.53086457999996</v>
      </c>
      <c r="P11" s="15">
        <v>0.16600000000000001</v>
      </c>
      <c r="Q11" s="14">
        <f t="shared" si="4"/>
        <v>50.331473322983996</v>
      </c>
      <c r="R11" s="14">
        <f t="shared" si="5"/>
        <v>1465.6767592970157</v>
      </c>
      <c r="S11" s="6">
        <f t="shared" si="6"/>
        <v>45187.937837460486</v>
      </c>
      <c r="T11" s="6">
        <f t="shared" si="7"/>
        <v>20539.971744300223</v>
      </c>
      <c r="U11" s="6">
        <f t="shared" si="8"/>
        <v>11737.126711028699</v>
      </c>
    </row>
    <row r="12" spans="1:24" ht="15" customHeight="1" x14ac:dyDescent="0.25">
      <c r="A12" s="57" t="s">
        <v>48</v>
      </c>
      <c r="B12" s="57"/>
      <c r="C12" s="57"/>
      <c r="D12" s="57"/>
      <c r="E12" s="57"/>
      <c r="F12" s="57"/>
      <c r="G12" s="57"/>
      <c r="H12" s="57"/>
      <c r="I12" s="57"/>
      <c r="J12" s="57"/>
      <c r="K12" s="57"/>
      <c r="L12" s="57"/>
      <c r="M12" s="57"/>
      <c r="N12" s="57"/>
      <c r="O12" s="57"/>
      <c r="P12" s="57"/>
      <c r="Q12" s="57"/>
      <c r="R12" s="57"/>
      <c r="S12" s="57"/>
      <c r="T12" s="57"/>
      <c r="U12" s="57"/>
      <c r="V12" s="30"/>
      <c r="W12" s="30"/>
      <c r="X12" s="30"/>
    </row>
    <row r="13" spans="1:24" x14ac:dyDescent="0.25">
      <c r="A13" s="56" t="s">
        <v>49</v>
      </c>
      <c r="B13" s="56"/>
      <c r="C13" s="56"/>
      <c r="D13" s="56"/>
      <c r="E13" s="56"/>
      <c r="F13" s="56"/>
      <c r="G13" s="56"/>
      <c r="H13" s="56"/>
      <c r="I13" s="56"/>
      <c r="J13" s="56"/>
      <c r="K13" s="56"/>
      <c r="L13" s="56"/>
      <c r="M13" s="56"/>
      <c r="N13" s="56"/>
      <c r="O13" s="56"/>
      <c r="P13" s="56"/>
      <c r="Q13" s="56"/>
      <c r="R13" s="56"/>
      <c r="S13" s="56"/>
      <c r="T13" s="56"/>
      <c r="U13" s="56"/>
      <c r="V13" s="31"/>
      <c r="W13" s="31"/>
      <c r="X13" s="31"/>
    </row>
  </sheetData>
  <mergeCells count="28">
    <mergeCell ref="A13:U13"/>
    <mergeCell ref="A12:U12"/>
    <mergeCell ref="S4:U5"/>
    <mergeCell ref="H5:H9"/>
    <mergeCell ref="I5:I9"/>
    <mergeCell ref="J5:J9"/>
    <mergeCell ref="K5:K9"/>
    <mergeCell ref="S6:S9"/>
    <mergeCell ref="T6:T9"/>
    <mergeCell ref="U6:U9"/>
    <mergeCell ref="M4:M9"/>
    <mergeCell ref="N4:N9"/>
    <mergeCell ref="O4:O9"/>
    <mergeCell ref="P4:P9"/>
    <mergeCell ref="Q4:Q9"/>
    <mergeCell ref="R4:R9"/>
    <mergeCell ref="F2:F9"/>
    <mergeCell ref="G2:U2"/>
    <mergeCell ref="M3:U3"/>
    <mergeCell ref="G4:G9"/>
    <mergeCell ref="H4:I4"/>
    <mergeCell ref="J4:K4"/>
    <mergeCell ref="L4:L9"/>
    <mergeCell ref="B2:B9"/>
    <mergeCell ref="A2:A9"/>
    <mergeCell ref="C2:C9"/>
    <mergeCell ref="D2:D9"/>
    <mergeCell ref="E2:E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Historic Spex</vt:lpstr>
      <vt:lpstr>1516 Spex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DeVo</dc:creator>
  <cp:lastModifiedBy>Kelli Johnson</cp:lastModifiedBy>
  <dcterms:created xsi:type="dcterms:W3CDTF">2013-12-04T16:34:12Z</dcterms:created>
  <dcterms:modified xsi:type="dcterms:W3CDTF">2016-01-08T15:38:15Z</dcterms:modified>
</cp:coreProperties>
</file>